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carolinagialdi/Documents/"/>
    </mc:Choice>
  </mc:AlternateContent>
  <bookViews>
    <workbookView xWindow="5280" yWindow="460" windowWidth="16580" windowHeight="15860" tabRatio="500"/>
  </bookViews>
  <sheets>
    <sheet name="1. YTM" sheetId="2" r:id="rId1"/>
    <sheet name="2. Estructuras de bonos" sheetId="3" r:id="rId2"/>
    <sheet name="3. Duracion portafolio" sheetId="1" r:id="rId3"/>
    <sheet name="4. Sensibilidad precio" sheetId="4" r:id="rId4"/>
  </sheets>
  <definedNames>
    <definedName name="solver_adj" localSheetId="0" hidden="1">'1. YTM'!$B$64</definedName>
    <definedName name="solver_adj" localSheetId="1" hidden="1">'2. Estructuras de bonos'!$B$11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opt" localSheetId="0" hidden="1">'1. YTM'!$B$63</definedName>
    <definedName name="solver_opt" localSheetId="1" hidden="1">'2. Estructuras de bonos'!$F$4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97</definedName>
    <definedName name="solver_val" localSheetId="1" hidden="1">105</definedName>
    <definedName name="solver_ver" localSheetId="0" hidden="1">2</definedName>
    <definedName name="solver_ver" localSheetId="1" hidden="1">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3" l="1"/>
  <c r="B32" i="3"/>
  <c r="B34" i="3"/>
  <c r="C28" i="1"/>
  <c r="B27" i="1"/>
  <c r="B22" i="1"/>
  <c r="B12" i="1"/>
  <c r="B26" i="1"/>
  <c r="B25" i="1"/>
  <c r="B8" i="4"/>
  <c r="B6" i="4"/>
  <c r="B3" i="4"/>
  <c r="C24" i="3"/>
  <c r="D24" i="3"/>
  <c r="F24" i="3"/>
  <c r="C25" i="3"/>
  <c r="D25" i="3"/>
  <c r="F25" i="3"/>
  <c r="C26" i="3"/>
  <c r="D26" i="3"/>
  <c r="F26" i="3"/>
  <c r="C27" i="3"/>
  <c r="D27" i="3"/>
  <c r="F27" i="3"/>
  <c r="C28" i="3"/>
  <c r="D28" i="3"/>
  <c r="F28" i="3"/>
  <c r="C29" i="3"/>
  <c r="D29" i="3"/>
  <c r="F29" i="3"/>
  <c r="C30" i="3"/>
  <c r="D30" i="3"/>
  <c r="F30" i="3"/>
  <c r="C31" i="3"/>
  <c r="D31" i="3"/>
  <c r="F31" i="3"/>
  <c r="C32" i="3"/>
  <c r="D32" i="3"/>
  <c r="F32" i="3"/>
  <c r="C33" i="3"/>
  <c r="D33" i="3"/>
  <c r="F33" i="3"/>
  <c r="C34" i="3"/>
  <c r="D34" i="3"/>
  <c r="F34" i="3"/>
  <c r="C21" i="3"/>
  <c r="D21" i="3"/>
  <c r="F21" i="3"/>
  <c r="C22" i="3"/>
  <c r="D22" i="3"/>
  <c r="F22" i="3"/>
  <c r="C23" i="3"/>
  <c r="D23" i="3"/>
  <c r="F23" i="3"/>
  <c r="F15" i="3"/>
  <c r="F16" i="3"/>
  <c r="F17" i="3"/>
  <c r="F18" i="3"/>
  <c r="F19" i="3"/>
  <c r="F20" i="3"/>
  <c r="F4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21" i="3"/>
  <c r="F6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21" i="3"/>
  <c r="F5" i="3"/>
  <c r="E17" i="3"/>
  <c r="D17" i="3"/>
  <c r="E18" i="3"/>
  <c r="D18" i="3"/>
  <c r="E19" i="3"/>
  <c r="D19" i="3"/>
  <c r="E20" i="3"/>
  <c r="D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16" i="3"/>
  <c r="E15" i="3"/>
  <c r="D16" i="3"/>
  <c r="D15" i="3"/>
  <c r="C67" i="2"/>
  <c r="C68" i="2"/>
  <c r="C69" i="2"/>
  <c r="C70" i="2"/>
  <c r="C71" i="2"/>
  <c r="C72" i="2"/>
  <c r="B63" i="2"/>
  <c r="C56" i="2"/>
  <c r="C55" i="2"/>
  <c r="C54" i="2"/>
  <c r="C53" i="2"/>
  <c r="C52" i="2"/>
  <c r="C51" i="2"/>
  <c r="B56" i="2"/>
  <c r="B55" i="2"/>
  <c r="B54" i="2"/>
  <c r="B53" i="2"/>
  <c r="B52" i="2"/>
  <c r="B51" i="2"/>
  <c r="A56" i="2"/>
  <c r="A55" i="2"/>
  <c r="A54" i="2"/>
  <c r="A53" i="2"/>
  <c r="A52" i="2"/>
  <c r="A51" i="2"/>
  <c r="B11" i="2"/>
  <c r="B12" i="2"/>
  <c r="B10" i="2"/>
  <c r="C10" i="2"/>
  <c r="C11" i="2"/>
  <c r="C12" i="2"/>
  <c r="B6" i="2"/>
  <c r="B72" i="2"/>
  <c r="A67" i="2"/>
  <c r="A68" i="2"/>
  <c r="A69" i="2"/>
  <c r="A70" i="2"/>
  <c r="A71" i="2"/>
  <c r="A72" i="2"/>
  <c r="B71" i="2"/>
  <c r="B70" i="2"/>
  <c r="B69" i="2"/>
  <c r="B68" i="2"/>
  <c r="B67" i="2"/>
  <c r="B47" i="2"/>
  <c r="A10" i="2"/>
  <c r="A11" i="2"/>
  <c r="A12" i="2"/>
  <c r="B40" i="2"/>
  <c r="C40" i="2"/>
  <c r="B39" i="2"/>
  <c r="C39" i="2"/>
  <c r="B38" i="2"/>
  <c r="C38" i="2"/>
  <c r="A38" i="2"/>
  <c r="A39" i="2"/>
  <c r="A40" i="2"/>
  <c r="B34" i="2"/>
  <c r="B26" i="2"/>
  <c r="C26" i="2"/>
  <c r="B25" i="2"/>
  <c r="C25" i="2"/>
  <c r="B24" i="2"/>
  <c r="C24" i="2"/>
  <c r="A24" i="2"/>
  <c r="A25" i="2"/>
  <c r="A26" i="2"/>
  <c r="B20" i="2"/>
  <c r="B16" i="1"/>
  <c r="B15" i="1"/>
  <c r="C18" i="1"/>
  <c r="C8" i="1"/>
  <c r="B6" i="1"/>
  <c r="B5" i="1"/>
  <c r="B2" i="1"/>
</calcChain>
</file>

<file path=xl/sharedStrings.xml><?xml version="1.0" encoding="utf-8"?>
<sst xmlns="http://schemas.openxmlformats.org/spreadsheetml/2006/main" count="90" uniqueCount="42">
  <si>
    <t>1)</t>
  </si>
  <si>
    <t>Portafolio</t>
  </si>
  <si>
    <t>Bono 1</t>
  </si>
  <si>
    <t>Bono 2</t>
  </si>
  <si>
    <t>wi</t>
  </si>
  <si>
    <t>Di</t>
  </si>
  <si>
    <t>Duracion portafolio</t>
  </si>
  <si>
    <t>2)</t>
  </si>
  <si>
    <t>Plazo a vencimiento (Tn)</t>
  </si>
  <si>
    <t>Cupon</t>
  </si>
  <si>
    <t>Frecuencia cupon</t>
  </si>
  <si>
    <t>Precio</t>
  </si>
  <si>
    <t>YTM</t>
  </si>
  <si>
    <t>Principal</t>
  </si>
  <si>
    <t>anual</t>
  </si>
  <si>
    <t>3)</t>
  </si>
  <si>
    <t>4)</t>
  </si>
  <si>
    <t>5)</t>
  </si>
  <si>
    <t>Fecha d emision</t>
  </si>
  <si>
    <t>Fecha de liquidacion</t>
  </si>
  <si>
    <t>Vencimiento</t>
  </si>
  <si>
    <t>Frec cupon</t>
  </si>
  <si>
    <t>Base calculo cupon</t>
  </si>
  <si>
    <t>Fecha inicial amortizacion</t>
  </si>
  <si>
    <t>Intereses</t>
  </si>
  <si>
    <t>Ti</t>
  </si>
  <si>
    <t>Duracion</t>
  </si>
  <si>
    <t>Ti2</t>
  </si>
  <si>
    <t>Convexidad</t>
  </si>
  <si>
    <t>Armotizacion</t>
  </si>
  <si>
    <t>Flujos de caja total</t>
  </si>
  <si>
    <t>Valor presente de flujos de caja</t>
  </si>
  <si>
    <t>D</t>
  </si>
  <si>
    <t>C</t>
  </si>
  <si>
    <t>cambio tasa</t>
  </si>
  <si>
    <t>cambio</t>
  </si>
  <si>
    <t>precio</t>
  </si>
  <si>
    <t>Bono 3</t>
  </si>
  <si>
    <t>semianual</t>
  </si>
  <si>
    <t>Devngamiento c</t>
  </si>
  <si>
    <t>Amortizaciones</t>
  </si>
  <si>
    <t>*(1+B4/B5)^6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</si>
</sst>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00%"/>
    <numFmt numFmtId="167" formatCode="0.000"/>
    <numFmt numFmtId="168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43" fontId="0" fillId="0" borderId="0" xfId="1" applyFont="1"/>
    <xf numFmtId="0" fontId="3" fillId="0" borderId="0" xfId="0" applyFont="1"/>
    <xf numFmtId="167" fontId="0" fillId="0" borderId="0" xfId="0" applyNumberFormat="1"/>
    <xf numFmtId="0" fontId="0" fillId="0" borderId="0" xfId="0" applyFont="1"/>
    <xf numFmtId="14" fontId="0" fillId="0" borderId="0" xfId="0" applyNumberFormat="1" applyFont="1"/>
    <xf numFmtId="0" fontId="0" fillId="2" borderId="0" xfId="0" applyFont="1" applyFill="1"/>
    <xf numFmtId="14" fontId="0" fillId="2" borderId="0" xfId="0" applyNumberFormat="1" applyFont="1" applyFill="1"/>
    <xf numFmtId="9" fontId="0" fillId="0" borderId="0" xfId="0" applyNumberFormat="1" applyFont="1"/>
    <xf numFmtId="43" fontId="0" fillId="0" borderId="0" xfId="0" applyNumberFormat="1" applyFont="1"/>
    <xf numFmtId="10" fontId="0" fillId="0" borderId="0" xfId="0" applyNumberFormat="1"/>
    <xf numFmtId="10" fontId="0" fillId="0" borderId="0" xfId="2" applyNumberFormat="1" applyFont="1"/>
    <xf numFmtId="168" fontId="0" fillId="0" borderId="0" xfId="0" applyNumberFormat="1"/>
    <xf numFmtId="165" fontId="3" fillId="0" borderId="0" xfId="0" applyNumberFormat="1" applyFont="1"/>
    <xf numFmtId="166" fontId="0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topLeftCell="A43" workbookViewId="0">
      <selection activeCell="G67" sqref="G67"/>
    </sheetView>
  </sheetViews>
  <sheetFormatPr baseColWidth="10" defaultRowHeight="16" x14ac:dyDescent="0.2"/>
  <cols>
    <col min="1" max="1" width="21" bestFit="1" customWidth="1"/>
    <col min="5" max="5" width="21" bestFit="1" customWidth="1"/>
  </cols>
  <sheetData>
    <row r="1" spans="1:6" x14ac:dyDescent="0.2">
      <c r="A1" t="s">
        <v>0</v>
      </c>
    </row>
    <row r="2" spans="1:6" x14ac:dyDescent="0.2">
      <c r="A2" t="s">
        <v>8</v>
      </c>
      <c r="B2">
        <v>3</v>
      </c>
    </row>
    <row r="3" spans="1:6" x14ac:dyDescent="0.2">
      <c r="A3" t="s">
        <v>9</v>
      </c>
      <c r="B3" s="5">
        <v>0.03</v>
      </c>
      <c r="F3" s="5"/>
    </row>
    <row r="4" spans="1:6" x14ac:dyDescent="0.2">
      <c r="A4" t="s">
        <v>13</v>
      </c>
      <c r="B4" s="7">
        <v>100</v>
      </c>
    </row>
    <row r="5" spans="1:6" x14ac:dyDescent="0.2">
      <c r="A5" t="s">
        <v>10</v>
      </c>
      <c r="B5">
        <v>1</v>
      </c>
      <c r="C5" t="s">
        <v>14</v>
      </c>
    </row>
    <row r="6" spans="1:6" x14ac:dyDescent="0.2">
      <c r="A6" t="s">
        <v>11</v>
      </c>
      <c r="B6">
        <f>+SUM(C10:C12)</f>
        <v>91.980964151615069</v>
      </c>
    </row>
    <row r="7" spans="1:6" x14ac:dyDescent="0.2">
      <c r="A7" t="s">
        <v>12</v>
      </c>
      <c r="B7" s="5">
        <v>0.06</v>
      </c>
      <c r="F7" s="5"/>
    </row>
    <row r="8" spans="1:6" x14ac:dyDescent="0.2">
      <c r="A8" t="s">
        <v>29</v>
      </c>
      <c r="B8">
        <v>2</v>
      </c>
    </row>
    <row r="9" spans="1:6" x14ac:dyDescent="0.2">
      <c r="A9">
        <v>0</v>
      </c>
    </row>
    <row r="10" spans="1:6" x14ac:dyDescent="0.2">
      <c r="A10">
        <f>A9+B$5</f>
        <v>1</v>
      </c>
      <c r="B10" s="3">
        <f>B$3*B$4/B$5</f>
        <v>3</v>
      </c>
      <c r="C10">
        <f>B10/((1+B$7/B$5)^($B$5*A10))</f>
        <v>2.8301886792452828</v>
      </c>
    </row>
    <row r="11" spans="1:6" x14ac:dyDescent="0.2">
      <c r="A11">
        <f>A10+B$5</f>
        <v>2</v>
      </c>
      <c r="B11" s="3">
        <f>B$3*B$4/B$5</f>
        <v>3</v>
      </c>
      <c r="C11">
        <f>B11/((1+B$7/B$5)^($B$5*A11))</f>
        <v>2.6699893200427196</v>
      </c>
    </row>
    <row r="12" spans="1:6" x14ac:dyDescent="0.2">
      <c r="A12">
        <f>A11+B$5</f>
        <v>3</v>
      </c>
      <c r="B12" s="3">
        <f>B$3*B$4/B$5+B4</f>
        <v>103</v>
      </c>
      <c r="C12">
        <f>B12/((1+B$7/B$5)^($B$5*A12))</f>
        <v>86.48078615232707</v>
      </c>
    </row>
    <row r="15" spans="1:6" x14ac:dyDescent="0.2">
      <c r="A15" t="s">
        <v>7</v>
      </c>
    </row>
    <row r="16" spans="1:6" x14ac:dyDescent="0.2">
      <c r="A16" t="s">
        <v>8</v>
      </c>
      <c r="B16">
        <v>3</v>
      </c>
    </row>
    <row r="17" spans="1:3" x14ac:dyDescent="0.2">
      <c r="A17" t="s">
        <v>9</v>
      </c>
      <c r="B17" s="5">
        <v>0.03</v>
      </c>
    </row>
    <row r="18" spans="1:3" x14ac:dyDescent="0.2">
      <c r="A18" t="s">
        <v>13</v>
      </c>
      <c r="B18">
        <v>100</v>
      </c>
    </row>
    <row r="19" spans="1:3" x14ac:dyDescent="0.2">
      <c r="A19" t="s">
        <v>10</v>
      </c>
      <c r="B19">
        <v>1</v>
      </c>
      <c r="C19" t="s">
        <v>14</v>
      </c>
    </row>
    <row r="20" spans="1:3" x14ac:dyDescent="0.2">
      <c r="A20" t="s">
        <v>11</v>
      </c>
      <c r="B20">
        <f>SUM(C24:C26)</f>
        <v>102.88388327264778</v>
      </c>
    </row>
    <row r="21" spans="1:3" x14ac:dyDescent="0.2">
      <c r="A21" t="s">
        <v>12</v>
      </c>
      <c r="B21" s="5">
        <v>0.02</v>
      </c>
    </row>
    <row r="23" spans="1:3" x14ac:dyDescent="0.2">
      <c r="A23">
        <v>0</v>
      </c>
    </row>
    <row r="24" spans="1:3" x14ac:dyDescent="0.2">
      <c r="A24">
        <f>A23+1</f>
        <v>1</v>
      </c>
      <c r="B24">
        <f>B$4*B$3/B$5</f>
        <v>3</v>
      </c>
      <c r="C24">
        <f>B24/((1+B$21/B$19)^($B$19*A24))</f>
        <v>2.9411764705882351</v>
      </c>
    </row>
    <row r="25" spans="1:3" x14ac:dyDescent="0.2">
      <c r="A25">
        <f>A24+1</f>
        <v>2</v>
      </c>
      <c r="B25">
        <f>B$4*B$3/B$5</f>
        <v>3</v>
      </c>
      <c r="C25">
        <f>B25/((1+B$21/B$19)^($B$19*A25))</f>
        <v>2.8835063437139561</v>
      </c>
    </row>
    <row r="26" spans="1:3" x14ac:dyDescent="0.2">
      <c r="A26">
        <f>A25+1</f>
        <v>3</v>
      </c>
      <c r="B26">
        <f>B$4*B$3/B$5+B18</f>
        <v>103</v>
      </c>
      <c r="C26">
        <f>B26/((1+B$21/B$19)^($B$19*A26))</f>
        <v>97.059200458345586</v>
      </c>
    </row>
    <row r="29" spans="1:3" x14ac:dyDescent="0.2">
      <c r="A29" t="s">
        <v>15</v>
      </c>
    </row>
    <row r="30" spans="1:3" x14ac:dyDescent="0.2">
      <c r="A30" t="s">
        <v>8</v>
      </c>
      <c r="B30">
        <v>3</v>
      </c>
    </row>
    <row r="31" spans="1:3" x14ac:dyDescent="0.2">
      <c r="A31" t="s">
        <v>9</v>
      </c>
      <c r="B31" s="5">
        <v>0.05</v>
      </c>
    </row>
    <row r="32" spans="1:3" x14ac:dyDescent="0.2">
      <c r="A32" t="s">
        <v>13</v>
      </c>
      <c r="B32">
        <v>100</v>
      </c>
    </row>
    <row r="33" spans="1:3" x14ac:dyDescent="0.2">
      <c r="A33" t="s">
        <v>10</v>
      </c>
      <c r="B33">
        <v>1</v>
      </c>
      <c r="C33" t="s">
        <v>14</v>
      </c>
    </row>
    <row r="34" spans="1:3" x14ac:dyDescent="0.2">
      <c r="A34" t="s">
        <v>11</v>
      </c>
      <c r="B34" s="8">
        <f>SUM(C38:C40)</f>
        <v>108.65164981794332</v>
      </c>
    </row>
    <row r="35" spans="1:3" x14ac:dyDescent="0.2">
      <c r="A35" t="s">
        <v>12</v>
      </c>
      <c r="B35" s="5">
        <v>0.02</v>
      </c>
    </row>
    <row r="37" spans="1:3" x14ac:dyDescent="0.2">
      <c r="A37">
        <v>0</v>
      </c>
    </row>
    <row r="38" spans="1:3" x14ac:dyDescent="0.2">
      <c r="A38">
        <f>A37+1</f>
        <v>1</v>
      </c>
      <c r="B38">
        <f>B$32*B$31/B$33</f>
        <v>5</v>
      </c>
      <c r="C38">
        <f>B38/((1+B$35/B$33)^($B$33*A38))</f>
        <v>4.9019607843137258</v>
      </c>
    </row>
    <row r="39" spans="1:3" x14ac:dyDescent="0.2">
      <c r="A39">
        <f>A38+1</f>
        <v>2</v>
      </c>
      <c r="B39">
        <f>B$32*B$31/B$33</f>
        <v>5</v>
      </c>
      <c r="C39">
        <f>B39/((1+B$35/B$33)^($B$33*A39))</f>
        <v>4.805843906189927</v>
      </c>
    </row>
    <row r="40" spans="1:3" x14ac:dyDescent="0.2">
      <c r="A40">
        <f>A39+1</f>
        <v>3</v>
      </c>
      <c r="B40">
        <f>B$32*B$31/B$33+B32</f>
        <v>105</v>
      </c>
      <c r="C40">
        <f>B40/((1+B$35/B$33)^($B$33*A40))</f>
        <v>98.943845127439673</v>
      </c>
    </row>
    <row r="42" spans="1:3" x14ac:dyDescent="0.2">
      <c r="A42" t="s">
        <v>16</v>
      </c>
    </row>
    <row r="43" spans="1:3" x14ac:dyDescent="0.2">
      <c r="A43" t="s">
        <v>8</v>
      </c>
      <c r="B43">
        <v>3</v>
      </c>
    </row>
    <row r="44" spans="1:3" x14ac:dyDescent="0.2">
      <c r="A44" t="s">
        <v>9</v>
      </c>
      <c r="B44" s="5">
        <v>0.05</v>
      </c>
    </row>
    <row r="45" spans="1:3" x14ac:dyDescent="0.2">
      <c r="A45" t="s">
        <v>13</v>
      </c>
      <c r="B45">
        <v>100</v>
      </c>
    </row>
    <row r="46" spans="1:3" x14ac:dyDescent="0.2">
      <c r="A46" t="s">
        <v>10</v>
      </c>
      <c r="B46">
        <v>2</v>
      </c>
      <c r="C46" t="s">
        <v>38</v>
      </c>
    </row>
    <row r="47" spans="1:3" x14ac:dyDescent="0.2">
      <c r="A47" t="s">
        <v>11</v>
      </c>
      <c r="B47" s="19">
        <f>SUM(C51:C56)</f>
        <v>108.69321471186899</v>
      </c>
    </row>
    <row r="48" spans="1:3" x14ac:dyDescent="0.2">
      <c r="A48" t="s">
        <v>12</v>
      </c>
      <c r="B48" s="5">
        <v>0.02</v>
      </c>
    </row>
    <row r="50" spans="1:3" x14ac:dyDescent="0.2">
      <c r="A50">
        <v>0</v>
      </c>
    </row>
    <row r="51" spans="1:3" x14ac:dyDescent="0.2">
      <c r="A51">
        <f t="shared" ref="A51:A56" si="0">A50+0.5</f>
        <v>0.5</v>
      </c>
      <c r="B51">
        <f>B$44*B$45/B$46</f>
        <v>2.5</v>
      </c>
      <c r="C51">
        <f t="shared" ref="C51:C56" si="1">B51/(1+B$48/B$46)^(B$46*A51)</f>
        <v>2.4752475247524752</v>
      </c>
    </row>
    <row r="52" spans="1:3" x14ac:dyDescent="0.2">
      <c r="A52">
        <f t="shared" si="0"/>
        <v>1</v>
      </c>
      <c r="B52">
        <f>B$44*B$45/B$46</f>
        <v>2.5</v>
      </c>
      <c r="C52">
        <f t="shared" si="1"/>
        <v>2.4507401235173023</v>
      </c>
    </row>
    <row r="53" spans="1:3" x14ac:dyDescent="0.2">
      <c r="A53">
        <f t="shared" si="0"/>
        <v>1.5</v>
      </c>
      <c r="B53">
        <f>B$44*B$45/B$46</f>
        <v>2.5</v>
      </c>
      <c r="C53">
        <f t="shared" si="1"/>
        <v>2.4264753698191113</v>
      </c>
    </row>
    <row r="54" spans="1:3" x14ac:dyDescent="0.2">
      <c r="A54">
        <f t="shared" si="0"/>
        <v>2</v>
      </c>
      <c r="B54">
        <f>B$44*B$45/B$46</f>
        <v>2.5</v>
      </c>
      <c r="C54">
        <f t="shared" si="1"/>
        <v>2.4024508612070408</v>
      </c>
    </row>
    <row r="55" spans="1:3" x14ac:dyDescent="0.2">
      <c r="A55">
        <f t="shared" si="0"/>
        <v>2.5</v>
      </c>
      <c r="B55">
        <f>B$44*B$45/B$46</f>
        <v>2.5</v>
      </c>
      <c r="C55">
        <f t="shared" si="1"/>
        <v>2.3786642190168723</v>
      </c>
    </row>
    <row r="56" spans="1:3" x14ac:dyDescent="0.2">
      <c r="A56">
        <f t="shared" si="0"/>
        <v>3</v>
      </c>
      <c r="B56">
        <f>B$44*B$45/B$46+B45</f>
        <v>102.5</v>
      </c>
      <c r="C56">
        <f t="shared" si="1"/>
        <v>96.559636613556179</v>
      </c>
    </row>
    <row r="58" spans="1:3" x14ac:dyDescent="0.2">
      <c r="A58" t="s">
        <v>17</v>
      </c>
    </row>
    <row r="59" spans="1:3" x14ac:dyDescent="0.2">
      <c r="A59" t="s">
        <v>8</v>
      </c>
      <c r="B59">
        <v>3</v>
      </c>
    </row>
    <row r="60" spans="1:3" x14ac:dyDescent="0.2">
      <c r="A60" t="s">
        <v>9</v>
      </c>
      <c r="B60" s="5">
        <v>0.05</v>
      </c>
    </row>
    <row r="61" spans="1:3" x14ac:dyDescent="0.2">
      <c r="A61" t="s">
        <v>13</v>
      </c>
      <c r="B61">
        <v>100</v>
      </c>
    </row>
    <row r="62" spans="1:3" x14ac:dyDescent="0.2">
      <c r="A62" t="s">
        <v>10</v>
      </c>
      <c r="B62">
        <v>2</v>
      </c>
      <c r="C62" t="s">
        <v>38</v>
      </c>
    </row>
    <row r="63" spans="1:3" x14ac:dyDescent="0.2">
      <c r="A63" t="s">
        <v>11</v>
      </c>
      <c r="B63" s="9">
        <f>SUM(C67:C72)</f>
        <v>96.999956264277358</v>
      </c>
    </row>
    <row r="64" spans="1:3" x14ac:dyDescent="0.2">
      <c r="A64" t="s">
        <v>12</v>
      </c>
      <c r="B64" s="6">
        <v>6.109613968314951E-2</v>
      </c>
    </row>
    <row r="66" spans="1:3" x14ac:dyDescent="0.2">
      <c r="A66">
        <v>0</v>
      </c>
    </row>
    <row r="67" spans="1:3" x14ac:dyDescent="0.2">
      <c r="A67">
        <f t="shared" ref="A67:A72" si="2">A66+1/B$46</f>
        <v>0.5</v>
      </c>
      <c r="B67">
        <f>B$32*B$31/B$46</f>
        <v>2.5</v>
      </c>
      <c r="C67">
        <f t="shared" ref="C67:C72" si="3">B67/((1+B$64/B$46)^($B$46*A67))</f>
        <v>2.4258936319043545</v>
      </c>
    </row>
    <row r="68" spans="1:3" x14ac:dyDescent="0.2">
      <c r="A68">
        <f t="shared" si="2"/>
        <v>1</v>
      </c>
      <c r="B68">
        <f>B$32*B$31/B$46</f>
        <v>2.5</v>
      </c>
      <c r="C68">
        <f t="shared" si="3"/>
        <v>2.3539839653256398</v>
      </c>
    </row>
    <row r="69" spans="1:3" x14ac:dyDescent="0.2">
      <c r="A69">
        <f t="shared" si="2"/>
        <v>1.5</v>
      </c>
      <c r="B69">
        <f>B$32*B$31/B$46</f>
        <v>2.5</v>
      </c>
      <c r="C69">
        <f t="shared" si="3"/>
        <v>2.2842058844353721</v>
      </c>
    </row>
    <row r="70" spans="1:3" x14ac:dyDescent="0.2">
      <c r="A70">
        <f t="shared" si="2"/>
        <v>2</v>
      </c>
      <c r="B70">
        <f>B$32*B$31/B$46</f>
        <v>2.5</v>
      </c>
      <c r="C70">
        <f t="shared" si="3"/>
        <v>2.2164962036040894</v>
      </c>
    </row>
    <row r="71" spans="1:3" x14ac:dyDescent="0.2">
      <c r="A71">
        <f t="shared" si="2"/>
        <v>2.5</v>
      </c>
      <c r="B71">
        <f>B$32*B$31/B$46</f>
        <v>2.5</v>
      </c>
      <c r="C71">
        <f t="shared" si="3"/>
        <v>2.1507936101853349</v>
      </c>
    </row>
    <row r="72" spans="1:3" x14ac:dyDescent="0.2">
      <c r="A72">
        <f t="shared" si="2"/>
        <v>3</v>
      </c>
      <c r="B72">
        <f>B$32*B$31/B$46+B61</f>
        <v>102.5</v>
      </c>
      <c r="C72">
        <f t="shared" si="3"/>
        <v>85.568582968822568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E29" sqref="E29"/>
    </sheetView>
  </sheetViews>
  <sheetFormatPr baseColWidth="10" defaultRowHeight="16" x14ac:dyDescent="0.2"/>
  <cols>
    <col min="1" max="1" width="22" style="10" bestFit="1" customWidth="1"/>
    <col min="2" max="3" width="10.83203125" style="10"/>
    <col min="4" max="4" width="18" style="10" bestFit="1" customWidth="1"/>
    <col min="5" max="5" width="18.6640625" style="10" customWidth="1"/>
    <col min="6" max="6" width="32.6640625" style="10" bestFit="1" customWidth="1"/>
    <col min="7" max="16384" width="10.83203125" style="10"/>
  </cols>
  <sheetData>
    <row r="1" spans="1:8" x14ac:dyDescent="0.2">
      <c r="A1" s="10" t="s">
        <v>18</v>
      </c>
      <c r="B1" s="11">
        <v>43110</v>
      </c>
    </row>
    <row r="2" spans="1:8" x14ac:dyDescent="0.2">
      <c r="A2" s="12" t="s">
        <v>19</v>
      </c>
      <c r="B2" s="13">
        <v>44365</v>
      </c>
    </row>
    <row r="3" spans="1:8" x14ac:dyDescent="0.2">
      <c r="A3" s="10" t="s">
        <v>20</v>
      </c>
      <c r="B3" s="11">
        <v>46762</v>
      </c>
    </row>
    <row r="4" spans="1:8" x14ac:dyDescent="0.2">
      <c r="A4" s="10" t="s">
        <v>9</v>
      </c>
      <c r="B4" s="14">
        <v>0.06</v>
      </c>
      <c r="E4" s="10" t="s">
        <v>11</v>
      </c>
      <c r="F4" s="10">
        <f>+SUM(F15:F34)</f>
        <v>104.99998994119471</v>
      </c>
    </row>
    <row r="5" spans="1:8" x14ac:dyDescent="0.2">
      <c r="A5" s="10" t="s">
        <v>21</v>
      </c>
      <c r="B5" s="10">
        <v>2</v>
      </c>
      <c r="E5" s="10" t="s">
        <v>26</v>
      </c>
      <c r="F5" s="10">
        <f>SUMPRODUCT(G21:G34,E21:E34)/(1+B11/B5)</f>
        <v>4.9177836534366719</v>
      </c>
    </row>
    <row r="6" spans="1:8" x14ac:dyDescent="0.2">
      <c r="A6" s="10" t="s">
        <v>39</v>
      </c>
      <c r="B6" s="11">
        <v>43110</v>
      </c>
      <c r="E6" s="10" t="s">
        <v>28</v>
      </c>
      <c r="F6" s="10">
        <f>SUMPRODUCT(H21:H34,G21:G34)</f>
        <v>29.010187660341927</v>
      </c>
    </row>
    <row r="7" spans="1:8" x14ac:dyDescent="0.2">
      <c r="A7" s="10" t="s">
        <v>22</v>
      </c>
      <c r="B7" s="10">
        <v>0</v>
      </c>
    </row>
    <row r="8" spans="1:8" x14ac:dyDescent="0.2">
      <c r="A8" s="10" t="s">
        <v>40</v>
      </c>
      <c r="B8" s="10">
        <v>2</v>
      </c>
    </row>
    <row r="9" spans="1:8" x14ac:dyDescent="0.2">
      <c r="A9" s="10" t="s">
        <v>23</v>
      </c>
      <c r="B9" s="11">
        <v>45667</v>
      </c>
    </row>
    <row r="10" spans="1:8" x14ac:dyDescent="0.2">
      <c r="A10" s="10" t="s">
        <v>13</v>
      </c>
      <c r="B10" s="10">
        <f>100</f>
        <v>100</v>
      </c>
      <c r="C10" s="10" t="s">
        <v>41</v>
      </c>
    </row>
    <row r="11" spans="1:8" x14ac:dyDescent="0.2">
      <c r="A11" s="10" t="s">
        <v>12</v>
      </c>
      <c r="B11" s="20">
        <v>5.52830363341517E-2</v>
      </c>
    </row>
    <row r="13" spans="1:8" x14ac:dyDescent="0.2">
      <c r="A13" s="11"/>
      <c r="B13" s="10" t="s">
        <v>13</v>
      </c>
      <c r="C13" s="10" t="s">
        <v>24</v>
      </c>
      <c r="D13" s="10" t="s">
        <v>30</v>
      </c>
      <c r="E13" s="10" t="s">
        <v>25</v>
      </c>
      <c r="F13" s="10" t="s">
        <v>31</v>
      </c>
      <c r="G13" s="10" t="s">
        <v>4</v>
      </c>
      <c r="H13" s="10" t="s">
        <v>27</v>
      </c>
    </row>
    <row r="14" spans="1:8" x14ac:dyDescent="0.2">
      <c r="A14" s="11">
        <v>43110</v>
      </c>
      <c r="C14" s="7"/>
      <c r="D14" s="15"/>
      <c r="G14" s="15"/>
    </row>
    <row r="15" spans="1:8" x14ac:dyDescent="0.2">
      <c r="A15" s="11">
        <v>43291</v>
      </c>
      <c r="C15" s="7"/>
      <c r="D15" s="15">
        <f>C15+B15</f>
        <v>0</v>
      </c>
      <c r="E15" s="10">
        <f t="shared" ref="E15:E20" si="0">(A15-B$2)/365</f>
        <v>-2.9424657534246577</v>
      </c>
      <c r="F15" s="10">
        <f t="shared" ref="F15:F20" si="1">IF(A15&lt;B$2,0,D15/(1+B$11/$B$5)^(B$5*E15))</f>
        <v>0</v>
      </c>
      <c r="G15" s="15"/>
    </row>
    <row r="16" spans="1:8" x14ac:dyDescent="0.2">
      <c r="A16" s="11">
        <v>43475</v>
      </c>
      <c r="C16" s="7"/>
      <c r="D16" s="15">
        <f t="shared" ref="D16:D34" si="2">C16+B16</f>
        <v>0</v>
      </c>
      <c r="E16" s="10">
        <f t="shared" si="0"/>
        <v>-2.4383561643835616</v>
      </c>
      <c r="F16" s="10">
        <f t="shared" si="1"/>
        <v>0</v>
      </c>
      <c r="G16" s="15"/>
    </row>
    <row r="17" spans="1:8" x14ac:dyDescent="0.2">
      <c r="A17" s="11">
        <v>43656</v>
      </c>
      <c r="C17" s="7"/>
      <c r="D17" s="15">
        <f t="shared" si="2"/>
        <v>0</v>
      </c>
      <c r="E17" s="10">
        <f t="shared" si="0"/>
        <v>-1.9424657534246574</v>
      </c>
      <c r="F17" s="10">
        <f t="shared" si="1"/>
        <v>0</v>
      </c>
      <c r="G17" s="15"/>
    </row>
    <row r="18" spans="1:8" x14ac:dyDescent="0.2">
      <c r="A18" s="11">
        <v>43840</v>
      </c>
      <c r="C18" s="7"/>
      <c r="D18" s="15">
        <f t="shared" si="2"/>
        <v>0</v>
      </c>
      <c r="E18" s="10">
        <f t="shared" si="0"/>
        <v>-1.4383561643835616</v>
      </c>
      <c r="F18" s="10">
        <f t="shared" si="1"/>
        <v>0</v>
      </c>
      <c r="G18" s="15"/>
    </row>
    <row r="19" spans="1:8" x14ac:dyDescent="0.2">
      <c r="A19" s="11">
        <v>44022</v>
      </c>
      <c r="C19" s="7"/>
      <c r="D19" s="15">
        <f t="shared" si="2"/>
        <v>0</v>
      </c>
      <c r="E19" s="10">
        <f t="shared" si="0"/>
        <v>-0.9397260273972603</v>
      </c>
      <c r="F19" s="10">
        <f t="shared" si="1"/>
        <v>0</v>
      </c>
      <c r="G19" s="15"/>
    </row>
    <row r="20" spans="1:8" x14ac:dyDescent="0.2">
      <c r="A20" s="11">
        <v>44206</v>
      </c>
      <c r="C20" s="7"/>
      <c r="D20" s="15">
        <f t="shared" si="2"/>
        <v>0</v>
      </c>
      <c r="E20" s="10">
        <f t="shared" si="0"/>
        <v>-0.43561643835616437</v>
      </c>
      <c r="F20" s="10">
        <f t="shared" si="1"/>
        <v>0</v>
      </c>
      <c r="G20" s="15"/>
    </row>
    <row r="21" spans="1:8" x14ac:dyDescent="0.2">
      <c r="A21" s="11">
        <v>44387</v>
      </c>
      <c r="C21" s="7">
        <f>B$4*YEARFRAC(A20,A21,B$7)*B$10</f>
        <v>3</v>
      </c>
      <c r="D21" s="15">
        <f t="shared" si="2"/>
        <v>3</v>
      </c>
      <c r="E21" s="10">
        <f>YEARFRAC(B$2,A21,3)</f>
        <v>6.0273972602739728E-2</v>
      </c>
      <c r="F21" s="10">
        <f>IF(A21&lt;B$2,0,D21/(1+B$11/$B$5)^(B$5*E21))</f>
        <v>2.9901554665830807</v>
      </c>
      <c r="G21" s="15">
        <f>F21/F$4</f>
        <v>2.8477673838423399E-2</v>
      </c>
      <c r="H21" s="10">
        <f>E21^2</f>
        <v>3.6329517733158195E-3</v>
      </c>
    </row>
    <row r="22" spans="1:8" x14ac:dyDescent="0.2">
      <c r="A22" s="11">
        <v>44571</v>
      </c>
      <c r="C22" s="7">
        <f>B$4*YEARFRAC(A21,A22,B$7)*(B$10-SUM(B$15:B21))</f>
        <v>3</v>
      </c>
      <c r="D22" s="15">
        <f t="shared" si="2"/>
        <v>3</v>
      </c>
      <c r="E22" s="10">
        <f t="shared" ref="E22:E34" si="3">YEARFRAC(B$2,A22,3)</f>
        <v>0.56438356164383563</v>
      </c>
      <c r="F22" s="10">
        <f t="shared" ref="F22:F34" si="4">IF(A22&lt;B$2,0,D22/(1+B$11/$B$5)^(B$5*E22))</f>
        <v>2.9090741986783319</v>
      </c>
      <c r="G22" s="15">
        <f t="shared" ref="G22:G34" si="5">F22/F$4</f>
        <v>2.7705471212974023E-2</v>
      </c>
      <c r="H22" s="10">
        <f t="shared" ref="H22:H34" si="6">E22^2</f>
        <v>0.31852880465378119</v>
      </c>
    </row>
    <row r="23" spans="1:8" x14ac:dyDescent="0.2">
      <c r="A23" s="11">
        <v>44752</v>
      </c>
      <c r="C23" s="7">
        <f>B$4*YEARFRAC(A22,A23,B$7)*(B$10-SUM(B$15:B22))</f>
        <v>3</v>
      </c>
      <c r="D23" s="15">
        <f t="shared" si="2"/>
        <v>3</v>
      </c>
      <c r="E23" s="10">
        <f t="shared" si="3"/>
        <v>1.0602739726027397</v>
      </c>
      <c r="F23" s="10">
        <f t="shared" si="4"/>
        <v>2.8314603537020409</v>
      </c>
      <c r="G23" s="15">
        <f t="shared" si="5"/>
        <v>2.6966291666197316E-2</v>
      </c>
      <c r="H23" s="10">
        <f t="shared" si="6"/>
        <v>1.1241808969787952</v>
      </c>
    </row>
    <row r="24" spans="1:8" x14ac:dyDescent="0.2">
      <c r="A24" s="11">
        <v>44936</v>
      </c>
      <c r="C24" s="7">
        <f>B$4*YEARFRAC(A23,A24,B$7)*(B$10-SUM(B$15:B23))</f>
        <v>3</v>
      </c>
      <c r="D24" s="15">
        <f t="shared" si="2"/>
        <v>3</v>
      </c>
      <c r="E24" s="10">
        <f t="shared" si="3"/>
        <v>1.5643835616438355</v>
      </c>
      <c r="F24" s="10">
        <f t="shared" si="4"/>
        <v>2.7546822737440331</v>
      </c>
      <c r="G24" s="15">
        <f t="shared" si="5"/>
        <v>2.6235071787023924E-2</v>
      </c>
      <c r="H24" s="10">
        <f t="shared" si="6"/>
        <v>2.4472959279414521</v>
      </c>
    </row>
    <row r="25" spans="1:8" x14ac:dyDescent="0.2">
      <c r="A25" s="11">
        <v>45117</v>
      </c>
      <c r="C25" s="7">
        <f>B$4*YEARFRAC(A24,A25,B$7)*(B$10-SUM(B$15:B24))</f>
        <v>3</v>
      </c>
      <c r="D25" s="15">
        <f t="shared" si="2"/>
        <v>3</v>
      </c>
      <c r="E25" s="10">
        <f t="shared" si="3"/>
        <v>2.0602739726027397</v>
      </c>
      <c r="F25" s="10">
        <f t="shared" si="4"/>
        <v>2.6811875918103638</v>
      </c>
      <c r="G25" s="15">
        <f t="shared" si="5"/>
        <v>2.5535122368220836E-2</v>
      </c>
      <c r="H25" s="10">
        <f t="shared" si="6"/>
        <v>4.2447288421842746</v>
      </c>
    </row>
    <row r="26" spans="1:8" x14ac:dyDescent="0.2">
      <c r="A26" s="11">
        <v>45301</v>
      </c>
      <c r="C26" s="7">
        <f>B$4*YEARFRAC(A25,A26,B$7)*(B$10-SUM(B$15:B25))</f>
        <v>3</v>
      </c>
      <c r="D26" s="15">
        <f t="shared" si="2"/>
        <v>3</v>
      </c>
      <c r="E26" s="10">
        <f t="shared" si="3"/>
        <v>2.5643835616438357</v>
      </c>
      <c r="F26" s="10">
        <f t="shared" si="4"/>
        <v>2.6084843187317617</v>
      </c>
      <c r="G26" s="15">
        <f t="shared" si="5"/>
        <v>2.4842710177330914E-2</v>
      </c>
      <c r="H26" s="10">
        <f t="shared" si="6"/>
        <v>6.5760630512291245</v>
      </c>
    </row>
    <row r="27" spans="1:8" x14ac:dyDescent="0.2">
      <c r="A27" s="11">
        <v>45483</v>
      </c>
      <c r="C27" s="7">
        <f>B$4*YEARFRAC(A26,A27,B$7)*(B$10-SUM(B$15:B26))</f>
        <v>3</v>
      </c>
      <c r="D27" s="15">
        <f t="shared" si="2"/>
        <v>3</v>
      </c>
      <c r="E27" s="10">
        <f t="shared" si="3"/>
        <v>3.0630136986301371</v>
      </c>
      <c r="F27" s="10">
        <f t="shared" si="4"/>
        <v>2.538510891221355</v>
      </c>
      <c r="G27" s="15">
        <f t="shared" si="5"/>
        <v>2.4176296518152517E-2</v>
      </c>
      <c r="H27" s="10">
        <f t="shared" si="6"/>
        <v>9.3820529179958729</v>
      </c>
    </row>
    <row r="28" spans="1:8" x14ac:dyDescent="0.2">
      <c r="A28" s="11">
        <v>45667</v>
      </c>
      <c r="C28" s="7">
        <f>B$4*YEARFRAC(A27,A28,B$7)*(B$10-SUM(B$15:B27))</f>
        <v>3</v>
      </c>
      <c r="D28" s="15">
        <f t="shared" si="2"/>
        <v>3</v>
      </c>
      <c r="E28" s="10">
        <f t="shared" si="3"/>
        <v>3.5671232876712327</v>
      </c>
      <c r="F28" s="10">
        <f t="shared" si="4"/>
        <v>2.4696764496846266</v>
      </c>
      <c r="G28" s="15">
        <f t="shared" si="5"/>
        <v>2.352073034547689E-2</v>
      </c>
      <c r="H28" s="10">
        <f t="shared" si="6"/>
        <v>12.724368549446424</v>
      </c>
    </row>
    <row r="29" spans="1:8" x14ac:dyDescent="0.2">
      <c r="A29" s="11">
        <v>45848</v>
      </c>
      <c r="C29" s="7">
        <f>B$4*YEARFRAC(A28,A29,B$7)*(B$10-SUM(B$15:B28))</f>
        <v>3</v>
      </c>
      <c r="D29" s="15">
        <f t="shared" si="2"/>
        <v>3</v>
      </c>
      <c r="E29" s="10">
        <f t="shared" si="3"/>
        <v>4.0630136986301366</v>
      </c>
      <c r="F29" s="10">
        <f t="shared" si="4"/>
        <v>2.4037856981890111</v>
      </c>
      <c r="G29" s="15">
        <f t="shared" si="5"/>
        <v>2.2893199318735673E-2</v>
      </c>
      <c r="H29" s="10">
        <f t="shared" si="6"/>
        <v>16.508080315256144</v>
      </c>
    </row>
    <row r="30" spans="1:8" x14ac:dyDescent="0.2">
      <c r="A30" s="11">
        <v>46032</v>
      </c>
      <c r="C30" s="7">
        <f>B$4*YEARFRAC(A29,A30,B$7)*(B$10-SUM(B$15:B29))</f>
        <v>3</v>
      </c>
      <c r="D30" s="15">
        <f t="shared" si="2"/>
        <v>3</v>
      </c>
      <c r="E30" s="10">
        <f t="shared" si="3"/>
        <v>4.5671232876712331</v>
      </c>
      <c r="F30" s="10">
        <f t="shared" si="4"/>
        <v>2.3386044745507681</v>
      </c>
      <c r="G30" s="15">
        <f t="shared" si="5"/>
        <v>2.2272425700807254E-2</v>
      </c>
      <c r="H30" s="10">
        <f t="shared" si="6"/>
        <v>20.858615124788894</v>
      </c>
    </row>
    <row r="31" spans="1:8" x14ac:dyDescent="0.2">
      <c r="A31" s="11">
        <v>46213</v>
      </c>
      <c r="C31" s="7">
        <f>B$4*YEARFRAC(A30,A31,B$7)*(B$10-SUM(B$15:B30))</f>
        <v>3</v>
      </c>
      <c r="D31" s="15">
        <f t="shared" si="2"/>
        <v>3</v>
      </c>
      <c r="E31" s="10">
        <f t="shared" si="3"/>
        <v>5.0630136986301366</v>
      </c>
      <c r="F31" s="10">
        <f t="shared" si="4"/>
        <v>2.2762107118784005</v>
      </c>
      <c r="G31" s="15">
        <f t="shared" si="5"/>
        <v>2.1678199332716062E-2</v>
      </c>
      <c r="H31" s="10">
        <f t="shared" si="6"/>
        <v>25.634107712516418</v>
      </c>
    </row>
    <row r="32" spans="1:8" x14ac:dyDescent="0.2">
      <c r="A32" s="11">
        <v>46397</v>
      </c>
      <c r="B32" s="10">
        <f>B$10/$B$8</f>
        <v>50</v>
      </c>
      <c r="C32" s="7">
        <f>B$4*YEARFRAC(A31,A32,B$7)*(B$10-SUM(B$15:B31))</f>
        <v>3</v>
      </c>
      <c r="D32" s="15">
        <f t="shared" si="2"/>
        <v>53</v>
      </c>
      <c r="E32" s="10">
        <f t="shared" si="3"/>
        <v>5.5671232876712331</v>
      </c>
      <c r="F32" s="10">
        <f t="shared" si="4"/>
        <v>39.122635831051888</v>
      </c>
      <c r="G32" s="15">
        <f t="shared" si="5"/>
        <v>0.37259656741836389</v>
      </c>
      <c r="H32" s="10">
        <f t="shared" si="6"/>
        <v>30.99286170013136</v>
      </c>
    </row>
    <row r="33" spans="1:8" x14ac:dyDescent="0.2">
      <c r="A33" s="11">
        <v>46578</v>
      </c>
      <c r="C33" s="7">
        <f>B$4*YEARFRAC(A32,A33,B$7)*(B$10-SUM(B$15:B32))</f>
        <v>1.5</v>
      </c>
      <c r="D33" s="15">
        <f t="shared" si="2"/>
        <v>1.5</v>
      </c>
      <c r="E33" s="10">
        <f t="shared" si="3"/>
        <v>6.0630136986301366</v>
      </c>
      <c r="F33" s="10">
        <f t="shared" si="4"/>
        <v>1.0777032263677644</v>
      </c>
      <c r="G33" s="15">
        <f t="shared" si="5"/>
        <v>1.0263841234378523E-2</v>
      </c>
      <c r="H33" s="10">
        <f t="shared" si="6"/>
        <v>36.760135109776691</v>
      </c>
    </row>
    <row r="34" spans="1:8" x14ac:dyDescent="0.2">
      <c r="A34" s="11">
        <v>46762</v>
      </c>
      <c r="B34" s="10">
        <f>B$10/$B$8</f>
        <v>50</v>
      </c>
      <c r="C34" s="7">
        <f>B$4*YEARFRAC(A33,A34,B$7)*(B$10-SUM(B$15:B33))</f>
        <v>1.5</v>
      </c>
      <c r="D34" s="15">
        <f t="shared" si="2"/>
        <v>51.5</v>
      </c>
      <c r="E34" s="10">
        <f t="shared" si="3"/>
        <v>6.5671232876712331</v>
      </c>
      <c r="F34" s="10">
        <f t="shared" si="4"/>
        <v>35.997818455001301</v>
      </c>
      <c r="G34" s="15">
        <f t="shared" si="5"/>
        <v>0.34283639908119889</v>
      </c>
      <c r="H34" s="10">
        <f t="shared" si="6"/>
        <v>43.127108275473823</v>
      </c>
    </row>
    <row r="35" spans="1:8" x14ac:dyDescent="0.2">
      <c r="A35" s="1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D28" sqref="D28"/>
    </sheetView>
  </sheetViews>
  <sheetFormatPr baseColWidth="10" defaultRowHeight="16" x14ac:dyDescent="0.2"/>
  <cols>
    <col min="2" max="2" width="13" bestFit="1" customWidth="1"/>
  </cols>
  <sheetData>
    <row r="1" spans="1:3" x14ac:dyDescent="0.2">
      <c r="A1" t="s">
        <v>0</v>
      </c>
    </row>
    <row r="2" spans="1:3" x14ac:dyDescent="0.2">
      <c r="A2" t="s">
        <v>1</v>
      </c>
      <c r="B2">
        <f>40+60</f>
        <v>100</v>
      </c>
    </row>
    <row r="4" spans="1:3" x14ac:dyDescent="0.2">
      <c r="B4" t="s">
        <v>4</v>
      </c>
      <c r="C4" t="s">
        <v>5</v>
      </c>
    </row>
    <row r="5" spans="1:3" x14ac:dyDescent="0.2">
      <c r="A5" t="s">
        <v>2</v>
      </c>
      <c r="B5">
        <f>60/B2</f>
        <v>0.6</v>
      </c>
      <c r="C5">
        <v>1</v>
      </c>
    </row>
    <row r="6" spans="1:3" x14ac:dyDescent="0.2">
      <c r="A6" t="s">
        <v>3</v>
      </c>
      <c r="B6">
        <f>40/B2</f>
        <v>0.4</v>
      </c>
      <c r="C6">
        <v>2</v>
      </c>
    </row>
    <row r="8" spans="1:3" x14ac:dyDescent="0.2">
      <c r="B8" s="1" t="s">
        <v>6</v>
      </c>
      <c r="C8" s="18">
        <f>SUMPRODUCT(B5:B6,C5:C6)</f>
        <v>1.4</v>
      </c>
    </row>
    <row r="11" spans="1:3" x14ac:dyDescent="0.2">
      <c r="A11" t="s">
        <v>7</v>
      </c>
    </row>
    <row r="12" spans="1:3" x14ac:dyDescent="0.2">
      <c r="A12" t="s">
        <v>1</v>
      </c>
      <c r="B12" s="2">
        <f>30*95%+30*75%</f>
        <v>51</v>
      </c>
    </row>
    <row r="14" spans="1:3" x14ac:dyDescent="0.2">
      <c r="B14" t="s">
        <v>4</v>
      </c>
      <c r="C14" t="s">
        <v>5</v>
      </c>
    </row>
    <row r="15" spans="1:3" x14ac:dyDescent="0.2">
      <c r="A15" t="s">
        <v>2</v>
      </c>
      <c r="B15" s="3">
        <f>30*99%/B12</f>
        <v>0.58235294117647063</v>
      </c>
      <c r="C15">
        <v>1</v>
      </c>
    </row>
    <row r="16" spans="1:3" x14ac:dyDescent="0.2">
      <c r="A16" t="s">
        <v>3</v>
      </c>
      <c r="B16" s="3">
        <f>30*75%/B12</f>
        <v>0.44117647058823528</v>
      </c>
      <c r="C16">
        <v>2</v>
      </c>
    </row>
    <row r="18" spans="1:3" x14ac:dyDescent="0.2">
      <c r="B18" s="1" t="s">
        <v>6</v>
      </c>
      <c r="C18" s="18">
        <f>SUMPRODUCT(B15:B16,C15:C16)</f>
        <v>1.4647058823529413</v>
      </c>
    </row>
    <row r="21" spans="1:3" x14ac:dyDescent="0.2">
      <c r="A21" t="s">
        <v>15</v>
      </c>
    </row>
    <row r="22" spans="1:3" x14ac:dyDescent="0.2">
      <c r="A22" t="s">
        <v>1</v>
      </c>
      <c r="B22" s="2">
        <f>30*95%+30*75%+50</f>
        <v>101</v>
      </c>
    </row>
    <row r="24" spans="1:3" x14ac:dyDescent="0.2">
      <c r="B24" t="s">
        <v>4</v>
      </c>
      <c r="C24" t="s">
        <v>5</v>
      </c>
    </row>
    <row r="25" spans="1:3" x14ac:dyDescent="0.2">
      <c r="A25" t="s">
        <v>2</v>
      </c>
      <c r="B25" s="3">
        <f>30*99%/B22</f>
        <v>0.29405940594059404</v>
      </c>
      <c r="C25">
        <v>1</v>
      </c>
    </row>
    <row r="26" spans="1:3" x14ac:dyDescent="0.2">
      <c r="A26" t="s">
        <v>3</v>
      </c>
      <c r="B26" s="3">
        <f>30*75%/B22</f>
        <v>0.22277227722772278</v>
      </c>
      <c r="C26">
        <v>2</v>
      </c>
    </row>
    <row r="27" spans="1:3" x14ac:dyDescent="0.2">
      <c r="A27" t="s">
        <v>37</v>
      </c>
      <c r="B27" s="3">
        <f>50/B22</f>
        <v>0.49504950495049505</v>
      </c>
      <c r="C27">
        <v>4.7</v>
      </c>
    </row>
    <row r="28" spans="1:3" x14ac:dyDescent="0.2">
      <c r="B28" s="1" t="s">
        <v>6</v>
      </c>
      <c r="C28" s="4">
        <f>SUMPRODUCT(B25:B27,C25:C27)</f>
        <v>3.066336633663366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baseColWidth="10" defaultRowHeight="16" x14ac:dyDescent="0.2"/>
  <sheetData>
    <row r="1" spans="1:2" x14ac:dyDescent="0.2">
      <c r="A1">
        <v>1</v>
      </c>
    </row>
    <row r="2" spans="1:2" x14ac:dyDescent="0.2">
      <c r="A2" t="s">
        <v>32</v>
      </c>
      <c r="B2">
        <v>20</v>
      </c>
    </row>
    <row r="3" spans="1:2" x14ac:dyDescent="0.2">
      <c r="A3" t="s">
        <v>33</v>
      </c>
      <c r="B3">
        <f>20^2</f>
        <v>400</v>
      </c>
    </row>
    <row r="4" spans="1:2" x14ac:dyDescent="0.2">
      <c r="A4" t="s">
        <v>34</v>
      </c>
      <c r="B4" s="16">
        <v>-2.5000000000000001E-2</v>
      </c>
    </row>
    <row r="6" spans="1:2" x14ac:dyDescent="0.2">
      <c r="A6" t="s">
        <v>35</v>
      </c>
      <c r="B6" s="17">
        <f>B4*(-B2)+1/2*B3*(B4)^2</f>
        <v>0.625</v>
      </c>
    </row>
    <row r="8" spans="1:2" x14ac:dyDescent="0.2">
      <c r="A8" t="s">
        <v>36</v>
      </c>
      <c r="B8">
        <f>36.76*(1+B6)</f>
        <v>59.734999999999999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YTM</vt:lpstr>
      <vt:lpstr>2. Estructuras de bonos</vt:lpstr>
      <vt:lpstr>3. Duracion portafolio</vt:lpstr>
      <vt:lpstr>4. Sensibilidad precio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2021-06-12T20:53:14Z</dcterms:created>
  <dcterms:modified xsi:type="dcterms:W3CDTF">2022-07-25T21:27:42Z</dcterms:modified>
</cp:coreProperties>
</file>