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olinagialdi/Documents/"/>
    </mc:Choice>
  </mc:AlternateContent>
  <bookViews>
    <workbookView xWindow="0" yWindow="460" windowWidth="28800" windowHeight="15840" tabRatio="500"/>
  </bookViews>
  <sheets>
    <sheet name="Bono 2029 USD" sheetId="1" r:id="rId1"/>
    <sheet name="Bono 2030 USD" sheetId="3" r:id="rId2"/>
    <sheet name="Bono 2038 USD" sheetId="7" r:id="rId3"/>
    <sheet name="Valor canje" sheetId="14" r:id="rId4"/>
    <sheet name="Valor equilibrio bono 2029" sheetId="43" r:id="rId5"/>
    <sheet name="Bono 2029 USD HOY" sheetId="45" r:id="rId6"/>
    <sheet name="Bono 2030 USD HOY" sheetId="46" r:id="rId7"/>
    <sheet name="Bono 2038 USD HOY" sheetId="47" r:id="rId8"/>
    <sheet name="Convexidad" sheetId="44" r:id="rId9"/>
    <sheet name="Sensibilidad" sheetId="48" r:id="rId10"/>
  </sheets>
  <definedNames>
    <definedName name="solver_adj" localSheetId="5" hidden="1">'Bono 2029 USD HOY'!$B$13</definedName>
    <definedName name="solver_adj" localSheetId="6" hidden="1">'Bono 2030 USD HOY'!$B$17</definedName>
    <definedName name="solver_adj" localSheetId="7" hidden="1">'Bono 2038 USD HOY'!$B$19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in" localSheetId="5" hidden="1">2</definedName>
    <definedName name="solver_lin" localSheetId="7" hidden="1">2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5" hidden="1">'Bono 2029 USD HOY'!$B$12</definedName>
    <definedName name="solver_opt" localSheetId="6" hidden="1">'Bono 2030 USD HOY'!$B$16</definedName>
    <definedName name="solver_opt" localSheetId="7" hidden="1">'Bono 2038 USD HOY'!$B$18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5" hidden="1">18.25</definedName>
    <definedName name="solver_val" localSheetId="6" hidden="1">18.75</definedName>
    <definedName name="solver_val" localSheetId="7" hidden="1">23</definedName>
    <definedName name="solver_ver" localSheetId="5" hidden="1">2</definedName>
    <definedName name="solver_ver" localSheetId="6" hidden="1">3</definedName>
    <definedName name="solver_ver" localSheetId="7" hidden="1">2</definedName>
  </definedName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45" l="1"/>
  <c r="F25" i="45"/>
  <c r="F26" i="45"/>
  <c r="F27" i="45"/>
  <c r="F28" i="45"/>
  <c r="F29" i="45"/>
  <c r="F30" i="45"/>
  <c r="F31" i="45"/>
  <c r="F32" i="45"/>
  <c r="F33" i="45"/>
  <c r="F34" i="45"/>
  <c r="F35" i="45"/>
  <c r="F36" i="45"/>
  <c r="F37" i="45"/>
  <c r="F38" i="45"/>
  <c r="F39" i="45"/>
  <c r="F40" i="45"/>
  <c r="B12" i="45"/>
  <c r="G24" i="45"/>
  <c r="H24" i="45"/>
  <c r="G25" i="45"/>
  <c r="H25" i="45"/>
  <c r="G26" i="45"/>
  <c r="H26" i="45"/>
  <c r="G27" i="45"/>
  <c r="H27" i="45"/>
  <c r="G28" i="45"/>
  <c r="H28" i="45"/>
  <c r="G29" i="45"/>
  <c r="H29" i="45"/>
  <c r="G30" i="45"/>
  <c r="H30" i="45"/>
  <c r="G31" i="45"/>
  <c r="H31" i="45"/>
  <c r="G32" i="45"/>
  <c r="H32" i="45"/>
  <c r="G33" i="45"/>
  <c r="H33" i="45"/>
  <c r="G34" i="45"/>
  <c r="H34" i="45"/>
  <c r="G35" i="45"/>
  <c r="H35" i="45"/>
  <c r="G36" i="45"/>
  <c r="H36" i="45"/>
  <c r="G37" i="45"/>
  <c r="H37" i="45"/>
  <c r="G38" i="45"/>
  <c r="H38" i="45"/>
  <c r="G39" i="45"/>
  <c r="H39" i="45"/>
  <c r="G40" i="45"/>
  <c r="H40" i="45"/>
  <c r="B14" i="45"/>
  <c r="B19" i="7"/>
  <c r="B18" i="46"/>
  <c r="F24" i="47"/>
  <c r="F25" i="47"/>
  <c r="F26" i="47"/>
  <c r="B23" i="47"/>
  <c r="B24" i="47"/>
  <c r="B25" i="47"/>
  <c r="B26" i="47"/>
  <c r="C27" i="47"/>
  <c r="B27" i="47"/>
  <c r="D27" i="47"/>
  <c r="F27" i="47"/>
  <c r="C28" i="47"/>
  <c r="B28" i="47"/>
  <c r="D28" i="47"/>
  <c r="F28" i="47"/>
  <c r="C29" i="47"/>
  <c r="B29" i="47"/>
  <c r="D29" i="47"/>
  <c r="F29" i="47"/>
  <c r="C30" i="47"/>
  <c r="B30" i="47"/>
  <c r="D30" i="47"/>
  <c r="F30" i="47"/>
  <c r="C31" i="47"/>
  <c r="B31" i="47"/>
  <c r="D31" i="47"/>
  <c r="F31" i="47"/>
  <c r="C32" i="47"/>
  <c r="B32" i="47"/>
  <c r="D32" i="47"/>
  <c r="F32" i="47"/>
  <c r="C33" i="47"/>
  <c r="B33" i="47"/>
  <c r="D33" i="47"/>
  <c r="F33" i="47"/>
  <c r="C34" i="47"/>
  <c r="B34" i="47"/>
  <c r="D34" i="47"/>
  <c r="F34" i="47"/>
  <c r="C35" i="47"/>
  <c r="B35" i="47"/>
  <c r="D35" i="47"/>
  <c r="F35" i="47"/>
  <c r="C36" i="47"/>
  <c r="B36" i="47"/>
  <c r="D36" i="47"/>
  <c r="F36" i="47"/>
  <c r="C37" i="47"/>
  <c r="B37" i="47"/>
  <c r="D37" i="47"/>
  <c r="F37" i="47"/>
  <c r="C38" i="47"/>
  <c r="B38" i="47"/>
  <c r="D38" i="47"/>
  <c r="F38" i="47"/>
  <c r="C39" i="47"/>
  <c r="B39" i="47"/>
  <c r="D39" i="47"/>
  <c r="F39" i="47"/>
  <c r="C40" i="47"/>
  <c r="B40" i="47"/>
  <c r="D40" i="47"/>
  <c r="F40" i="47"/>
  <c r="C41" i="47"/>
  <c r="B41" i="47"/>
  <c r="D41" i="47"/>
  <c r="F41" i="47"/>
  <c r="C42" i="47"/>
  <c r="B42" i="47"/>
  <c r="D42" i="47"/>
  <c r="F42" i="47"/>
  <c r="C43" i="47"/>
  <c r="B43" i="47"/>
  <c r="D43" i="47"/>
  <c r="F43" i="47"/>
  <c r="C44" i="47"/>
  <c r="B44" i="47"/>
  <c r="D44" i="47"/>
  <c r="F44" i="47"/>
  <c r="C45" i="47"/>
  <c r="B45" i="47"/>
  <c r="D45" i="47"/>
  <c r="F45" i="47"/>
  <c r="C46" i="47"/>
  <c r="B46" i="47"/>
  <c r="D46" i="47"/>
  <c r="F46" i="47"/>
  <c r="C47" i="47"/>
  <c r="B47" i="47"/>
  <c r="D47" i="47"/>
  <c r="F47" i="47"/>
  <c r="C48" i="47"/>
  <c r="B48" i="47"/>
  <c r="D48" i="47"/>
  <c r="F48" i="47"/>
  <c r="C49" i="47"/>
  <c r="B49" i="47"/>
  <c r="D49" i="47"/>
  <c r="F49" i="47"/>
  <c r="C50" i="47"/>
  <c r="B50" i="47"/>
  <c r="D50" i="47"/>
  <c r="F50" i="47"/>
  <c r="C51" i="47"/>
  <c r="B51" i="47"/>
  <c r="D51" i="47"/>
  <c r="F51" i="47"/>
  <c r="C52" i="47"/>
  <c r="B52" i="47"/>
  <c r="D52" i="47"/>
  <c r="F52" i="47"/>
  <c r="C53" i="47"/>
  <c r="B53" i="47"/>
  <c r="D53" i="47"/>
  <c r="F53" i="47"/>
  <c r="C54" i="47"/>
  <c r="B54" i="47"/>
  <c r="D54" i="47"/>
  <c r="F54" i="47"/>
  <c r="C55" i="47"/>
  <c r="B55" i="47"/>
  <c r="D55" i="47"/>
  <c r="F55" i="47"/>
  <c r="C56" i="47"/>
  <c r="B56" i="47"/>
  <c r="D56" i="47"/>
  <c r="F56" i="47"/>
  <c r="C57" i="47"/>
  <c r="B57" i="47"/>
  <c r="D57" i="47"/>
  <c r="F57" i="47"/>
  <c r="B18" i="47"/>
  <c r="F22" i="47"/>
  <c r="G22" i="47"/>
  <c r="H22" i="47"/>
  <c r="F23" i="47"/>
  <c r="G23" i="47"/>
  <c r="H23" i="47"/>
  <c r="G24" i="47"/>
  <c r="H24" i="47"/>
  <c r="G25" i="47"/>
  <c r="H25" i="47"/>
  <c r="G26" i="47"/>
  <c r="H26" i="47"/>
  <c r="G27" i="47"/>
  <c r="H27" i="47"/>
  <c r="G28" i="47"/>
  <c r="H28" i="47"/>
  <c r="G29" i="47"/>
  <c r="H29" i="47"/>
  <c r="G30" i="47"/>
  <c r="H30" i="47"/>
  <c r="G31" i="47"/>
  <c r="H31" i="47"/>
  <c r="G32" i="47"/>
  <c r="H32" i="47"/>
  <c r="G33" i="47"/>
  <c r="H33" i="47"/>
  <c r="G34" i="47"/>
  <c r="H34" i="47"/>
  <c r="G35" i="47"/>
  <c r="H35" i="47"/>
  <c r="G36" i="47"/>
  <c r="H36" i="47"/>
  <c r="G37" i="47"/>
  <c r="H37" i="47"/>
  <c r="G38" i="47"/>
  <c r="H38" i="47"/>
  <c r="G39" i="47"/>
  <c r="H39" i="47"/>
  <c r="G40" i="47"/>
  <c r="H40" i="47"/>
  <c r="G41" i="47"/>
  <c r="H41" i="47"/>
  <c r="G42" i="47"/>
  <c r="H42" i="47"/>
  <c r="G43" i="47"/>
  <c r="H43" i="47"/>
  <c r="G44" i="47"/>
  <c r="H44" i="47"/>
  <c r="G45" i="47"/>
  <c r="H45" i="47"/>
  <c r="G46" i="47"/>
  <c r="H46" i="47"/>
  <c r="G47" i="47"/>
  <c r="H47" i="47"/>
  <c r="G48" i="47"/>
  <c r="H48" i="47"/>
  <c r="G49" i="47"/>
  <c r="H49" i="47"/>
  <c r="G50" i="47"/>
  <c r="H50" i="47"/>
  <c r="G51" i="47"/>
  <c r="H51" i="47"/>
  <c r="G52" i="47"/>
  <c r="H52" i="47"/>
  <c r="G53" i="47"/>
  <c r="H53" i="47"/>
  <c r="G54" i="47"/>
  <c r="H54" i="47"/>
  <c r="G55" i="47"/>
  <c r="H55" i="47"/>
  <c r="G56" i="47"/>
  <c r="H56" i="47"/>
  <c r="G57" i="47"/>
  <c r="H57" i="47"/>
  <c r="B20" i="47"/>
  <c r="I22" i="47"/>
  <c r="I23" i="47"/>
  <c r="I24" i="47"/>
  <c r="I25" i="47"/>
  <c r="I26" i="47"/>
  <c r="I27" i="47"/>
  <c r="I28" i="47"/>
  <c r="I29" i="47"/>
  <c r="I30" i="47"/>
  <c r="I31" i="47"/>
  <c r="I32" i="47"/>
  <c r="I33" i="47"/>
  <c r="I34" i="47"/>
  <c r="I35" i="47"/>
  <c r="I36" i="47"/>
  <c r="I37" i="47"/>
  <c r="I38" i="47"/>
  <c r="I39" i="47"/>
  <c r="I40" i="47"/>
  <c r="I41" i="47"/>
  <c r="I42" i="47"/>
  <c r="I43" i="47"/>
  <c r="I44" i="47"/>
  <c r="I45" i="47"/>
  <c r="I46" i="47"/>
  <c r="I47" i="47"/>
  <c r="I48" i="47"/>
  <c r="I49" i="47"/>
  <c r="I50" i="47"/>
  <c r="I51" i="47"/>
  <c r="I52" i="47"/>
  <c r="I53" i="47"/>
  <c r="I54" i="47"/>
  <c r="I55" i="47"/>
  <c r="I56" i="47"/>
  <c r="I57" i="47"/>
  <c r="B3" i="44"/>
  <c r="C4" i="48"/>
  <c r="C3" i="48"/>
  <c r="I24" i="45"/>
  <c r="I25" i="45"/>
  <c r="I26" i="45"/>
  <c r="I27" i="45"/>
  <c r="I28" i="45"/>
  <c r="I29" i="45"/>
  <c r="I30" i="45"/>
  <c r="I31" i="45"/>
  <c r="I32" i="45"/>
  <c r="I33" i="45"/>
  <c r="I34" i="45"/>
  <c r="I35" i="45"/>
  <c r="I36" i="45"/>
  <c r="I37" i="45"/>
  <c r="I38" i="45"/>
  <c r="I39" i="45"/>
  <c r="I40" i="45"/>
  <c r="B1" i="44"/>
  <c r="C2" i="48"/>
  <c r="C5" i="48"/>
  <c r="B4" i="48"/>
  <c r="B3" i="48"/>
  <c r="B2" i="48"/>
  <c r="B5" i="48"/>
  <c r="D5" i="44"/>
  <c r="D8" i="44"/>
  <c r="D7" i="44"/>
  <c r="D6" i="44"/>
  <c r="C8" i="44"/>
  <c r="C7" i="44"/>
  <c r="C6" i="44"/>
  <c r="E6" i="44"/>
  <c r="B2" i="44"/>
  <c r="E43" i="47"/>
  <c r="E42" i="47"/>
  <c r="E41" i="47"/>
  <c r="E40" i="47"/>
  <c r="E39" i="47"/>
  <c r="E38" i="47"/>
  <c r="E37" i="47"/>
  <c r="E36" i="47"/>
  <c r="E35" i="47"/>
  <c r="E34" i="47"/>
  <c r="E33" i="47"/>
  <c r="E32" i="47"/>
  <c r="E31" i="47"/>
  <c r="E30" i="47"/>
  <c r="E29" i="47"/>
  <c r="E28" i="47"/>
  <c r="E27" i="47"/>
  <c r="E26" i="47"/>
  <c r="E25" i="47"/>
  <c r="E24" i="47"/>
  <c r="C24" i="47"/>
  <c r="B15" i="47"/>
  <c r="F22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C42" i="46"/>
  <c r="D42" i="46"/>
  <c r="B14" i="46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C24" i="45"/>
  <c r="B24" i="45"/>
  <c r="B10" i="45"/>
  <c r="B9" i="43"/>
  <c r="B10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4" i="43"/>
  <c r="A5" i="43"/>
  <c r="A6" i="43"/>
  <c r="A7" i="43"/>
  <c r="A3" i="43"/>
  <c r="B23" i="7"/>
  <c r="B24" i="7"/>
  <c r="B25" i="7"/>
  <c r="C26" i="7"/>
  <c r="C24" i="7"/>
  <c r="C7" i="14"/>
  <c r="C4" i="14"/>
  <c r="B26" i="7"/>
  <c r="B27" i="7"/>
  <c r="B28" i="7"/>
  <c r="B29" i="7"/>
  <c r="B30" i="7"/>
  <c r="B31" i="7"/>
  <c r="B32" i="7"/>
  <c r="B33" i="7"/>
  <c r="B34" i="7"/>
  <c r="B35" i="7"/>
  <c r="C36" i="7"/>
  <c r="B36" i="7"/>
  <c r="B37" i="7"/>
  <c r="B38" i="7"/>
  <c r="B39" i="7"/>
  <c r="B40" i="7"/>
  <c r="B41" i="7"/>
  <c r="C42" i="7"/>
  <c r="B42" i="7"/>
  <c r="B43" i="7"/>
  <c r="B44" i="7"/>
  <c r="B45" i="7"/>
  <c r="B46" i="7"/>
  <c r="B47" i="7"/>
  <c r="B48" i="7"/>
  <c r="B49" i="7"/>
  <c r="C50" i="7"/>
  <c r="B23" i="3"/>
  <c r="B24" i="3"/>
  <c r="C25" i="3"/>
  <c r="D25" i="3"/>
  <c r="B25" i="3"/>
  <c r="B26" i="3"/>
  <c r="B27" i="3"/>
  <c r="B28" i="3"/>
  <c r="B29" i="3"/>
  <c r="B31" i="3"/>
  <c r="B32" i="3"/>
  <c r="B33" i="3"/>
  <c r="B34" i="3"/>
  <c r="B35" i="3"/>
  <c r="B36" i="3"/>
  <c r="B37" i="3"/>
  <c r="B38" i="3"/>
  <c r="B39" i="3"/>
  <c r="B40" i="3"/>
  <c r="B41" i="3"/>
  <c r="B42" i="3"/>
  <c r="E28" i="3"/>
  <c r="E31" i="3"/>
  <c r="E36" i="3"/>
  <c r="E39" i="3"/>
  <c r="B30" i="3"/>
  <c r="C27" i="3"/>
  <c r="C24" i="3"/>
  <c r="C6" i="14"/>
  <c r="B53" i="7"/>
  <c r="B54" i="7"/>
  <c r="B55" i="7"/>
  <c r="B56" i="7"/>
  <c r="B57" i="7"/>
  <c r="B4" i="7"/>
  <c r="E54" i="7"/>
  <c r="B50" i="7"/>
  <c r="B51" i="7"/>
  <c r="B52" i="7"/>
  <c r="E28" i="7"/>
  <c r="B15" i="7"/>
  <c r="B35" i="1"/>
  <c r="B36" i="1"/>
  <c r="B37" i="1"/>
  <c r="B38" i="1"/>
  <c r="B39" i="1"/>
  <c r="B40" i="1"/>
  <c r="B25" i="1"/>
  <c r="B26" i="1"/>
  <c r="B27" i="1"/>
  <c r="B28" i="1"/>
  <c r="B29" i="1"/>
  <c r="B30" i="1"/>
  <c r="B31" i="1"/>
  <c r="B32" i="1"/>
  <c r="B33" i="1"/>
  <c r="B34" i="1"/>
  <c r="B24" i="1"/>
  <c r="C26" i="1"/>
  <c r="B4" i="3"/>
  <c r="E26" i="3"/>
  <c r="B14" i="3"/>
  <c r="C24" i="1"/>
  <c r="B4" i="1"/>
  <c r="E30" i="1"/>
  <c r="B10" i="1"/>
  <c r="E7" i="44"/>
  <c r="E8" i="44"/>
  <c r="F8" i="44"/>
  <c r="D24" i="47"/>
  <c r="D24" i="45"/>
  <c r="C29" i="3"/>
  <c r="D29" i="3"/>
  <c r="E41" i="3"/>
  <c r="E33" i="3"/>
  <c r="E25" i="3"/>
  <c r="F25" i="3"/>
  <c r="C28" i="3"/>
  <c r="E40" i="3"/>
  <c r="E32" i="3"/>
  <c r="C26" i="3"/>
  <c r="E38" i="3"/>
  <c r="E30" i="3"/>
  <c r="E37" i="3"/>
  <c r="E29" i="3"/>
  <c r="E24" i="3"/>
  <c r="E35" i="3"/>
  <c r="E27" i="3"/>
  <c r="D24" i="3"/>
  <c r="E42" i="3"/>
  <c r="E34" i="3"/>
  <c r="C57" i="7"/>
  <c r="C49" i="7"/>
  <c r="C41" i="7"/>
  <c r="C51" i="7"/>
  <c r="C43" i="7"/>
  <c r="E26" i="7"/>
  <c r="C56" i="7"/>
  <c r="D56" i="7"/>
  <c r="F56" i="7"/>
  <c r="C48" i="7"/>
  <c r="C40" i="7"/>
  <c r="E46" i="7"/>
  <c r="C55" i="7"/>
  <c r="C47" i="7"/>
  <c r="C39" i="7"/>
  <c r="D39" i="7"/>
  <c r="E44" i="7"/>
  <c r="C54" i="7"/>
  <c r="D54" i="7"/>
  <c r="F54" i="7"/>
  <c r="C46" i="7"/>
  <c r="C38" i="7"/>
  <c r="E42" i="7"/>
  <c r="C53" i="7"/>
  <c r="C45" i="7"/>
  <c r="C37" i="7"/>
  <c r="D37" i="7"/>
  <c r="E30" i="7"/>
  <c r="C52" i="7"/>
  <c r="D52" i="7"/>
  <c r="C44" i="7"/>
  <c r="E37" i="1"/>
  <c r="E36" i="1"/>
  <c r="E29" i="1"/>
  <c r="E28" i="1"/>
  <c r="E27" i="1"/>
  <c r="E35" i="1"/>
  <c r="E34" i="1"/>
  <c r="E26" i="1"/>
  <c r="E24" i="1"/>
  <c r="E33" i="1"/>
  <c r="E25" i="1"/>
  <c r="C25" i="1"/>
  <c r="D25" i="1"/>
  <c r="D3" i="43"/>
  <c r="E40" i="1"/>
  <c r="E32" i="1"/>
  <c r="E39" i="1"/>
  <c r="E31" i="1"/>
  <c r="C31" i="1"/>
  <c r="E38" i="1"/>
  <c r="C25" i="47"/>
  <c r="D25" i="47"/>
  <c r="C26" i="47"/>
  <c r="D26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38" i="46"/>
  <c r="E25" i="46"/>
  <c r="E27" i="46"/>
  <c r="E28" i="46"/>
  <c r="E30" i="46"/>
  <c r="E32" i="46"/>
  <c r="E33" i="46"/>
  <c r="E35" i="46"/>
  <c r="E36" i="46"/>
  <c r="E40" i="46"/>
  <c r="C24" i="46"/>
  <c r="D24" i="46"/>
  <c r="C25" i="46"/>
  <c r="D25" i="46"/>
  <c r="F25" i="46"/>
  <c r="C26" i="46"/>
  <c r="D26" i="46"/>
  <c r="F26" i="46"/>
  <c r="C27" i="46"/>
  <c r="D27" i="46"/>
  <c r="C28" i="46"/>
  <c r="D28" i="46"/>
  <c r="C29" i="46"/>
  <c r="D29" i="46"/>
  <c r="C30" i="46"/>
  <c r="D30" i="46"/>
  <c r="C31" i="46"/>
  <c r="D31" i="46"/>
  <c r="C32" i="46"/>
  <c r="D32" i="46"/>
  <c r="C33" i="46"/>
  <c r="D33" i="46"/>
  <c r="C34" i="46"/>
  <c r="D34" i="46"/>
  <c r="C35" i="46"/>
  <c r="D35" i="46"/>
  <c r="C36" i="46"/>
  <c r="D36" i="46"/>
  <c r="C37" i="46"/>
  <c r="D37" i="46"/>
  <c r="C38" i="46"/>
  <c r="D38" i="46"/>
  <c r="C39" i="46"/>
  <c r="D39" i="46"/>
  <c r="C40" i="46"/>
  <c r="D40" i="46"/>
  <c r="C41" i="46"/>
  <c r="D41" i="46"/>
  <c r="E24" i="46"/>
  <c r="F24" i="46"/>
  <c r="E42" i="46"/>
  <c r="F42" i="46"/>
  <c r="F23" i="46"/>
  <c r="E39" i="46"/>
  <c r="E37" i="46"/>
  <c r="F37" i="46"/>
  <c r="E26" i="46"/>
  <c r="E29" i="46"/>
  <c r="F29" i="46"/>
  <c r="E31" i="46"/>
  <c r="E34" i="46"/>
  <c r="E41" i="46"/>
  <c r="C25" i="45"/>
  <c r="D25" i="45"/>
  <c r="C26" i="45"/>
  <c r="D26" i="45"/>
  <c r="C27" i="45"/>
  <c r="D27" i="45"/>
  <c r="C28" i="45"/>
  <c r="D28" i="45"/>
  <c r="C29" i="45"/>
  <c r="D29" i="45"/>
  <c r="C30" i="45"/>
  <c r="D30" i="45"/>
  <c r="C31" i="45"/>
  <c r="D31" i="45"/>
  <c r="C32" i="45"/>
  <c r="D32" i="45"/>
  <c r="C33" i="45"/>
  <c r="D33" i="45"/>
  <c r="C34" i="45"/>
  <c r="D34" i="45"/>
  <c r="C35" i="45"/>
  <c r="D35" i="45"/>
  <c r="C36" i="45"/>
  <c r="D36" i="45"/>
  <c r="C37" i="45"/>
  <c r="D37" i="45"/>
  <c r="C38" i="45"/>
  <c r="D38" i="45"/>
  <c r="C39" i="45"/>
  <c r="D39" i="45"/>
  <c r="C40" i="45"/>
  <c r="D40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B11" i="43"/>
  <c r="E38" i="7"/>
  <c r="E53" i="7"/>
  <c r="E40" i="7"/>
  <c r="E24" i="7"/>
  <c r="D24" i="7"/>
  <c r="F24" i="7"/>
  <c r="C29" i="7"/>
  <c r="D29" i="7"/>
  <c r="F22" i="7"/>
  <c r="E36" i="7"/>
  <c r="E57" i="7"/>
  <c r="E50" i="7"/>
  <c r="E34" i="7"/>
  <c r="E48" i="7"/>
  <c r="E32" i="7"/>
  <c r="D51" i="7"/>
  <c r="E56" i="7"/>
  <c r="D42" i="7"/>
  <c r="F42" i="7"/>
  <c r="C34" i="7"/>
  <c r="D34" i="7"/>
  <c r="F34" i="7"/>
  <c r="D26" i="7"/>
  <c r="C28" i="7"/>
  <c r="D28" i="7"/>
  <c r="F28" i="7"/>
  <c r="C27" i="7"/>
  <c r="D27" i="7"/>
  <c r="D57" i="7"/>
  <c r="F57" i="7"/>
  <c r="C33" i="7"/>
  <c r="D33" i="7"/>
  <c r="C25" i="7"/>
  <c r="D25" i="7"/>
  <c r="D36" i="7"/>
  <c r="F36" i="7"/>
  <c r="C35" i="7"/>
  <c r="D35" i="7"/>
  <c r="E55" i="7"/>
  <c r="C32" i="7"/>
  <c r="D32" i="7"/>
  <c r="D55" i="7"/>
  <c r="D47" i="7"/>
  <c r="C31" i="7"/>
  <c r="D31" i="7"/>
  <c r="D46" i="7"/>
  <c r="F46" i="7"/>
  <c r="D38" i="7"/>
  <c r="F38" i="7"/>
  <c r="C30" i="7"/>
  <c r="D30" i="7"/>
  <c r="F30" i="7"/>
  <c r="D53" i="7"/>
  <c r="F53" i="7"/>
  <c r="D45" i="7"/>
  <c r="D40" i="7"/>
  <c r="F23" i="3"/>
  <c r="F22" i="3"/>
  <c r="D28" i="3"/>
  <c r="F28" i="3"/>
  <c r="C30" i="3"/>
  <c r="C41" i="3"/>
  <c r="D41" i="3"/>
  <c r="F41" i="3"/>
  <c r="D26" i="3"/>
  <c r="F26" i="3"/>
  <c r="D44" i="7"/>
  <c r="D26" i="1"/>
  <c r="D4" i="43"/>
  <c r="C33" i="3"/>
  <c r="D33" i="3"/>
  <c r="F33" i="3"/>
  <c r="D27" i="3"/>
  <c r="F27" i="3"/>
  <c r="C35" i="3"/>
  <c r="D35" i="3"/>
  <c r="D31" i="1"/>
  <c r="C33" i="1"/>
  <c r="D33" i="1"/>
  <c r="F33" i="1"/>
  <c r="C39" i="1"/>
  <c r="D39" i="1"/>
  <c r="F39" i="1"/>
  <c r="C36" i="1"/>
  <c r="D36" i="1"/>
  <c r="C28" i="1"/>
  <c r="D28" i="1"/>
  <c r="D6" i="43"/>
  <c r="D41" i="7"/>
  <c r="D43" i="7"/>
  <c r="D49" i="7"/>
  <c r="C38" i="1"/>
  <c r="D38" i="1"/>
  <c r="C30" i="1"/>
  <c r="D30" i="1"/>
  <c r="C35" i="1"/>
  <c r="D35" i="1"/>
  <c r="C27" i="1"/>
  <c r="D27" i="1"/>
  <c r="D5" i="43"/>
  <c r="D24" i="1"/>
  <c r="D2" i="43"/>
  <c r="D50" i="7"/>
  <c r="F50" i="7"/>
  <c r="C40" i="1"/>
  <c r="D40" i="1"/>
  <c r="C32" i="1"/>
  <c r="D32" i="1"/>
  <c r="D10" i="43"/>
  <c r="C37" i="1"/>
  <c r="D37" i="1"/>
  <c r="F37" i="1"/>
  <c r="C29" i="1"/>
  <c r="D29" i="1"/>
  <c r="D7" i="43"/>
  <c r="F24" i="3"/>
  <c r="F29" i="3"/>
  <c r="D48" i="7"/>
  <c r="C34" i="1"/>
  <c r="D34" i="1"/>
  <c r="F23" i="7"/>
  <c r="E51" i="7"/>
  <c r="E49" i="7"/>
  <c r="E47" i="7"/>
  <c r="E45" i="7"/>
  <c r="E43" i="7"/>
  <c r="E41" i="7"/>
  <c r="E39" i="7"/>
  <c r="E37" i="7"/>
  <c r="E35" i="7"/>
  <c r="E33" i="7"/>
  <c r="E31" i="7"/>
  <c r="E29" i="7"/>
  <c r="E27" i="7"/>
  <c r="E25" i="7"/>
  <c r="F25" i="7"/>
  <c r="E52" i="7"/>
  <c r="D30" i="3"/>
  <c r="F30" i="3"/>
  <c r="C36" i="3"/>
  <c r="D36" i="3"/>
  <c r="F36" i="3"/>
  <c r="C31" i="3"/>
  <c r="D31" i="3"/>
  <c r="F31" i="3"/>
  <c r="C39" i="3"/>
  <c r="D39" i="3"/>
  <c r="F39" i="3"/>
  <c r="C34" i="3"/>
  <c r="D34" i="3"/>
  <c r="F34" i="3"/>
  <c r="C42" i="3"/>
  <c r="D42" i="3"/>
  <c r="F42" i="3"/>
  <c r="C37" i="3"/>
  <c r="D37" i="3"/>
  <c r="F37" i="3"/>
  <c r="C32" i="3"/>
  <c r="D32" i="3"/>
  <c r="F32" i="3"/>
  <c r="C40" i="3"/>
  <c r="D40" i="3"/>
  <c r="C38" i="3"/>
  <c r="D38" i="3"/>
  <c r="F31" i="46"/>
  <c r="F28" i="46"/>
  <c r="F27" i="46"/>
  <c r="F30" i="46"/>
  <c r="F40" i="46"/>
  <c r="F36" i="46"/>
  <c r="F38" i="46"/>
  <c r="F39" i="46"/>
  <c r="F35" i="46"/>
  <c r="F32" i="46"/>
  <c r="F34" i="1"/>
  <c r="F25" i="1"/>
  <c r="F35" i="3"/>
  <c r="F40" i="3"/>
  <c r="F26" i="7"/>
  <c r="F40" i="7"/>
  <c r="F44" i="7"/>
  <c r="F30" i="1"/>
  <c r="D8" i="43"/>
  <c r="F26" i="1"/>
  <c r="F40" i="1"/>
  <c r="F31" i="1"/>
  <c r="D9" i="43"/>
  <c r="F33" i="46"/>
  <c r="F34" i="46"/>
  <c r="F41" i="46"/>
  <c r="B12" i="43"/>
  <c r="D11" i="43"/>
  <c r="F33" i="7"/>
  <c r="F55" i="7"/>
  <c r="F32" i="7"/>
  <c r="F27" i="7"/>
  <c r="F48" i="7"/>
  <c r="F29" i="7"/>
  <c r="F31" i="7"/>
  <c r="F45" i="7"/>
  <c r="F37" i="7"/>
  <c r="F35" i="7"/>
  <c r="F51" i="7"/>
  <c r="F39" i="7"/>
  <c r="F52" i="7"/>
  <c r="F43" i="7"/>
  <c r="F41" i="7"/>
  <c r="F38" i="3"/>
  <c r="B19" i="3"/>
  <c r="E3" i="14"/>
  <c r="F47" i="7"/>
  <c r="F49" i="7"/>
  <c r="F29" i="1"/>
  <c r="F28" i="1"/>
  <c r="F36" i="1"/>
  <c r="F24" i="1"/>
  <c r="F32" i="1"/>
  <c r="F38" i="1"/>
  <c r="F27" i="1"/>
  <c r="F35" i="1"/>
  <c r="B16" i="46"/>
  <c r="G22" i="46"/>
  <c r="B13" i="43"/>
  <c r="D12" i="43"/>
  <c r="B19" i="1"/>
  <c r="G34" i="46"/>
  <c r="I34" i="46"/>
  <c r="G24" i="46"/>
  <c r="I24" i="46"/>
  <c r="G42" i="46"/>
  <c r="I42" i="46"/>
  <c r="G30" i="46"/>
  <c r="H30" i="46"/>
  <c r="G37" i="46"/>
  <c r="H37" i="46"/>
  <c r="G23" i="46"/>
  <c r="I23" i="46"/>
  <c r="G32" i="46"/>
  <c r="I32" i="46"/>
  <c r="G33" i="46"/>
  <c r="I33" i="46"/>
  <c r="G36" i="46"/>
  <c r="I36" i="46"/>
  <c r="G41" i="46"/>
  <c r="H41" i="46"/>
  <c r="G35" i="46"/>
  <c r="I35" i="46"/>
  <c r="G25" i="46"/>
  <c r="I25" i="46"/>
  <c r="G27" i="46"/>
  <c r="H27" i="46"/>
  <c r="G31" i="46"/>
  <c r="I31" i="46"/>
  <c r="G29" i="46"/>
  <c r="H29" i="46"/>
  <c r="G28" i="46"/>
  <c r="I28" i="46"/>
  <c r="G26" i="46"/>
  <c r="I26" i="46"/>
  <c r="G39" i="46"/>
  <c r="I39" i="46"/>
  <c r="G40" i="46"/>
  <c r="G38" i="46"/>
  <c r="H22" i="46"/>
  <c r="I22" i="46"/>
  <c r="B14" i="43"/>
  <c r="D13" i="43"/>
  <c r="E4" i="14"/>
  <c r="D4" i="14"/>
  <c r="D3" i="14"/>
  <c r="H34" i="46"/>
  <c r="H32" i="46"/>
  <c r="H36" i="46"/>
  <c r="H24" i="46"/>
  <c r="H42" i="46"/>
  <c r="I30" i="46"/>
  <c r="H23" i="46"/>
  <c r="I37" i="46"/>
  <c r="I29" i="46"/>
  <c r="H33" i="46"/>
  <c r="I41" i="46"/>
  <c r="H25" i="46"/>
  <c r="H35" i="46"/>
  <c r="H31" i="46"/>
  <c r="I27" i="46"/>
  <c r="H28" i="46"/>
  <c r="H26" i="46"/>
  <c r="H39" i="46"/>
  <c r="I38" i="46"/>
  <c r="H38" i="46"/>
  <c r="I40" i="46"/>
  <c r="H40" i="46"/>
  <c r="B15" i="43"/>
  <c r="D14" i="43"/>
  <c r="F4" i="14"/>
  <c r="F3" i="14"/>
  <c r="B16" i="43"/>
  <c r="D15" i="43"/>
  <c r="B17" i="43"/>
  <c r="D16" i="43"/>
  <c r="B18" i="43"/>
  <c r="D17" i="43"/>
  <c r="B19" i="43"/>
  <c r="B20" i="43"/>
  <c r="B21" i="43"/>
  <c r="D18" i="43"/>
  <c r="G2" i="43"/>
</calcChain>
</file>

<file path=xl/sharedStrings.xml><?xml version="1.0" encoding="utf-8"?>
<sst xmlns="http://schemas.openxmlformats.org/spreadsheetml/2006/main" count="137" uniqueCount="35">
  <si>
    <t>Datos</t>
  </si>
  <si>
    <t>Fecha de emision</t>
  </si>
  <si>
    <t>Fecha de vencimiento</t>
  </si>
  <si>
    <t>Cupon</t>
  </si>
  <si>
    <t>Frecuencia cupon</t>
  </si>
  <si>
    <t>Fecha amortizacion inicial</t>
  </si>
  <si>
    <t>Principal</t>
  </si>
  <si>
    <t>Fecha inicial devengamiento cupon</t>
  </si>
  <si>
    <t>Base</t>
  </si>
  <si>
    <t>YTM</t>
  </si>
  <si>
    <t>Fecha de liquidacion</t>
  </si>
  <si>
    <t>Interes</t>
  </si>
  <si>
    <t>Total flujos de caja</t>
  </si>
  <si>
    <t>Ti</t>
  </si>
  <si>
    <t>Valor presente flujos d caja</t>
  </si>
  <si>
    <t>wi</t>
  </si>
  <si>
    <t>wi*Ti</t>
  </si>
  <si>
    <t>wi*Ti2</t>
  </si>
  <si>
    <t>Precio</t>
  </si>
  <si>
    <t>Bono</t>
  </si>
  <si>
    <t>Argentina 2021</t>
  </si>
  <si>
    <t>Discount</t>
  </si>
  <si>
    <t>Moneda</t>
  </si>
  <si>
    <t>USD</t>
  </si>
  <si>
    <t>Valor canje interes devengado</t>
  </si>
  <si>
    <t>Valor canje principal</t>
  </si>
  <si>
    <t>Valor total canje</t>
  </si>
  <si>
    <t>Duracion modificada</t>
  </si>
  <si>
    <t>Cant de Amortizaciones</t>
  </si>
  <si>
    <t>Fecha inicial pago de cupon</t>
  </si>
  <si>
    <t>Interes devengado al 4 de Sep de 2020</t>
  </si>
  <si>
    <t>Curva spot</t>
  </si>
  <si>
    <t>VP</t>
  </si>
  <si>
    <t xml:space="preserve">Precio </t>
  </si>
  <si>
    <t>3%+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</si>
</sst>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_-* #,##0.000_-;\-* #,##0.000_-;_-* &quot;-&quot;??_-;_-@_-"/>
    <numFmt numFmtId="167" formatCode="0.000%"/>
    <numFmt numFmtId="168" formatCode="0.000000"/>
    <numFmt numFmtId="169" formatCode="0.00000"/>
    <numFmt numFmtId="170" formatCode="0.0000"/>
    <numFmt numFmtId="171" formatCode="0.0"/>
    <numFmt numFmtId="172" formatCode="_-* #,##0.0000_-;\-* #,##0.0000_-;_-* &quot;-&quot;??_-;_-@_-"/>
    <numFmt numFmtId="173" formatCode="_(* #,##0.0000_);_(* \(#,##0.0000\);_(* &quot;-&quot;??_);_(@_)"/>
    <numFmt numFmtId="17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43" fontId="0" fillId="3" borderId="0" xfId="0" applyNumberFormat="1" applyFill="1"/>
    <xf numFmtId="167" fontId="0" fillId="3" borderId="0" xfId="2" applyNumberFormat="1" applyFont="1" applyFill="1" applyBorder="1"/>
    <xf numFmtId="9" fontId="0" fillId="0" borderId="0" xfId="0" applyNumberFormat="1"/>
    <xf numFmtId="0" fontId="3" fillId="0" borderId="0" xfId="0" applyFont="1"/>
    <xf numFmtId="10" fontId="3" fillId="0" borderId="0" xfId="2" applyNumberFormat="1" applyFont="1"/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9" fontId="7" fillId="0" borderId="0" xfId="0" applyNumberFormat="1" applyFont="1" applyAlignment="1">
      <alignment horizontal="right"/>
    </xf>
    <xf numFmtId="172" fontId="0" fillId="0" borderId="0" xfId="1" applyNumberFormat="1" applyFont="1" applyAlignment="1">
      <alignment horizontal="right"/>
    </xf>
    <xf numFmtId="173" fontId="0" fillId="0" borderId="0" xfId="0" applyNumberFormat="1" applyAlignment="1">
      <alignment horizontal="right"/>
    </xf>
    <xf numFmtId="169" fontId="0" fillId="0" borderId="0" xfId="1" applyNumberFormat="1" applyFont="1" applyAlignment="1">
      <alignment horizontal="right"/>
    </xf>
    <xf numFmtId="172" fontId="0" fillId="3" borderId="0" xfId="0" applyNumberFormat="1" applyFill="1"/>
    <xf numFmtId="168" fontId="0" fillId="3" borderId="0" xfId="0" applyNumberFormat="1" applyFill="1"/>
    <xf numFmtId="0" fontId="0" fillId="3" borderId="0" xfId="0" applyFill="1" applyBorder="1"/>
    <xf numFmtId="172" fontId="0" fillId="3" borderId="0" xfId="0" applyNumberFormat="1" applyFill="1" applyBorder="1"/>
    <xf numFmtId="43" fontId="0" fillId="3" borderId="0" xfId="0" applyNumberFormat="1" applyFill="1" applyBorder="1"/>
    <xf numFmtId="2" fontId="4" fillId="3" borderId="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74" fontId="7" fillId="0" borderId="0" xfId="0" applyNumberFormat="1" applyFont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Border="1" applyAlignment="1">
      <alignment horizontal="right"/>
    </xf>
    <xf numFmtId="0" fontId="5" fillId="3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4" fillId="4" borderId="0" xfId="0" applyFont="1" applyFill="1"/>
    <xf numFmtId="2" fontId="0" fillId="0" borderId="0" xfId="0" applyNumberForma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Font="1" applyFill="1"/>
    <xf numFmtId="174" fontId="7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5" borderId="0" xfId="0" applyFont="1" applyFill="1"/>
    <xf numFmtId="174" fontId="7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left"/>
    </xf>
    <xf numFmtId="171" fontId="0" fillId="5" borderId="0" xfId="0" applyNumberFormat="1" applyFill="1" applyAlignment="1">
      <alignment horizontal="right"/>
    </xf>
    <xf numFmtId="174" fontId="0" fillId="0" borderId="0" xfId="2" applyNumberFormat="1" applyFont="1"/>
    <xf numFmtId="9" fontId="0" fillId="0" borderId="1" xfId="0" applyNumberFormat="1" applyBorder="1"/>
    <xf numFmtId="10" fontId="0" fillId="0" borderId="0" xfId="0" applyNumberFormat="1"/>
    <xf numFmtId="0" fontId="0" fillId="0" borderId="1" xfId="0" applyBorder="1"/>
    <xf numFmtId="10" fontId="0" fillId="0" borderId="1" xfId="2" applyNumberFormat="1" applyFont="1" applyBorder="1"/>
    <xf numFmtId="10" fontId="0" fillId="0" borderId="0" xfId="2" applyNumberFormat="1" applyFont="1" applyBorder="1"/>
    <xf numFmtId="171" fontId="4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M27" sqref="M27"/>
    </sheetView>
  </sheetViews>
  <sheetFormatPr baseColWidth="10" defaultRowHeight="16" x14ac:dyDescent="0.2"/>
  <cols>
    <col min="1" max="1" width="29.6640625" bestFit="1" customWidth="1"/>
    <col min="2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0.83203125" style="2"/>
  </cols>
  <sheetData>
    <row r="1" spans="1:7" x14ac:dyDescent="0.2">
      <c r="A1" t="s">
        <v>0</v>
      </c>
    </row>
    <row r="2" spans="1:7" x14ac:dyDescent="0.2">
      <c r="A2" t="s">
        <v>1</v>
      </c>
      <c r="B2" s="4">
        <v>44078</v>
      </c>
    </row>
    <row r="3" spans="1:7" x14ac:dyDescent="0.2">
      <c r="A3" t="s">
        <v>2</v>
      </c>
      <c r="B3" s="4">
        <v>47365</v>
      </c>
    </row>
    <row r="4" spans="1:7" x14ac:dyDescent="0.2">
      <c r="A4" t="s">
        <v>10</v>
      </c>
      <c r="B4" s="4">
        <f>B2</f>
        <v>44078</v>
      </c>
    </row>
    <row r="5" spans="1:7" x14ac:dyDescent="0.2">
      <c r="A5" t="s">
        <v>3</v>
      </c>
      <c r="B5" s="5">
        <v>1</v>
      </c>
    </row>
    <row r="6" spans="1:7" x14ac:dyDescent="0.2">
      <c r="A6" t="s">
        <v>4</v>
      </c>
      <c r="B6" s="2">
        <v>2</v>
      </c>
    </row>
    <row r="7" spans="1:7" x14ac:dyDescent="0.2">
      <c r="A7" t="s">
        <v>28</v>
      </c>
      <c r="B7" s="2">
        <v>10</v>
      </c>
    </row>
    <row r="8" spans="1:7" x14ac:dyDescent="0.2">
      <c r="A8" t="s">
        <v>5</v>
      </c>
      <c r="B8" s="4">
        <v>45666</v>
      </c>
      <c r="F8" s="21"/>
      <c r="G8" s="20"/>
    </row>
    <row r="9" spans="1:7" x14ac:dyDescent="0.2">
      <c r="A9" t="s">
        <v>6</v>
      </c>
      <c r="B9" s="2">
        <v>100</v>
      </c>
      <c r="F9" s="21"/>
      <c r="G9" s="20"/>
    </row>
    <row r="10" spans="1:7" x14ac:dyDescent="0.2">
      <c r="A10" t="s">
        <v>7</v>
      </c>
      <c r="B10" s="4">
        <f>+B2</f>
        <v>44078</v>
      </c>
    </row>
    <row r="11" spans="1:7" x14ac:dyDescent="0.2">
      <c r="A11" t="s">
        <v>8</v>
      </c>
      <c r="B11" s="2">
        <v>0</v>
      </c>
    </row>
    <row r="12" spans="1:7" x14ac:dyDescent="0.2">
      <c r="A12" t="s">
        <v>9</v>
      </c>
      <c r="B12" s="22">
        <v>0.15</v>
      </c>
    </row>
    <row r="13" spans="1:7" x14ac:dyDescent="0.2">
      <c r="B13" s="22"/>
    </row>
    <row r="14" spans="1:7" x14ac:dyDescent="0.2">
      <c r="B14" s="22"/>
    </row>
    <row r="15" spans="1:7" x14ac:dyDescent="0.2">
      <c r="B15" s="22"/>
    </row>
    <row r="16" spans="1:7" x14ac:dyDescent="0.2">
      <c r="B16" s="22"/>
    </row>
    <row r="17" spans="1:9" x14ac:dyDescent="0.2">
      <c r="B17" s="22"/>
    </row>
    <row r="18" spans="1:9" x14ac:dyDescent="0.2">
      <c r="B18" s="22"/>
    </row>
    <row r="19" spans="1:9" x14ac:dyDescent="0.2">
      <c r="A19" s="59" t="s">
        <v>18</v>
      </c>
      <c r="B19" s="58">
        <f>SUM(F24:F42)</f>
        <v>43.390439981045979</v>
      </c>
      <c r="C19" s="40"/>
    </row>
    <row r="21" spans="1:9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9" x14ac:dyDescent="0.2">
      <c r="A22" s="1">
        <v>44078</v>
      </c>
    </row>
    <row r="23" spans="1:9" x14ac:dyDescent="0.2">
      <c r="A23" s="1">
        <v>44205</v>
      </c>
    </row>
    <row r="24" spans="1:9" x14ac:dyDescent="0.2">
      <c r="A24" s="1">
        <v>44386</v>
      </c>
      <c r="B24" s="2">
        <f t="shared" ref="B24:B40" si="0">IF(A24&lt;B$8,0,B$9/B$7)</f>
        <v>0</v>
      </c>
      <c r="C24" s="18">
        <f>B$5%*YEARFRAC(A22,A24,B$11)*(B$9-SUM(B$22:B23))</f>
        <v>0.84722222222222232</v>
      </c>
      <c r="D24" s="18">
        <f>C24+B24</f>
        <v>0.84722222222222232</v>
      </c>
      <c r="E24" s="19">
        <f>+YEARFRAC($B$4,A24,1)</f>
        <v>0.84383561643835614</v>
      </c>
      <c r="F24" s="23">
        <f t="shared" ref="F24:F40" si="1">+IF(A24&lt;B$4,0,D24/((1+B$12/B$6)^(B$6*E24)))</f>
        <v>0.74987724818530233</v>
      </c>
      <c r="G24" s="18"/>
      <c r="H24" s="18"/>
      <c r="I24" s="18"/>
    </row>
    <row r="25" spans="1:9" x14ac:dyDescent="0.2">
      <c r="A25" s="1">
        <v>44570</v>
      </c>
      <c r="B25" s="2">
        <f t="shared" si="0"/>
        <v>0</v>
      </c>
      <c r="C25" s="18">
        <f>B$5%*YEARFRAC(A24,A25,B$11)*(B$9-SUM(B$22:B24))</f>
        <v>0.5</v>
      </c>
      <c r="D25" s="18">
        <f t="shared" ref="D25:D40" si="2">C25+B25</f>
        <v>0.5</v>
      </c>
      <c r="E25" s="19">
        <f t="shared" ref="E25:E40" si="3">+YEARFRAC($B$4,A25,1)</f>
        <v>1.3467153284671534</v>
      </c>
      <c r="F25" s="23">
        <f t="shared" si="1"/>
        <v>0.41150345302486252</v>
      </c>
      <c r="G25" s="18"/>
      <c r="H25" s="18"/>
      <c r="I25" s="18"/>
    </row>
    <row r="26" spans="1:9" x14ac:dyDescent="0.2">
      <c r="A26" s="1">
        <v>44751</v>
      </c>
      <c r="B26" s="2">
        <f t="shared" si="0"/>
        <v>0</v>
      </c>
      <c r="C26" s="18">
        <f>B$5%*YEARFRAC(A25,A26,B$11)*(B$9-SUM(B$22:B25))</f>
        <v>0.5</v>
      </c>
      <c r="D26" s="18">
        <f t="shared" si="2"/>
        <v>0.5</v>
      </c>
      <c r="E26" s="19">
        <f t="shared" si="3"/>
        <v>1.8421532846715329</v>
      </c>
      <c r="F26" s="23">
        <f t="shared" si="1"/>
        <v>0.38304658355486521</v>
      </c>
      <c r="G26" s="18"/>
      <c r="H26" s="18"/>
      <c r="I26" s="18"/>
    </row>
    <row r="27" spans="1:9" x14ac:dyDescent="0.2">
      <c r="A27" s="1">
        <v>44935</v>
      </c>
      <c r="B27" s="2">
        <f t="shared" si="0"/>
        <v>0</v>
      </c>
      <c r="C27" s="18">
        <f>B$5%*YEARFRAC(A26,A27,B$11)*(B$9-SUM(B$22:B26))</f>
        <v>0.5</v>
      </c>
      <c r="D27" s="18">
        <f t="shared" si="2"/>
        <v>0.5</v>
      </c>
      <c r="E27" s="19">
        <f t="shared" si="3"/>
        <v>2.346338124572211</v>
      </c>
      <c r="F27" s="23">
        <f t="shared" si="1"/>
        <v>0.35610678634118226</v>
      </c>
      <c r="G27" s="18"/>
      <c r="H27" s="18"/>
      <c r="I27" s="18"/>
    </row>
    <row r="28" spans="1:9" x14ac:dyDescent="0.2">
      <c r="A28" s="1">
        <v>45116</v>
      </c>
      <c r="B28" s="2">
        <f t="shared" si="0"/>
        <v>0</v>
      </c>
      <c r="C28" s="18">
        <f>B$5%*YEARFRAC(A27,A28,B$11)*(B$9-SUM(B$22:B27))</f>
        <v>0.5</v>
      </c>
      <c r="D28" s="18">
        <f t="shared" si="2"/>
        <v>0.5</v>
      </c>
      <c r="E28" s="19">
        <f t="shared" si="3"/>
        <v>2.8418891170431211</v>
      </c>
      <c r="F28" s="23">
        <f t="shared" si="1"/>
        <v>0.33147536603492267</v>
      </c>
      <c r="G28" s="18"/>
      <c r="H28" s="18"/>
      <c r="I28" s="18"/>
    </row>
    <row r="29" spans="1:9" x14ac:dyDescent="0.2">
      <c r="A29" s="1">
        <v>45300</v>
      </c>
      <c r="B29" s="2">
        <f t="shared" si="0"/>
        <v>0</v>
      </c>
      <c r="C29" s="18">
        <f>B$5%*YEARFRAC(A28,A29,B$11)*(B$9-SUM(B$22:B28))</f>
        <v>0.5</v>
      </c>
      <c r="D29" s="18">
        <f t="shared" si="2"/>
        <v>0.5</v>
      </c>
      <c r="E29" s="19">
        <f t="shared" si="3"/>
        <v>3.344280240831965</v>
      </c>
      <c r="F29" s="23">
        <f t="shared" si="1"/>
        <v>0.30824255194648065</v>
      </c>
      <c r="G29" s="18"/>
      <c r="H29" s="18"/>
      <c r="I29" s="18"/>
    </row>
    <row r="30" spans="1:9" x14ac:dyDescent="0.2">
      <c r="A30" s="1">
        <v>45482</v>
      </c>
      <c r="B30" s="2">
        <f t="shared" si="0"/>
        <v>0</v>
      </c>
      <c r="C30" s="18">
        <f>B$5%*YEARFRAC(A29,A30,B$11)*(B$9-SUM(B$22:B29))</f>
        <v>0.5</v>
      </c>
      <c r="D30" s="18">
        <f t="shared" si="2"/>
        <v>0.5</v>
      </c>
      <c r="E30" s="19">
        <f t="shared" si="3"/>
        <v>3.8423645320197046</v>
      </c>
      <c r="F30" s="23">
        <f t="shared" si="1"/>
        <v>0.28681672084859761</v>
      </c>
      <c r="G30" s="18"/>
      <c r="H30" s="18"/>
      <c r="I30" s="18"/>
    </row>
    <row r="31" spans="1:9" x14ac:dyDescent="0.2">
      <c r="A31" s="1">
        <v>45666</v>
      </c>
      <c r="B31" s="2">
        <f t="shared" si="0"/>
        <v>10</v>
      </c>
      <c r="C31" s="18">
        <f>B$5%*YEARFRAC(A30,A31,B$11)*(B$9-SUM(B$22:B30))</f>
        <v>0.5</v>
      </c>
      <c r="D31" s="18">
        <f t="shared" si="2"/>
        <v>10.5</v>
      </c>
      <c r="E31" s="19">
        <f t="shared" si="3"/>
        <v>4.3467153284671536</v>
      </c>
      <c r="F31" s="23">
        <f t="shared" si="1"/>
        <v>5.5994064477891348</v>
      </c>
      <c r="G31" s="18"/>
      <c r="H31" s="18"/>
      <c r="I31" s="18"/>
    </row>
    <row r="32" spans="1:9" x14ac:dyDescent="0.2">
      <c r="A32" s="1">
        <v>45847</v>
      </c>
      <c r="B32" s="2">
        <f t="shared" si="0"/>
        <v>10</v>
      </c>
      <c r="C32" s="18">
        <f>B$5%*YEARFRAC(A31,A32,B$11)*(B$9-SUM(B$22:B31))</f>
        <v>0.45</v>
      </c>
      <c r="D32" s="18">
        <f t="shared" si="2"/>
        <v>10.45</v>
      </c>
      <c r="E32" s="19">
        <f t="shared" si="3"/>
        <v>4.8421532846715332</v>
      </c>
      <c r="F32" s="23">
        <f t="shared" si="1"/>
        <v>5.1873684197933523</v>
      </c>
      <c r="G32" s="18"/>
      <c r="H32" s="18"/>
      <c r="I32" s="18"/>
    </row>
    <row r="33" spans="1:9" x14ac:dyDescent="0.2">
      <c r="A33" s="1">
        <v>46031</v>
      </c>
      <c r="B33" s="2">
        <f t="shared" si="0"/>
        <v>10</v>
      </c>
      <c r="C33" s="18">
        <f>B$5%*YEARFRAC(A32,A33,B$11)*(B$9-SUM(B$22:B32))</f>
        <v>0.4</v>
      </c>
      <c r="D33" s="18">
        <f t="shared" si="2"/>
        <v>10.4</v>
      </c>
      <c r="E33" s="19">
        <f t="shared" si="3"/>
        <v>5.3464998044583494</v>
      </c>
      <c r="F33" s="23">
        <f t="shared" si="1"/>
        <v>4.7993524384652835</v>
      </c>
      <c r="G33" s="18"/>
      <c r="H33" s="18"/>
      <c r="I33" s="18"/>
    </row>
    <row r="34" spans="1:9" x14ac:dyDescent="0.2">
      <c r="A34" s="1">
        <v>46212</v>
      </c>
      <c r="B34" s="2">
        <f t="shared" si="0"/>
        <v>10</v>
      </c>
      <c r="C34" s="18">
        <f>B$5%*YEARFRAC(A33,A34,B$11)*(B$9-SUM(B$22:B33))</f>
        <v>0.35000000000000003</v>
      </c>
      <c r="D34" s="18">
        <f t="shared" si="2"/>
        <v>10.35</v>
      </c>
      <c r="E34" s="19">
        <f t="shared" si="3"/>
        <v>5.8420023464998048</v>
      </c>
      <c r="F34" s="23">
        <f t="shared" si="1"/>
        <v>4.4459411125517239</v>
      </c>
      <c r="G34" s="18"/>
      <c r="H34" s="18"/>
      <c r="I34" s="18"/>
    </row>
    <row r="35" spans="1:9" x14ac:dyDescent="0.2">
      <c r="A35" s="1">
        <v>46396</v>
      </c>
      <c r="B35" s="2">
        <f t="shared" si="0"/>
        <v>10</v>
      </c>
      <c r="C35" s="18">
        <f>B$5%*YEARFRAC(A34,A35,B$11)*(B$9-SUM(B$22:B34))</f>
        <v>0.3</v>
      </c>
      <c r="D35" s="18">
        <f t="shared" si="2"/>
        <v>10.3</v>
      </c>
      <c r="E35" s="19">
        <f t="shared" si="3"/>
        <v>6.3463381245722106</v>
      </c>
      <c r="F35" s="23">
        <f t="shared" si="1"/>
        <v>4.1131993308176247</v>
      </c>
      <c r="G35" s="18"/>
      <c r="H35" s="18"/>
      <c r="I35" s="18"/>
    </row>
    <row r="36" spans="1:9" x14ac:dyDescent="0.2">
      <c r="A36" s="1">
        <v>46577</v>
      </c>
      <c r="B36" s="2">
        <f t="shared" si="0"/>
        <v>10</v>
      </c>
      <c r="C36" s="18">
        <f>B$5%*YEARFRAC(A35,A36,B$11)*(B$9-SUM(B$22:B35))</f>
        <v>0.25</v>
      </c>
      <c r="D36" s="18">
        <f t="shared" si="2"/>
        <v>10.25</v>
      </c>
      <c r="E36" s="19">
        <f t="shared" si="3"/>
        <v>6.8418891170431211</v>
      </c>
      <c r="F36" s="23">
        <f t="shared" si="1"/>
        <v>3.8101090500387182</v>
      </c>
      <c r="G36" s="18"/>
      <c r="H36" s="18"/>
      <c r="I36" s="18"/>
    </row>
    <row r="37" spans="1:9" x14ac:dyDescent="0.2">
      <c r="A37" s="1">
        <v>46761</v>
      </c>
      <c r="B37" s="2">
        <f t="shared" si="0"/>
        <v>10</v>
      </c>
      <c r="C37" s="18">
        <f>B$5%*YEARFRAC(A36,A37,B$11)*(B$9-SUM(B$22:B36))</f>
        <v>0.2</v>
      </c>
      <c r="D37" s="18">
        <f t="shared" si="2"/>
        <v>10.199999999999999</v>
      </c>
      <c r="E37" s="19">
        <f t="shared" si="3"/>
        <v>7.343978102189781</v>
      </c>
      <c r="F37" s="23">
        <f t="shared" si="1"/>
        <v>3.5259327469911259</v>
      </c>
      <c r="G37" s="18"/>
      <c r="H37" s="18"/>
      <c r="I37" s="18"/>
    </row>
    <row r="38" spans="1:9" x14ac:dyDescent="0.2">
      <c r="A38" s="1">
        <v>46943</v>
      </c>
      <c r="B38" s="2">
        <f t="shared" si="0"/>
        <v>10</v>
      </c>
      <c r="C38" s="18">
        <f>B$5%*YEARFRAC(A37,A38,B$11)*(B$9-SUM(B$22:B37))</f>
        <v>0.15</v>
      </c>
      <c r="D38" s="18">
        <f t="shared" si="2"/>
        <v>10.15</v>
      </c>
      <c r="E38" s="19">
        <f t="shared" si="3"/>
        <v>7.8421532846715332</v>
      </c>
      <c r="F38" s="23">
        <f t="shared" si="1"/>
        <v>3.2647209042103071</v>
      </c>
      <c r="G38" s="18"/>
      <c r="H38" s="18"/>
      <c r="I38" s="18"/>
    </row>
    <row r="39" spans="1:9" x14ac:dyDescent="0.2">
      <c r="A39" s="1">
        <v>47127</v>
      </c>
      <c r="B39" s="2">
        <f t="shared" si="0"/>
        <v>10</v>
      </c>
      <c r="C39" s="18">
        <f>B$5%*YEARFRAC(A38,A39,B$11)*(B$9-SUM(B$22:B38))</f>
        <v>0.1</v>
      </c>
      <c r="D39" s="18">
        <f t="shared" si="2"/>
        <v>10.1</v>
      </c>
      <c r="E39" s="19">
        <f t="shared" si="3"/>
        <v>8.3465644675609081</v>
      </c>
      <c r="F39" s="23">
        <f t="shared" si="1"/>
        <v>3.020061802028406</v>
      </c>
      <c r="G39" s="18"/>
      <c r="H39" s="18"/>
      <c r="I39" s="18"/>
    </row>
    <row r="40" spans="1:9" x14ac:dyDescent="0.2">
      <c r="A40" s="1">
        <v>47308</v>
      </c>
      <c r="B40" s="2">
        <f t="shared" si="0"/>
        <v>10</v>
      </c>
      <c r="C40" s="18">
        <f>B$5%*YEARFRAC(A39,A40,B$11)*(B$9-SUM(B$22:B39))</f>
        <v>0.05</v>
      </c>
      <c r="D40" s="18">
        <f t="shared" si="2"/>
        <v>10.050000000000001</v>
      </c>
      <c r="E40" s="19">
        <f t="shared" si="3"/>
        <v>8.8420476320832186</v>
      </c>
      <c r="F40" s="23">
        <f t="shared" si="1"/>
        <v>2.7972790184240859</v>
      </c>
      <c r="G40" s="18"/>
      <c r="H40" s="18"/>
      <c r="I40" s="18"/>
    </row>
    <row r="41" spans="1:9" x14ac:dyDescent="0.2">
      <c r="A41" s="1"/>
      <c r="D41" s="18"/>
      <c r="F41" s="23"/>
      <c r="G41" s="3"/>
    </row>
    <row r="42" spans="1:9" x14ac:dyDescent="0.2">
      <c r="A42" s="1"/>
      <c r="D42" s="18"/>
      <c r="F42" s="6"/>
      <c r="G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11" workbookViewId="0">
      <selection activeCell="D32" sqref="D32"/>
    </sheetView>
  </sheetViews>
  <sheetFormatPr baseColWidth="10" defaultRowHeight="16" x14ac:dyDescent="0.2"/>
  <cols>
    <col min="1" max="1" width="29.6640625" bestFit="1" customWidth="1"/>
    <col min="2" max="2" width="11.33203125" style="2" bestFit="1" customWidth="1"/>
    <col min="3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1.33203125" style="2" bestFit="1" customWidth="1"/>
    <col min="22" max="22" width="15.6640625" bestFit="1" customWidth="1"/>
  </cols>
  <sheetData>
    <row r="1" spans="1:21" x14ac:dyDescent="0.2">
      <c r="A1" t="s">
        <v>0</v>
      </c>
    </row>
    <row r="2" spans="1:21" x14ac:dyDescent="0.2">
      <c r="A2" t="s">
        <v>1</v>
      </c>
      <c r="B2" s="4">
        <v>44078</v>
      </c>
    </row>
    <row r="3" spans="1:21" x14ac:dyDescent="0.2">
      <c r="A3" t="s">
        <v>2</v>
      </c>
      <c r="B3" s="4">
        <v>47730</v>
      </c>
    </row>
    <row r="4" spans="1:21" x14ac:dyDescent="0.2">
      <c r="A4" t="s">
        <v>10</v>
      </c>
      <c r="B4" s="4">
        <f>B2</f>
        <v>44078</v>
      </c>
    </row>
    <row r="5" spans="1:21" x14ac:dyDescent="0.2">
      <c r="A5" t="s">
        <v>3</v>
      </c>
      <c r="B5" s="5"/>
    </row>
    <row r="6" spans="1:21" x14ac:dyDescent="0.2">
      <c r="A6" s="1">
        <v>44386</v>
      </c>
      <c r="B6" s="7">
        <v>0.125</v>
      </c>
    </row>
    <row r="7" spans="1:21" x14ac:dyDescent="0.2">
      <c r="A7" s="1">
        <v>45116</v>
      </c>
      <c r="B7" s="7">
        <v>0.5</v>
      </c>
    </row>
    <row r="8" spans="1:21" x14ac:dyDescent="0.2">
      <c r="A8" s="1">
        <v>46577</v>
      </c>
      <c r="B8" s="7">
        <v>0.75</v>
      </c>
      <c r="F8" s="21"/>
      <c r="G8" s="20"/>
    </row>
    <row r="9" spans="1:21" x14ac:dyDescent="0.2">
      <c r="A9" s="1">
        <v>47673</v>
      </c>
      <c r="B9" s="7">
        <v>1.75</v>
      </c>
      <c r="F9" s="21"/>
      <c r="G9" s="20"/>
    </row>
    <row r="10" spans="1:21" x14ac:dyDescent="0.2">
      <c r="A10" t="s">
        <v>4</v>
      </c>
      <c r="B10" s="2">
        <v>2</v>
      </c>
    </row>
    <row r="11" spans="1:21" x14ac:dyDescent="0.2">
      <c r="A11" t="s">
        <v>28</v>
      </c>
      <c r="B11" s="2">
        <v>12.5</v>
      </c>
    </row>
    <row r="12" spans="1:21" x14ac:dyDescent="0.2">
      <c r="A12" t="s">
        <v>5</v>
      </c>
      <c r="B12" s="4">
        <v>45482</v>
      </c>
      <c r="S12" s="15"/>
      <c r="T12" s="14"/>
      <c r="U12" s="14"/>
    </row>
    <row r="13" spans="1:21" x14ac:dyDescent="0.2">
      <c r="A13" t="s">
        <v>6</v>
      </c>
      <c r="B13" s="2">
        <v>100</v>
      </c>
      <c r="S13" s="15"/>
      <c r="T13" s="14"/>
      <c r="U13" s="14"/>
    </row>
    <row r="14" spans="1:21" x14ac:dyDescent="0.2">
      <c r="A14" t="s">
        <v>7</v>
      </c>
      <c r="B14" s="4">
        <f>+B2</f>
        <v>44078</v>
      </c>
      <c r="S14" s="15"/>
      <c r="T14" s="14"/>
      <c r="U14" s="14"/>
    </row>
    <row r="15" spans="1:21" x14ac:dyDescent="0.2">
      <c r="A15" t="s">
        <v>8</v>
      </c>
      <c r="B15" s="2">
        <v>0</v>
      </c>
      <c r="S15" s="15"/>
      <c r="T15" s="15"/>
    </row>
    <row r="16" spans="1:21" x14ac:dyDescent="0.2">
      <c r="A16" t="s">
        <v>9</v>
      </c>
      <c r="B16" s="33">
        <v>0.14000000000000001</v>
      </c>
    </row>
    <row r="18" spans="1:26" x14ac:dyDescent="0.2">
      <c r="B18" s="33"/>
    </row>
    <row r="19" spans="1:26" x14ac:dyDescent="0.2">
      <c r="A19" s="59" t="s">
        <v>18</v>
      </c>
      <c r="B19" s="58">
        <f>SUM(F24:F42)</f>
        <v>42.77216120607423</v>
      </c>
    </row>
    <row r="21" spans="1:26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26" x14ac:dyDescent="0.2">
      <c r="A22" s="1">
        <v>44078</v>
      </c>
      <c r="C22" s="17"/>
      <c r="D22" s="17"/>
      <c r="E22" s="17"/>
      <c r="F22" s="25">
        <f t="shared" ref="F22:F42" si="0">+IF(A22&lt;B$4,0,D22/((1+B$16/B$10)^(B$10*E22)))</f>
        <v>0</v>
      </c>
      <c r="G22" s="17"/>
      <c r="H22" s="17"/>
      <c r="I22" s="17"/>
      <c r="Y22" s="15"/>
      <c r="Z22" s="16"/>
    </row>
    <row r="23" spans="1:26" x14ac:dyDescent="0.2">
      <c r="A23" s="1">
        <v>44205</v>
      </c>
      <c r="B23" s="18">
        <f t="shared" ref="B23:B29" si="1">IF(A23&lt;B$12,0,IF(A23=B$12,(B$13/B$11)*1/2,B$13/B$11))</f>
        <v>0</v>
      </c>
      <c r="C23" s="17"/>
      <c r="D23" s="17"/>
      <c r="E23" s="17"/>
      <c r="F23" s="25">
        <f t="shared" si="0"/>
        <v>0</v>
      </c>
      <c r="G23" s="17"/>
      <c r="H23" s="17"/>
      <c r="I23" s="17"/>
      <c r="Y23" s="1"/>
    </row>
    <row r="24" spans="1:26" x14ac:dyDescent="0.2">
      <c r="A24" s="1">
        <v>44386</v>
      </c>
      <c r="B24" s="18">
        <f t="shared" si="1"/>
        <v>0</v>
      </c>
      <c r="C24" s="18">
        <f>B$6%*YEARFRAC(A22,A24,B$15)*(B$13-SUM(B$22:B23))</f>
        <v>0.10590277777777779</v>
      </c>
      <c r="D24" s="18">
        <f>C24+B24</f>
        <v>0.10590277777777779</v>
      </c>
      <c r="E24" s="2">
        <f>+YEARFRAC($B$4,A24,1)</f>
        <v>0.84383561643835614</v>
      </c>
      <c r="F24" s="23">
        <f t="shared" si="0"/>
        <v>9.447506410503434E-2</v>
      </c>
      <c r="G24" s="24"/>
      <c r="H24" s="18"/>
      <c r="I24" s="18"/>
      <c r="X24" s="14"/>
      <c r="Y24" s="1"/>
    </row>
    <row r="25" spans="1:26" x14ac:dyDescent="0.2">
      <c r="A25" s="1">
        <v>44570</v>
      </c>
      <c r="B25" s="18">
        <f t="shared" si="1"/>
        <v>0</v>
      </c>
      <c r="C25" s="18">
        <f>B$7%*YEARFRAC(A24,A25,B$15)*(B$13-SUM(B$22:B24))</f>
        <v>0.25</v>
      </c>
      <c r="D25" s="18">
        <f t="shared" ref="D25:D42" si="2">C25+B25</f>
        <v>0.25</v>
      </c>
      <c r="E25" s="2">
        <f t="shared" ref="E25:E42" si="3">+YEARFRAC($B$4,A25,1)</f>
        <v>1.3467153284671534</v>
      </c>
      <c r="F25" s="23">
        <f t="shared" si="0"/>
        <v>0.20835160054827861</v>
      </c>
      <c r="G25" s="24"/>
      <c r="H25" s="18"/>
      <c r="I25" s="18"/>
      <c r="X25" s="14"/>
      <c r="Y25" s="1"/>
    </row>
    <row r="26" spans="1:26" x14ac:dyDescent="0.2">
      <c r="A26" s="1">
        <v>44751</v>
      </c>
      <c r="B26" s="18">
        <f t="shared" si="1"/>
        <v>0</v>
      </c>
      <c r="C26" s="18">
        <f>B$7%*YEARFRAC(A25,A26,B$15)*(B$13-SUM(B$22:B25))</f>
        <v>0.25</v>
      </c>
      <c r="D26" s="18">
        <f t="shared" si="2"/>
        <v>0.25</v>
      </c>
      <c r="E26" s="2">
        <f t="shared" si="3"/>
        <v>1.8421532846715329</v>
      </c>
      <c r="F26" s="23">
        <f t="shared" si="0"/>
        <v>0.19484136503023725</v>
      </c>
      <c r="G26" s="24"/>
      <c r="H26" s="18"/>
      <c r="I26" s="18"/>
      <c r="X26" s="14"/>
      <c r="Y26" s="1"/>
    </row>
    <row r="27" spans="1:26" x14ac:dyDescent="0.2">
      <c r="A27" s="1">
        <v>44935</v>
      </c>
      <c r="B27" s="18">
        <f t="shared" si="1"/>
        <v>0</v>
      </c>
      <c r="C27" s="18">
        <f>B$7%*YEARFRAC(A26,A27,B$15)*(B$13-SUM(B$22:B26))</f>
        <v>0.25</v>
      </c>
      <c r="D27" s="18">
        <f t="shared" si="2"/>
        <v>0.25</v>
      </c>
      <c r="E27" s="2">
        <f t="shared" si="3"/>
        <v>2.346338124572211</v>
      </c>
      <c r="F27" s="23">
        <f t="shared" si="0"/>
        <v>0.18199164603558979</v>
      </c>
      <c r="G27" s="24"/>
      <c r="H27" s="18"/>
      <c r="I27" s="18"/>
      <c r="X27" s="14"/>
      <c r="Y27" s="1"/>
    </row>
    <row r="28" spans="1:26" x14ac:dyDescent="0.2">
      <c r="A28" s="1">
        <v>45116</v>
      </c>
      <c r="B28" s="18">
        <f t="shared" si="1"/>
        <v>0</v>
      </c>
      <c r="C28" s="18">
        <f>B$7%*YEARFRAC(A27,A28,B$15)*(B$13-SUM(B$22:B27))</f>
        <v>0.25</v>
      </c>
      <c r="D28" s="18">
        <f>C28+B28</f>
        <v>0.25</v>
      </c>
      <c r="E28" s="2">
        <f t="shared" si="3"/>
        <v>2.8418891170431211</v>
      </c>
      <c r="F28" s="23">
        <f t="shared" si="0"/>
        <v>0.17018807759780175</v>
      </c>
      <c r="G28" s="24"/>
      <c r="H28" s="18"/>
      <c r="I28" s="18"/>
      <c r="X28" s="14"/>
      <c r="Y28" s="1"/>
    </row>
    <row r="29" spans="1:26" x14ac:dyDescent="0.2">
      <c r="A29" s="1">
        <v>45300</v>
      </c>
      <c r="B29" s="18">
        <f t="shared" si="1"/>
        <v>0</v>
      </c>
      <c r="C29" s="18">
        <f>B$8%*YEARFRAC(A28,A29,B$15)*(B$13-SUM(B$22:B28))</f>
        <v>0.375</v>
      </c>
      <c r="D29" s="18">
        <f t="shared" si="2"/>
        <v>0.375</v>
      </c>
      <c r="E29" s="2">
        <f t="shared" si="3"/>
        <v>3.344280240831965</v>
      </c>
      <c r="F29" s="23">
        <f t="shared" si="0"/>
        <v>0.2385042341799028</v>
      </c>
      <c r="G29" s="24"/>
      <c r="H29" s="18"/>
      <c r="I29" s="18"/>
      <c r="X29" s="14"/>
      <c r="Y29" s="1"/>
    </row>
    <row r="30" spans="1:26" x14ac:dyDescent="0.2">
      <c r="A30" s="1">
        <v>45482</v>
      </c>
      <c r="B30" s="18">
        <f>IF(A30&lt;B$12,0,IF(A30=B$12,(B$13/B$11)*1/2,B$13/B$11))</f>
        <v>4</v>
      </c>
      <c r="C30" s="18">
        <f>B$8%*YEARFRAC(A29,A30,B$15)*(B$13-SUM(B$22:B29))</f>
        <v>0.375</v>
      </c>
      <c r="D30" s="18">
        <f t="shared" si="2"/>
        <v>4.375</v>
      </c>
      <c r="E30" s="2">
        <f t="shared" si="3"/>
        <v>3.8423645320197046</v>
      </c>
      <c r="F30" s="23">
        <f t="shared" si="0"/>
        <v>2.6011876714762945</v>
      </c>
      <c r="G30" s="24"/>
      <c r="H30" s="18"/>
      <c r="I30" s="18"/>
      <c r="X30" s="14"/>
      <c r="Y30" s="1"/>
    </row>
    <row r="31" spans="1:26" x14ac:dyDescent="0.2">
      <c r="A31" s="1">
        <v>45666</v>
      </c>
      <c r="B31" s="18">
        <f t="shared" ref="B31:B42" si="4">IF(A31&lt;B$12,0,IF(A31=B$12,(B$13/B$11)*1/2,B$13/B$11))</f>
        <v>8</v>
      </c>
      <c r="C31" s="18">
        <f>B$8%*YEARFRAC(A30,A31,B$15)*(B$13-SUM(B$22:B30))</f>
        <v>0.36</v>
      </c>
      <c r="D31" s="18">
        <f t="shared" si="2"/>
        <v>8.36</v>
      </c>
      <c r="E31" s="2">
        <f t="shared" si="3"/>
        <v>4.3467153284671536</v>
      </c>
      <c r="F31" s="23">
        <f t="shared" si="0"/>
        <v>4.6425911981791286</v>
      </c>
      <c r="G31" s="24"/>
      <c r="H31" s="18"/>
      <c r="I31" s="18"/>
      <c r="X31" s="14"/>
      <c r="Y31" s="1"/>
    </row>
    <row r="32" spans="1:26" x14ac:dyDescent="0.2">
      <c r="A32" s="1">
        <v>45847</v>
      </c>
      <c r="B32" s="18">
        <f t="shared" si="4"/>
        <v>8</v>
      </c>
      <c r="C32" s="18">
        <f>B$8%*YEARFRAC(A31,A32,B$15)*(B$13-SUM(B$22:B31))</f>
        <v>0.32999999999999996</v>
      </c>
      <c r="D32" s="18">
        <f t="shared" si="2"/>
        <v>8.33</v>
      </c>
      <c r="E32" s="2">
        <f t="shared" si="3"/>
        <v>4.8421532846715332</v>
      </c>
      <c r="F32" s="23">
        <f t="shared" si="0"/>
        <v>4.3259698684768955</v>
      </c>
      <c r="G32" s="24"/>
      <c r="H32" s="18"/>
      <c r="I32" s="18"/>
      <c r="X32" s="14"/>
      <c r="Y32" s="1"/>
    </row>
    <row r="33" spans="1:25" x14ac:dyDescent="0.2">
      <c r="A33" s="1">
        <v>46031</v>
      </c>
      <c r="B33" s="18">
        <f t="shared" si="4"/>
        <v>8</v>
      </c>
      <c r="C33" s="18">
        <f>B$8%*YEARFRAC(A32,A33,B$15)*(B$13-SUM(B$22:B32))</f>
        <v>0.3</v>
      </c>
      <c r="D33" s="18">
        <f t="shared" si="2"/>
        <v>8.3000000000000007</v>
      </c>
      <c r="E33" s="2">
        <f t="shared" si="3"/>
        <v>5.3464998044583494</v>
      </c>
      <c r="F33" s="23">
        <f t="shared" si="0"/>
        <v>4.0260333592304578</v>
      </c>
      <c r="G33" s="24"/>
      <c r="H33" s="18"/>
      <c r="I33" s="18"/>
      <c r="X33" s="14"/>
      <c r="Y33" s="1"/>
    </row>
    <row r="34" spans="1:25" x14ac:dyDescent="0.2">
      <c r="A34" s="1">
        <v>46212</v>
      </c>
      <c r="B34" s="18">
        <f t="shared" si="4"/>
        <v>8</v>
      </c>
      <c r="C34" s="18">
        <f>B$8%*YEARFRAC(A33,A34,B$15)*(B$13-SUM(B$22:B33))</f>
        <v>0.27</v>
      </c>
      <c r="D34" s="18">
        <f t="shared" si="2"/>
        <v>8.27</v>
      </c>
      <c r="E34" s="2">
        <f t="shared" si="3"/>
        <v>5.8420023464998048</v>
      </c>
      <c r="F34" s="23">
        <f t="shared" si="0"/>
        <v>3.7513303712913011</v>
      </c>
      <c r="G34" s="24"/>
      <c r="H34" s="18"/>
      <c r="I34" s="18"/>
      <c r="X34" s="14"/>
      <c r="Y34" s="1"/>
    </row>
    <row r="35" spans="1:25" x14ac:dyDescent="0.2">
      <c r="A35" s="1">
        <v>46396</v>
      </c>
      <c r="B35" s="18">
        <f t="shared" si="4"/>
        <v>8</v>
      </c>
      <c r="C35" s="18">
        <f>B$8%*YEARFRAC(A34,A35,B$15)*(B$13-SUM(B$22:B34))</f>
        <v>0.24</v>
      </c>
      <c r="D35" s="18">
        <f t="shared" si="2"/>
        <v>8.24</v>
      </c>
      <c r="E35" s="2">
        <f t="shared" si="3"/>
        <v>6.3463381245722106</v>
      </c>
      <c r="F35" s="23">
        <f t="shared" si="0"/>
        <v>3.4911494014693041</v>
      </c>
      <c r="G35" s="24"/>
      <c r="H35" s="18"/>
      <c r="I35" s="18"/>
      <c r="X35" s="14"/>
      <c r="Y35" s="1"/>
    </row>
    <row r="36" spans="1:25" x14ac:dyDescent="0.2">
      <c r="A36" s="1">
        <v>46577</v>
      </c>
      <c r="B36" s="18">
        <f t="shared" si="4"/>
        <v>8</v>
      </c>
      <c r="C36" s="18">
        <f>B$8%*YEARFRAC(A35,A36,B$15)*(B$13-SUM(B$22:B35))</f>
        <v>0.21</v>
      </c>
      <c r="D36" s="18">
        <f t="shared" si="2"/>
        <v>8.2100000000000009</v>
      </c>
      <c r="E36" s="2">
        <f t="shared" si="3"/>
        <v>6.8418891170431211</v>
      </c>
      <c r="F36" s="23">
        <f t="shared" si="0"/>
        <v>3.2528351897572265</v>
      </c>
      <c r="G36" s="24"/>
      <c r="H36" s="18"/>
      <c r="I36" s="18"/>
      <c r="X36" s="14"/>
      <c r="Y36" s="1"/>
    </row>
    <row r="37" spans="1:25" x14ac:dyDescent="0.2">
      <c r="A37" s="1">
        <v>46761</v>
      </c>
      <c r="B37" s="18">
        <f t="shared" si="4"/>
        <v>8</v>
      </c>
      <c r="C37" s="18">
        <f>B$9%*YEARFRAC(A36,A37,B$15)*(B$13-SUM(B$22:B36))</f>
        <v>0.42000000000000004</v>
      </c>
      <c r="D37" s="18">
        <f t="shared" si="2"/>
        <v>8.42</v>
      </c>
      <c r="E37" s="2">
        <f t="shared" si="3"/>
        <v>7.343978102189781</v>
      </c>
      <c r="F37" s="23">
        <f t="shared" si="0"/>
        <v>3.116911359509845</v>
      </c>
      <c r="G37" s="24"/>
      <c r="H37" s="18"/>
      <c r="I37" s="18"/>
      <c r="X37" s="14"/>
      <c r="Y37" s="1"/>
    </row>
    <row r="38" spans="1:25" x14ac:dyDescent="0.2">
      <c r="A38" s="1">
        <v>46943</v>
      </c>
      <c r="B38" s="18">
        <f t="shared" si="4"/>
        <v>8</v>
      </c>
      <c r="C38" s="18">
        <f>B$9%*YEARFRAC(A37,A38,B$15)*(B$13-SUM(B$22:B37))</f>
        <v>0.35000000000000003</v>
      </c>
      <c r="D38" s="18">
        <f t="shared" si="2"/>
        <v>8.35</v>
      </c>
      <c r="E38" s="2">
        <f t="shared" si="3"/>
        <v>7.8421532846715332</v>
      </c>
      <c r="F38" s="23">
        <f t="shared" si="0"/>
        <v>2.8894973340223764</v>
      </c>
      <c r="G38" s="24"/>
      <c r="H38" s="18"/>
      <c r="I38" s="18"/>
      <c r="X38" s="14"/>
      <c r="Y38" s="1"/>
    </row>
    <row r="39" spans="1:25" x14ac:dyDescent="0.2">
      <c r="A39" s="1">
        <v>47127</v>
      </c>
      <c r="B39" s="18">
        <f t="shared" si="4"/>
        <v>8</v>
      </c>
      <c r="C39" s="18">
        <f>B$9%*YEARFRAC(A38,A39,B$15)*(B$13-SUM(B$22:B38))</f>
        <v>0.28000000000000003</v>
      </c>
      <c r="D39" s="18">
        <f t="shared" si="2"/>
        <v>8.2799999999999994</v>
      </c>
      <c r="E39" s="2">
        <f t="shared" si="3"/>
        <v>8.3465644675609081</v>
      </c>
      <c r="F39" s="23">
        <f t="shared" si="0"/>
        <v>2.6762282285965981</v>
      </c>
      <c r="G39" s="24"/>
      <c r="H39" s="18"/>
      <c r="I39" s="18"/>
      <c r="X39" s="14"/>
      <c r="Y39" s="1"/>
    </row>
    <row r="40" spans="1:25" x14ac:dyDescent="0.2">
      <c r="A40" s="1">
        <v>47308</v>
      </c>
      <c r="B40" s="18">
        <f t="shared" si="4"/>
        <v>8</v>
      </c>
      <c r="C40" s="18">
        <f>B$9%*YEARFRAC(A39,A40,B$15)*(B$13-SUM(B$22:B39))</f>
        <v>0.21000000000000002</v>
      </c>
      <c r="D40" s="18">
        <f t="shared" si="2"/>
        <v>8.2100000000000009</v>
      </c>
      <c r="E40" s="2">
        <f t="shared" si="3"/>
        <v>8.8420476320832186</v>
      </c>
      <c r="F40" s="23">
        <f t="shared" si="0"/>
        <v>2.4815191631184899</v>
      </c>
      <c r="G40" s="24"/>
      <c r="H40" s="18"/>
      <c r="I40" s="18"/>
      <c r="X40" s="14"/>
      <c r="Y40" s="1"/>
    </row>
    <row r="41" spans="1:25" x14ac:dyDescent="0.2">
      <c r="A41" s="1">
        <v>47492</v>
      </c>
      <c r="B41" s="18">
        <f t="shared" si="4"/>
        <v>8</v>
      </c>
      <c r="C41" s="18">
        <f>B$9%*YEARFRAC(A40,A41,B$15)*(B$13-SUM(B$22:B40))</f>
        <v>0.14000000000000001</v>
      </c>
      <c r="D41" s="18">
        <f t="shared" si="2"/>
        <v>8.14</v>
      </c>
      <c r="E41" s="2">
        <f t="shared" si="3"/>
        <v>9.3464410154305622</v>
      </c>
      <c r="F41" s="23">
        <f t="shared" si="0"/>
        <v>2.2980364610451836</v>
      </c>
      <c r="G41" s="24"/>
      <c r="H41" s="18"/>
      <c r="I41" s="18"/>
      <c r="X41" s="14"/>
      <c r="Y41" s="1"/>
    </row>
    <row r="42" spans="1:25" x14ac:dyDescent="0.2">
      <c r="A42" s="1">
        <v>47673</v>
      </c>
      <c r="B42" s="18">
        <f t="shared" si="4"/>
        <v>8</v>
      </c>
      <c r="C42" s="18">
        <f>B$9%*YEARFRAC(A41,A42,B$15)*(B$13-SUM(B$22:B41))</f>
        <v>7.0000000000000007E-2</v>
      </c>
      <c r="D42" s="18">
        <f t="shared" si="2"/>
        <v>8.07</v>
      </c>
      <c r="E42" s="2">
        <f t="shared" si="3"/>
        <v>9.8419611747137878</v>
      </c>
      <c r="F42" s="23">
        <f t="shared" si="0"/>
        <v>2.13051961240427</v>
      </c>
      <c r="G42" s="24"/>
      <c r="H42" s="18"/>
      <c r="I42" s="18"/>
      <c r="X42" s="14"/>
      <c r="Y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J25" sqref="J25"/>
    </sheetView>
  </sheetViews>
  <sheetFormatPr baseColWidth="10" defaultRowHeight="16" x14ac:dyDescent="0.2"/>
  <cols>
    <col min="1" max="1" width="29.6640625" bestFit="1" customWidth="1"/>
    <col min="2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0.83203125" style="2"/>
  </cols>
  <sheetData>
    <row r="1" spans="1:7" x14ac:dyDescent="0.2">
      <c r="A1" t="s">
        <v>0</v>
      </c>
    </row>
    <row r="2" spans="1:7" x14ac:dyDescent="0.2">
      <c r="A2" t="s">
        <v>1</v>
      </c>
      <c r="B2" s="4">
        <v>44078</v>
      </c>
    </row>
    <row r="3" spans="1:7" x14ac:dyDescent="0.2">
      <c r="A3" t="s">
        <v>2</v>
      </c>
      <c r="B3" s="4">
        <v>50652</v>
      </c>
    </row>
    <row r="4" spans="1:7" s="2" customFormat="1" x14ac:dyDescent="0.2">
      <c r="A4" t="s">
        <v>10</v>
      </c>
      <c r="B4" s="4">
        <f>B2</f>
        <v>44078</v>
      </c>
    </row>
    <row r="5" spans="1:7" x14ac:dyDescent="0.2">
      <c r="A5" t="s">
        <v>3</v>
      </c>
      <c r="B5" s="5"/>
    </row>
    <row r="6" spans="1:7" s="2" customFormat="1" x14ac:dyDescent="0.2">
      <c r="A6" s="1">
        <v>44386</v>
      </c>
      <c r="B6" s="7">
        <v>0.125</v>
      </c>
    </row>
    <row r="7" spans="1:7" s="2" customFormat="1" x14ac:dyDescent="0.2">
      <c r="A7" s="1">
        <v>44751</v>
      </c>
      <c r="B7" s="7">
        <v>2</v>
      </c>
    </row>
    <row r="8" spans="1:7" s="2" customFormat="1" x14ac:dyDescent="0.2">
      <c r="A8" s="1">
        <v>45116</v>
      </c>
      <c r="B8" s="7">
        <v>3.875</v>
      </c>
      <c r="F8" s="21"/>
      <c r="G8" s="20"/>
    </row>
    <row r="9" spans="1:7" s="2" customFormat="1" x14ac:dyDescent="0.2">
      <c r="A9" s="1">
        <v>45482</v>
      </c>
      <c r="B9" s="7">
        <v>4.25</v>
      </c>
      <c r="F9" s="21"/>
      <c r="G9" s="20"/>
    </row>
    <row r="10" spans="1:7" s="2" customFormat="1" x14ac:dyDescent="0.2">
      <c r="A10" s="1">
        <v>50414</v>
      </c>
      <c r="B10" s="7">
        <v>5</v>
      </c>
    </row>
    <row r="11" spans="1:7" s="2" customFormat="1" x14ac:dyDescent="0.2">
      <c r="A11" t="s">
        <v>4</v>
      </c>
      <c r="B11" s="2">
        <v>2</v>
      </c>
    </row>
    <row r="12" spans="1:7" s="2" customFormat="1" x14ac:dyDescent="0.2">
      <c r="A12" t="s">
        <v>28</v>
      </c>
      <c r="B12" s="2">
        <v>22</v>
      </c>
    </row>
    <row r="13" spans="1:7" s="2" customFormat="1" x14ac:dyDescent="0.2">
      <c r="A13" t="s">
        <v>5</v>
      </c>
      <c r="B13" s="4">
        <v>46577</v>
      </c>
    </row>
    <row r="14" spans="1:7" s="2" customFormat="1" x14ac:dyDescent="0.2">
      <c r="A14" t="s">
        <v>6</v>
      </c>
      <c r="B14" s="2">
        <v>100</v>
      </c>
    </row>
    <row r="15" spans="1:7" s="2" customFormat="1" x14ac:dyDescent="0.2">
      <c r="A15" t="s">
        <v>7</v>
      </c>
      <c r="B15" s="4">
        <f>+B2</f>
        <v>44078</v>
      </c>
    </row>
    <row r="16" spans="1:7" s="2" customFormat="1" x14ac:dyDescent="0.2">
      <c r="A16" t="s">
        <v>29</v>
      </c>
      <c r="B16" s="1">
        <v>44386</v>
      </c>
    </row>
    <row r="17" spans="1:7" s="2" customFormat="1" x14ac:dyDescent="0.2">
      <c r="A17" t="s">
        <v>8</v>
      </c>
      <c r="B17" s="2">
        <v>0</v>
      </c>
    </row>
    <row r="18" spans="1:7" s="2" customFormat="1" x14ac:dyDescent="0.2">
      <c r="A18" t="s">
        <v>9</v>
      </c>
      <c r="B18" s="22">
        <v>0.12</v>
      </c>
    </row>
    <row r="19" spans="1:7" s="2" customFormat="1" x14ac:dyDescent="0.2">
      <c r="A19" s="59" t="s">
        <v>18</v>
      </c>
      <c r="B19" s="58">
        <f>SUM(F24:F58)</f>
        <v>49.267023115830391</v>
      </c>
    </row>
    <row r="21" spans="1:7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7" x14ac:dyDescent="0.2">
      <c r="A22" s="1">
        <v>44078</v>
      </c>
      <c r="F22" s="6">
        <f t="shared" ref="F22:F58" si="0">+IF(A22&lt;B$4,0,D22/((1+B$18/B$11)^(B$11*E22)))</f>
        <v>0</v>
      </c>
      <c r="G22" s="3"/>
    </row>
    <row r="23" spans="1:7" x14ac:dyDescent="0.2">
      <c r="A23" s="1">
        <v>44205</v>
      </c>
      <c r="B23" s="18">
        <f t="shared" ref="B23:B30" si="1">IF(A23&lt;B$13,0,B$14/B$12)</f>
        <v>0</v>
      </c>
      <c r="C23" s="18"/>
      <c r="D23" s="18"/>
      <c r="F23" s="6">
        <f t="shared" si="0"/>
        <v>0</v>
      </c>
      <c r="G23" s="3"/>
    </row>
    <row r="24" spans="1:7" x14ac:dyDescent="0.2">
      <c r="A24" s="1">
        <v>44386</v>
      </c>
      <c r="B24" s="18">
        <f t="shared" si="1"/>
        <v>0</v>
      </c>
      <c r="C24" s="18">
        <f>B$6%*YEARFRAC(A22,A24,B$17)*(B$14-SUM(B$22:B23))</f>
        <v>0.10590277777777779</v>
      </c>
      <c r="D24" s="18">
        <f>C24+B24</f>
        <v>0.10590277777777779</v>
      </c>
      <c r="E24" s="2">
        <f t="shared" ref="E24:E58" si="2">+YEARFRAC($B$4,A24,0)</f>
        <v>0.84722222222222221</v>
      </c>
      <c r="F24" s="6">
        <f t="shared" si="0"/>
        <v>9.5946241937708177E-2</v>
      </c>
      <c r="G24" s="3"/>
    </row>
    <row r="25" spans="1:7" x14ac:dyDescent="0.2">
      <c r="A25" s="1">
        <v>44570</v>
      </c>
      <c r="B25" s="18">
        <f t="shared" si="1"/>
        <v>0</v>
      </c>
      <c r="C25" s="18">
        <f>B$7%*YEARFRAC(A24,A25,B$17)*(B$14-SUM(B$22:B24))</f>
        <v>1</v>
      </c>
      <c r="D25" s="18">
        <f t="shared" ref="D25:D52" si="3">C25+B25</f>
        <v>1</v>
      </c>
      <c r="E25" s="2">
        <f t="shared" si="2"/>
        <v>1.3472222222222223</v>
      </c>
      <c r="F25" s="6">
        <f t="shared" si="0"/>
        <v>0.85470206242066038</v>
      </c>
      <c r="G25" s="3"/>
    </row>
    <row r="26" spans="1:7" x14ac:dyDescent="0.2">
      <c r="A26" s="1">
        <v>44751</v>
      </c>
      <c r="B26" s="18">
        <f t="shared" si="1"/>
        <v>0</v>
      </c>
      <c r="C26" s="18">
        <f>B$7%*YEARFRAC(A25,A26,B$17)*(B$14-SUM(B$22:B25))</f>
        <v>1</v>
      </c>
      <c r="D26" s="18">
        <f t="shared" si="3"/>
        <v>1</v>
      </c>
      <c r="E26" s="2">
        <f t="shared" si="2"/>
        <v>1.8472222222222223</v>
      </c>
      <c r="F26" s="6">
        <f t="shared" si="0"/>
        <v>0.80632270039684939</v>
      </c>
      <c r="G26" s="3"/>
    </row>
    <row r="27" spans="1:7" x14ac:dyDescent="0.2">
      <c r="A27" s="1">
        <v>44935</v>
      </c>
      <c r="B27" s="18">
        <f t="shared" si="1"/>
        <v>0</v>
      </c>
      <c r="C27" s="18">
        <f>B$8%*YEARFRAC(A26,A27,B$17)*(B$14-SUM(B$22:B26))</f>
        <v>1.9375</v>
      </c>
      <c r="D27" s="18">
        <f t="shared" si="3"/>
        <v>1.9375</v>
      </c>
      <c r="E27" s="2">
        <f t="shared" si="2"/>
        <v>2.3472222222222223</v>
      </c>
      <c r="F27" s="6">
        <f t="shared" si="0"/>
        <v>1.4738209736027319</v>
      </c>
      <c r="G27" s="3"/>
    </row>
    <row r="28" spans="1:7" x14ac:dyDescent="0.2">
      <c r="A28" s="1">
        <v>45116</v>
      </c>
      <c r="B28" s="18">
        <f t="shared" si="1"/>
        <v>0</v>
      </c>
      <c r="C28" s="18">
        <f>B$8%*YEARFRAC(A27,A28,B$17)*(B$14-SUM(B$22:B27))</f>
        <v>1.9375</v>
      </c>
      <c r="D28" s="18">
        <f t="shared" si="3"/>
        <v>1.9375</v>
      </c>
      <c r="E28" s="2">
        <f t="shared" si="2"/>
        <v>2.8472222222222223</v>
      </c>
      <c r="F28" s="6">
        <f t="shared" si="0"/>
        <v>1.3903971449082375</v>
      </c>
      <c r="G28" s="3"/>
    </row>
    <row r="29" spans="1:7" x14ac:dyDescent="0.2">
      <c r="A29" s="1">
        <v>45300</v>
      </c>
      <c r="B29" s="18">
        <f t="shared" si="1"/>
        <v>0</v>
      </c>
      <c r="C29" s="18">
        <f>B$9%*YEARFRAC(A28,A29,B$17)*(B$14-SUM(B$22:B28))</f>
        <v>2.125</v>
      </c>
      <c r="D29" s="18">
        <f t="shared" si="3"/>
        <v>2.125</v>
      </c>
      <c r="E29" s="2">
        <f t="shared" si="2"/>
        <v>3.3472222222222223</v>
      </c>
      <c r="F29" s="6">
        <f t="shared" si="0"/>
        <v>1.4386336861497282</v>
      </c>
      <c r="G29" s="3"/>
    </row>
    <row r="30" spans="1:7" x14ac:dyDescent="0.2">
      <c r="A30" s="1">
        <v>45482</v>
      </c>
      <c r="B30" s="18">
        <f t="shared" si="1"/>
        <v>0</v>
      </c>
      <c r="C30" s="18">
        <f>B$9%*YEARFRAC(A29,A30,B$17)*(B$14-SUM(B$22:B29))</f>
        <v>2.125</v>
      </c>
      <c r="D30" s="18">
        <f t="shared" si="3"/>
        <v>2.125</v>
      </c>
      <c r="E30" s="2">
        <f t="shared" si="2"/>
        <v>3.8472222222222223</v>
      </c>
      <c r="F30" s="6">
        <f t="shared" si="0"/>
        <v>1.3572015907072907</v>
      </c>
      <c r="G30" s="3"/>
    </row>
    <row r="31" spans="1:7" x14ac:dyDescent="0.2">
      <c r="A31" s="1">
        <v>45666</v>
      </c>
      <c r="B31" s="18">
        <f>IF(A31&lt;B$13,0,B$14/B$12)</f>
        <v>0</v>
      </c>
      <c r="C31" s="18">
        <f>B$10%*YEARFRAC(A30,A31,B$17)*(B$14-SUM(B$22:B30))</f>
        <v>2.5</v>
      </c>
      <c r="D31" s="18">
        <f t="shared" si="3"/>
        <v>2.5</v>
      </c>
      <c r="E31" s="2">
        <f t="shared" si="2"/>
        <v>4.3472222222222223</v>
      </c>
      <c r="F31" s="6">
        <f t="shared" si="0"/>
        <v>1.5063280695974368</v>
      </c>
      <c r="G31" s="3"/>
    </row>
    <row r="32" spans="1:7" x14ac:dyDescent="0.2">
      <c r="A32" s="1">
        <v>45847</v>
      </c>
      <c r="B32" s="18">
        <f t="shared" ref="B32:B52" si="4">IF(A32&lt;B$13,0,B$14/B$12)</f>
        <v>0</v>
      </c>
      <c r="C32" s="18">
        <f>B$10%*YEARFRAC(A31,A32,B$17)*(B$14-SUM(B$22:B31))</f>
        <v>2.5</v>
      </c>
      <c r="D32" s="18">
        <f t="shared" si="3"/>
        <v>2.5</v>
      </c>
      <c r="E32" s="2">
        <f t="shared" si="2"/>
        <v>4.8472222222222223</v>
      </c>
      <c r="F32" s="6">
        <f t="shared" si="0"/>
        <v>1.4210642166013554</v>
      </c>
      <c r="G32" s="3"/>
    </row>
    <row r="33" spans="1:7" x14ac:dyDescent="0.2">
      <c r="A33" s="1">
        <v>46031</v>
      </c>
      <c r="B33" s="18">
        <f t="shared" si="4"/>
        <v>0</v>
      </c>
      <c r="C33" s="18">
        <f>B$10%*YEARFRAC(A32,A33,B$17)*(B$14-SUM(B$22:B32))</f>
        <v>2.5</v>
      </c>
      <c r="D33" s="18">
        <f t="shared" si="3"/>
        <v>2.5</v>
      </c>
      <c r="E33" s="2">
        <f t="shared" si="2"/>
        <v>5.3472222222222223</v>
      </c>
      <c r="F33" s="6">
        <f t="shared" si="0"/>
        <v>1.340626619435241</v>
      </c>
      <c r="G33" s="3"/>
    </row>
    <row r="34" spans="1:7" x14ac:dyDescent="0.2">
      <c r="A34" s="1">
        <v>46212</v>
      </c>
      <c r="B34" s="18">
        <f t="shared" si="4"/>
        <v>0</v>
      </c>
      <c r="C34" s="18">
        <f>B$10%*YEARFRAC(A33,A34,B$17)*(B$14-SUM(B$22:B33))</f>
        <v>2.5</v>
      </c>
      <c r="D34" s="18">
        <f t="shared" si="3"/>
        <v>2.5</v>
      </c>
      <c r="E34" s="2">
        <f t="shared" si="2"/>
        <v>5.8472222222222223</v>
      </c>
      <c r="F34" s="6">
        <f t="shared" si="0"/>
        <v>1.264742093806831</v>
      </c>
      <c r="G34" s="3"/>
    </row>
    <row r="35" spans="1:7" x14ac:dyDescent="0.2">
      <c r="A35" s="1">
        <v>46396</v>
      </c>
      <c r="B35" s="18">
        <f t="shared" si="4"/>
        <v>0</v>
      </c>
      <c r="C35" s="18">
        <f>B$10%*YEARFRAC(A34,A35,B$17)*(B$14-SUM(B$22:B34))</f>
        <v>2.5</v>
      </c>
      <c r="D35" s="18">
        <f t="shared" si="3"/>
        <v>2.5</v>
      </c>
      <c r="E35" s="2">
        <f t="shared" si="2"/>
        <v>6.3472222222222223</v>
      </c>
      <c r="F35" s="6">
        <f t="shared" si="0"/>
        <v>1.1931529186856895</v>
      </c>
      <c r="G35" s="3"/>
    </row>
    <row r="36" spans="1:7" x14ac:dyDescent="0.2">
      <c r="A36" s="1">
        <v>46577</v>
      </c>
      <c r="B36" s="18">
        <f t="shared" si="4"/>
        <v>4.5454545454545459</v>
      </c>
      <c r="C36" s="18">
        <f>B$10%*YEARFRAC(A35,A36,B$17)*(B$14-SUM(B$22:B35))</f>
        <v>2.5</v>
      </c>
      <c r="D36" s="18">
        <f t="shared" si="3"/>
        <v>7.0454545454545459</v>
      </c>
      <c r="E36" s="2">
        <f t="shared" si="2"/>
        <v>6.8472222222222223</v>
      </c>
      <c r="F36" s="6">
        <f t="shared" si="0"/>
        <v>3.1721904356137545</v>
      </c>
      <c r="G36" s="3"/>
    </row>
    <row r="37" spans="1:7" x14ac:dyDescent="0.2">
      <c r="A37" s="1">
        <v>46761</v>
      </c>
      <c r="B37" s="18">
        <f t="shared" si="4"/>
        <v>4.5454545454545459</v>
      </c>
      <c r="C37" s="18">
        <f>B$10%*YEARFRAC(A36,A37,B$17)*(B$14-SUM(B$22:B36))</f>
        <v>2.3863636363636362</v>
      </c>
      <c r="D37" s="18">
        <f t="shared" si="3"/>
        <v>6.9318181818181817</v>
      </c>
      <c r="E37" s="2">
        <f t="shared" si="2"/>
        <v>7.3472222222222223</v>
      </c>
      <c r="F37" s="6">
        <f t="shared" si="0"/>
        <v>2.9443642205179401</v>
      </c>
      <c r="G37" s="3"/>
    </row>
    <row r="38" spans="1:7" x14ac:dyDescent="0.2">
      <c r="A38" s="1">
        <v>46943</v>
      </c>
      <c r="B38" s="18">
        <f t="shared" si="4"/>
        <v>4.5454545454545459</v>
      </c>
      <c r="C38" s="18">
        <f>B$10%*YEARFRAC(A37,A38,B$17)*(B$14-SUM(B$22:B37))</f>
        <v>2.2727272727272729</v>
      </c>
      <c r="D38" s="18">
        <f t="shared" si="3"/>
        <v>6.8181818181818183</v>
      </c>
      <c r="E38" s="2">
        <f t="shared" si="2"/>
        <v>7.8472222222222223</v>
      </c>
      <c r="F38" s="6">
        <f t="shared" si="0"/>
        <v>2.7321659949130281</v>
      </c>
      <c r="G38" s="3"/>
    </row>
    <row r="39" spans="1:7" x14ac:dyDescent="0.2">
      <c r="A39" s="1">
        <v>47127</v>
      </c>
      <c r="B39" s="18">
        <f t="shared" si="4"/>
        <v>4.5454545454545459</v>
      </c>
      <c r="C39" s="18">
        <f>B$10%*YEARFRAC(A38,A39,B$17)*(B$14-SUM(B$22:B38))</f>
        <v>2.1590909090909092</v>
      </c>
      <c r="D39" s="18">
        <f t="shared" si="3"/>
        <v>6.704545454545455</v>
      </c>
      <c r="E39" s="2">
        <f t="shared" si="2"/>
        <v>8.3472222222222214</v>
      </c>
      <c r="F39" s="6">
        <f t="shared" si="0"/>
        <v>2.5345565047149159</v>
      </c>
      <c r="G39" s="3"/>
    </row>
    <row r="40" spans="1:7" x14ac:dyDescent="0.2">
      <c r="A40" s="1">
        <v>47308</v>
      </c>
      <c r="B40" s="18">
        <f t="shared" si="4"/>
        <v>4.5454545454545459</v>
      </c>
      <c r="C40" s="18">
        <f>B$10%*YEARFRAC(A39,A40,B$17)*(B$14-SUM(B$22:B39))</f>
        <v>2.0454545454545454</v>
      </c>
      <c r="D40" s="18">
        <f t="shared" si="3"/>
        <v>6.5909090909090917</v>
      </c>
      <c r="E40" s="2">
        <f t="shared" si="2"/>
        <v>8.8472222222222214</v>
      </c>
      <c r="F40" s="6">
        <f t="shared" si="0"/>
        <v>2.350564075367207</v>
      </c>
      <c r="G40" s="3"/>
    </row>
    <row r="41" spans="1:7" x14ac:dyDescent="0.2">
      <c r="A41" s="1">
        <v>47492</v>
      </c>
      <c r="B41" s="18">
        <f t="shared" si="4"/>
        <v>4.5454545454545459</v>
      </c>
      <c r="C41" s="18">
        <f>B$10%*YEARFRAC(A40,A41,B$17)*(B$14-SUM(B$22:B40))</f>
        <v>1.9318181818181817</v>
      </c>
      <c r="D41" s="18">
        <f t="shared" si="3"/>
        <v>6.4772727272727275</v>
      </c>
      <c r="E41" s="2">
        <f t="shared" si="2"/>
        <v>9.3472222222222214</v>
      </c>
      <c r="F41" s="6">
        <f t="shared" si="0"/>
        <v>2.1792802910854063</v>
      </c>
      <c r="G41" s="3"/>
    </row>
    <row r="42" spans="1:7" x14ac:dyDescent="0.2">
      <c r="A42" s="1">
        <v>47673</v>
      </c>
      <c r="B42" s="18">
        <f t="shared" si="4"/>
        <v>4.5454545454545459</v>
      </c>
      <c r="C42" s="18">
        <f>B$10%*YEARFRAC(A41,A42,B$17)*(B$14-SUM(B$22:B41))</f>
        <v>1.8181818181818181</v>
      </c>
      <c r="D42" s="18">
        <f t="shared" si="3"/>
        <v>6.3636363636363642</v>
      </c>
      <c r="E42" s="2">
        <f t="shared" si="2"/>
        <v>9.8472222222222214</v>
      </c>
      <c r="F42" s="6">
        <f t="shared" si="0"/>
        <v>2.019855946719344</v>
      </c>
      <c r="G42" s="3"/>
    </row>
    <row r="43" spans="1:7" x14ac:dyDescent="0.2">
      <c r="A43" s="1">
        <v>47857</v>
      </c>
      <c r="B43" s="18">
        <f t="shared" si="4"/>
        <v>4.5454545454545459</v>
      </c>
      <c r="C43" s="18">
        <f>B$10%*YEARFRAC(A42,A43,B$17)*(B$14-SUM(B$22:B42))</f>
        <v>1.7045454545454544</v>
      </c>
      <c r="D43" s="18">
        <f t="shared" si="3"/>
        <v>6.25</v>
      </c>
      <c r="E43" s="2">
        <f t="shared" si="2"/>
        <v>10.347222222222221</v>
      </c>
      <c r="F43" s="6">
        <f t="shared" si="0"/>
        <v>1.8714972552150253</v>
      </c>
      <c r="G43" s="3"/>
    </row>
    <row r="44" spans="1:7" x14ac:dyDescent="0.2">
      <c r="A44" s="1">
        <v>48038</v>
      </c>
      <c r="B44" s="18">
        <f t="shared" si="4"/>
        <v>4.5454545454545459</v>
      </c>
      <c r="C44" s="18">
        <f>B$10%*YEARFRAC(A43,A44,B$17)*(B$14-SUM(B$22:B43))</f>
        <v>1.5909090909090908</v>
      </c>
      <c r="D44" s="18">
        <f t="shared" si="3"/>
        <v>6.1363636363636367</v>
      </c>
      <c r="E44" s="2">
        <f t="shared" si="2"/>
        <v>10.847222222222221</v>
      </c>
      <c r="F44" s="6">
        <f t="shared" si="0"/>
        <v>1.7334622947103151</v>
      </c>
      <c r="G44" s="3"/>
    </row>
    <row r="45" spans="1:7" x14ac:dyDescent="0.2">
      <c r="A45" s="1">
        <v>48222</v>
      </c>
      <c r="B45" s="18">
        <f t="shared" si="4"/>
        <v>4.5454545454545459</v>
      </c>
      <c r="C45" s="18">
        <f>B$10%*YEARFRAC(A44,A45,B$17)*(B$14-SUM(B$22:B44))</f>
        <v>1.4772727272727273</v>
      </c>
      <c r="D45" s="18">
        <f t="shared" si="3"/>
        <v>6.0227272727272734</v>
      </c>
      <c r="E45" s="2">
        <f t="shared" si="2"/>
        <v>11.347222222222221</v>
      </c>
      <c r="F45" s="6">
        <f t="shared" si="0"/>
        <v>1.6050576802873289</v>
      </c>
      <c r="G45" s="3"/>
    </row>
    <row r="46" spans="1:7" x14ac:dyDescent="0.2">
      <c r="A46" s="1">
        <v>48404</v>
      </c>
      <c r="B46" s="18">
        <f t="shared" si="4"/>
        <v>4.5454545454545459</v>
      </c>
      <c r="C46" s="18">
        <f>B$10%*YEARFRAC(A45,A46,B$17)*(B$14-SUM(B$22:B45))</f>
        <v>1.3636363636363635</v>
      </c>
      <c r="D46" s="18">
        <f t="shared" si="3"/>
        <v>5.9090909090909092</v>
      </c>
      <c r="E46" s="2">
        <f t="shared" si="2"/>
        <v>11.847222222222221</v>
      </c>
      <c r="F46" s="6">
        <f t="shared" si="0"/>
        <v>1.4856354463321662</v>
      </c>
      <c r="G46" s="3"/>
    </row>
    <row r="47" spans="1:7" x14ac:dyDescent="0.2">
      <c r="A47" s="1">
        <v>48588</v>
      </c>
      <c r="B47" s="18">
        <f t="shared" si="4"/>
        <v>4.5454545454545459</v>
      </c>
      <c r="C47" s="18">
        <f>B$10%*YEARFRAC(A46,A47,B$17)*(B$14-SUM(B$22:B46))</f>
        <v>1.25</v>
      </c>
      <c r="D47" s="18">
        <f t="shared" si="3"/>
        <v>5.7954545454545459</v>
      </c>
      <c r="E47" s="2">
        <f t="shared" si="2"/>
        <v>12.347222222222221</v>
      </c>
      <c r="F47" s="6">
        <f t="shared" si="0"/>
        <v>1.3745901263233029</v>
      </c>
      <c r="G47" s="3"/>
    </row>
    <row r="48" spans="1:7" x14ac:dyDescent="0.2">
      <c r="A48" s="1">
        <v>48769</v>
      </c>
      <c r="B48" s="18">
        <f t="shared" si="4"/>
        <v>4.5454545454545459</v>
      </c>
      <c r="C48" s="18">
        <f>B$10%*YEARFRAC(A47,A48,B$17)*(B$14-SUM(B$22:B47))</f>
        <v>1.1363636363636362</v>
      </c>
      <c r="D48" s="18">
        <f t="shared" si="3"/>
        <v>5.6818181818181817</v>
      </c>
      <c r="E48" s="2">
        <f t="shared" si="2"/>
        <v>12.847222222222221</v>
      </c>
      <c r="F48" s="6">
        <f t="shared" si="0"/>
        <v>1.2713560176871097</v>
      </c>
      <c r="G48" s="3"/>
    </row>
    <row r="49" spans="1:7" x14ac:dyDescent="0.2">
      <c r="A49" s="1">
        <v>48953</v>
      </c>
      <c r="B49" s="18">
        <f t="shared" si="4"/>
        <v>4.5454545454545459</v>
      </c>
      <c r="C49" s="18">
        <f>B$10%*YEARFRAC(A48,A49,B$17)*(B$14-SUM(B$22:B48))</f>
        <v>1.0227272727272725</v>
      </c>
      <c r="D49" s="18">
        <f t="shared" si="3"/>
        <v>5.5681818181818183</v>
      </c>
      <c r="E49" s="2">
        <f t="shared" si="2"/>
        <v>13.347222222222221</v>
      </c>
      <c r="F49" s="6">
        <f t="shared" si="0"/>
        <v>1.1754046201258181</v>
      </c>
      <c r="G49" s="3"/>
    </row>
    <row r="50" spans="1:7" x14ac:dyDescent="0.2">
      <c r="A50" s="1">
        <v>49134</v>
      </c>
      <c r="B50" s="18">
        <f t="shared" si="4"/>
        <v>4.5454545454545459</v>
      </c>
      <c r="C50" s="18">
        <f>B$10%*YEARFRAC(A49,A50,B$17)*(B$14-SUM(B$22:B49))</f>
        <v>0.90909090909090884</v>
      </c>
      <c r="D50" s="18">
        <f t="shared" si="3"/>
        <v>5.454545454545455</v>
      </c>
      <c r="E50" s="2">
        <f t="shared" si="2"/>
        <v>13.847222222222221</v>
      </c>
      <c r="F50" s="6">
        <f t="shared" si="0"/>
        <v>1.0862422365429203</v>
      </c>
      <c r="G50" s="3"/>
    </row>
    <row r="51" spans="1:7" x14ac:dyDescent="0.2">
      <c r="A51" s="1">
        <v>49318</v>
      </c>
      <c r="B51" s="18">
        <f t="shared" si="4"/>
        <v>4.5454545454545459</v>
      </c>
      <c r="C51" s="18">
        <f>B$10%*YEARFRAC(A50,A51,B$17)*(B$14-SUM(B$22:B50))</f>
        <v>0.79545454545454541</v>
      </c>
      <c r="D51" s="18">
        <f t="shared" si="3"/>
        <v>5.3409090909090917</v>
      </c>
      <c r="E51" s="2">
        <f t="shared" si="2"/>
        <v>14.347222222222221</v>
      </c>
      <c r="F51" s="6">
        <f t="shared" si="0"/>
        <v>1.0034077263662984</v>
      </c>
      <c r="G51" s="3"/>
    </row>
    <row r="52" spans="1:7" x14ac:dyDescent="0.2">
      <c r="A52" s="1">
        <v>49499</v>
      </c>
      <c r="B52" s="18">
        <f t="shared" si="4"/>
        <v>4.5454545454545459</v>
      </c>
      <c r="C52" s="18">
        <f>B$10%*YEARFRAC(A51,A52,B$17)*(B$14-SUM(B$22:B51))</f>
        <v>0.68181818181818166</v>
      </c>
      <c r="D52" s="18">
        <f t="shared" si="3"/>
        <v>5.2272727272727275</v>
      </c>
      <c r="E52" s="2">
        <f t="shared" si="2"/>
        <v>14.847222222222221</v>
      </c>
      <c r="F52" s="6">
        <f t="shared" si="0"/>
        <v>0.92647040170312533</v>
      </c>
      <c r="G52" s="3"/>
    </row>
    <row r="53" spans="1:7" x14ac:dyDescent="0.2">
      <c r="A53" s="1">
        <v>49683</v>
      </c>
      <c r="B53" s="18">
        <f t="shared" ref="B53:B58" si="5">IF(A53&lt;B$13,0,B$14/B$12)</f>
        <v>4.5454545454545459</v>
      </c>
      <c r="C53" s="18">
        <f>B$10%*YEARFRAC(A52,A53,B$17)*(B$14-SUM(B$22:B52))</f>
        <v>0.56818181818181801</v>
      </c>
      <c r="D53" s="18">
        <f t="shared" ref="D53:D58" si="6">C53+B53</f>
        <v>5.1136363636363642</v>
      </c>
      <c r="E53" s="2">
        <f t="shared" si="2"/>
        <v>15.347222222222221</v>
      </c>
      <c r="F53" s="6">
        <f t="shared" si="0"/>
        <v>0.85502805735522236</v>
      </c>
      <c r="G53" s="3"/>
    </row>
    <row r="54" spans="1:7" x14ac:dyDescent="0.2">
      <c r="A54" s="1">
        <v>49865</v>
      </c>
      <c r="B54" s="18">
        <f t="shared" si="5"/>
        <v>4.5454545454545459</v>
      </c>
      <c r="C54" s="18">
        <f>B$10%*YEARFRAC(A53,A54,B$17)*(B$14-SUM(B$22:B53))</f>
        <v>0.45454545454545436</v>
      </c>
      <c r="D54" s="18">
        <f t="shared" si="6"/>
        <v>5</v>
      </c>
      <c r="E54" s="2">
        <f t="shared" si="2"/>
        <v>15.847222222222221</v>
      </c>
      <c r="F54" s="6">
        <f t="shared" si="0"/>
        <v>0.78870512628154676</v>
      </c>
      <c r="G54" s="3"/>
    </row>
    <row r="55" spans="1:7" x14ac:dyDescent="0.2">
      <c r="A55" s="1">
        <v>50049</v>
      </c>
      <c r="B55" s="18">
        <f t="shared" si="5"/>
        <v>4.5454545454545459</v>
      </c>
      <c r="C55" s="18">
        <f>B$10%*YEARFRAC(A54,A55,B$17)*(B$14-SUM(B$22:B54))</f>
        <v>0.34090909090909066</v>
      </c>
      <c r="D55" s="18">
        <f t="shared" si="6"/>
        <v>4.8863636363636367</v>
      </c>
      <c r="E55" s="2">
        <f t="shared" si="2"/>
        <v>16.347222222222221</v>
      </c>
      <c r="F55" s="6">
        <f t="shared" si="0"/>
        <v>0.72715095261806417</v>
      </c>
      <c r="G55" s="3"/>
    </row>
    <row r="56" spans="1:7" x14ac:dyDescent="0.2">
      <c r="A56" s="1">
        <v>50230</v>
      </c>
      <c r="B56" s="18">
        <f t="shared" si="5"/>
        <v>4.5454545454545459</v>
      </c>
      <c r="C56" s="18">
        <f>B$10%*YEARFRAC(A55,A56,B$17)*(B$14-SUM(B$22:B55))</f>
        <v>0.22727272727272699</v>
      </c>
      <c r="D56" s="18">
        <f t="shared" si="6"/>
        <v>4.7727272727272725</v>
      </c>
      <c r="E56" s="2">
        <f t="shared" si="2"/>
        <v>16.847222222222221</v>
      </c>
      <c r="F56" s="6">
        <f t="shared" si="0"/>
        <v>0.67003817485648731</v>
      </c>
      <c r="G56" s="3"/>
    </row>
    <row r="57" spans="1:7" x14ac:dyDescent="0.2">
      <c r="A57" s="1">
        <v>50414</v>
      </c>
      <c r="B57" s="18">
        <f t="shared" si="5"/>
        <v>4.5454545454545459</v>
      </c>
      <c r="C57" s="18">
        <f>B$10%*YEARFRAC(A56,A57,B$17)*(B$14-SUM(B$22:B56))</f>
        <v>0.11363636363636331</v>
      </c>
      <c r="D57" s="18">
        <f t="shared" si="6"/>
        <v>4.6590909090909092</v>
      </c>
      <c r="E57" s="2">
        <f t="shared" si="2"/>
        <v>17.347222222222221</v>
      </c>
      <c r="F57" s="6">
        <f t="shared" si="0"/>
        <v>0.61706121224429422</v>
      </c>
      <c r="G57" s="3"/>
    </row>
    <row r="58" spans="1:7" x14ac:dyDescent="0.2">
      <c r="A58" s="1"/>
      <c r="B58" s="18"/>
      <c r="C58" s="18"/>
      <c r="D58" s="18"/>
      <c r="F58" s="6"/>
      <c r="G58" s="3"/>
    </row>
    <row r="59" spans="1:7" x14ac:dyDescent="0.2">
      <c r="A59" s="1"/>
      <c r="F59" s="6"/>
      <c r="G59" s="3"/>
    </row>
    <row r="60" spans="1:7" x14ac:dyDescent="0.2">
      <c r="A60" s="1"/>
      <c r="F60" s="6"/>
      <c r="G60" s="3"/>
    </row>
    <row r="61" spans="1:7" x14ac:dyDescent="0.2">
      <c r="A61" s="1"/>
      <c r="F61" s="6"/>
      <c r="G61" s="3"/>
    </row>
    <row r="62" spans="1:7" x14ac:dyDescent="0.2">
      <c r="A62" s="1"/>
      <c r="F62" s="6"/>
      <c r="G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27" sqref="D27"/>
    </sheetView>
  </sheetViews>
  <sheetFormatPr baseColWidth="10" defaultRowHeight="16" x14ac:dyDescent="0.2"/>
  <cols>
    <col min="1" max="1" width="17.6640625" bestFit="1" customWidth="1"/>
    <col min="3" max="3" width="34.1640625" bestFit="1" customWidth="1"/>
    <col min="4" max="4" width="27.1640625" bestFit="1" customWidth="1"/>
    <col min="5" max="5" width="17.6640625" bestFit="1" customWidth="1"/>
    <col min="6" max="6" width="17.83203125" style="8" customWidth="1"/>
    <col min="7" max="7" width="25.6640625" style="8" bestFit="1" customWidth="1"/>
    <col min="8" max="8" width="17.6640625" bestFit="1" customWidth="1"/>
    <col min="9" max="9" width="14.5" bestFit="1" customWidth="1"/>
    <col min="10" max="10" width="25.6640625" bestFit="1" customWidth="1"/>
    <col min="11" max="11" width="17.6640625" bestFit="1" customWidth="1"/>
    <col min="12" max="12" width="14.5" bestFit="1" customWidth="1"/>
  </cols>
  <sheetData>
    <row r="1" spans="1:11" s="9" customFormat="1" x14ac:dyDescent="0.2">
      <c r="A1" s="9" t="s">
        <v>10</v>
      </c>
      <c r="B1" s="10">
        <v>44078</v>
      </c>
      <c r="E1" s="11"/>
      <c r="F1" s="11"/>
      <c r="G1" s="11"/>
      <c r="H1" s="11"/>
      <c r="K1" s="11"/>
    </row>
    <row r="2" spans="1:11" x14ac:dyDescent="0.2">
      <c r="A2" s="60" t="s">
        <v>19</v>
      </c>
      <c r="B2" s="60" t="s">
        <v>22</v>
      </c>
      <c r="C2" s="60" t="s">
        <v>30</v>
      </c>
      <c r="D2" s="60" t="s">
        <v>24</v>
      </c>
      <c r="E2" s="60" t="s">
        <v>25</v>
      </c>
      <c r="F2" s="61" t="s">
        <v>26</v>
      </c>
      <c r="G2" s="36"/>
    </row>
    <row r="3" spans="1:11" s="9" customFormat="1" x14ac:dyDescent="0.2">
      <c r="A3" s="9" t="s">
        <v>20</v>
      </c>
      <c r="B3" s="9" t="s">
        <v>23</v>
      </c>
      <c r="C3" s="13">
        <v>5.9583299999999999E-2</v>
      </c>
      <c r="D3" s="26">
        <f>C3*'Bono 2029 USD'!B$19</f>
        <v>2.5853456025226569</v>
      </c>
      <c r="E3" s="30">
        <f>0.97*'Bono 2030 USD'!B19</f>
        <v>41.488996369892</v>
      </c>
      <c r="F3" s="34">
        <f>E3+D3</f>
        <v>44.074341972414658</v>
      </c>
      <c r="G3" s="11"/>
    </row>
    <row r="4" spans="1:11" s="9" customFormat="1" x14ac:dyDescent="0.2">
      <c r="A4" s="9" t="s">
        <v>21</v>
      </c>
      <c r="B4" s="9" t="s">
        <v>23</v>
      </c>
      <c r="C4" s="13">
        <f>7.86824%/1.402038</f>
        <v>5.6120019571509479E-2</v>
      </c>
      <c r="D4" s="26">
        <f>C4*'Bono 2029 USD'!B$19</f>
        <v>2.4350723409527077</v>
      </c>
      <c r="E4" s="30">
        <f>1*'Bono 2038 USD'!B19</f>
        <v>49.267023115830391</v>
      </c>
      <c r="F4" s="34">
        <f>+E4+D4</f>
        <v>51.702095456783098</v>
      </c>
      <c r="G4" s="11"/>
    </row>
    <row r="5" spans="1:11" s="28" customFormat="1" x14ac:dyDescent="0.2">
      <c r="C5" s="13"/>
      <c r="D5" s="29"/>
      <c r="E5" s="30"/>
      <c r="F5" s="35"/>
      <c r="G5" s="32"/>
    </row>
    <row r="6" spans="1:11" s="28" customFormat="1" x14ac:dyDescent="0.2">
      <c r="C6" s="13">
        <f>+C4*1.402038</f>
        <v>7.86824E-2</v>
      </c>
      <c r="D6" s="30"/>
      <c r="E6" s="30"/>
      <c r="F6" s="31"/>
      <c r="G6" s="32"/>
    </row>
    <row r="7" spans="1:11" s="28" customFormat="1" x14ac:dyDescent="0.2">
      <c r="C7" s="27">
        <f>7.01019*10*2</f>
        <v>140.2038</v>
      </c>
      <c r="D7" s="30"/>
      <c r="E7" s="30"/>
      <c r="F7" s="31"/>
      <c r="G7" s="32"/>
    </row>
    <row r="8" spans="1:11" s="9" customFormat="1" x14ac:dyDescent="0.2">
      <c r="D8" s="12"/>
      <c r="E8" s="30"/>
      <c r="F8" s="31"/>
      <c r="G8" s="11"/>
    </row>
    <row r="9" spans="1:11" s="9" customFormat="1" x14ac:dyDescent="0.2">
      <c r="D9" s="12"/>
      <c r="E9" s="30"/>
      <c r="F9" s="31"/>
      <c r="G9" s="11"/>
    </row>
    <row r="10" spans="1:11" s="9" customFormat="1" x14ac:dyDescent="0.2">
      <c r="C10" s="13"/>
      <c r="D10" s="12"/>
      <c r="E10" s="30"/>
      <c r="F10" s="31"/>
      <c r="G10" s="11"/>
    </row>
    <row r="11" spans="1:11" s="9" customFormat="1" x14ac:dyDescent="0.2">
      <c r="C11" s="13"/>
      <c r="D11" s="12"/>
      <c r="E11" s="30"/>
      <c r="F11" s="31"/>
      <c r="G11" s="11"/>
    </row>
    <row r="12" spans="1:11" s="9" customFormat="1" x14ac:dyDescent="0.2">
      <c r="C12" s="13"/>
      <c r="D12" s="12"/>
      <c r="E12" s="30"/>
      <c r="F12" s="31"/>
      <c r="G12" s="11"/>
    </row>
    <row r="13" spans="1:11" s="9" customFormat="1" x14ac:dyDescent="0.2">
      <c r="E13" s="28"/>
      <c r="F13" s="32"/>
      <c r="G13" s="11"/>
    </row>
    <row r="14" spans="1:11" s="9" customFormat="1" x14ac:dyDescent="0.2">
      <c r="E14" s="28"/>
      <c r="F14" s="32"/>
      <c r="G14" s="11"/>
    </row>
    <row r="15" spans="1:11" s="9" customFormat="1" x14ac:dyDescent="0.2">
      <c r="E15" s="28"/>
      <c r="F15" s="32"/>
      <c r="G15" s="11"/>
    </row>
    <row r="16" spans="1:11" s="9" customFormat="1" x14ac:dyDescent="0.2">
      <c r="E16" s="28"/>
      <c r="F16" s="32"/>
      <c r="G16" s="11"/>
    </row>
    <row r="17" spans="6:7" s="9" customFormat="1" x14ac:dyDescent="0.2">
      <c r="F17" s="11"/>
      <c r="G17" s="11"/>
    </row>
    <row r="18" spans="6:7" s="9" customFormat="1" x14ac:dyDescent="0.2">
      <c r="F18" s="11"/>
      <c r="G18" s="11"/>
    </row>
    <row r="19" spans="6:7" s="9" customFormat="1" x14ac:dyDescent="0.2">
      <c r="F19" s="11"/>
      <c r="G19" s="11"/>
    </row>
    <row r="20" spans="6:7" s="9" customFormat="1" x14ac:dyDescent="0.2">
      <c r="F20" s="11"/>
      <c r="G20" s="11"/>
    </row>
    <row r="21" spans="6:7" s="9" customFormat="1" x14ac:dyDescent="0.2">
      <c r="F21" s="11"/>
      <c r="G21" s="11"/>
    </row>
    <row r="22" spans="6:7" s="9" customFormat="1" x14ac:dyDescent="0.2">
      <c r="F22" s="11"/>
      <c r="G22" s="11"/>
    </row>
    <row r="23" spans="6:7" s="9" customFormat="1" x14ac:dyDescent="0.2">
      <c r="F23" s="11"/>
      <c r="G23" s="11"/>
    </row>
    <row r="24" spans="6:7" s="9" customFormat="1" x14ac:dyDescent="0.2">
      <c r="F24" s="11"/>
      <c r="G24" s="11"/>
    </row>
    <row r="25" spans="6:7" s="9" customFormat="1" x14ac:dyDescent="0.2">
      <c r="F25" s="11"/>
      <c r="G25" s="11"/>
    </row>
    <row r="26" spans="6:7" s="9" customFormat="1" x14ac:dyDescent="0.2">
      <c r="F26" s="11"/>
      <c r="G26" s="11"/>
    </row>
    <row r="27" spans="6:7" s="9" customFormat="1" x14ac:dyDescent="0.2">
      <c r="F27" s="11"/>
      <c r="G27" s="11"/>
    </row>
    <row r="28" spans="6:7" s="9" customFormat="1" x14ac:dyDescent="0.2">
      <c r="F28" s="11"/>
      <c r="G28" s="11"/>
    </row>
    <row r="29" spans="6:7" s="9" customFormat="1" x14ac:dyDescent="0.2">
      <c r="F29" s="11"/>
      <c r="G29" s="11"/>
    </row>
    <row r="30" spans="6:7" s="9" customFormat="1" x14ac:dyDescent="0.2">
      <c r="F30" s="11"/>
      <c r="G30" s="11"/>
    </row>
    <row r="31" spans="6:7" s="9" customFormat="1" x14ac:dyDescent="0.2">
      <c r="F31" s="11"/>
      <c r="G31" s="11"/>
    </row>
    <row r="32" spans="6:7" s="9" customFormat="1" x14ac:dyDescent="0.2">
      <c r="F32" s="11"/>
      <c r="G32" s="11"/>
    </row>
    <row r="33" spans="6:7" s="9" customFormat="1" x14ac:dyDescent="0.2">
      <c r="F33" s="11"/>
      <c r="G33" s="11"/>
    </row>
    <row r="34" spans="6:7" s="9" customFormat="1" x14ac:dyDescent="0.2">
      <c r="F34" s="11"/>
      <c r="G34" s="11"/>
    </row>
    <row r="35" spans="6:7" s="9" customFormat="1" x14ac:dyDescent="0.2">
      <c r="F35" s="11"/>
      <c r="G35" s="11"/>
    </row>
    <row r="36" spans="6:7" s="9" customFormat="1" x14ac:dyDescent="0.2">
      <c r="F36" s="11"/>
      <c r="G36" s="11"/>
    </row>
    <row r="37" spans="6:7" s="9" customFormat="1" x14ac:dyDescent="0.2">
      <c r="F37" s="11"/>
      <c r="G37" s="11"/>
    </row>
    <row r="38" spans="6:7" s="9" customFormat="1" x14ac:dyDescent="0.2">
      <c r="F38" s="11"/>
      <c r="G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31" sqref="H31"/>
    </sheetView>
  </sheetViews>
  <sheetFormatPr baseColWidth="10" defaultRowHeight="16" x14ac:dyDescent="0.2"/>
  <sheetData>
    <row r="1" spans="1:7" x14ac:dyDescent="0.2">
      <c r="B1" t="s">
        <v>31</v>
      </c>
      <c r="D1" t="s">
        <v>32</v>
      </c>
    </row>
    <row r="2" spans="1:7" x14ac:dyDescent="0.2">
      <c r="A2">
        <v>0.5</v>
      </c>
      <c r="B2" s="14">
        <v>0.26</v>
      </c>
      <c r="D2">
        <f>'Bono 2029 USD'!D24/((1+B2/2)^(2*A2))</f>
        <v>0.7497541789577189</v>
      </c>
      <c r="F2" s="38" t="s">
        <v>33</v>
      </c>
      <c r="G2" s="37">
        <f>+SUM(D2:D18)</f>
        <v>50.483250159760793</v>
      </c>
    </row>
    <row r="3" spans="1:7" x14ac:dyDescent="0.2">
      <c r="A3">
        <f>+A2+0.5</f>
        <v>1</v>
      </c>
      <c r="B3" s="14">
        <v>0.24</v>
      </c>
      <c r="D3">
        <f>'Bono 2029 USD'!D25/((1+B3/2)^(2*A3))</f>
        <v>0.39859693877551017</v>
      </c>
    </row>
    <row r="4" spans="1:7" x14ac:dyDescent="0.2">
      <c r="A4">
        <f t="shared" ref="A4:A21" si="0">+A3+0.5</f>
        <v>1.5</v>
      </c>
      <c r="B4" s="14">
        <v>0.21</v>
      </c>
      <c r="D4">
        <f>'Bono 2029 USD'!D26/((1+B4/2)^(2*A4))</f>
        <v>0.37058101822878764</v>
      </c>
    </row>
    <row r="5" spans="1:7" x14ac:dyDescent="0.2">
      <c r="A5">
        <f t="shared" si="0"/>
        <v>2</v>
      </c>
      <c r="B5" s="14">
        <v>0.2</v>
      </c>
      <c r="D5">
        <f>'Bono 2029 USD'!D27/((1+B5/2)^(2*A5))</f>
        <v>0.34150672768253526</v>
      </c>
    </row>
    <row r="6" spans="1:7" x14ac:dyDescent="0.2">
      <c r="A6">
        <f t="shared" si="0"/>
        <v>2.5</v>
      </c>
      <c r="B6" s="14">
        <v>0.18</v>
      </c>
      <c r="D6">
        <f>'Bono 2029 USD'!D28/((1+B6/2)^(2*A6))</f>
        <v>0.32496569314917262</v>
      </c>
    </row>
    <row r="7" spans="1:7" x14ac:dyDescent="0.2">
      <c r="A7">
        <f t="shared" si="0"/>
        <v>3</v>
      </c>
      <c r="B7" s="14">
        <v>0.15</v>
      </c>
      <c r="D7">
        <f>'Bono 2029 USD'!D29/((1+B7/2)^(2*A7))</f>
        <v>0.32398075923261221</v>
      </c>
    </row>
    <row r="8" spans="1:7" x14ac:dyDescent="0.2">
      <c r="A8">
        <f t="shared" si="0"/>
        <v>3.5</v>
      </c>
      <c r="B8" s="14">
        <v>0.13</v>
      </c>
      <c r="D8">
        <f>'Bono 2029 USD'!D30/((1+B8/2)^(2*A8))</f>
        <v>0.32175310741737972</v>
      </c>
    </row>
    <row r="9" spans="1:7" x14ac:dyDescent="0.2">
      <c r="A9">
        <f t="shared" si="0"/>
        <v>4</v>
      </c>
      <c r="B9" s="14">
        <f>+B8</f>
        <v>0.13</v>
      </c>
      <c r="D9">
        <f>'Bono 2029 USD'!D31/((1+B9/2)^(2*A9))</f>
        <v>6.3444274702018548</v>
      </c>
    </row>
    <row r="10" spans="1:7" x14ac:dyDescent="0.2">
      <c r="A10">
        <f t="shared" si="0"/>
        <v>4.5</v>
      </c>
      <c r="B10" s="14">
        <f t="shared" ref="B10:B21" si="1">+B9</f>
        <v>0.13</v>
      </c>
      <c r="D10">
        <f>'Bono 2029 USD'!D32/((1+B10/2)^(2*A10))</f>
        <v>5.9288412308168459</v>
      </c>
    </row>
    <row r="11" spans="1:7" x14ac:dyDescent="0.2">
      <c r="A11">
        <f t="shared" si="0"/>
        <v>5</v>
      </c>
      <c r="B11" s="14">
        <f t="shared" si="1"/>
        <v>0.13</v>
      </c>
      <c r="D11">
        <f>'Bono 2029 USD'!D33/((1+B11/2)^(2*A11))</f>
        <v>5.540350769413501</v>
      </c>
    </row>
    <row r="12" spans="1:7" x14ac:dyDescent="0.2">
      <c r="A12">
        <f t="shared" si="0"/>
        <v>5.5</v>
      </c>
      <c r="B12" s="14">
        <f t="shared" si="1"/>
        <v>0.13</v>
      </c>
      <c r="D12">
        <f>'Bono 2029 USD'!D34/((1+B12/2)^(2*A12))</f>
        <v>5.1771966832276757</v>
      </c>
    </row>
    <row r="13" spans="1:7" x14ac:dyDescent="0.2">
      <c r="A13">
        <f t="shared" si="0"/>
        <v>6</v>
      </c>
      <c r="B13" s="14">
        <f t="shared" si="1"/>
        <v>0.13</v>
      </c>
      <c r="D13">
        <f>'Bono 2029 USD'!D35/((1+B13/2)^(2*A13))</f>
        <v>4.8377334002172852</v>
      </c>
    </row>
    <row r="14" spans="1:7" x14ac:dyDescent="0.2">
      <c r="A14">
        <f t="shared" si="0"/>
        <v>6.5</v>
      </c>
      <c r="B14" s="14">
        <f t="shared" si="1"/>
        <v>0.13</v>
      </c>
      <c r="D14">
        <f>'Bono 2029 USD'!D36/((1+B14/2)^(2*A14))</f>
        <v>4.5204218380260874</v>
      </c>
    </row>
    <row r="15" spans="1:7" x14ac:dyDescent="0.2">
      <c r="A15">
        <f t="shared" si="0"/>
        <v>7</v>
      </c>
      <c r="B15" s="14">
        <f t="shared" si="1"/>
        <v>0.13</v>
      </c>
      <c r="D15">
        <f>'Bono 2029 USD'!D37/((1+B15/2)^(2*A15))</f>
        <v>4.2238225350157874</v>
      </c>
    </row>
    <row r="16" spans="1:7" x14ac:dyDescent="0.2">
      <c r="A16">
        <f t="shared" si="0"/>
        <v>7.5</v>
      </c>
      <c r="B16" s="14">
        <f t="shared" si="1"/>
        <v>0.13</v>
      </c>
      <c r="D16">
        <f>'Bono 2029 USD'!D38/((1+B16/2)^(2*A16))</f>
        <v>3.9465892230884889</v>
      </c>
    </row>
    <row r="17" spans="1:4" x14ac:dyDescent="0.2">
      <c r="A17">
        <f t="shared" si="0"/>
        <v>8</v>
      </c>
      <c r="B17" s="14">
        <f t="shared" si="1"/>
        <v>0.13</v>
      </c>
      <c r="D17">
        <f>'Bono 2029 USD'!D39/((1+B17/2)^(2*A17))</f>
        <v>3.6874628139590406</v>
      </c>
    </row>
    <row r="18" spans="1:4" x14ac:dyDescent="0.2">
      <c r="A18">
        <f t="shared" si="0"/>
        <v>8.5</v>
      </c>
      <c r="B18" s="14">
        <f t="shared" si="1"/>
        <v>0.13</v>
      </c>
      <c r="D18">
        <f>'Bono 2029 USD'!D40/((1+B18/2)^(2*A18))</f>
        <v>3.4452657723505196</v>
      </c>
    </row>
    <row r="19" spans="1:4" x14ac:dyDescent="0.2">
      <c r="A19">
        <f t="shared" si="0"/>
        <v>9</v>
      </c>
      <c r="B19" s="14">
        <f t="shared" si="1"/>
        <v>0.13</v>
      </c>
    </row>
    <row r="20" spans="1:4" x14ac:dyDescent="0.2">
      <c r="A20">
        <f t="shared" si="0"/>
        <v>9.5</v>
      </c>
      <c r="B20" s="14">
        <f t="shared" si="1"/>
        <v>0.13</v>
      </c>
    </row>
    <row r="21" spans="1:4" x14ac:dyDescent="0.2">
      <c r="A21">
        <f t="shared" si="0"/>
        <v>10</v>
      </c>
      <c r="B21" s="14">
        <f t="shared" si="1"/>
        <v>0.13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" workbookViewId="0">
      <selection activeCell="B13" sqref="B13"/>
    </sheetView>
  </sheetViews>
  <sheetFormatPr baseColWidth="10" defaultRowHeight="16" x14ac:dyDescent="0.2"/>
  <cols>
    <col min="1" max="1" width="29.6640625" bestFit="1" customWidth="1"/>
    <col min="2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0.83203125" style="2"/>
  </cols>
  <sheetData>
    <row r="1" spans="1:9" x14ac:dyDescent="0.2">
      <c r="A1" t="s">
        <v>0</v>
      </c>
    </row>
    <row r="2" spans="1:9" x14ac:dyDescent="0.2">
      <c r="A2" t="s">
        <v>1</v>
      </c>
      <c r="B2" s="4">
        <v>44078</v>
      </c>
    </row>
    <row r="3" spans="1:9" x14ac:dyDescent="0.2">
      <c r="A3" t="s">
        <v>2</v>
      </c>
      <c r="B3" s="4">
        <v>47365</v>
      </c>
    </row>
    <row r="4" spans="1:9" x14ac:dyDescent="0.2">
      <c r="A4" t="s">
        <v>10</v>
      </c>
      <c r="B4" s="4">
        <v>44779</v>
      </c>
    </row>
    <row r="5" spans="1:9" x14ac:dyDescent="0.2">
      <c r="A5" t="s">
        <v>3</v>
      </c>
      <c r="B5" s="5">
        <v>1</v>
      </c>
      <c r="F5" s="40"/>
    </row>
    <row r="6" spans="1:9" x14ac:dyDescent="0.2">
      <c r="A6" t="s">
        <v>4</v>
      </c>
      <c r="B6" s="2">
        <v>2</v>
      </c>
      <c r="F6" s="40"/>
    </row>
    <row r="7" spans="1:9" x14ac:dyDescent="0.2">
      <c r="A7" t="s">
        <v>28</v>
      </c>
      <c r="B7" s="2">
        <v>10</v>
      </c>
    </row>
    <row r="8" spans="1:9" x14ac:dyDescent="0.2">
      <c r="A8" t="s">
        <v>5</v>
      </c>
      <c r="B8" s="4">
        <v>45666</v>
      </c>
    </row>
    <row r="9" spans="1:9" x14ac:dyDescent="0.2">
      <c r="A9" t="s">
        <v>6</v>
      </c>
      <c r="B9" s="2">
        <v>100</v>
      </c>
    </row>
    <row r="10" spans="1:9" x14ac:dyDescent="0.2">
      <c r="A10" t="s">
        <v>7</v>
      </c>
      <c r="B10" s="4">
        <f>+B2</f>
        <v>44078</v>
      </c>
      <c r="F10" s="40"/>
    </row>
    <row r="11" spans="1:9" x14ac:dyDescent="0.2">
      <c r="A11" t="s">
        <v>8</v>
      </c>
      <c r="B11" s="2">
        <v>0</v>
      </c>
      <c r="F11" s="40"/>
    </row>
    <row r="12" spans="1:9" x14ac:dyDescent="0.2">
      <c r="A12" s="46" t="s">
        <v>18</v>
      </c>
      <c r="B12" s="39">
        <f>SUM(F24:F42)</f>
        <v>18.249999869154028</v>
      </c>
      <c r="F12" s="40"/>
    </row>
    <row r="13" spans="1:9" x14ac:dyDescent="0.2">
      <c r="A13" s="48" t="s">
        <v>9</v>
      </c>
      <c r="B13" s="49">
        <v>0.47326218787832086</v>
      </c>
      <c r="F13" s="40"/>
    </row>
    <row r="14" spans="1:9" x14ac:dyDescent="0.2">
      <c r="A14" s="50" t="s">
        <v>27</v>
      </c>
      <c r="B14" s="51">
        <f>+SUM(H24:H40)/(1+B13/B6)</f>
        <v>2.9539684316134873</v>
      </c>
      <c r="F14" s="40"/>
    </row>
    <row r="15" spans="1:9" x14ac:dyDescent="0.2">
      <c r="F15" s="40"/>
    </row>
    <row r="16" spans="1:9" s="45" customFormat="1" x14ac:dyDescent="0.2">
      <c r="A16" s="42"/>
      <c r="B16" s="43"/>
      <c r="C16" s="44"/>
      <c r="D16" s="44"/>
      <c r="E16" s="44"/>
      <c r="F16" s="41"/>
      <c r="G16" s="44"/>
      <c r="H16" s="44"/>
      <c r="I16" s="44"/>
    </row>
    <row r="17" spans="1:9" s="45" customFormat="1" x14ac:dyDescent="0.2">
      <c r="A17" s="42"/>
      <c r="B17" s="43"/>
      <c r="C17" s="44"/>
      <c r="D17" s="44"/>
      <c r="E17" s="44"/>
      <c r="F17" s="41"/>
      <c r="G17" s="44"/>
      <c r="H17" s="44"/>
      <c r="I17" s="44"/>
    </row>
    <row r="18" spans="1:9" s="45" customFormat="1" x14ac:dyDescent="0.2">
      <c r="A18" s="42"/>
      <c r="B18" s="43"/>
      <c r="C18" s="44"/>
      <c r="D18" s="44"/>
      <c r="E18" s="44"/>
      <c r="F18" s="41"/>
      <c r="G18" s="44"/>
      <c r="H18" s="44"/>
      <c r="I18" s="44"/>
    </row>
    <row r="19" spans="1:9" s="45" customFormat="1" x14ac:dyDescent="0.2">
      <c r="A19" s="42"/>
      <c r="B19" s="43"/>
      <c r="C19" s="44"/>
      <c r="D19" s="44"/>
      <c r="E19" s="44"/>
      <c r="F19" s="41"/>
      <c r="G19" s="44"/>
      <c r="H19" s="44"/>
      <c r="I19" s="44"/>
    </row>
    <row r="20" spans="1:9" s="45" customFormat="1" x14ac:dyDescent="0.2">
      <c r="B20" s="44"/>
      <c r="C20" s="44"/>
      <c r="D20" s="44"/>
      <c r="E20" s="44"/>
      <c r="F20" s="44"/>
      <c r="G20" s="44"/>
      <c r="H20" s="44"/>
      <c r="I20" s="44"/>
    </row>
    <row r="21" spans="1:9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x14ac:dyDescent="0.2">
      <c r="A22" s="1">
        <v>44078</v>
      </c>
    </row>
    <row r="23" spans="1:9" x14ac:dyDescent="0.2">
      <c r="A23" s="1">
        <v>44205</v>
      </c>
    </row>
    <row r="24" spans="1:9" x14ac:dyDescent="0.2">
      <c r="A24" s="1">
        <v>44386</v>
      </c>
      <c r="B24" s="2">
        <f t="shared" ref="B24:B40" si="0">IF(A24&lt;B$8,0,B$9/B$7)</f>
        <v>0</v>
      </c>
      <c r="C24" s="18">
        <f>B$5%*YEARFRAC(A22,A24,B$11)*(B$9-SUM(B$22:B23))</f>
        <v>0.84722222222222232</v>
      </c>
      <c r="D24" s="18">
        <f>C24+B24</f>
        <v>0.84722222222222232</v>
      </c>
      <c r="E24" s="19">
        <f>+YEARFRAC($B$4,A24,1)</f>
        <v>1.0767123287671232</v>
      </c>
      <c r="F24" s="23">
        <f t="shared" ref="F24:F40" si="1">+IF(A24&lt;B$4,0,D24/((1+B$13/B$6)^(B$6*E24)))</f>
        <v>0</v>
      </c>
      <c r="G24" s="18">
        <f t="shared" ref="G24:G40" si="2">+F24/B$12</f>
        <v>0</v>
      </c>
      <c r="H24" s="18">
        <f t="shared" ref="H24:H40" si="3">+G24*E24</f>
        <v>0</v>
      </c>
      <c r="I24" s="18">
        <f t="shared" ref="I24:I40" si="4">+G24*(E24^2)</f>
        <v>0</v>
      </c>
    </row>
    <row r="25" spans="1:9" x14ac:dyDescent="0.2">
      <c r="A25" s="1">
        <v>44570</v>
      </c>
      <c r="B25" s="2">
        <f t="shared" si="0"/>
        <v>0</v>
      </c>
      <c r="C25" s="18">
        <f>B$5%*YEARFRAC(A24,A25,B$11)*(B$9-SUM(B$22:B24))</f>
        <v>0.5</v>
      </c>
      <c r="D25" s="18">
        <f t="shared" ref="D25:D40" si="5">C25+B25</f>
        <v>0.5</v>
      </c>
      <c r="E25" s="19">
        <f t="shared" ref="E25:E40" si="6">+YEARFRAC($B$4,A25,1)</f>
        <v>0.57260273972602738</v>
      </c>
      <c r="F25" s="23">
        <f t="shared" si="1"/>
        <v>0</v>
      </c>
      <c r="G25" s="18">
        <f t="shared" si="2"/>
        <v>0</v>
      </c>
      <c r="H25" s="18">
        <f t="shared" si="3"/>
        <v>0</v>
      </c>
      <c r="I25" s="18">
        <f t="shared" si="4"/>
        <v>0</v>
      </c>
    </row>
    <row r="26" spans="1:9" x14ac:dyDescent="0.2">
      <c r="A26" s="1">
        <v>44751</v>
      </c>
      <c r="B26" s="2">
        <f t="shared" si="0"/>
        <v>0</v>
      </c>
      <c r="C26" s="18">
        <f>B$5%*YEARFRAC(A25,A26,B$11)*(B$9-SUM(B$22:B25))</f>
        <v>0.5</v>
      </c>
      <c r="D26" s="18">
        <f t="shared" si="5"/>
        <v>0.5</v>
      </c>
      <c r="E26" s="19">
        <f t="shared" si="6"/>
        <v>7.6712328767123292E-2</v>
      </c>
      <c r="F26" s="23">
        <f t="shared" si="1"/>
        <v>0</v>
      </c>
      <c r="G26" s="18">
        <f t="shared" si="2"/>
        <v>0</v>
      </c>
      <c r="H26" s="18">
        <f t="shared" si="3"/>
        <v>0</v>
      </c>
      <c r="I26" s="18">
        <f t="shared" si="4"/>
        <v>0</v>
      </c>
    </row>
    <row r="27" spans="1:9" x14ac:dyDescent="0.2">
      <c r="A27" s="1">
        <v>44935</v>
      </c>
      <c r="B27" s="2">
        <f t="shared" si="0"/>
        <v>0</v>
      </c>
      <c r="C27" s="18">
        <f>B$5%*YEARFRAC(A26,A27,B$11)*(B$9-SUM(B$22:B26))</f>
        <v>0.5</v>
      </c>
      <c r="D27" s="18">
        <f t="shared" si="5"/>
        <v>0.5</v>
      </c>
      <c r="E27" s="19">
        <f t="shared" si="6"/>
        <v>0.42739726027397262</v>
      </c>
      <c r="F27" s="23">
        <f t="shared" si="1"/>
        <v>0.41698805950570456</v>
      </c>
      <c r="G27" s="18">
        <f t="shared" si="2"/>
        <v>2.2848660958649854E-2</v>
      </c>
      <c r="H27" s="18">
        <f t="shared" si="3"/>
        <v>9.7654550946558276E-3</v>
      </c>
      <c r="I27" s="18">
        <f t="shared" si="4"/>
        <v>4.1737287527844084E-3</v>
      </c>
    </row>
    <row r="28" spans="1:9" x14ac:dyDescent="0.2">
      <c r="A28" s="1">
        <v>45116</v>
      </c>
      <c r="B28" s="2">
        <f t="shared" si="0"/>
        <v>0</v>
      </c>
      <c r="C28" s="18">
        <f>B$5%*YEARFRAC(A27,A28,B$11)*(B$9-SUM(B$22:B27))</f>
        <v>0.5</v>
      </c>
      <c r="D28" s="18">
        <f t="shared" si="5"/>
        <v>0.5</v>
      </c>
      <c r="E28" s="19">
        <f t="shared" si="6"/>
        <v>0.92328767123287669</v>
      </c>
      <c r="F28" s="23">
        <f t="shared" si="1"/>
        <v>0.33778596071601019</v>
      </c>
      <c r="G28" s="18">
        <f t="shared" si="2"/>
        <v>1.850881989796245E-2</v>
      </c>
      <c r="H28" s="18">
        <f t="shared" si="3"/>
        <v>1.7088965220858482E-2</v>
      </c>
      <c r="I28" s="18">
        <f t="shared" si="4"/>
        <v>1.577803090254605E-2</v>
      </c>
    </row>
    <row r="29" spans="1:9" x14ac:dyDescent="0.2">
      <c r="A29" s="1">
        <v>45300</v>
      </c>
      <c r="B29" s="2">
        <f t="shared" si="0"/>
        <v>0</v>
      </c>
      <c r="C29" s="18">
        <f>B$5%*YEARFRAC(A28,A29,B$11)*(B$9-SUM(B$22:B28))</f>
        <v>0.5</v>
      </c>
      <c r="D29" s="18">
        <f t="shared" si="5"/>
        <v>0.5</v>
      </c>
      <c r="E29" s="19">
        <f t="shared" si="6"/>
        <v>1.426094890510949</v>
      </c>
      <c r="F29" s="23">
        <f t="shared" si="1"/>
        <v>0.27282461826999499</v>
      </c>
      <c r="G29" s="18">
        <f t="shared" si="2"/>
        <v>1.494929425896164E-2</v>
      </c>
      <c r="H29" s="18">
        <f t="shared" si="3"/>
        <v>2.1319112159449857E-2</v>
      </c>
      <c r="I29" s="18">
        <f t="shared" si="4"/>
        <v>3.0403076920821285E-2</v>
      </c>
    </row>
    <row r="30" spans="1:9" x14ac:dyDescent="0.2">
      <c r="A30" s="1">
        <v>45482</v>
      </c>
      <c r="B30" s="2">
        <f t="shared" si="0"/>
        <v>0</v>
      </c>
      <c r="C30" s="18">
        <f>B$5%*YEARFRAC(A29,A30,B$11)*(B$9-SUM(B$22:B29))</f>
        <v>0.5</v>
      </c>
      <c r="D30" s="18">
        <f t="shared" si="5"/>
        <v>0.5</v>
      </c>
      <c r="E30" s="19">
        <f t="shared" si="6"/>
        <v>1.9242700729927009</v>
      </c>
      <c r="F30" s="23">
        <f t="shared" si="1"/>
        <v>0.22079032406678989</v>
      </c>
      <c r="G30" s="18">
        <f t="shared" si="2"/>
        <v>1.2098100035604249E-2</v>
      </c>
      <c r="H30" s="18">
        <f t="shared" si="3"/>
        <v>2.3280011838585187E-2</v>
      </c>
      <c r="I30" s="18">
        <f t="shared" si="4"/>
        <v>4.4797030079905258E-2</v>
      </c>
    </row>
    <row r="31" spans="1:9" x14ac:dyDescent="0.2">
      <c r="A31" s="1">
        <v>45666</v>
      </c>
      <c r="B31" s="2">
        <f t="shared" si="0"/>
        <v>10</v>
      </c>
      <c r="C31" s="18">
        <f>B$5%*YEARFRAC(A30,A31,B$11)*(B$9-SUM(B$22:B30))</f>
        <v>0.5</v>
      </c>
      <c r="D31" s="18">
        <f t="shared" si="5"/>
        <v>10.5</v>
      </c>
      <c r="E31" s="19">
        <f t="shared" si="6"/>
        <v>2.4284736481861739</v>
      </c>
      <c r="F31" s="23">
        <f t="shared" si="1"/>
        <v>3.7426885840737123</v>
      </c>
      <c r="G31" s="18">
        <f t="shared" si="2"/>
        <v>0.20507882799492883</v>
      </c>
      <c r="H31" s="18">
        <f t="shared" si="3"/>
        <v>0.49802852958658966</v>
      </c>
      <c r="I31" s="18">
        <f t="shared" si="4"/>
        <v>1.2094491601459414</v>
      </c>
    </row>
    <row r="32" spans="1:9" x14ac:dyDescent="0.2">
      <c r="A32" s="1">
        <v>45847</v>
      </c>
      <c r="B32" s="2">
        <f t="shared" si="0"/>
        <v>10</v>
      </c>
      <c r="C32" s="18">
        <f>B$5%*YEARFRAC(A31,A32,B$11)*(B$9-SUM(B$22:B31))</f>
        <v>0.45</v>
      </c>
      <c r="D32" s="18">
        <f t="shared" si="5"/>
        <v>10.45</v>
      </c>
      <c r="E32" s="19">
        <f t="shared" si="6"/>
        <v>2.924024640657084</v>
      </c>
      <c r="F32" s="23">
        <f t="shared" si="1"/>
        <v>3.0178057104870515</v>
      </c>
      <c r="G32" s="18">
        <f t="shared" si="2"/>
        <v>0.16535921819855556</v>
      </c>
      <c r="H32" s="18">
        <f t="shared" si="3"/>
        <v>0.48351442857236776</v>
      </c>
      <c r="I32" s="18">
        <f t="shared" si="4"/>
        <v>1.413808103258833</v>
      </c>
    </row>
    <row r="33" spans="1:9" x14ac:dyDescent="0.2">
      <c r="A33" s="1">
        <v>46031</v>
      </c>
      <c r="B33" s="2">
        <f t="shared" si="0"/>
        <v>10</v>
      </c>
      <c r="C33" s="18">
        <f>B$5%*YEARFRAC(A32,A33,B$11)*(B$9-SUM(B$22:B32))</f>
        <v>0.4</v>
      </c>
      <c r="D33" s="18">
        <f t="shared" si="5"/>
        <v>10.4</v>
      </c>
      <c r="E33" s="19">
        <f t="shared" si="6"/>
        <v>3.4282584884994525</v>
      </c>
      <c r="F33" s="23">
        <f t="shared" si="1"/>
        <v>2.4243041280890187</v>
      </c>
      <c r="G33" s="18">
        <f t="shared" si="2"/>
        <v>0.13283858331344725</v>
      </c>
      <c r="H33" s="18">
        <f t="shared" si="3"/>
        <v>0.45540500084456725</v>
      </c>
      <c r="I33" s="18">
        <f t="shared" si="4"/>
        <v>1.561246059850488</v>
      </c>
    </row>
    <row r="34" spans="1:9" x14ac:dyDescent="0.2">
      <c r="A34" s="1">
        <v>46212</v>
      </c>
      <c r="B34" s="2">
        <f t="shared" si="0"/>
        <v>10</v>
      </c>
      <c r="C34" s="18">
        <f>B$5%*YEARFRAC(A33,A34,B$11)*(B$9-SUM(B$22:B33))</f>
        <v>0.35000000000000003</v>
      </c>
      <c r="D34" s="18">
        <f t="shared" si="5"/>
        <v>10.35</v>
      </c>
      <c r="E34" s="19">
        <f t="shared" si="6"/>
        <v>3.9238773274917853</v>
      </c>
      <c r="F34" s="23">
        <f t="shared" si="1"/>
        <v>1.9546193205600715</v>
      </c>
      <c r="G34" s="18">
        <f t="shared" si="2"/>
        <v>0.10710242929172564</v>
      </c>
      <c r="H34" s="18">
        <f t="shared" si="3"/>
        <v>0.42025679401709432</v>
      </c>
      <c r="I34" s="18">
        <f t="shared" si="4"/>
        <v>1.6490361057680618</v>
      </c>
    </row>
    <row r="35" spans="1:9" x14ac:dyDescent="0.2">
      <c r="A35" s="1">
        <v>46396</v>
      </c>
      <c r="B35" s="2">
        <f t="shared" si="0"/>
        <v>10</v>
      </c>
      <c r="C35" s="18">
        <f>B$5%*YEARFRAC(A34,A35,B$11)*(B$9-SUM(B$22:B34))</f>
        <v>0.3</v>
      </c>
      <c r="D35" s="18">
        <f t="shared" si="5"/>
        <v>10.3</v>
      </c>
      <c r="E35" s="19">
        <f t="shared" si="6"/>
        <v>4.4281150159744405</v>
      </c>
      <c r="F35" s="23">
        <f t="shared" si="1"/>
        <v>1.5701354888168519</v>
      </c>
      <c r="G35" s="18">
        <f t="shared" si="2"/>
        <v>8.6034821921871882E-2</v>
      </c>
      <c r="H35" s="18">
        <f t="shared" si="3"/>
        <v>0.38097208684892786</v>
      </c>
      <c r="I35" s="18">
        <f t="shared" si="4"/>
        <v>1.6869882184428562</v>
      </c>
    </row>
    <row r="36" spans="1:9" x14ac:dyDescent="0.2">
      <c r="A36" s="1">
        <v>46577</v>
      </c>
      <c r="B36" s="2">
        <f t="shared" si="0"/>
        <v>10</v>
      </c>
      <c r="C36" s="18">
        <f>B$5%*YEARFRAC(A35,A36,B$11)*(B$9-SUM(B$22:B35))</f>
        <v>0.25</v>
      </c>
      <c r="D36" s="18">
        <f t="shared" si="5"/>
        <v>10.25</v>
      </c>
      <c r="E36" s="19">
        <f t="shared" si="6"/>
        <v>4.9237790963030577</v>
      </c>
      <c r="F36" s="23">
        <f t="shared" si="1"/>
        <v>1.265853655611902</v>
      </c>
      <c r="G36" s="18">
        <f t="shared" si="2"/>
        <v>6.936184464041753E-2</v>
      </c>
      <c r="H36" s="18">
        <f t="shared" si="3"/>
        <v>0.34152240072150813</v>
      </c>
      <c r="I36" s="18">
        <f t="shared" si="4"/>
        <v>1.6815808575917979</v>
      </c>
    </row>
    <row r="37" spans="1:9" x14ac:dyDescent="0.2">
      <c r="A37" s="1">
        <v>46761</v>
      </c>
      <c r="B37" s="2">
        <f t="shared" si="0"/>
        <v>10</v>
      </c>
      <c r="C37" s="18">
        <f>B$5%*YEARFRAC(A36,A37,B$11)*(B$9-SUM(B$22:B36))</f>
        <v>0.2</v>
      </c>
      <c r="D37" s="18">
        <f t="shared" si="5"/>
        <v>10.199999999999999</v>
      </c>
      <c r="E37" s="19">
        <f t="shared" si="6"/>
        <v>5.4258897145091902</v>
      </c>
      <c r="F37" s="23">
        <f t="shared" si="1"/>
        <v>1.0177246105680133</v>
      </c>
      <c r="G37" s="18">
        <f t="shared" si="2"/>
        <v>5.5765732485738892E-2</v>
      </c>
      <c r="H37" s="18">
        <f t="shared" si="3"/>
        <v>0.30257871431644168</v>
      </c>
      <c r="I37" s="18">
        <f t="shared" si="4"/>
        <v>1.6417587338389956</v>
      </c>
    </row>
    <row r="38" spans="1:9" x14ac:dyDescent="0.2">
      <c r="A38" s="1">
        <v>46943</v>
      </c>
      <c r="B38" s="2">
        <f t="shared" si="0"/>
        <v>10</v>
      </c>
      <c r="C38" s="18">
        <f>B$5%*YEARFRAC(A37,A38,B$11)*(B$9-SUM(B$22:B37))</f>
        <v>0.15</v>
      </c>
      <c r="D38" s="18">
        <f t="shared" si="5"/>
        <v>10.15</v>
      </c>
      <c r="E38" s="19">
        <f t="shared" si="6"/>
        <v>5.9241298396558468</v>
      </c>
      <c r="F38" s="23">
        <f t="shared" si="1"/>
        <v>0.81955979901745912</v>
      </c>
      <c r="G38" s="18">
        <f t="shared" si="2"/>
        <v>4.4907386569501904E-2</v>
      </c>
      <c r="H38" s="18">
        <f t="shared" si="3"/>
        <v>0.26603718879734645</v>
      </c>
      <c r="I38" s="18">
        <f t="shared" si="4"/>
        <v>1.5760388486125163</v>
      </c>
    </row>
    <row r="39" spans="1:9" x14ac:dyDescent="0.2">
      <c r="A39" s="1">
        <v>47127</v>
      </c>
      <c r="B39" s="2">
        <f t="shared" si="0"/>
        <v>10</v>
      </c>
      <c r="C39" s="18">
        <f>B$5%*YEARFRAC(A38,A39,B$11)*(B$9-SUM(B$22:B38))</f>
        <v>0.1</v>
      </c>
      <c r="D39" s="18">
        <f t="shared" si="5"/>
        <v>10.1</v>
      </c>
      <c r="E39" s="19">
        <f t="shared" si="6"/>
        <v>6.4284736481861735</v>
      </c>
      <c r="F39" s="23">
        <f t="shared" si="1"/>
        <v>0.65825545886858705</v>
      </c>
      <c r="G39" s="18">
        <f t="shared" si="2"/>
        <v>3.6068792525372234E-2</v>
      </c>
      <c r="H39" s="18">
        <f t="shared" si="3"/>
        <v>0.23186728227124984</v>
      </c>
      <c r="I39" s="18">
        <f t="shared" si="4"/>
        <v>1.4905527139572747</v>
      </c>
    </row>
    <row r="40" spans="1:9" x14ac:dyDescent="0.2">
      <c r="A40" s="1">
        <v>47308</v>
      </c>
      <c r="B40" s="2">
        <f t="shared" si="0"/>
        <v>10</v>
      </c>
      <c r="C40" s="18">
        <f>B$5%*YEARFRAC(A39,A40,B$11)*(B$9-SUM(B$22:B39))</f>
        <v>0.05</v>
      </c>
      <c r="D40" s="18">
        <f t="shared" si="5"/>
        <v>10.050000000000001</v>
      </c>
      <c r="E40" s="19">
        <f t="shared" si="6"/>
        <v>6.924024640657084</v>
      </c>
      <c r="F40" s="23">
        <f t="shared" si="1"/>
        <v>0.53066415050285964</v>
      </c>
      <c r="G40" s="18">
        <f t="shared" si="2"/>
        <v>2.9077487907262018E-2</v>
      </c>
      <c r="H40" s="18">
        <f t="shared" si="3"/>
        <v>0.20133324275829059</v>
      </c>
      <c r="I40" s="18">
        <f t="shared" si="4"/>
        <v>1.3940363338417985</v>
      </c>
    </row>
    <row r="41" spans="1:9" x14ac:dyDescent="0.2">
      <c r="A41" s="1"/>
      <c r="D41" s="18"/>
      <c r="F41" s="23"/>
      <c r="G41" s="3"/>
    </row>
    <row r="42" spans="1:9" x14ac:dyDescent="0.2">
      <c r="A42" s="1"/>
      <c r="D42" s="18"/>
      <c r="F42" s="6"/>
      <c r="G4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11" workbookViewId="0">
      <selection activeCell="G26" sqref="G26"/>
    </sheetView>
  </sheetViews>
  <sheetFormatPr baseColWidth="10" defaultRowHeight="16" x14ac:dyDescent="0.2"/>
  <cols>
    <col min="1" max="1" width="29.6640625" bestFit="1" customWidth="1"/>
    <col min="2" max="2" width="11.33203125" style="2" bestFit="1" customWidth="1"/>
    <col min="3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1.33203125" style="2" bestFit="1" customWidth="1"/>
    <col min="22" max="22" width="15.6640625" bestFit="1" customWidth="1"/>
  </cols>
  <sheetData>
    <row r="1" spans="1:21" x14ac:dyDescent="0.2">
      <c r="A1" t="s">
        <v>0</v>
      </c>
    </row>
    <row r="2" spans="1:21" x14ac:dyDescent="0.2">
      <c r="A2" t="s">
        <v>1</v>
      </c>
      <c r="B2" s="4">
        <v>44078</v>
      </c>
    </row>
    <row r="3" spans="1:21" x14ac:dyDescent="0.2">
      <c r="A3" t="s">
        <v>2</v>
      </c>
      <c r="B3" s="4">
        <v>47730</v>
      </c>
    </row>
    <row r="4" spans="1:21" x14ac:dyDescent="0.2">
      <c r="A4" t="s">
        <v>10</v>
      </c>
      <c r="B4" s="4">
        <v>44779</v>
      </c>
    </row>
    <row r="5" spans="1:21" x14ac:dyDescent="0.2">
      <c r="A5" t="s">
        <v>3</v>
      </c>
      <c r="B5" s="5"/>
    </row>
    <row r="6" spans="1:21" x14ac:dyDescent="0.2">
      <c r="A6" s="1">
        <v>44386</v>
      </c>
      <c r="B6" s="7">
        <v>0.125</v>
      </c>
    </row>
    <row r="7" spans="1:21" x14ac:dyDescent="0.2">
      <c r="A7" s="1">
        <v>45116</v>
      </c>
      <c r="B7" s="7">
        <v>0.5</v>
      </c>
    </row>
    <row r="8" spans="1:21" x14ac:dyDescent="0.2">
      <c r="A8" s="1">
        <v>46577</v>
      </c>
      <c r="B8" s="7">
        <v>0.75</v>
      </c>
    </row>
    <row r="9" spans="1:21" x14ac:dyDescent="0.2">
      <c r="A9" s="1">
        <v>47673</v>
      </c>
      <c r="B9" s="7">
        <v>1.75</v>
      </c>
    </row>
    <row r="10" spans="1:21" x14ac:dyDescent="0.2">
      <c r="A10" t="s">
        <v>4</v>
      </c>
      <c r="B10" s="2">
        <v>2</v>
      </c>
    </row>
    <row r="11" spans="1:21" x14ac:dyDescent="0.2">
      <c r="A11" t="s">
        <v>28</v>
      </c>
      <c r="B11" s="2">
        <v>12.5</v>
      </c>
    </row>
    <row r="12" spans="1:21" x14ac:dyDescent="0.2">
      <c r="A12" t="s">
        <v>5</v>
      </c>
      <c r="B12" s="4">
        <v>45482</v>
      </c>
      <c r="S12" s="15"/>
      <c r="T12" s="14"/>
      <c r="U12" s="14"/>
    </row>
    <row r="13" spans="1:21" x14ac:dyDescent="0.2">
      <c r="A13" t="s">
        <v>6</v>
      </c>
      <c r="B13" s="2">
        <v>100</v>
      </c>
      <c r="S13" s="15"/>
      <c r="T13" s="14"/>
      <c r="U13" s="14"/>
    </row>
    <row r="14" spans="1:21" x14ac:dyDescent="0.2">
      <c r="A14" t="s">
        <v>7</v>
      </c>
      <c r="B14" s="4">
        <f>+B2</f>
        <v>44078</v>
      </c>
      <c r="S14" s="15"/>
      <c r="T14" s="14"/>
      <c r="U14" s="14"/>
    </row>
    <row r="15" spans="1:21" x14ac:dyDescent="0.2">
      <c r="A15" t="s">
        <v>8</v>
      </c>
      <c r="B15" s="2">
        <v>0</v>
      </c>
      <c r="S15" s="15"/>
      <c r="T15" s="15"/>
    </row>
    <row r="16" spans="1:21" s="45" customFormat="1" x14ac:dyDescent="0.2">
      <c r="A16" s="46" t="s">
        <v>18</v>
      </c>
      <c r="B16" s="39">
        <f>SUM(F24:F42)</f>
        <v>18.749999887855274</v>
      </c>
      <c r="C16" s="44"/>
      <c r="D16" s="44"/>
      <c r="E16" s="44"/>
      <c r="F16" s="44"/>
      <c r="G16" s="44"/>
      <c r="H16" s="44"/>
      <c r="I16" s="44"/>
    </row>
    <row r="17" spans="1:26" x14ac:dyDescent="0.2">
      <c r="A17" s="48" t="s">
        <v>9</v>
      </c>
      <c r="B17" s="49">
        <v>0.43655178307568998</v>
      </c>
    </row>
    <row r="18" spans="1:26" s="45" customFormat="1" x14ac:dyDescent="0.2">
      <c r="A18" s="50" t="s">
        <v>27</v>
      </c>
      <c r="B18" s="51">
        <f>+SUM(H22:H42)/(1+B17/B10)</f>
        <v>3.0806214571990327</v>
      </c>
      <c r="C18" s="44"/>
      <c r="D18" s="44"/>
      <c r="E18" s="44"/>
      <c r="F18" s="44"/>
      <c r="G18" s="44"/>
      <c r="H18" s="44"/>
      <c r="I18" s="44"/>
    </row>
    <row r="19" spans="1:26" s="45" customFormat="1" x14ac:dyDescent="0.2">
      <c r="C19" s="44"/>
      <c r="D19" s="44"/>
      <c r="E19" s="44"/>
      <c r="F19" s="44"/>
      <c r="G19" s="44"/>
      <c r="H19" s="44"/>
      <c r="I19" s="44"/>
    </row>
    <row r="21" spans="1:26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26" x14ac:dyDescent="0.2">
      <c r="A22" s="1">
        <v>44078</v>
      </c>
      <c r="C22" s="17"/>
      <c r="D22" s="17"/>
      <c r="E22" s="17"/>
      <c r="F22" s="25">
        <f t="shared" ref="F22:F42" si="0">+IF(A22&lt;B$4,0,D22/((1+B$17/B$10)^(B$10*E22)))</f>
        <v>0</v>
      </c>
      <c r="G22" s="17">
        <f t="shared" ref="G22:G42" si="1">+F22/B$16</f>
        <v>0</v>
      </c>
      <c r="H22" s="17">
        <f t="shared" ref="H22:H42" si="2">+G22*E22</f>
        <v>0</v>
      </c>
      <c r="I22" s="17">
        <f t="shared" ref="I22:I42" si="3">+G22*(E22^2)</f>
        <v>0</v>
      </c>
      <c r="Y22" s="15"/>
      <c r="Z22" s="16"/>
    </row>
    <row r="23" spans="1:26" x14ac:dyDescent="0.2">
      <c r="A23" s="1">
        <v>44205</v>
      </c>
      <c r="B23" s="18">
        <f t="shared" ref="B23:B29" si="4">IF(A23&lt;B$12,0,IF(A23=B$12,(B$13/B$11)*1/2,B$13/B$11))</f>
        <v>0</v>
      </c>
      <c r="C23" s="17"/>
      <c r="D23" s="17"/>
      <c r="E23" s="17"/>
      <c r="F23" s="25">
        <f t="shared" si="0"/>
        <v>0</v>
      </c>
      <c r="G23" s="17">
        <f t="shared" si="1"/>
        <v>0</v>
      </c>
      <c r="H23" s="17">
        <f t="shared" si="2"/>
        <v>0</v>
      </c>
      <c r="I23" s="17">
        <f t="shared" si="3"/>
        <v>0</v>
      </c>
      <c r="Y23" s="1"/>
    </row>
    <row r="24" spans="1:26" x14ac:dyDescent="0.2">
      <c r="A24" s="1">
        <v>44386</v>
      </c>
      <c r="B24" s="18">
        <f t="shared" si="4"/>
        <v>0</v>
      </c>
      <c r="C24" s="18">
        <f>B$6%*YEARFRAC(A22,A24,B$15)*(B$13-SUM(B$22:B23))</f>
        <v>0.10590277777777779</v>
      </c>
      <c r="D24" s="18">
        <f>C24+B24</f>
        <v>0.10590277777777779</v>
      </c>
      <c r="E24" s="2">
        <f>+YEARFRAC($B$4,A24,1)</f>
        <v>1.0767123287671232</v>
      </c>
      <c r="F24" s="23">
        <f t="shared" si="0"/>
        <v>0</v>
      </c>
      <c r="G24" s="24">
        <f t="shared" si="1"/>
        <v>0</v>
      </c>
      <c r="H24" s="18">
        <f t="shared" si="2"/>
        <v>0</v>
      </c>
      <c r="I24" s="18">
        <f t="shared" si="3"/>
        <v>0</v>
      </c>
      <c r="X24" s="14"/>
      <c r="Y24" s="1"/>
    </row>
    <row r="25" spans="1:26" x14ac:dyDescent="0.2">
      <c r="A25" s="1">
        <v>44570</v>
      </c>
      <c r="B25" s="18">
        <f t="shared" si="4"/>
        <v>0</v>
      </c>
      <c r="C25" s="18">
        <f>B$7%*YEARFRAC(A24,A25,B$15)*(B$13-SUM(B$22:B24))</f>
        <v>0.25</v>
      </c>
      <c r="D25" s="18">
        <f t="shared" ref="D25:D42" si="5">C25+B25</f>
        <v>0.25</v>
      </c>
      <c r="E25" s="2">
        <f t="shared" ref="E25:E42" si="6">+YEARFRAC($B$4,A25,1)</f>
        <v>0.57260273972602738</v>
      </c>
      <c r="F25" s="23">
        <f t="shared" si="0"/>
        <v>0</v>
      </c>
      <c r="G25" s="24">
        <f t="shared" si="1"/>
        <v>0</v>
      </c>
      <c r="H25" s="18">
        <f t="shared" si="2"/>
        <v>0</v>
      </c>
      <c r="I25" s="18">
        <f t="shared" si="3"/>
        <v>0</v>
      </c>
      <c r="X25" s="14"/>
      <c r="Y25" s="1"/>
    </row>
    <row r="26" spans="1:26" x14ac:dyDescent="0.2">
      <c r="A26" s="1">
        <v>44751</v>
      </c>
      <c r="B26" s="18">
        <f t="shared" si="4"/>
        <v>0</v>
      </c>
      <c r="C26" s="18">
        <f>B$7%*YEARFRAC(A25,A26,B$15)*(B$13-SUM(B$22:B25))</f>
        <v>0.25</v>
      </c>
      <c r="D26" s="18">
        <f t="shared" si="5"/>
        <v>0.25</v>
      </c>
      <c r="E26" s="2">
        <f t="shared" si="6"/>
        <v>7.6712328767123292E-2</v>
      </c>
      <c r="F26" s="23">
        <f t="shared" si="0"/>
        <v>0</v>
      </c>
      <c r="G26" s="24">
        <f t="shared" si="1"/>
        <v>0</v>
      </c>
      <c r="H26" s="18">
        <f t="shared" si="2"/>
        <v>0</v>
      </c>
      <c r="I26" s="18">
        <f t="shared" si="3"/>
        <v>0</v>
      </c>
      <c r="X26" s="14"/>
      <c r="Y26" s="1"/>
    </row>
    <row r="27" spans="1:26" x14ac:dyDescent="0.2">
      <c r="A27" s="1">
        <v>44935</v>
      </c>
      <c r="B27" s="18">
        <f t="shared" si="4"/>
        <v>0</v>
      </c>
      <c r="C27" s="18">
        <f>B$7%*YEARFRAC(A26,A27,B$15)*(B$13-SUM(B$22:B26))</f>
        <v>0.25</v>
      </c>
      <c r="D27" s="18">
        <f t="shared" si="5"/>
        <v>0.25</v>
      </c>
      <c r="E27" s="2">
        <f t="shared" si="6"/>
        <v>0.42739726027397262</v>
      </c>
      <c r="F27" s="23">
        <f t="shared" si="0"/>
        <v>0.21117626133284081</v>
      </c>
      <c r="G27" s="24">
        <f t="shared" si="1"/>
        <v>1.1262734005114508E-2</v>
      </c>
      <c r="H27" s="18">
        <f t="shared" si="2"/>
        <v>4.8136616569804469E-3</v>
      </c>
      <c r="I27" s="18">
        <f t="shared" si="3"/>
        <v>2.0573458040793143E-3</v>
      </c>
      <c r="X27" s="14"/>
      <c r="Y27" s="1"/>
    </row>
    <row r="28" spans="1:26" x14ac:dyDescent="0.2">
      <c r="A28" s="1">
        <v>45116</v>
      </c>
      <c r="B28" s="18">
        <f t="shared" si="4"/>
        <v>0</v>
      </c>
      <c r="C28" s="18">
        <f>B$7%*YEARFRAC(A27,A28,B$15)*(B$13-SUM(B$22:B27))</f>
        <v>0.25</v>
      </c>
      <c r="D28" s="18">
        <f>C28+B28</f>
        <v>0.25</v>
      </c>
      <c r="E28" s="2">
        <f t="shared" si="6"/>
        <v>0.92328767123287669</v>
      </c>
      <c r="F28" s="23">
        <f t="shared" si="0"/>
        <v>0.17362178048526805</v>
      </c>
      <c r="G28" s="24">
        <f t="shared" si="1"/>
        <v>9.2598283479311452E-3</v>
      </c>
      <c r="H28" s="18">
        <f t="shared" si="2"/>
        <v>8.5494853513775233E-3</v>
      </c>
      <c r="I28" s="18">
        <f t="shared" si="3"/>
        <v>7.893634420312946E-3</v>
      </c>
      <c r="X28" s="14"/>
      <c r="Y28" s="1"/>
    </row>
    <row r="29" spans="1:26" x14ac:dyDescent="0.2">
      <c r="A29" s="1">
        <v>45300</v>
      </c>
      <c r="B29" s="18">
        <f t="shared" si="4"/>
        <v>0</v>
      </c>
      <c r="C29" s="18">
        <f>B$8%*YEARFRAC(A28,A29,B$15)*(B$13-SUM(B$22:B28))</f>
        <v>0.375</v>
      </c>
      <c r="D29" s="18">
        <f t="shared" si="5"/>
        <v>0.375</v>
      </c>
      <c r="E29" s="2">
        <f t="shared" si="6"/>
        <v>1.426094890510949</v>
      </c>
      <c r="F29" s="23">
        <f t="shared" si="0"/>
        <v>0.21353467134536702</v>
      </c>
      <c r="G29" s="24">
        <f t="shared" si="1"/>
        <v>1.1388515873201548E-2</v>
      </c>
      <c r="H29" s="18">
        <f t="shared" si="2"/>
        <v>1.6241104297275565E-2</v>
      </c>
      <c r="I29" s="18">
        <f t="shared" si="3"/>
        <v>2.3161355854600101E-2</v>
      </c>
      <c r="X29" s="14"/>
      <c r="Y29" s="1"/>
    </row>
    <row r="30" spans="1:26" x14ac:dyDescent="0.2">
      <c r="A30" s="1">
        <v>45482</v>
      </c>
      <c r="B30" s="18">
        <f>IF(A30&lt;B$12,0,IF(A30=B$12,(B$13/B$11)*1/2,B$13/B$11))</f>
        <v>4</v>
      </c>
      <c r="C30" s="18">
        <f>B$8%*YEARFRAC(A29,A30,B$15)*(B$13-SUM(B$22:B29))</f>
        <v>0.375</v>
      </c>
      <c r="D30" s="18">
        <f t="shared" si="5"/>
        <v>4.375</v>
      </c>
      <c r="E30" s="2">
        <f t="shared" si="6"/>
        <v>1.9242700729927009</v>
      </c>
      <c r="F30" s="23">
        <f t="shared" si="0"/>
        <v>2.0463620860908631</v>
      </c>
      <c r="G30" s="24">
        <f t="shared" si="1"/>
        <v>0.10913931191094726</v>
      </c>
      <c r="H30" s="18">
        <f t="shared" si="2"/>
        <v>0.21001351169725166</v>
      </c>
      <c r="I30" s="18">
        <f t="shared" si="3"/>
        <v>0.40412271548312384</v>
      </c>
      <c r="X30" s="14"/>
      <c r="Y30" s="1"/>
    </row>
    <row r="31" spans="1:26" x14ac:dyDescent="0.2">
      <c r="A31" s="1">
        <v>45666</v>
      </c>
      <c r="B31" s="18">
        <f t="shared" ref="B31:B42" si="7">IF(A31&lt;B$12,0,IF(A31=B$12,(B$13/B$11)*1/2,B$13/B$11))</f>
        <v>8</v>
      </c>
      <c r="C31" s="18">
        <f>B$8%*YEARFRAC(A30,A31,B$15)*(B$13-SUM(B$22:B30))</f>
        <v>0.36</v>
      </c>
      <c r="D31" s="18">
        <f t="shared" si="5"/>
        <v>8.36</v>
      </c>
      <c r="E31" s="2">
        <f t="shared" si="6"/>
        <v>2.4284736481861739</v>
      </c>
      <c r="F31" s="23">
        <f t="shared" si="0"/>
        <v>3.2043811942162477</v>
      </c>
      <c r="G31" s="24">
        <f t="shared" si="1"/>
        <v>0.17090033138036365</v>
      </c>
      <c r="H31" s="18">
        <f t="shared" si="2"/>
        <v>0.41502695122349775</v>
      </c>
      <c r="I31" s="18">
        <f t="shared" si="3"/>
        <v>1.0078820143333129</v>
      </c>
      <c r="X31" s="14"/>
      <c r="Y31" s="1"/>
    </row>
    <row r="32" spans="1:26" x14ac:dyDescent="0.2">
      <c r="A32" s="1">
        <v>45847</v>
      </c>
      <c r="B32" s="18">
        <f t="shared" si="7"/>
        <v>8</v>
      </c>
      <c r="C32" s="18">
        <f>B$8%*YEARFRAC(A31,A32,B$15)*(B$13-SUM(B$22:B31))</f>
        <v>0.32999999999999996</v>
      </c>
      <c r="D32" s="18">
        <f t="shared" si="5"/>
        <v>8.33</v>
      </c>
      <c r="E32" s="2">
        <f t="shared" si="6"/>
        <v>2.924024640657084</v>
      </c>
      <c r="F32" s="23">
        <f t="shared" si="0"/>
        <v>2.6254286145465202</v>
      </c>
      <c r="G32" s="24">
        <f t="shared" si="1"/>
        <v>0.14002286027996508</v>
      </c>
      <c r="H32" s="18">
        <f t="shared" si="2"/>
        <v>0.40943029371390199</v>
      </c>
      <c r="I32" s="18">
        <f t="shared" si="3"/>
        <v>1.1971842674509166</v>
      </c>
      <c r="X32" s="14"/>
      <c r="Y32" s="1"/>
    </row>
    <row r="33" spans="1:25" x14ac:dyDescent="0.2">
      <c r="A33" s="1">
        <v>46031</v>
      </c>
      <c r="B33" s="18">
        <f t="shared" si="7"/>
        <v>8</v>
      </c>
      <c r="C33" s="18">
        <f>B$8%*YEARFRAC(A32,A33,B$15)*(B$13-SUM(B$22:B32))</f>
        <v>0.3</v>
      </c>
      <c r="D33" s="18">
        <f t="shared" si="5"/>
        <v>8.3000000000000007</v>
      </c>
      <c r="E33" s="2">
        <f t="shared" si="6"/>
        <v>3.4282584884994525</v>
      </c>
      <c r="F33" s="23">
        <f t="shared" si="0"/>
        <v>2.1436880509111034</v>
      </c>
      <c r="G33" s="24">
        <f t="shared" si="1"/>
        <v>0.11433003006573937</v>
      </c>
      <c r="H33" s="18">
        <f t="shared" si="2"/>
        <v>0.39195289606326861</v>
      </c>
      <c r="I33" s="18">
        <f t="shared" si="3"/>
        <v>1.3437158430208442</v>
      </c>
      <c r="X33" s="14"/>
      <c r="Y33" s="1"/>
    </row>
    <row r="34" spans="1:25" x14ac:dyDescent="0.2">
      <c r="A34" s="1">
        <v>46212</v>
      </c>
      <c r="B34" s="18">
        <f t="shared" si="7"/>
        <v>8</v>
      </c>
      <c r="C34" s="18">
        <f>B$8%*YEARFRAC(A33,A34,B$15)*(B$13-SUM(B$22:B33))</f>
        <v>0.27</v>
      </c>
      <c r="D34" s="18">
        <f t="shared" si="5"/>
        <v>8.27</v>
      </c>
      <c r="E34" s="2">
        <f t="shared" si="6"/>
        <v>3.9238773274917853</v>
      </c>
      <c r="F34" s="23">
        <f t="shared" si="0"/>
        <v>1.7562837591265266</v>
      </c>
      <c r="G34" s="24">
        <f t="shared" si="1"/>
        <v>9.3668467713650727E-2</v>
      </c>
      <c r="H34" s="18">
        <f t="shared" si="2"/>
        <v>0.36754357676249039</v>
      </c>
      <c r="I34" s="18">
        <f t="shared" si="3"/>
        <v>1.4421959077235726</v>
      </c>
      <c r="X34" s="14"/>
      <c r="Y34" s="1"/>
    </row>
    <row r="35" spans="1:25" x14ac:dyDescent="0.2">
      <c r="A35" s="1">
        <v>46396</v>
      </c>
      <c r="B35" s="18">
        <f t="shared" si="7"/>
        <v>8</v>
      </c>
      <c r="C35" s="18">
        <f>B$8%*YEARFRAC(A34,A35,B$15)*(B$13-SUM(B$22:B34))</f>
        <v>0.24</v>
      </c>
      <c r="D35" s="18">
        <f t="shared" si="5"/>
        <v>8.24</v>
      </c>
      <c r="E35" s="2">
        <f t="shared" si="6"/>
        <v>4.4281150159744405</v>
      </c>
      <c r="F35" s="23">
        <f t="shared" si="0"/>
        <v>1.4339830261946975</v>
      </c>
      <c r="G35" s="24">
        <f t="shared" si="1"/>
        <v>7.6479095187809321E-2</v>
      </c>
      <c r="H35" s="18">
        <f t="shared" si="2"/>
        <v>0.33865822980927701</v>
      </c>
      <c r="I35" s="18">
        <f t="shared" si="3"/>
        <v>1.4996175927017825</v>
      </c>
      <c r="X35" s="14"/>
      <c r="Y35" s="1"/>
    </row>
    <row r="36" spans="1:25" x14ac:dyDescent="0.2">
      <c r="A36" s="1">
        <v>46577</v>
      </c>
      <c r="B36" s="18">
        <f t="shared" si="7"/>
        <v>8</v>
      </c>
      <c r="C36" s="18">
        <f>B$8%*YEARFRAC(A35,A36,B$15)*(B$13-SUM(B$22:B35))</f>
        <v>0.21</v>
      </c>
      <c r="D36" s="18">
        <f t="shared" si="5"/>
        <v>8.2100000000000009</v>
      </c>
      <c r="E36" s="2">
        <f t="shared" si="6"/>
        <v>4.9237790963030577</v>
      </c>
      <c r="F36" s="23">
        <f t="shared" si="0"/>
        <v>1.1747836093136883</v>
      </c>
      <c r="G36" s="24">
        <f t="shared" si="1"/>
        <v>6.2655126204806941E-2</v>
      </c>
      <c r="H36" s="18">
        <f t="shared" si="2"/>
        <v>0.30850000068345834</v>
      </c>
      <c r="I36" s="18">
        <f t="shared" si="3"/>
        <v>1.5189858545746913</v>
      </c>
      <c r="X36" s="14"/>
      <c r="Y36" s="1"/>
    </row>
    <row r="37" spans="1:25" x14ac:dyDescent="0.2">
      <c r="A37" s="1">
        <v>46761</v>
      </c>
      <c r="B37" s="18">
        <f t="shared" si="7"/>
        <v>8</v>
      </c>
      <c r="C37" s="18">
        <f>B$9%*YEARFRAC(A36,A37,B$15)*(B$13-SUM(B$22:B36))</f>
        <v>0.42000000000000004</v>
      </c>
      <c r="D37" s="18">
        <f t="shared" si="5"/>
        <v>8.42</v>
      </c>
      <c r="E37" s="2">
        <f t="shared" si="6"/>
        <v>5.4258897145091902</v>
      </c>
      <c r="F37" s="23">
        <f t="shared" si="0"/>
        <v>0.98814166169181117</v>
      </c>
      <c r="G37" s="24">
        <f t="shared" si="1"/>
        <v>5.2700888938770021E-2</v>
      </c>
      <c r="H37" s="18">
        <f t="shared" si="2"/>
        <v>0.28594921123836342</v>
      </c>
      <c r="I37" s="18">
        <f t="shared" si="3"/>
        <v>1.5515288841302517</v>
      </c>
      <c r="X37" s="14"/>
      <c r="Y37" s="1"/>
    </row>
    <row r="38" spans="1:25" x14ac:dyDescent="0.2">
      <c r="A38" s="1">
        <v>46943</v>
      </c>
      <c r="B38" s="18">
        <f t="shared" si="7"/>
        <v>8</v>
      </c>
      <c r="C38" s="18">
        <f>B$9%*YEARFRAC(A37,A38,B$15)*(B$13-SUM(B$22:B37))</f>
        <v>0.35000000000000003</v>
      </c>
      <c r="D38" s="18">
        <f t="shared" si="5"/>
        <v>8.35</v>
      </c>
      <c r="E38" s="2">
        <f t="shared" si="6"/>
        <v>5.9241298396558468</v>
      </c>
      <c r="F38" s="23">
        <f t="shared" si="0"/>
        <v>0.80491449339698817</v>
      </c>
      <c r="G38" s="24">
        <f t="shared" si="1"/>
        <v>4.2928773237931928E-2</v>
      </c>
      <c r="H38" s="18">
        <f t="shared" si="2"/>
        <v>0.25431562651865186</v>
      </c>
      <c r="I38" s="18">
        <f t="shared" si="3"/>
        <v>1.5065987917499175</v>
      </c>
      <c r="X38" s="14"/>
      <c r="Y38" s="1"/>
    </row>
    <row r="39" spans="1:25" x14ac:dyDescent="0.2">
      <c r="A39" s="1">
        <v>47127</v>
      </c>
      <c r="B39" s="18">
        <f t="shared" si="7"/>
        <v>8</v>
      </c>
      <c r="C39" s="18">
        <f>B$9%*YEARFRAC(A38,A39,B$15)*(B$13-SUM(B$22:B38))</f>
        <v>0.28000000000000003</v>
      </c>
      <c r="D39" s="18">
        <f t="shared" si="5"/>
        <v>8.2799999999999994</v>
      </c>
      <c r="E39" s="2">
        <f t="shared" si="6"/>
        <v>6.4284736481861735</v>
      </c>
      <c r="F39" s="23">
        <f t="shared" si="0"/>
        <v>0.65403807753814547</v>
      </c>
      <c r="G39" s="24">
        <f t="shared" si="1"/>
        <v>3.4882031010665671E-2</v>
      </c>
      <c r="H39" s="18">
        <f t="shared" si="2"/>
        <v>0.22423821714727718</v>
      </c>
      <c r="I39" s="18">
        <f t="shared" si="3"/>
        <v>1.4415094698475204</v>
      </c>
      <c r="X39" s="14"/>
      <c r="Y39" s="1"/>
    </row>
    <row r="40" spans="1:25" x14ac:dyDescent="0.2">
      <c r="A40" s="1">
        <v>47308</v>
      </c>
      <c r="B40" s="18">
        <f t="shared" si="7"/>
        <v>8</v>
      </c>
      <c r="C40" s="18">
        <f>B$9%*YEARFRAC(A39,A40,B$15)*(B$13-SUM(B$22:B39))</f>
        <v>0.21000000000000002</v>
      </c>
      <c r="D40" s="18">
        <f t="shared" si="5"/>
        <v>8.2100000000000009</v>
      </c>
      <c r="E40" s="2">
        <f t="shared" si="6"/>
        <v>6.924024640657084</v>
      </c>
      <c r="F40" s="23">
        <f t="shared" si="0"/>
        <v>0.53325283091134512</v>
      </c>
      <c r="G40" s="24">
        <f t="shared" si="1"/>
        <v>2.8440151152040429E-2</v>
      </c>
      <c r="H40" s="18">
        <f t="shared" si="2"/>
        <v>0.1969203073607399</v>
      </c>
      <c r="I40" s="18">
        <f t="shared" si="3"/>
        <v>1.3634810604115295</v>
      </c>
      <c r="X40" s="14"/>
      <c r="Y40" s="1"/>
    </row>
    <row r="41" spans="1:25" x14ac:dyDescent="0.2">
      <c r="A41" s="1">
        <v>47492</v>
      </c>
      <c r="B41" s="18">
        <f t="shared" si="7"/>
        <v>8</v>
      </c>
      <c r="C41" s="18">
        <f>B$9%*YEARFRAC(A40,A41,B$15)*(B$13-SUM(B$22:B40))</f>
        <v>0.14000000000000001</v>
      </c>
      <c r="D41" s="18">
        <f t="shared" si="5"/>
        <v>8.14</v>
      </c>
      <c r="E41" s="2">
        <f t="shared" si="6"/>
        <v>7.4283541222999698</v>
      </c>
      <c r="F41" s="23">
        <f t="shared" si="0"/>
        <v>0.43323775728814912</v>
      </c>
      <c r="G41" s="24">
        <f t="shared" si="1"/>
        <v>2.310601386023289E-2</v>
      </c>
      <c r="H41" s="18">
        <f t="shared" si="2"/>
        <v>0.17163965330858122</v>
      </c>
      <c r="I41" s="18">
        <f t="shared" si="3"/>
        <v>1.2750001262049371</v>
      </c>
      <c r="X41" s="14"/>
      <c r="Y41" s="1"/>
    </row>
    <row r="42" spans="1:25" x14ac:dyDescent="0.2">
      <c r="A42" s="1">
        <v>47673</v>
      </c>
      <c r="B42" s="18">
        <f t="shared" si="7"/>
        <v>8</v>
      </c>
      <c r="C42" s="18">
        <f>B$9%*YEARFRAC(A41,A42,B$15)*(B$13-SUM(B$22:B41))</f>
        <v>7.0000000000000007E-2</v>
      </c>
      <c r="D42" s="18">
        <f t="shared" si="5"/>
        <v>8.07</v>
      </c>
      <c r="E42" s="2">
        <f t="shared" si="6"/>
        <v>7.9239428049893519</v>
      </c>
      <c r="F42" s="23">
        <f t="shared" si="0"/>
        <v>0.35317201346570959</v>
      </c>
      <c r="G42" s="24">
        <f t="shared" si="1"/>
        <v>1.8835840830829322E-2</v>
      </c>
      <c r="H42" s="18">
        <f t="shared" si="2"/>
        <v>0.14925412542737465</v>
      </c>
      <c r="I42" s="18">
        <f t="shared" si="3"/>
        <v>1.1826811532952237</v>
      </c>
      <c r="X42" s="14"/>
      <c r="Y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20" workbookViewId="0">
      <selection activeCell="B18" sqref="B18"/>
    </sheetView>
  </sheetViews>
  <sheetFormatPr baseColWidth="10" defaultRowHeight="16" x14ac:dyDescent="0.2"/>
  <cols>
    <col min="1" max="1" width="29.6640625" bestFit="1" customWidth="1"/>
    <col min="2" max="3" width="10.83203125" style="2"/>
    <col min="4" max="4" width="16.33203125" style="2" bestFit="1" customWidth="1"/>
    <col min="5" max="5" width="10.83203125" style="2"/>
    <col min="6" max="6" width="23.1640625" style="2" bestFit="1" customWidth="1"/>
    <col min="7" max="9" width="10.83203125" style="2"/>
  </cols>
  <sheetData>
    <row r="1" spans="1:2" x14ac:dyDescent="0.2">
      <c r="A1" t="s">
        <v>0</v>
      </c>
    </row>
    <row r="2" spans="1:2" x14ac:dyDescent="0.2">
      <c r="A2" t="s">
        <v>1</v>
      </c>
      <c r="B2" s="4">
        <v>44078</v>
      </c>
    </row>
    <row r="3" spans="1:2" x14ac:dyDescent="0.2">
      <c r="A3" t="s">
        <v>2</v>
      </c>
      <c r="B3" s="4">
        <v>50652</v>
      </c>
    </row>
    <row r="4" spans="1:2" s="2" customFormat="1" x14ac:dyDescent="0.2">
      <c r="A4" t="s">
        <v>10</v>
      </c>
      <c r="B4" s="4">
        <v>44779</v>
      </c>
    </row>
    <row r="5" spans="1:2" x14ac:dyDescent="0.2">
      <c r="A5" t="s">
        <v>3</v>
      </c>
      <c r="B5" s="5"/>
    </row>
    <row r="6" spans="1:2" s="2" customFormat="1" x14ac:dyDescent="0.2">
      <c r="A6" s="1">
        <v>44386</v>
      </c>
      <c r="B6" s="7">
        <v>0.125</v>
      </c>
    </row>
    <row r="7" spans="1:2" s="2" customFormat="1" x14ac:dyDescent="0.2">
      <c r="A7" s="1">
        <v>44751</v>
      </c>
      <c r="B7" s="7">
        <v>2</v>
      </c>
    </row>
    <row r="8" spans="1:2" s="2" customFormat="1" x14ac:dyDescent="0.2">
      <c r="A8" s="1">
        <v>45116</v>
      </c>
      <c r="B8" s="7">
        <v>3.875</v>
      </c>
    </row>
    <row r="9" spans="1:2" s="2" customFormat="1" x14ac:dyDescent="0.2">
      <c r="A9" s="1">
        <v>45482</v>
      </c>
      <c r="B9" s="7">
        <v>4.25</v>
      </c>
    </row>
    <row r="10" spans="1:2" s="2" customFormat="1" x14ac:dyDescent="0.2">
      <c r="A10" s="1">
        <v>50414</v>
      </c>
      <c r="B10" s="7">
        <v>5</v>
      </c>
    </row>
    <row r="11" spans="1:2" s="2" customFormat="1" x14ac:dyDescent="0.2">
      <c r="A11" t="s">
        <v>4</v>
      </c>
      <c r="B11" s="2">
        <v>2</v>
      </c>
    </row>
    <row r="12" spans="1:2" s="2" customFormat="1" x14ac:dyDescent="0.2">
      <c r="A12" t="s">
        <v>28</v>
      </c>
      <c r="B12" s="2">
        <v>22</v>
      </c>
    </row>
    <row r="13" spans="1:2" s="2" customFormat="1" x14ac:dyDescent="0.2">
      <c r="A13" t="s">
        <v>5</v>
      </c>
      <c r="B13" s="4">
        <v>46577</v>
      </c>
    </row>
    <row r="14" spans="1:2" s="2" customFormat="1" x14ac:dyDescent="0.2">
      <c r="A14" t="s">
        <v>6</v>
      </c>
      <c r="B14" s="2">
        <v>100</v>
      </c>
    </row>
    <row r="15" spans="1:2" s="2" customFormat="1" x14ac:dyDescent="0.2">
      <c r="A15" t="s">
        <v>7</v>
      </c>
      <c r="B15" s="4">
        <f>+B2</f>
        <v>44078</v>
      </c>
    </row>
    <row r="16" spans="1:2" s="2" customFormat="1" x14ac:dyDescent="0.2">
      <c r="A16" t="s">
        <v>29</v>
      </c>
      <c r="B16" s="1">
        <v>44386</v>
      </c>
    </row>
    <row r="17" spans="1:9" s="2" customFormat="1" x14ac:dyDescent="0.2">
      <c r="A17" t="s">
        <v>8</v>
      </c>
      <c r="B17" s="2">
        <v>0</v>
      </c>
    </row>
    <row r="18" spans="1:9" s="2" customFormat="1" x14ac:dyDescent="0.2">
      <c r="A18" s="46" t="s">
        <v>18</v>
      </c>
      <c r="B18" s="39">
        <f>SUM(F24:F58)</f>
        <v>22.999996406803209</v>
      </c>
    </row>
    <row r="19" spans="1:9" s="2" customFormat="1" x14ac:dyDescent="0.2">
      <c r="A19" s="48" t="s">
        <v>9</v>
      </c>
      <c r="B19" s="49">
        <v>0.29599030064879689</v>
      </c>
    </row>
    <row r="20" spans="1:9" s="2" customFormat="1" x14ac:dyDescent="0.2">
      <c r="A20" s="50" t="s">
        <v>27</v>
      </c>
      <c r="B20" s="51">
        <f>+SUM(H22:H58)/(1+B19/B11)</f>
        <v>4.319653562039762</v>
      </c>
    </row>
    <row r="21" spans="1:9" x14ac:dyDescent="0.2">
      <c r="B21" s="2" t="s">
        <v>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x14ac:dyDescent="0.2">
      <c r="A22" s="1">
        <v>44078</v>
      </c>
      <c r="F22" s="6">
        <f t="shared" ref="F22:F58" si="0">+IF(A22&lt;B$4,0,D22/((1+B$19/B$11)^(B$11*E22)))</f>
        <v>0</v>
      </c>
      <c r="G22" s="3">
        <f t="shared" ref="G22:G58" si="1">+F22/B$18</f>
        <v>0</v>
      </c>
      <c r="H22" s="2">
        <f t="shared" ref="H22:H58" si="2">+G22*E22</f>
        <v>0</v>
      </c>
      <c r="I22" s="2">
        <f t="shared" ref="I22:I58" si="3">+G22*(E22^2)</f>
        <v>0</v>
      </c>
    </row>
    <row r="23" spans="1:9" x14ac:dyDescent="0.2">
      <c r="A23" s="1">
        <v>44205</v>
      </c>
      <c r="B23" s="18">
        <f t="shared" ref="B23:B30" si="4">IF(A23&lt;B$13,0,B$14/B$12)</f>
        <v>0</v>
      </c>
      <c r="C23" s="18"/>
      <c r="D23" s="18"/>
      <c r="F23" s="6">
        <f t="shared" si="0"/>
        <v>0</v>
      </c>
      <c r="G23" s="3">
        <f t="shared" si="1"/>
        <v>0</v>
      </c>
      <c r="H23" s="2">
        <f t="shared" si="2"/>
        <v>0</v>
      </c>
      <c r="I23" s="2">
        <f t="shared" si="3"/>
        <v>0</v>
      </c>
    </row>
    <row r="24" spans="1:9" x14ac:dyDescent="0.2">
      <c r="A24" s="1">
        <v>44386</v>
      </c>
      <c r="B24" s="18">
        <f t="shared" si="4"/>
        <v>0</v>
      </c>
      <c r="C24" s="18">
        <f>B$6%*YEARFRAC(A22,A24,B$17)*(B$14-SUM(B$22:B23))</f>
        <v>0.10590277777777779</v>
      </c>
      <c r="D24" s="18">
        <f>C24+B24</f>
        <v>0.10590277777777779</v>
      </c>
      <c r="E24" s="2">
        <f t="shared" ref="E24:E58" si="5">+YEARFRAC($B$4,A24,0)</f>
        <v>1.075</v>
      </c>
      <c r="F24" s="6">
        <f t="shared" si="0"/>
        <v>0</v>
      </c>
      <c r="G24" s="3">
        <f t="shared" si="1"/>
        <v>0</v>
      </c>
      <c r="H24" s="2">
        <f t="shared" si="2"/>
        <v>0</v>
      </c>
      <c r="I24" s="2">
        <f t="shared" si="3"/>
        <v>0</v>
      </c>
    </row>
    <row r="25" spans="1:9" x14ac:dyDescent="0.2">
      <c r="A25" s="1">
        <v>44570</v>
      </c>
      <c r="B25" s="18">
        <f t="shared" si="4"/>
        <v>0</v>
      </c>
      <c r="C25" s="18">
        <f>B$7%*YEARFRAC(A24,A25,B$17)*(B$14-SUM(B$22:B24))</f>
        <v>1</v>
      </c>
      <c r="D25" s="18">
        <f t="shared" ref="D25:D58" si="6">C25+B25</f>
        <v>1</v>
      </c>
      <c r="E25" s="2">
        <f t="shared" si="5"/>
        <v>0.57499999999999996</v>
      </c>
      <c r="F25" s="6">
        <f t="shared" si="0"/>
        <v>0</v>
      </c>
      <c r="G25" s="3">
        <f t="shared" si="1"/>
        <v>0</v>
      </c>
      <c r="H25" s="2">
        <f t="shared" si="2"/>
        <v>0</v>
      </c>
      <c r="I25" s="2">
        <f t="shared" si="3"/>
        <v>0</v>
      </c>
    </row>
    <row r="26" spans="1:9" x14ac:dyDescent="0.2">
      <c r="A26" s="1">
        <v>44751</v>
      </c>
      <c r="B26" s="18">
        <f t="shared" si="4"/>
        <v>0</v>
      </c>
      <c r="C26" s="18">
        <f>B$7%*YEARFRAC(A25,A26,B$17)*(B$14-SUM(B$22:B25))</f>
        <v>1</v>
      </c>
      <c r="D26" s="18">
        <f t="shared" si="6"/>
        <v>1</v>
      </c>
      <c r="E26" s="2">
        <f t="shared" si="5"/>
        <v>7.4999999999999997E-2</v>
      </c>
      <c r="F26" s="6">
        <f t="shared" si="0"/>
        <v>0</v>
      </c>
      <c r="G26" s="3">
        <f t="shared" si="1"/>
        <v>0</v>
      </c>
      <c r="H26" s="2">
        <f t="shared" si="2"/>
        <v>0</v>
      </c>
      <c r="I26" s="2">
        <f t="shared" si="3"/>
        <v>0</v>
      </c>
    </row>
    <row r="27" spans="1:9" x14ac:dyDescent="0.2">
      <c r="A27" s="1">
        <v>44935</v>
      </c>
      <c r="B27" s="18">
        <f t="shared" si="4"/>
        <v>0</v>
      </c>
      <c r="C27" s="18">
        <f>B$8%*YEARFRAC(A26,A27,B$17)*(B$14-SUM(B$22:B26))</f>
        <v>1.9375</v>
      </c>
      <c r="D27" s="18">
        <f t="shared" si="6"/>
        <v>1.9375</v>
      </c>
      <c r="E27" s="2">
        <f t="shared" si="5"/>
        <v>0.42499999999999999</v>
      </c>
      <c r="F27" s="6">
        <f t="shared" si="0"/>
        <v>1.7230293124113463</v>
      </c>
      <c r="G27" s="3">
        <f t="shared" si="1"/>
        <v>7.4914329634490226E-2</v>
      </c>
      <c r="H27" s="2">
        <f t="shared" si="2"/>
        <v>3.1838590094658344E-2</v>
      </c>
      <c r="I27" s="2">
        <f t="shared" si="3"/>
        <v>1.3531400790229796E-2</v>
      </c>
    </row>
    <row r="28" spans="1:9" x14ac:dyDescent="0.2">
      <c r="A28" s="1">
        <v>45116</v>
      </c>
      <c r="B28" s="18">
        <f t="shared" si="4"/>
        <v>0</v>
      </c>
      <c r="C28" s="18">
        <f>B$8%*YEARFRAC(A27,A28,B$17)*(B$14-SUM(B$22:B27))</f>
        <v>1.9375</v>
      </c>
      <c r="D28" s="18">
        <f t="shared" si="6"/>
        <v>1.9375</v>
      </c>
      <c r="E28" s="2">
        <f t="shared" si="5"/>
        <v>0.92500000000000004</v>
      </c>
      <c r="F28" s="6">
        <f t="shared" si="0"/>
        <v>1.5009029540973717</v>
      </c>
      <c r="G28" s="3">
        <f t="shared" si="1"/>
        <v>6.5256660372930195E-2</v>
      </c>
      <c r="H28" s="2">
        <f t="shared" si="2"/>
        <v>6.0362410844960433E-2</v>
      </c>
      <c r="I28" s="2">
        <f t="shared" si="3"/>
        <v>5.5835230031588405E-2</v>
      </c>
    </row>
    <row r="29" spans="1:9" x14ac:dyDescent="0.2">
      <c r="A29" s="1">
        <v>45300</v>
      </c>
      <c r="B29" s="18">
        <f t="shared" si="4"/>
        <v>0</v>
      </c>
      <c r="C29" s="18">
        <f>B$9%*YEARFRAC(A28,A29,B$17)*(B$14-SUM(B$22:B28))</f>
        <v>2.125</v>
      </c>
      <c r="D29" s="18">
        <f t="shared" si="6"/>
        <v>2.125</v>
      </c>
      <c r="E29" s="2">
        <f t="shared" si="5"/>
        <v>1.425</v>
      </c>
      <c r="F29" s="6">
        <f t="shared" si="0"/>
        <v>1.4339360463407624</v>
      </c>
      <c r="G29" s="3">
        <f t="shared" si="1"/>
        <v>6.2345055232991949E-2</v>
      </c>
      <c r="H29" s="2">
        <f t="shared" si="2"/>
        <v>8.8841703707013525E-2</v>
      </c>
      <c r="I29" s="2">
        <f t="shared" si="3"/>
        <v>0.12659942778249428</v>
      </c>
    </row>
    <row r="30" spans="1:9" x14ac:dyDescent="0.2">
      <c r="A30" s="1">
        <v>45482</v>
      </c>
      <c r="B30" s="18">
        <f t="shared" si="4"/>
        <v>0</v>
      </c>
      <c r="C30" s="18">
        <f>B$9%*YEARFRAC(A29,A30,B$17)*(B$14-SUM(B$22:B29))</f>
        <v>2.125</v>
      </c>
      <c r="D30" s="18">
        <f t="shared" si="6"/>
        <v>2.125</v>
      </c>
      <c r="E30" s="2">
        <f t="shared" si="5"/>
        <v>1.925</v>
      </c>
      <c r="F30" s="6">
        <f t="shared" si="0"/>
        <v>1.2490784877754608</v>
      </c>
      <c r="G30" s="3">
        <f t="shared" si="1"/>
        <v>5.4307768822346149E-2</v>
      </c>
      <c r="H30" s="2">
        <f t="shared" si="2"/>
        <v>0.10454245498301634</v>
      </c>
      <c r="I30" s="2">
        <f t="shared" si="3"/>
        <v>0.20124422584230647</v>
      </c>
    </row>
    <row r="31" spans="1:9" x14ac:dyDescent="0.2">
      <c r="A31" s="1">
        <v>45666</v>
      </c>
      <c r="B31" s="18">
        <f>IF(A31&lt;B$13,0,B$14/B$12)</f>
        <v>0</v>
      </c>
      <c r="C31" s="18">
        <f>B$10%*YEARFRAC(A30,A31,B$17)*(B$14-SUM(B$22:B30))</f>
        <v>2.5</v>
      </c>
      <c r="D31" s="18">
        <f t="shared" si="6"/>
        <v>2.5</v>
      </c>
      <c r="E31" s="2">
        <f t="shared" si="5"/>
        <v>2.4249999999999998</v>
      </c>
      <c r="F31" s="6">
        <f t="shared" si="0"/>
        <v>1.2800612466437671</v>
      </c>
      <c r="G31" s="3">
        <f t="shared" si="1"/>
        <v>5.5654845505329537E-2</v>
      </c>
      <c r="H31" s="2">
        <f t="shared" si="2"/>
        <v>0.13496300035042411</v>
      </c>
      <c r="I31" s="2">
        <f t="shared" si="3"/>
        <v>0.32728527584977846</v>
      </c>
    </row>
    <row r="32" spans="1:9" x14ac:dyDescent="0.2">
      <c r="A32" s="1">
        <v>45847</v>
      </c>
      <c r="B32" s="18">
        <f t="shared" ref="B32:B52" si="7">IF(A32&lt;B$13,0,B$14/B$12)</f>
        <v>0</v>
      </c>
      <c r="C32" s="18">
        <f>B$10%*YEARFRAC(A31,A32,B$17)*(B$14-SUM(B$22:B31))</f>
        <v>2.5</v>
      </c>
      <c r="D32" s="18">
        <f t="shared" si="6"/>
        <v>2.5</v>
      </c>
      <c r="E32" s="2">
        <f t="shared" si="5"/>
        <v>2.9249999999999998</v>
      </c>
      <c r="F32" s="6">
        <f t="shared" si="0"/>
        <v>1.1150406395724317</v>
      </c>
      <c r="G32" s="3">
        <f t="shared" si="1"/>
        <v>4.8480035381336488E-2</v>
      </c>
      <c r="H32" s="2">
        <f t="shared" si="2"/>
        <v>0.14180410349040923</v>
      </c>
      <c r="I32" s="2">
        <f t="shared" si="3"/>
        <v>0.41477700270944695</v>
      </c>
    </row>
    <row r="33" spans="1:9" x14ac:dyDescent="0.2">
      <c r="A33" s="1">
        <v>46031</v>
      </c>
      <c r="B33" s="18">
        <f t="shared" si="7"/>
        <v>0</v>
      </c>
      <c r="C33" s="18">
        <f>B$10%*YEARFRAC(A32,A33,B$17)*(B$14-SUM(B$22:B32))</f>
        <v>2.5</v>
      </c>
      <c r="D33" s="18">
        <f t="shared" si="6"/>
        <v>2.5</v>
      </c>
      <c r="E33" s="2">
        <f t="shared" si="5"/>
        <v>3.4249999999999998</v>
      </c>
      <c r="F33" s="6">
        <f t="shared" si="0"/>
        <v>0.97129385891338094</v>
      </c>
      <c r="G33" s="3">
        <f t="shared" si="1"/>
        <v>4.2230174376291653E-2</v>
      </c>
      <c r="H33" s="2">
        <f t="shared" si="2"/>
        <v>0.1446383472387989</v>
      </c>
      <c r="I33" s="2">
        <f t="shared" si="3"/>
        <v>0.49538633929288617</v>
      </c>
    </row>
    <row r="34" spans="1:9" x14ac:dyDescent="0.2">
      <c r="A34" s="1">
        <v>46212</v>
      </c>
      <c r="B34" s="18">
        <f t="shared" si="7"/>
        <v>0</v>
      </c>
      <c r="C34" s="18">
        <f>B$10%*YEARFRAC(A33,A34,B$17)*(B$14-SUM(B$22:B33))</f>
        <v>2.5</v>
      </c>
      <c r="D34" s="18">
        <f t="shared" si="6"/>
        <v>2.5</v>
      </c>
      <c r="E34" s="2">
        <f t="shared" si="5"/>
        <v>3.9249999999999998</v>
      </c>
      <c r="F34" s="6">
        <f t="shared" si="0"/>
        <v>0.84607836421514027</v>
      </c>
      <c r="G34" s="3">
        <f t="shared" si="1"/>
        <v>3.6786021582371958E-2</v>
      </c>
      <c r="H34" s="2">
        <f t="shared" si="2"/>
        <v>0.14438513471080994</v>
      </c>
      <c r="I34" s="2">
        <f t="shared" si="3"/>
        <v>0.56671165373992893</v>
      </c>
    </row>
    <row r="35" spans="1:9" x14ac:dyDescent="0.2">
      <c r="A35" s="1">
        <v>46396</v>
      </c>
      <c r="B35" s="18">
        <f t="shared" si="7"/>
        <v>0</v>
      </c>
      <c r="C35" s="18">
        <f>B$10%*YEARFRAC(A34,A35,B$17)*(B$14-SUM(B$22:B34))</f>
        <v>2.5</v>
      </c>
      <c r="D35" s="18">
        <f t="shared" si="6"/>
        <v>2.5</v>
      </c>
      <c r="E35" s="2">
        <f t="shared" si="5"/>
        <v>4.4249999999999998</v>
      </c>
      <c r="F35" s="6">
        <f t="shared" si="0"/>
        <v>0.73700517286685141</v>
      </c>
      <c r="G35" s="3">
        <f t="shared" si="1"/>
        <v>3.2043708174182645E-2</v>
      </c>
      <c r="H35" s="2">
        <f t="shared" si="2"/>
        <v>0.14179340867075821</v>
      </c>
      <c r="I35" s="2">
        <f t="shared" si="3"/>
        <v>0.62743583336810493</v>
      </c>
    </row>
    <row r="36" spans="1:9" x14ac:dyDescent="0.2">
      <c r="A36" s="1">
        <v>46577</v>
      </c>
      <c r="B36" s="18">
        <f t="shared" si="7"/>
        <v>4.5454545454545459</v>
      </c>
      <c r="C36" s="18">
        <f>B$10%*YEARFRAC(A35,A36,B$17)*(B$14-SUM(B$22:B35))</f>
        <v>2.5</v>
      </c>
      <c r="D36" s="18">
        <f t="shared" si="6"/>
        <v>7.0454545454545459</v>
      </c>
      <c r="E36" s="2">
        <f t="shared" si="5"/>
        <v>4.9249999999999998</v>
      </c>
      <c r="F36" s="6">
        <f t="shared" si="0"/>
        <v>1.8092537912659208</v>
      </c>
      <c r="G36" s="3">
        <f t="shared" si="1"/>
        <v>7.8663220605145773E-2</v>
      </c>
      <c r="H36" s="2">
        <f t="shared" si="2"/>
        <v>0.38741636148034292</v>
      </c>
      <c r="I36" s="2">
        <f t="shared" si="3"/>
        <v>1.9080255802906889</v>
      </c>
    </row>
    <row r="37" spans="1:9" x14ac:dyDescent="0.2">
      <c r="A37" s="1">
        <v>46761</v>
      </c>
      <c r="B37" s="18">
        <f t="shared" si="7"/>
        <v>4.5454545454545459</v>
      </c>
      <c r="C37" s="18">
        <f>B$10%*YEARFRAC(A36,A37,B$17)*(B$14-SUM(B$22:B36))</f>
        <v>2.3863636363636362</v>
      </c>
      <c r="D37" s="18">
        <f t="shared" si="6"/>
        <v>6.9318181818181817</v>
      </c>
      <c r="E37" s="2">
        <f t="shared" si="5"/>
        <v>5.4249999999999998</v>
      </c>
      <c r="F37" s="6">
        <f t="shared" si="0"/>
        <v>1.5505921588610871</v>
      </c>
      <c r="G37" s="3">
        <f t="shared" si="1"/>
        <v>6.7417060917558877E-2</v>
      </c>
      <c r="H37" s="2">
        <f t="shared" si="2"/>
        <v>0.36573755547775688</v>
      </c>
      <c r="I37" s="2">
        <f t="shared" si="3"/>
        <v>1.9841262384668312</v>
      </c>
    </row>
    <row r="38" spans="1:9" x14ac:dyDescent="0.2">
      <c r="A38" s="1">
        <v>46943</v>
      </c>
      <c r="B38" s="18">
        <f t="shared" si="7"/>
        <v>4.5454545454545459</v>
      </c>
      <c r="C38" s="18">
        <f>B$10%*YEARFRAC(A37,A38,B$17)*(B$14-SUM(B$22:B37))</f>
        <v>2.2727272727272729</v>
      </c>
      <c r="D38" s="18">
        <f t="shared" si="6"/>
        <v>6.8181818181818183</v>
      </c>
      <c r="E38" s="2">
        <f t="shared" si="5"/>
        <v>5.9249999999999998</v>
      </c>
      <c r="F38" s="6">
        <f t="shared" si="0"/>
        <v>1.328553186694404</v>
      </c>
      <c r="G38" s="3">
        <f t="shared" si="1"/>
        <v>5.7763191054300729E-2</v>
      </c>
      <c r="H38" s="2">
        <f t="shared" si="2"/>
        <v>0.34224690699673183</v>
      </c>
      <c r="I38" s="2">
        <f t="shared" si="3"/>
        <v>2.0278129239556359</v>
      </c>
    </row>
    <row r="39" spans="1:9" x14ac:dyDescent="0.2">
      <c r="A39" s="1">
        <v>47127</v>
      </c>
      <c r="B39" s="18">
        <f t="shared" si="7"/>
        <v>4.5454545454545459</v>
      </c>
      <c r="C39" s="18">
        <f>B$10%*YEARFRAC(A38,A39,B$17)*(B$14-SUM(B$22:B38))</f>
        <v>2.1590909090909092</v>
      </c>
      <c r="D39" s="18">
        <f t="shared" si="6"/>
        <v>6.704545454545455</v>
      </c>
      <c r="E39" s="2">
        <f t="shared" si="5"/>
        <v>6.4249999999999998</v>
      </c>
      <c r="F39" s="6">
        <f t="shared" si="0"/>
        <v>1.1379931641816321</v>
      </c>
      <c r="G39" s="3">
        <f t="shared" si="1"/>
        <v>4.947797138981392E-2</v>
      </c>
      <c r="H39" s="2">
        <f t="shared" si="2"/>
        <v>0.3178959661795544</v>
      </c>
      <c r="I39" s="2">
        <f t="shared" si="3"/>
        <v>2.0424815827036373</v>
      </c>
    </row>
    <row r="40" spans="1:9" x14ac:dyDescent="0.2">
      <c r="A40" s="1">
        <v>47308</v>
      </c>
      <c r="B40" s="18">
        <f t="shared" si="7"/>
        <v>4.5454545454545459</v>
      </c>
      <c r="C40" s="18">
        <f>B$10%*YEARFRAC(A39,A40,B$17)*(B$14-SUM(B$22:B39))</f>
        <v>2.0454545454545454</v>
      </c>
      <c r="D40" s="18">
        <f t="shared" si="6"/>
        <v>6.5909090909090917</v>
      </c>
      <c r="E40" s="2">
        <f t="shared" si="5"/>
        <v>6.9249999999999998</v>
      </c>
      <c r="F40" s="6">
        <f t="shared" si="0"/>
        <v>0.97448594981748704</v>
      </c>
      <c r="G40" s="3">
        <f t="shared" si="1"/>
        <v>4.2368960959021811E-2</v>
      </c>
      <c r="H40" s="2">
        <f t="shared" si="2"/>
        <v>0.29340505464122602</v>
      </c>
      <c r="I40" s="2">
        <f t="shared" si="3"/>
        <v>2.0318300033904904</v>
      </c>
    </row>
    <row r="41" spans="1:9" x14ac:dyDescent="0.2">
      <c r="A41" s="1">
        <v>47492</v>
      </c>
      <c r="B41" s="18">
        <f t="shared" si="7"/>
        <v>4.5454545454545459</v>
      </c>
      <c r="C41" s="18">
        <f>B$10%*YEARFRAC(A40,A41,B$17)*(B$14-SUM(B$22:B40))</f>
        <v>1.9318181818181817</v>
      </c>
      <c r="D41" s="18">
        <f t="shared" si="6"/>
        <v>6.4772727272727275</v>
      </c>
      <c r="E41" s="2">
        <f t="shared" si="5"/>
        <v>7.4249999999999998</v>
      </c>
      <c r="F41" s="6">
        <f t="shared" si="0"/>
        <v>0.83422344393481207</v>
      </c>
      <c r="G41" s="3">
        <f t="shared" si="1"/>
        <v>3.6270590185312188E-2</v>
      </c>
      <c r="H41" s="2">
        <f t="shared" si="2"/>
        <v>0.26930913212594298</v>
      </c>
      <c r="I41" s="2">
        <f t="shared" si="3"/>
        <v>1.9996203060351265</v>
      </c>
    </row>
    <row r="42" spans="1:9" x14ac:dyDescent="0.2">
      <c r="A42" s="1">
        <v>47673</v>
      </c>
      <c r="B42" s="18">
        <f t="shared" si="7"/>
        <v>4.5454545454545459</v>
      </c>
      <c r="C42" s="18">
        <f>B$10%*YEARFRAC(A41,A42,B$17)*(B$14-SUM(B$22:B41))</f>
        <v>1.8181818181818181</v>
      </c>
      <c r="D42" s="18">
        <f t="shared" si="6"/>
        <v>6.3636363636363642</v>
      </c>
      <c r="E42" s="2">
        <f t="shared" si="5"/>
        <v>7.9249999999999998</v>
      </c>
      <c r="F42" s="6">
        <f t="shared" si="0"/>
        <v>0.71392979725290151</v>
      </c>
      <c r="G42" s="3">
        <f t="shared" si="1"/>
        <v>3.1040430816838171E-2</v>
      </c>
      <c r="H42" s="2">
        <f t="shared" si="2"/>
        <v>0.24599541422344251</v>
      </c>
      <c r="I42" s="2">
        <f t="shared" si="3"/>
        <v>1.9495136577207819</v>
      </c>
    </row>
    <row r="43" spans="1:9" x14ac:dyDescent="0.2">
      <c r="A43" s="1">
        <v>47857</v>
      </c>
      <c r="B43" s="18">
        <f t="shared" si="7"/>
        <v>4.5454545454545459</v>
      </c>
      <c r="C43" s="18">
        <f>B$10%*YEARFRAC(A42,A43,B$17)*(B$14-SUM(B$22:B42))</f>
        <v>1.7045454545454544</v>
      </c>
      <c r="D43" s="18">
        <f t="shared" si="6"/>
        <v>6.25</v>
      </c>
      <c r="E43" s="2">
        <f t="shared" si="5"/>
        <v>8.4250000000000007</v>
      </c>
      <c r="F43" s="6">
        <f t="shared" si="0"/>
        <v>0.61078746776521387</v>
      </c>
      <c r="G43" s="3">
        <f t="shared" si="1"/>
        <v>2.6555981008090417E-2</v>
      </c>
      <c r="H43" s="2">
        <f t="shared" si="2"/>
        <v>0.22373413999316177</v>
      </c>
      <c r="I43" s="2">
        <f t="shared" si="3"/>
        <v>1.8849601294423883</v>
      </c>
    </row>
    <row r="44" spans="1:9" x14ac:dyDescent="0.2">
      <c r="A44" s="1">
        <v>48038</v>
      </c>
      <c r="B44" s="18">
        <f t="shared" si="7"/>
        <v>4.5454545454545459</v>
      </c>
      <c r="C44" s="18">
        <f>B$10%*YEARFRAC(A43,A44,B$17)*(B$14-SUM(B$22:B43))</f>
        <v>1.5909090909090908</v>
      </c>
      <c r="D44" s="18">
        <f t="shared" si="6"/>
        <v>6.1363636363636367</v>
      </c>
      <c r="E44" s="2">
        <f t="shared" si="5"/>
        <v>8.9250000000000007</v>
      </c>
      <c r="F44" s="6">
        <f t="shared" si="0"/>
        <v>0.52237349688203516</v>
      </c>
      <c r="G44" s="3">
        <f t="shared" si="1"/>
        <v>2.2711894716971406E-2</v>
      </c>
      <c r="H44" s="2">
        <f t="shared" si="2"/>
        <v>0.20270366034896981</v>
      </c>
      <c r="I44" s="2">
        <f t="shared" si="3"/>
        <v>1.8091301686145558</v>
      </c>
    </row>
    <row r="45" spans="1:9" x14ac:dyDescent="0.2">
      <c r="A45" s="1">
        <v>48222</v>
      </c>
      <c r="B45" s="18">
        <f t="shared" si="7"/>
        <v>4.5454545454545459</v>
      </c>
      <c r="C45" s="18">
        <f>B$10%*YEARFRAC(A44,A45,B$17)*(B$14-SUM(B$22:B44))</f>
        <v>1.4772727272727273</v>
      </c>
      <c r="D45" s="18">
        <f t="shared" si="6"/>
        <v>6.0227272727272734</v>
      </c>
      <c r="E45" s="2">
        <f t="shared" si="5"/>
        <v>9.4250000000000007</v>
      </c>
      <c r="F45" s="6">
        <f t="shared" si="0"/>
        <v>0.4466045988622549</v>
      </c>
      <c r="G45" s="3">
        <f t="shared" si="1"/>
        <v>1.9417594288412714E-2</v>
      </c>
      <c r="H45" s="2">
        <f t="shared" si="2"/>
        <v>0.18301082616828984</v>
      </c>
      <c r="I45" s="2">
        <f t="shared" si="3"/>
        <v>1.7248770366361319</v>
      </c>
    </row>
    <row r="46" spans="1:9" x14ac:dyDescent="0.2">
      <c r="A46" s="1">
        <v>48404</v>
      </c>
      <c r="B46" s="18">
        <f t="shared" si="7"/>
        <v>4.5454545454545459</v>
      </c>
      <c r="C46" s="18">
        <f>B$10%*YEARFRAC(A45,A46,B$17)*(B$14-SUM(B$22:B45))</f>
        <v>1.3636363636363635</v>
      </c>
      <c r="D46" s="18">
        <f t="shared" si="6"/>
        <v>5.9090909090909092</v>
      </c>
      <c r="E46" s="2">
        <f t="shared" si="5"/>
        <v>9.9250000000000007</v>
      </c>
      <c r="F46" s="6">
        <f t="shared" si="0"/>
        <v>0.38168985023421886</v>
      </c>
      <c r="G46" s="3">
        <f t="shared" si="1"/>
        <v>1.6595213472351593E-2</v>
      </c>
      <c r="H46" s="2">
        <f t="shared" si="2"/>
        <v>0.16470749371308957</v>
      </c>
      <c r="I46" s="2">
        <f t="shared" si="3"/>
        <v>1.634721875102414</v>
      </c>
    </row>
    <row r="47" spans="1:9" x14ac:dyDescent="0.2">
      <c r="A47" s="1">
        <v>48588</v>
      </c>
      <c r="B47" s="18">
        <f t="shared" si="7"/>
        <v>4.5454545454545459</v>
      </c>
      <c r="C47" s="18">
        <f>B$10%*YEARFRAC(A46,A47,B$17)*(B$14-SUM(B$22:B46))</f>
        <v>1.25</v>
      </c>
      <c r="D47" s="18">
        <f t="shared" si="6"/>
        <v>5.7954545454545459</v>
      </c>
      <c r="E47" s="2">
        <f t="shared" si="5"/>
        <v>10.425000000000001</v>
      </c>
      <c r="F47" s="6">
        <f t="shared" si="0"/>
        <v>0.32608993226221794</v>
      </c>
      <c r="G47" s="3">
        <f t="shared" si="1"/>
        <v>1.4177825356779762E-2</v>
      </c>
      <c r="H47" s="2">
        <f t="shared" si="2"/>
        <v>0.14780382934442904</v>
      </c>
      <c r="I47" s="2">
        <f t="shared" si="3"/>
        <v>1.5408549209156728</v>
      </c>
    </row>
    <row r="48" spans="1:9" x14ac:dyDescent="0.2">
      <c r="A48" s="1">
        <v>48769</v>
      </c>
      <c r="B48" s="18">
        <f t="shared" si="7"/>
        <v>4.5454545454545459</v>
      </c>
      <c r="C48" s="18">
        <f>B$10%*YEARFRAC(A47,A48,B$17)*(B$14-SUM(B$22:B47))</f>
        <v>1.1363636363636362</v>
      </c>
      <c r="D48" s="18">
        <f t="shared" si="6"/>
        <v>5.6818181818181817</v>
      </c>
      <c r="E48" s="2">
        <f t="shared" si="5"/>
        <v>10.925000000000001</v>
      </c>
      <c r="F48" s="6">
        <f t="shared" si="0"/>
        <v>0.27848202314395082</v>
      </c>
      <c r="G48" s="3">
        <f t="shared" si="1"/>
        <v>1.2107915941307631E-2</v>
      </c>
      <c r="H48" s="2">
        <f t="shared" si="2"/>
        <v>0.13227898165878588</v>
      </c>
      <c r="I48" s="2">
        <f t="shared" si="3"/>
        <v>1.4451478746222359</v>
      </c>
    </row>
    <row r="49" spans="1:9" x14ac:dyDescent="0.2">
      <c r="A49" s="1">
        <v>48953</v>
      </c>
      <c r="B49" s="18">
        <f t="shared" si="7"/>
        <v>4.5454545454545459</v>
      </c>
      <c r="C49" s="18">
        <f>B$10%*YEARFRAC(A48,A49,B$17)*(B$14-SUM(B$22:B48))</f>
        <v>1.0227272727272725</v>
      </c>
      <c r="D49" s="18">
        <f t="shared" si="6"/>
        <v>5.5681818181818183</v>
      </c>
      <c r="E49" s="2">
        <f t="shared" si="5"/>
        <v>11.425000000000001</v>
      </c>
      <c r="F49" s="6">
        <f t="shared" si="0"/>
        <v>0.23772956062048933</v>
      </c>
      <c r="G49" s="3">
        <f t="shared" si="1"/>
        <v>1.0336069467826999E-2</v>
      </c>
      <c r="H49" s="2">
        <f t="shared" si="2"/>
        <v>0.11808959366992347</v>
      </c>
      <c r="I49" s="2">
        <f t="shared" si="3"/>
        <v>1.3491736076788758</v>
      </c>
    </row>
    <row r="50" spans="1:9" x14ac:dyDescent="0.2">
      <c r="A50" s="1">
        <v>49134</v>
      </c>
      <c r="B50" s="18">
        <f t="shared" si="7"/>
        <v>4.5454545454545459</v>
      </c>
      <c r="C50" s="18">
        <f>B$10%*YEARFRAC(A49,A50,B$17)*(B$14-SUM(B$22:B49))</f>
        <v>0.90909090909090884</v>
      </c>
      <c r="D50" s="18">
        <f t="shared" si="6"/>
        <v>5.454545454545455</v>
      </c>
      <c r="E50" s="2">
        <f t="shared" si="5"/>
        <v>11.925000000000001</v>
      </c>
      <c r="F50" s="6">
        <f t="shared" si="0"/>
        <v>0.20285620271875771</v>
      </c>
      <c r="G50" s="3">
        <f t="shared" si="1"/>
        <v>8.8198362787028309E-3</v>
      </c>
      <c r="H50" s="2">
        <f t="shared" si="2"/>
        <v>0.10517654762353126</v>
      </c>
      <c r="I50" s="2">
        <f t="shared" si="3"/>
        <v>1.2542303304106106</v>
      </c>
    </row>
    <row r="51" spans="1:9" x14ac:dyDescent="0.2">
      <c r="A51" s="1">
        <v>49318</v>
      </c>
      <c r="B51" s="18">
        <f t="shared" si="7"/>
        <v>4.5454545454545459</v>
      </c>
      <c r="C51" s="18">
        <f>B$10%*YEARFRAC(A50,A51,B$17)*(B$14-SUM(B$22:B50))</f>
        <v>0.79545454545454541</v>
      </c>
      <c r="D51" s="18">
        <f t="shared" si="6"/>
        <v>5.3409090909090917</v>
      </c>
      <c r="E51" s="2">
        <f t="shared" si="5"/>
        <v>12.425000000000001</v>
      </c>
      <c r="F51" s="6">
        <f t="shared" si="0"/>
        <v>0.17302340673883079</v>
      </c>
      <c r="G51" s="3">
        <f t="shared" si="1"/>
        <v>7.5227579899817681E-3</v>
      </c>
      <c r="H51" s="2">
        <f t="shared" si="2"/>
        <v>9.3470268025523481E-2</v>
      </c>
      <c r="I51" s="2">
        <f t="shared" si="3"/>
        <v>1.1613680802171291</v>
      </c>
    </row>
    <row r="52" spans="1:9" x14ac:dyDescent="0.2">
      <c r="A52" s="1">
        <v>49499</v>
      </c>
      <c r="B52" s="18">
        <f t="shared" si="7"/>
        <v>4.5454545454545459</v>
      </c>
      <c r="C52" s="18">
        <f>B$10%*YEARFRAC(A51,A52,B$17)*(B$14-SUM(B$22:B51))</f>
        <v>0.68181818181818166</v>
      </c>
      <c r="D52" s="18">
        <f t="shared" si="6"/>
        <v>5.2272727272727275</v>
      </c>
      <c r="E52" s="2">
        <f t="shared" si="5"/>
        <v>12.925000000000001</v>
      </c>
      <c r="F52" s="6">
        <f t="shared" si="0"/>
        <v>0.14751112634180452</v>
      </c>
      <c r="G52" s="3">
        <f t="shared" si="1"/>
        <v>6.4135282342118955E-3</v>
      </c>
      <c r="H52" s="2">
        <f t="shared" si="2"/>
        <v>8.2894852427188748E-2</v>
      </c>
      <c r="I52" s="2">
        <f t="shared" si="3"/>
        <v>1.0714159676214148</v>
      </c>
    </row>
    <row r="53" spans="1:9" x14ac:dyDescent="0.2">
      <c r="A53" s="1">
        <v>49683</v>
      </c>
      <c r="B53" s="18">
        <f t="shared" ref="B53:B58" si="8">IF(A53&lt;B$13,0,B$14/B$12)</f>
        <v>4.5454545454545459</v>
      </c>
      <c r="C53" s="18">
        <f>B$10%*YEARFRAC(A52,A53,B$17)*(B$14-SUM(B$22:B52))</f>
        <v>0.56818181818181801</v>
      </c>
      <c r="D53" s="18">
        <f t="shared" si="6"/>
        <v>5.1136363636363642</v>
      </c>
      <c r="E53" s="2">
        <f t="shared" si="5"/>
        <v>13.425000000000001</v>
      </c>
      <c r="F53" s="6">
        <f t="shared" si="0"/>
        <v>0.12570119541437177</v>
      </c>
      <c r="G53" s="3">
        <f t="shared" si="1"/>
        <v>5.4652702196592694E-3</v>
      </c>
      <c r="H53" s="2">
        <f t="shared" si="2"/>
        <v>7.3371252698925693E-2</v>
      </c>
      <c r="I53" s="2">
        <f t="shared" si="3"/>
        <v>0.98500906748307759</v>
      </c>
    </row>
    <row r="54" spans="1:9" x14ac:dyDescent="0.2">
      <c r="A54" s="1">
        <v>49865</v>
      </c>
      <c r="B54" s="18">
        <f t="shared" si="8"/>
        <v>4.5454545454545459</v>
      </c>
      <c r="C54" s="18">
        <f>B$10%*YEARFRAC(A53,A54,B$17)*(B$14-SUM(B$22:B53))</f>
        <v>0.45454545454545436</v>
      </c>
      <c r="D54" s="18">
        <f t="shared" si="6"/>
        <v>5</v>
      </c>
      <c r="E54" s="2">
        <f t="shared" si="5"/>
        <v>13.925000000000001</v>
      </c>
      <c r="F54" s="6">
        <f t="shared" si="0"/>
        <v>0.10706302677458486</v>
      </c>
      <c r="G54" s="3">
        <f t="shared" si="1"/>
        <v>4.654914934809142E-3</v>
      </c>
      <c r="H54" s="2">
        <f t="shared" si="2"/>
        <v>6.4819690467217306E-2</v>
      </c>
      <c r="I54" s="2">
        <f t="shared" si="3"/>
        <v>0.90261418975600105</v>
      </c>
    </row>
    <row r="55" spans="1:9" x14ac:dyDescent="0.2">
      <c r="A55" s="1">
        <v>50049</v>
      </c>
      <c r="B55" s="18">
        <f t="shared" si="8"/>
        <v>4.5454545454545459</v>
      </c>
      <c r="C55" s="18">
        <f>B$10%*YEARFRAC(A54,A55,B$17)*(B$14-SUM(B$22:B54))</f>
        <v>0.34090909090909066</v>
      </c>
      <c r="D55" s="18">
        <f t="shared" si="6"/>
        <v>4.8863636363636367</v>
      </c>
      <c r="E55" s="2">
        <f t="shared" si="5"/>
        <v>14.425000000000001</v>
      </c>
      <c r="F55" s="6">
        <f t="shared" si="0"/>
        <v>9.1141305027730712E-2</v>
      </c>
      <c r="G55" s="3">
        <f t="shared" si="1"/>
        <v>3.9626660550595508E-3</v>
      </c>
      <c r="H55" s="2">
        <f t="shared" si="2"/>
        <v>5.7161457844234022E-2</v>
      </c>
      <c r="I55" s="2">
        <f t="shared" si="3"/>
        <v>0.82455402940307587</v>
      </c>
    </row>
    <row r="56" spans="1:9" x14ac:dyDescent="0.2">
      <c r="A56" s="1">
        <v>50230</v>
      </c>
      <c r="B56" s="18">
        <f t="shared" si="8"/>
        <v>4.5454545454545459</v>
      </c>
      <c r="C56" s="18">
        <f>B$10%*YEARFRAC(A55,A56,B$17)*(B$14-SUM(B$22:B55))</f>
        <v>0.22727272727272699</v>
      </c>
      <c r="D56" s="18">
        <f t="shared" si="6"/>
        <v>4.7727272727272725</v>
      </c>
      <c r="E56" s="2">
        <f t="shared" si="5"/>
        <v>14.925000000000001</v>
      </c>
      <c r="F56" s="6">
        <f t="shared" si="0"/>
        <v>7.7545397094553978E-2</v>
      </c>
      <c r="G56" s="3">
        <f t="shared" si="1"/>
        <v>3.3715395308330002E-3</v>
      </c>
      <c r="H56" s="2">
        <f t="shared" si="2"/>
        <v>5.0320227497682529E-2</v>
      </c>
      <c r="I56" s="2">
        <f t="shared" si="3"/>
        <v>0.7510293954029118</v>
      </c>
    </row>
    <row r="57" spans="1:9" x14ac:dyDescent="0.2">
      <c r="A57" s="1">
        <v>50414</v>
      </c>
      <c r="B57" s="18">
        <f t="shared" si="8"/>
        <v>4.5454545454545459</v>
      </c>
      <c r="C57" s="18">
        <f>B$10%*YEARFRAC(A56,A57,B$17)*(B$14-SUM(B$22:B56))</f>
        <v>0.11363636363636331</v>
      </c>
      <c r="D57" s="18">
        <f t="shared" si="6"/>
        <v>4.6590909090909092</v>
      </c>
      <c r="E57" s="2">
        <f t="shared" si="5"/>
        <v>15.425000000000001</v>
      </c>
      <c r="F57" s="6">
        <f t="shared" si="0"/>
        <v>6.5940242077435041E-2</v>
      </c>
      <c r="G57" s="3">
        <f t="shared" si="1"/>
        <v>2.8669674947397147E-3</v>
      </c>
      <c r="H57" s="2">
        <f t="shared" si="2"/>
        <v>4.42229736063601E-2</v>
      </c>
      <c r="I57" s="2">
        <f t="shared" si="3"/>
        <v>0.68213936787810459</v>
      </c>
    </row>
    <row r="58" spans="1:9" x14ac:dyDescent="0.2">
      <c r="A58" s="1"/>
      <c r="B58" s="18"/>
      <c r="C58" s="18"/>
      <c r="D58" s="18"/>
      <c r="F58" s="6"/>
      <c r="G58" s="3"/>
    </row>
    <row r="59" spans="1:9" x14ac:dyDescent="0.2">
      <c r="A59" s="1"/>
      <c r="F59" s="6"/>
      <c r="G59" s="3"/>
    </row>
    <row r="60" spans="1:9" x14ac:dyDescent="0.2">
      <c r="A60" s="1"/>
      <c r="F60" s="6"/>
      <c r="G60" s="3"/>
    </row>
    <row r="61" spans="1:9" x14ac:dyDescent="0.2">
      <c r="A61" s="1"/>
      <c r="F61" s="6"/>
      <c r="G61" s="3"/>
    </row>
    <row r="62" spans="1:9" x14ac:dyDescent="0.2">
      <c r="A62" s="1"/>
      <c r="F62" s="6"/>
      <c r="G6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s="47">
        <v>2029</v>
      </c>
      <c r="B1" s="20">
        <f>+SUM('Bono 2029 USD HOY'!I22:I42)</f>
        <v>15.39964700196462</v>
      </c>
    </row>
    <row r="2" spans="1:6" x14ac:dyDescent="0.2">
      <c r="A2" s="47">
        <v>2030</v>
      </c>
      <c r="B2" s="20">
        <f>+SUM('Bono 2030 USD HOY'!I22:I42)</f>
        <v>16.767616017006617</v>
      </c>
    </row>
    <row r="3" spans="1:6" x14ac:dyDescent="0.2">
      <c r="A3" s="47">
        <v>2038</v>
      </c>
      <c r="B3" s="20">
        <f>+SUM('Bono 2038 USD HOY'!I22:I58)</f>
        <v>35.793442723154556</v>
      </c>
    </row>
    <row r="5" spans="1:6" x14ac:dyDescent="0.2">
      <c r="C5" s="53">
        <v>-0.01</v>
      </c>
      <c r="D5" s="53">
        <f>-C5</f>
        <v>0.01</v>
      </c>
    </row>
    <row r="6" spans="1:6" x14ac:dyDescent="0.2">
      <c r="C6" s="52">
        <f>-'Bono 2029 USD HOY'!B14*Convexidad!C5+1/2*(C5)^2*B1</f>
        <v>3.0309666666233106E-2</v>
      </c>
      <c r="D6" s="52">
        <f>-'Bono 2029 USD HOY'!B14*Convexidad!D5+1/2*(D5)^2*B1</f>
        <v>-2.8769701966036645E-2</v>
      </c>
      <c r="E6" s="54">
        <f>+AVERAGE(C6:D6)</f>
        <v>7.6998235009823057E-4</v>
      </c>
    </row>
    <row r="7" spans="1:6" x14ac:dyDescent="0.2">
      <c r="C7" s="52">
        <f>-'Bono 2030 USD HOY'!B18*Convexidad!C5+1/2*(C5)^2*B2</f>
        <v>3.1644595372840659E-2</v>
      </c>
      <c r="D7" s="52">
        <f>-'Bono 2030 USD HOY'!B18*Convexidad!D5+1/2*(D5)^2*B2</f>
        <v>-2.9967833771139998E-2</v>
      </c>
      <c r="E7" s="54">
        <f t="shared" ref="E7:E8" si="0">+AVERAGE(C7:D7)</f>
        <v>8.3838080085033018E-4</v>
      </c>
    </row>
    <row r="8" spans="1:6" x14ac:dyDescent="0.2">
      <c r="C8" s="52">
        <f>-'Bono 2038 USD HOY'!B20*Convexidad!C5+1/2*(C5)^2*B3</f>
        <v>4.4986207756555353E-2</v>
      </c>
      <c r="D8" s="52">
        <f>-'Bono 2038 USD HOY'!B20*Convexidad!D5+1/2*(D5)^2*B3</f>
        <v>-4.1406863484239893E-2</v>
      </c>
      <c r="E8" s="54">
        <f t="shared" si="0"/>
        <v>1.78967213615773E-3</v>
      </c>
      <c r="F8" s="54">
        <f>+E8-E6</f>
        <v>1.0196897860594994E-3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B1" t="s">
        <v>34</v>
      </c>
      <c r="C1" s="14">
        <v>-0.03</v>
      </c>
    </row>
    <row r="2" spans="1:3" x14ac:dyDescent="0.2">
      <c r="A2">
        <v>2029</v>
      </c>
      <c r="B2" s="57">
        <f>-'Bono 2029 USD HOY'!B14*3%+Convexidad!B1*1/2*(3%)^2</f>
        <v>-8.1689211797520547E-2</v>
      </c>
      <c r="C2" s="57">
        <f>-'Bono 2029 USD HOY'!B14*-3%+Convexidad!B1*1/2*(-3%)^2</f>
        <v>9.5548894099288698E-2</v>
      </c>
    </row>
    <row r="3" spans="1:3" x14ac:dyDescent="0.2">
      <c r="A3">
        <v>2030</v>
      </c>
      <c r="B3" s="57">
        <f>-'Bono 2030 USD HOY'!B18*3%+Convexidad!B2*1/2*(3%)^2</f>
        <v>-8.4873216508318E-2</v>
      </c>
      <c r="C3" s="57">
        <f>-'Bono 2030 USD HOY'!B18*-3%+Convexidad!B2*1/2*(-3%)^2</f>
        <v>9.9964070923623943E-2</v>
      </c>
    </row>
    <row r="4" spans="1:3" x14ac:dyDescent="0.2">
      <c r="A4" s="55">
        <v>2038</v>
      </c>
      <c r="B4" s="56">
        <f>-'Bono 2038 USD HOY'!B20*3%+Convexidad!B3*1/2*(3%)^2</f>
        <v>-0.11348255763577331</v>
      </c>
      <c r="C4" s="56">
        <f>-'Bono 2038 USD HOY'!B20*-3%+Convexidad!B3*1/2*(-3%)^2</f>
        <v>0.14569665608661242</v>
      </c>
    </row>
    <row r="5" spans="1:3" x14ac:dyDescent="0.2">
      <c r="B5" s="52">
        <f>AVERAGE(B2:B4)</f>
        <v>-9.3348328647203951E-2</v>
      </c>
      <c r="C5" s="52">
        <f>AVERAGE(C2:C4)</f>
        <v>0.1137365403698417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Bono 2029 USD</vt:lpstr>
      <vt:lpstr>Bono 2030 USD</vt:lpstr>
      <vt:lpstr>Bono 2038 USD</vt:lpstr>
      <vt:lpstr>Valor canje</vt:lpstr>
      <vt:lpstr>Valor equilibrio bono 2029</vt:lpstr>
      <vt:lpstr>Bono 2029 USD HOY</vt:lpstr>
      <vt:lpstr>Bono 2030 USD HOY</vt:lpstr>
      <vt:lpstr>Bono 2038 USD HOY</vt:lpstr>
      <vt:lpstr>Convexidad</vt:lpstr>
      <vt:lpstr>Sensibilidad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2021-06-30T19:52:50Z</dcterms:created>
  <dcterms:modified xsi:type="dcterms:W3CDTF">2022-08-06T19:13:34Z</dcterms:modified>
</cp:coreProperties>
</file>