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carolinagialdi/Documents/"/>
    </mc:Choice>
  </mc:AlternateContent>
  <bookViews>
    <workbookView xWindow="0" yWindow="460" windowWidth="20740" windowHeight="11160"/>
  </bookViews>
  <sheets>
    <sheet name="2029" sheetId="1" r:id="rId1"/>
    <sheet name="2030" sheetId="2" r:id="rId2"/>
    <sheet name="2038" sheetId="3" r:id="rId3"/>
    <sheet name="Valor" sheetId="4" r:id="rId4"/>
    <sheet name="2038 23,4%" sheetId="5" r:id="rId5"/>
    <sheet name="Valor (2)" sheetId="6" r:id="rId6"/>
    <sheet name="HR implicita" sheetId="12" r:id="rId7"/>
    <sheet name="2029 Feb" sheetId="8" r:id="rId8"/>
    <sheet name="2030 Feb" sheetId="9" r:id="rId9"/>
    <sheet name="2038 Feb" sheetId="10" r:id="rId10"/>
    <sheet name="5)" sheetId="7" r:id="rId11"/>
    <sheet name="CDS" sheetId="11" r:id="rId12"/>
  </sheets>
  <externalReferences>
    <externalReference r:id="rId13"/>
  </externalReferences>
  <definedNames>
    <definedName name="_xlnm._FilterDatabase" localSheetId="0" hidden="1">'2029'!$A$14:$O$35</definedName>
    <definedName name="_xlnm._FilterDatabase" localSheetId="7" hidden="1">'2029 Feb'!$A$14:$O$35</definedName>
    <definedName name="solver_adj" localSheetId="0" hidden="1">'2029'!$H$7</definedName>
    <definedName name="solver_adj" localSheetId="7" hidden="1">'2029 Feb'!$H$7</definedName>
    <definedName name="solver_adj" localSheetId="1" hidden="1">'2030'!$H$7</definedName>
    <definedName name="solver_adj" localSheetId="8" hidden="1">'2030 Feb'!$H$4</definedName>
    <definedName name="solver_adj" localSheetId="2" hidden="1">'2038'!$H$7</definedName>
    <definedName name="solver_adj" localSheetId="4" hidden="1">'2038 23,4%'!$H$7</definedName>
    <definedName name="solver_adj" localSheetId="9" hidden="1">'2038 Feb'!$H$7</definedName>
    <definedName name="solver_adj" localSheetId="6" hidden="1">'HR implicita'!$B$2</definedName>
    <definedName name="solver_cvg" localSheetId="0" hidden="1">0.0001</definedName>
    <definedName name="solver_cvg" localSheetId="7" hidden="1">0.0001</definedName>
    <definedName name="solver_cvg" localSheetId="1" hidden="1">0.0001</definedName>
    <definedName name="solver_cvg" localSheetId="8" hidden="1">0.0001</definedName>
    <definedName name="solver_cvg" localSheetId="2" hidden="1">0.0001</definedName>
    <definedName name="solver_cvg" localSheetId="4" hidden="1">0.0001</definedName>
    <definedName name="solver_cvg" localSheetId="9" hidden="1">0.0001</definedName>
    <definedName name="solver_cvg" localSheetId="6" hidden="1">0.0001</definedName>
    <definedName name="solver_drv" localSheetId="0" hidden="1">1</definedName>
    <definedName name="solver_drv" localSheetId="7" hidden="1">1</definedName>
    <definedName name="solver_drv" localSheetId="1" hidden="1">1</definedName>
    <definedName name="solver_drv" localSheetId="8" hidden="1">1</definedName>
    <definedName name="solver_drv" localSheetId="2" hidden="1">1</definedName>
    <definedName name="solver_drv" localSheetId="4" hidden="1">1</definedName>
    <definedName name="solver_drv" localSheetId="9" hidden="1">1</definedName>
    <definedName name="solver_drv" localSheetId="6" hidden="1">1</definedName>
    <definedName name="solver_eng" localSheetId="0" hidden="1">1</definedName>
    <definedName name="solver_eng" localSheetId="7" hidden="1">1</definedName>
    <definedName name="solver_eng" localSheetId="1" hidden="1">1</definedName>
    <definedName name="solver_eng" localSheetId="8" hidden="1">1</definedName>
    <definedName name="solver_eng" localSheetId="2" hidden="1">1</definedName>
    <definedName name="solver_eng" localSheetId="4" hidden="1">1</definedName>
    <definedName name="solver_eng" localSheetId="9" hidden="1">1</definedName>
    <definedName name="solver_eng" localSheetId="6" hidden="1">1</definedName>
    <definedName name="solver_est" localSheetId="0" hidden="1">1</definedName>
    <definedName name="solver_est" localSheetId="7" hidden="1">1</definedName>
    <definedName name="solver_est" localSheetId="1" hidden="1">1</definedName>
    <definedName name="solver_est" localSheetId="8" hidden="1">1</definedName>
    <definedName name="solver_est" localSheetId="2" hidden="1">1</definedName>
    <definedName name="solver_est" localSheetId="9" hidden="1">1</definedName>
    <definedName name="solver_itr" localSheetId="0" hidden="1">2147483647</definedName>
    <definedName name="solver_itr" localSheetId="7" hidden="1">2147483647</definedName>
    <definedName name="solver_itr" localSheetId="1" hidden="1">2147483647</definedName>
    <definedName name="solver_itr" localSheetId="8" hidden="1">2147483647</definedName>
    <definedName name="solver_itr" localSheetId="2" hidden="1">2147483647</definedName>
    <definedName name="solver_itr" localSheetId="4" hidden="1">2147483647</definedName>
    <definedName name="solver_itr" localSheetId="9" hidden="1">2147483647</definedName>
    <definedName name="solver_itr" localSheetId="6" hidden="1">2147483647</definedName>
    <definedName name="solver_lin" localSheetId="0" hidden="1">2</definedName>
    <definedName name="solver_lin" localSheetId="7" hidden="1">2</definedName>
    <definedName name="solver_lin" localSheetId="1" hidden="1">2</definedName>
    <definedName name="solver_lin" localSheetId="2" hidden="1">2</definedName>
    <definedName name="solver_lin" localSheetId="4" hidden="1">2</definedName>
    <definedName name="solver_lin" localSheetId="6" hidden="1">2</definedName>
    <definedName name="solver_mip" localSheetId="0" hidden="1">2147483647</definedName>
    <definedName name="solver_mip" localSheetId="7" hidden="1">2147483647</definedName>
    <definedName name="solver_mip" localSheetId="1" hidden="1">2147483647</definedName>
    <definedName name="solver_mip" localSheetId="8" hidden="1">2147483647</definedName>
    <definedName name="solver_mip" localSheetId="2" hidden="1">2147483647</definedName>
    <definedName name="solver_mip" localSheetId="4" hidden="1">2147483647</definedName>
    <definedName name="solver_mip" localSheetId="9" hidden="1">2147483647</definedName>
    <definedName name="solver_mip" localSheetId="6" hidden="1">2147483647</definedName>
    <definedName name="solver_mni" localSheetId="0" hidden="1">30</definedName>
    <definedName name="solver_mni" localSheetId="7" hidden="1">30</definedName>
    <definedName name="solver_mni" localSheetId="1" hidden="1">30</definedName>
    <definedName name="solver_mni" localSheetId="8" hidden="1">30</definedName>
    <definedName name="solver_mni" localSheetId="2" hidden="1">30</definedName>
    <definedName name="solver_mni" localSheetId="4" hidden="1">30</definedName>
    <definedName name="solver_mni" localSheetId="9" hidden="1">30</definedName>
    <definedName name="solver_mni" localSheetId="6" hidden="1">30</definedName>
    <definedName name="solver_mrt" localSheetId="0" hidden="1">0.075</definedName>
    <definedName name="solver_mrt" localSheetId="7" hidden="1">0.075</definedName>
    <definedName name="solver_mrt" localSheetId="1" hidden="1">0.075</definedName>
    <definedName name="solver_mrt" localSheetId="8" hidden="1">0.075</definedName>
    <definedName name="solver_mrt" localSheetId="2" hidden="1">0.075</definedName>
    <definedName name="solver_mrt" localSheetId="4" hidden="1">0.075</definedName>
    <definedName name="solver_mrt" localSheetId="9" hidden="1">0.075</definedName>
    <definedName name="solver_mrt" localSheetId="6" hidden="1">0.075</definedName>
    <definedName name="solver_msl" localSheetId="0" hidden="1">2</definedName>
    <definedName name="solver_msl" localSheetId="7" hidden="1">2</definedName>
    <definedName name="solver_msl" localSheetId="1" hidden="1">2</definedName>
    <definedName name="solver_msl" localSheetId="8" hidden="1">2</definedName>
    <definedName name="solver_msl" localSheetId="2" hidden="1">2</definedName>
    <definedName name="solver_msl" localSheetId="4" hidden="1">2</definedName>
    <definedName name="solver_msl" localSheetId="9" hidden="1">2</definedName>
    <definedName name="solver_msl" localSheetId="6" hidden="1">2</definedName>
    <definedName name="solver_neg" localSheetId="0" hidden="1">1</definedName>
    <definedName name="solver_neg" localSheetId="7" hidden="1">1</definedName>
    <definedName name="solver_neg" localSheetId="1" hidden="1">1</definedName>
    <definedName name="solver_neg" localSheetId="8" hidden="1">1</definedName>
    <definedName name="solver_neg" localSheetId="2" hidden="1">1</definedName>
    <definedName name="solver_neg" localSheetId="4" hidden="1">1</definedName>
    <definedName name="solver_neg" localSheetId="9" hidden="1">1</definedName>
    <definedName name="solver_neg" localSheetId="6" hidden="1">1</definedName>
    <definedName name="solver_nod" localSheetId="0" hidden="1">2147483647</definedName>
    <definedName name="solver_nod" localSheetId="7" hidden="1">2147483647</definedName>
    <definedName name="solver_nod" localSheetId="1" hidden="1">2147483647</definedName>
    <definedName name="solver_nod" localSheetId="8" hidden="1">2147483647</definedName>
    <definedName name="solver_nod" localSheetId="2" hidden="1">2147483647</definedName>
    <definedName name="solver_nod" localSheetId="4" hidden="1">2147483647</definedName>
    <definedName name="solver_nod" localSheetId="9" hidden="1">2147483647</definedName>
    <definedName name="solver_nod" localSheetId="6" hidden="1">2147483647</definedName>
    <definedName name="solver_num" localSheetId="0" hidden="1">0</definedName>
    <definedName name="solver_num" localSheetId="7" hidden="1">0</definedName>
    <definedName name="solver_num" localSheetId="1" hidden="1">0</definedName>
    <definedName name="solver_num" localSheetId="8" hidden="1">0</definedName>
    <definedName name="solver_num" localSheetId="2" hidden="1">0</definedName>
    <definedName name="solver_num" localSheetId="4" hidden="1">0</definedName>
    <definedName name="solver_num" localSheetId="9" hidden="1">0</definedName>
    <definedName name="solver_num" localSheetId="6" hidden="1">0</definedName>
    <definedName name="solver_nwt" localSheetId="0" hidden="1">1</definedName>
    <definedName name="solver_nwt" localSheetId="7" hidden="1">1</definedName>
    <definedName name="solver_nwt" localSheetId="1" hidden="1">1</definedName>
    <definedName name="solver_nwt" localSheetId="8" hidden="1">1</definedName>
    <definedName name="solver_nwt" localSheetId="2" hidden="1">1</definedName>
    <definedName name="solver_nwt" localSheetId="9" hidden="1">1</definedName>
    <definedName name="solver_opt" localSheetId="0" hidden="1">'2029'!$O$35</definedName>
    <definedName name="solver_opt" localSheetId="7" hidden="1">'2029 Feb'!$O$35</definedName>
    <definedName name="solver_opt" localSheetId="1" hidden="1">'2030'!$O$45</definedName>
    <definedName name="solver_opt" localSheetId="8" hidden="1">'2030 Feb'!$K$9</definedName>
    <definedName name="solver_opt" localSheetId="2" hidden="1">'2038'!$O$60</definedName>
    <definedName name="solver_opt" localSheetId="4" hidden="1">'2038 23,4%'!$O$60</definedName>
    <definedName name="solver_opt" localSheetId="9" hidden="1">'2038 Feb'!$O$60</definedName>
    <definedName name="solver_opt" localSheetId="6" hidden="1">'HR implicita'!$D$9</definedName>
    <definedName name="solver_pre" localSheetId="0" hidden="1">0.000001</definedName>
    <definedName name="solver_pre" localSheetId="7" hidden="1">0.000001</definedName>
    <definedName name="solver_pre" localSheetId="1" hidden="1">0.000001</definedName>
    <definedName name="solver_pre" localSheetId="8" hidden="1">0.000001</definedName>
    <definedName name="solver_pre" localSheetId="2" hidden="1">0.000001</definedName>
    <definedName name="solver_pre" localSheetId="4" hidden="1">0.000001</definedName>
    <definedName name="solver_pre" localSheetId="9" hidden="1">0.000001</definedName>
    <definedName name="solver_pre" localSheetId="6" hidden="1">0.000001</definedName>
    <definedName name="solver_rbv" localSheetId="0" hidden="1">1</definedName>
    <definedName name="solver_rbv" localSheetId="7" hidden="1">1</definedName>
    <definedName name="solver_rbv" localSheetId="1" hidden="1">1</definedName>
    <definedName name="solver_rbv" localSheetId="8" hidden="1">1</definedName>
    <definedName name="solver_rbv" localSheetId="2" hidden="1">1</definedName>
    <definedName name="solver_rbv" localSheetId="4" hidden="1">1</definedName>
    <definedName name="solver_rbv" localSheetId="9" hidden="1">1</definedName>
    <definedName name="solver_rbv" localSheetId="6" hidden="1">1</definedName>
    <definedName name="solver_rlx" localSheetId="0" hidden="1">2</definedName>
    <definedName name="solver_rlx" localSheetId="7" hidden="1">2</definedName>
    <definedName name="solver_rlx" localSheetId="1" hidden="1">2</definedName>
    <definedName name="solver_rlx" localSheetId="8" hidden="1">2</definedName>
    <definedName name="solver_rlx" localSheetId="2" hidden="1">2</definedName>
    <definedName name="solver_rlx" localSheetId="4" hidden="1">2</definedName>
    <definedName name="solver_rlx" localSheetId="9" hidden="1">2</definedName>
    <definedName name="solver_rlx" localSheetId="6" hidden="1">2</definedName>
    <definedName name="solver_rsd" localSheetId="0" hidden="1">0</definedName>
    <definedName name="solver_rsd" localSheetId="7" hidden="1">0</definedName>
    <definedName name="solver_rsd" localSheetId="1" hidden="1">0</definedName>
    <definedName name="solver_rsd" localSheetId="8" hidden="1">0</definedName>
    <definedName name="solver_rsd" localSheetId="2" hidden="1">0</definedName>
    <definedName name="solver_rsd" localSheetId="4" hidden="1">0</definedName>
    <definedName name="solver_rsd" localSheetId="9" hidden="1">0</definedName>
    <definedName name="solver_rsd" localSheetId="6" hidden="1">0</definedName>
    <definedName name="solver_scl" localSheetId="0" hidden="1">1</definedName>
    <definedName name="solver_scl" localSheetId="7" hidden="1">1</definedName>
    <definedName name="solver_scl" localSheetId="1" hidden="1">1</definedName>
    <definedName name="solver_scl" localSheetId="8" hidden="1">1</definedName>
    <definedName name="solver_scl" localSheetId="2" hidden="1">1</definedName>
    <definedName name="solver_scl" localSheetId="4" hidden="1">1</definedName>
    <definedName name="solver_scl" localSheetId="9" hidden="1">1</definedName>
    <definedName name="solver_scl" localSheetId="6" hidden="1">1</definedName>
    <definedName name="solver_sho" localSheetId="0" hidden="1">2</definedName>
    <definedName name="solver_sho" localSheetId="7" hidden="1">2</definedName>
    <definedName name="solver_sho" localSheetId="1" hidden="1">2</definedName>
    <definedName name="solver_sho" localSheetId="8" hidden="1">2</definedName>
    <definedName name="solver_sho" localSheetId="2" hidden="1">2</definedName>
    <definedName name="solver_sho" localSheetId="4" hidden="1">2</definedName>
    <definedName name="solver_sho" localSheetId="9" hidden="1">2</definedName>
    <definedName name="solver_sho" localSheetId="6" hidden="1">2</definedName>
    <definedName name="solver_ssz" localSheetId="0" hidden="1">100</definedName>
    <definedName name="solver_ssz" localSheetId="7" hidden="1">100</definedName>
    <definedName name="solver_ssz" localSheetId="1" hidden="1">100</definedName>
    <definedName name="solver_ssz" localSheetId="8" hidden="1">100</definedName>
    <definedName name="solver_ssz" localSheetId="2" hidden="1">100</definedName>
    <definedName name="solver_ssz" localSheetId="4" hidden="1">100</definedName>
    <definedName name="solver_ssz" localSheetId="9" hidden="1">100</definedName>
    <definedName name="solver_ssz" localSheetId="6" hidden="1">100</definedName>
    <definedName name="solver_tim" localSheetId="0" hidden="1">2147483647</definedName>
    <definedName name="solver_tim" localSheetId="7" hidden="1">2147483647</definedName>
    <definedName name="solver_tim" localSheetId="1" hidden="1">2147483647</definedName>
    <definedName name="solver_tim" localSheetId="8" hidden="1">2147483647</definedName>
    <definedName name="solver_tim" localSheetId="2" hidden="1">2147483647</definedName>
    <definedName name="solver_tim" localSheetId="4" hidden="1">2147483647</definedName>
    <definedName name="solver_tim" localSheetId="9" hidden="1">2147483647</definedName>
    <definedName name="solver_tim" localSheetId="6" hidden="1">2147483647</definedName>
    <definedName name="solver_tol" localSheetId="0" hidden="1">0.01</definedName>
    <definedName name="solver_tol" localSheetId="7" hidden="1">0.01</definedName>
    <definedName name="solver_tol" localSheetId="1" hidden="1">0.01</definedName>
    <definedName name="solver_tol" localSheetId="8" hidden="1">0.01</definedName>
    <definedName name="solver_tol" localSheetId="2" hidden="1">0.01</definedName>
    <definedName name="solver_tol" localSheetId="4" hidden="1">0.01</definedName>
    <definedName name="solver_tol" localSheetId="9" hidden="1">0.01</definedName>
    <definedName name="solver_tol" localSheetId="6" hidden="1">0.01</definedName>
    <definedName name="solver_typ" localSheetId="0" hidden="1">3</definedName>
    <definedName name="solver_typ" localSheetId="7" hidden="1">3</definedName>
    <definedName name="solver_typ" localSheetId="1" hidden="1">3</definedName>
    <definedName name="solver_typ" localSheetId="8" hidden="1">2</definedName>
    <definedName name="solver_typ" localSheetId="2" hidden="1">3</definedName>
    <definedName name="solver_typ" localSheetId="4" hidden="1">3</definedName>
    <definedName name="solver_typ" localSheetId="9" hidden="1">3</definedName>
    <definedName name="solver_typ" localSheetId="6" hidden="1">2</definedName>
    <definedName name="solver_val" localSheetId="0" hidden="1">0</definedName>
    <definedName name="solver_val" localSheetId="7" hidden="1">0</definedName>
    <definedName name="solver_val" localSheetId="1" hidden="1">0</definedName>
    <definedName name="solver_val" localSheetId="8" hidden="1">0</definedName>
    <definedName name="solver_val" localSheetId="2" hidden="1">0</definedName>
    <definedName name="solver_val" localSheetId="4" hidden="1">0</definedName>
    <definedName name="solver_val" localSheetId="9" hidden="1">0</definedName>
    <definedName name="solver_val" localSheetId="6" hidden="1">0</definedName>
    <definedName name="solver_ver" localSheetId="0" hidden="1">2</definedName>
    <definedName name="solver_ver" localSheetId="7" hidden="1">3</definedName>
    <definedName name="solver_ver" localSheetId="1" hidden="1">2</definedName>
    <definedName name="solver_ver" localSheetId="8" hidden="1">3</definedName>
    <definedName name="solver_ver" localSheetId="2" hidden="1">2</definedName>
    <definedName name="solver_ver" localSheetId="4" hidden="1">2</definedName>
    <definedName name="solver_ver" localSheetId="9" hidden="1">3</definedName>
    <definedName name="solver_ver" localSheetId="6" hidden="1">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0" l="1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24" i="10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24" i="9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17" i="8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24" i="3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7" i="1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4" i="2"/>
  <c r="H4" i="9"/>
  <c r="D7" i="7"/>
  <c r="D9" i="7"/>
  <c r="B7" i="7"/>
  <c r="B5" i="7"/>
  <c r="D5" i="7"/>
  <c r="H4" i="10"/>
  <c r="H4" i="8"/>
  <c r="L3" i="11"/>
  <c r="O28" i="11"/>
  <c r="N2" i="11"/>
  <c r="R10" i="11"/>
  <c r="S10" i="11"/>
  <c r="O10" i="11"/>
  <c r="A30" i="11"/>
  <c r="A28" i="11"/>
  <c r="A27" i="11"/>
  <c r="A26" i="11"/>
  <c r="A24" i="11"/>
  <c r="A23" i="11"/>
  <c r="A22" i="11"/>
  <c r="A20" i="11"/>
  <c r="A19" i="11"/>
  <c r="A18" i="11"/>
  <c r="A16" i="11"/>
  <c r="A15" i="11"/>
  <c r="A14" i="11"/>
  <c r="A12" i="11"/>
  <c r="A11" i="11"/>
  <c r="B12" i="11"/>
  <c r="B2" i="11"/>
  <c r="L2" i="11"/>
  <c r="Y7" i="11"/>
  <c r="BF75" i="11"/>
  <c r="G63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O30" i="11"/>
  <c r="O29" i="11"/>
  <c r="O26" i="11"/>
  <c r="O24" i="11"/>
  <c r="O22" i="11"/>
  <c r="O21" i="11"/>
  <c r="O18" i="11"/>
  <c r="O16" i="11"/>
  <c r="C15" i="11"/>
  <c r="O14" i="11"/>
  <c r="E14" i="11"/>
  <c r="C14" i="11"/>
  <c r="O13" i="11"/>
  <c r="E13" i="11"/>
  <c r="C13" i="11"/>
  <c r="E12" i="11"/>
  <c r="C12" i="11"/>
  <c r="E11" i="11"/>
  <c r="E10" i="11"/>
  <c r="B10" i="11"/>
  <c r="E7" i="11"/>
  <c r="C6" i="11"/>
  <c r="G26" i="9"/>
  <c r="B9" i="7"/>
  <c r="G19" i="8"/>
  <c r="H19" i="8"/>
  <c r="H5" i="10"/>
  <c r="K43" i="10"/>
  <c r="G33" i="10"/>
  <c r="H33" i="10"/>
  <c r="J57" i="10"/>
  <c r="F57" i="10"/>
  <c r="J56" i="10"/>
  <c r="O53" i="10"/>
  <c r="J55" i="10"/>
  <c r="O52" i="10"/>
  <c r="N54" i="10"/>
  <c r="O54" i="10"/>
  <c r="M54" i="10"/>
  <c r="J54" i="10"/>
  <c r="F54" i="10"/>
  <c r="N53" i="10"/>
  <c r="M53" i="10"/>
  <c r="J53" i="10"/>
  <c r="F53" i="10"/>
  <c r="N52" i="10"/>
  <c r="M52" i="10"/>
  <c r="J52" i="10"/>
  <c r="F52" i="10"/>
  <c r="N51" i="10"/>
  <c r="O51" i="10"/>
  <c r="M51" i="10"/>
  <c r="K51" i="10"/>
  <c r="J51" i="10"/>
  <c r="O48" i="10"/>
  <c r="N50" i="10"/>
  <c r="O50" i="10"/>
  <c r="M50" i="10"/>
  <c r="J50" i="10"/>
  <c r="F50" i="10"/>
  <c r="O49" i="10"/>
  <c r="N49" i="10"/>
  <c r="M49" i="10"/>
  <c r="J49" i="10"/>
  <c r="F49" i="10"/>
  <c r="N48" i="10"/>
  <c r="M48" i="10"/>
  <c r="K48" i="10"/>
  <c r="J48" i="10"/>
  <c r="F48" i="10"/>
  <c r="O45" i="10"/>
  <c r="N47" i="10"/>
  <c r="M47" i="10"/>
  <c r="J47" i="10"/>
  <c r="O44" i="10"/>
  <c r="N46" i="10"/>
  <c r="O46" i="10"/>
  <c r="M46" i="10"/>
  <c r="J46" i="10"/>
  <c r="N45" i="10"/>
  <c r="M45" i="10"/>
  <c r="J45" i="10"/>
  <c r="F45" i="10"/>
  <c r="N44" i="10"/>
  <c r="M44" i="10"/>
  <c r="J44" i="10"/>
  <c r="F44" i="10"/>
  <c r="N43" i="10"/>
  <c r="O43" i="10"/>
  <c r="M43" i="10"/>
  <c r="J43" i="10"/>
  <c r="O40" i="10"/>
  <c r="N42" i="10"/>
  <c r="O42" i="10"/>
  <c r="M42" i="10"/>
  <c r="J42" i="10"/>
  <c r="N41" i="10"/>
  <c r="M41" i="10"/>
  <c r="J41" i="10"/>
  <c r="F41" i="10"/>
  <c r="N40" i="10"/>
  <c r="M40" i="10"/>
  <c r="J40" i="10"/>
  <c r="O37" i="10"/>
  <c r="N39" i="10"/>
  <c r="M39" i="10"/>
  <c r="K39" i="10"/>
  <c r="J39" i="10"/>
  <c r="O36" i="10"/>
  <c r="N38" i="10"/>
  <c r="M38" i="10"/>
  <c r="J38" i="10"/>
  <c r="N37" i="10"/>
  <c r="M37" i="10"/>
  <c r="J37" i="10"/>
  <c r="N36" i="10"/>
  <c r="M36" i="10"/>
  <c r="K36" i="10"/>
  <c r="J36" i="10"/>
  <c r="F36" i="10"/>
  <c r="N35" i="10"/>
  <c r="O35" i="10"/>
  <c r="M35" i="10"/>
  <c r="J35" i="10"/>
  <c r="O32" i="10"/>
  <c r="N34" i="10"/>
  <c r="M34" i="10"/>
  <c r="J34" i="10"/>
  <c r="O33" i="10"/>
  <c r="N33" i="10"/>
  <c r="M33" i="10"/>
  <c r="J33" i="10"/>
  <c r="F33" i="10"/>
  <c r="N32" i="10"/>
  <c r="M32" i="10"/>
  <c r="J32" i="10"/>
  <c r="F32" i="10"/>
  <c r="O29" i="10"/>
  <c r="N31" i="10"/>
  <c r="M31" i="10"/>
  <c r="K31" i="10"/>
  <c r="J31" i="10"/>
  <c r="O28" i="10"/>
  <c r="N30" i="10"/>
  <c r="O30" i="10"/>
  <c r="M30" i="10"/>
  <c r="J30" i="10"/>
  <c r="N29" i="10"/>
  <c r="M29" i="10"/>
  <c r="J29" i="10"/>
  <c r="F29" i="10"/>
  <c r="N28" i="10"/>
  <c r="M28" i="10"/>
  <c r="J28" i="10"/>
  <c r="F28" i="10"/>
  <c r="N27" i="10"/>
  <c r="O27" i="10"/>
  <c r="M27" i="10"/>
  <c r="J27" i="10"/>
  <c r="O24" i="10"/>
  <c r="N26" i="10"/>
  <c r="O26" i="10"/>
  <c r="M26" i="10"/>
  <c r="J26" i="10"/>
  <c r="N25" i="10"/>
  <c r="M25" i="10"/>
  <c r="J25" i="10"/>
  <c r="F25" i="10"/>
  <c r="N24" i="10"/>
  <c r="M24" i="10"/>
  <c r="K24" i="10"/>
  <c r="J24" i="10"/>
  <c r="F24" i="10"/>
  <c r="M23" i="10"/>
  <c r="K42" i="9"/>
  <c r="J42" i="9"/>
  <c r="F42" i="9"/>
  <c r="K41" i="9"/>
  <c r="J41" i="9"/>
  <c r="G41" i="9"/>
  <c r="H41" i="9"/>
  <c r="K40" i="9"/>
  <c r="J40" i="9"/>
  <c r="O37" i="9"/>
  <c r="N39" i="9"/>
  <c r="O39" i="9"/>
  <c r="M39" i="9"/>
  <c r="K39" i="9"/>
  <c r="J39" i="9"/>
  <c r="G39" i="9"/>
  <c r="H39" i="9"/>
  <c r="F39" i="9"/>
  <c r="N38" i="9"/>
  <c r="M38" i="9"/>
  <c r="K38" i="9"/>
  <c r="J38" i="9"/>
  <c r="F38" i="9"/>
  <c r="N37" i="9"/>
  <c r="M37" i="9"/>
  <c r="K37" i="9"/>
  <c r="J37" i="9"/>
  <c r="G37" i="9"/>
  <c r="H37" i="9"/>
  <c r="F37" i="9"/>
  <c r="N36" i="9"/>
  <c r="O36" i="9"/>
  <c r="M36" i="9"/>
  <c r="K36" i="9"/>
  <c r="J36" i="9"/>
  <c r="O33" i="9"/>
  <c r="N35" i="9"/>
  <c r="O35" i="9"/>
  <c r="M35" i="9"/>
  <c r="K35" i="9"/>
  <c r="J35" i="9"/>
  <c r="G35" i="9"/>
  <c r="H35" i="9"/>
  <c r="F35" i="9"/>
  <c r="N34" i="9"/>
  <c r="M34" i="9"/>
  <c r="K34" i="9"/>
  <c r="J34" i="9"/>
  <c r="F34" i="9"/>
  <c r="N33" i="9"/>
  <c r="M33" i="9"/>
  <c r="K33" i="9"/>
  <c r="J33" i="9"/>
  <c r="G33" i="9"/>
  <c r="H33" i="9"/>
  <c r="F33" i="9"/>
  <c r="N32" i="9"/>
  <c r="O32" i="9"/>
  <c r="M32" i="9"/>
  <c r="K32" i="9"/>
  <c r="J32" i="9"/>
  <c r="O29" i="9"/>
  <c r="N31" i="9"/>
  <c r="O31" i="9"/>
  <c r="M31" i="9"/>
  <c r="K31" i="9"/>
  <c r="J31" i="9"/>
  <c r="G31" i="9"/>
  <c r="H31" i="9"/>
  <c r="F31" i="9"/>
  <c r="N30" i="9"/>
  <c r="M30" i="9"/>
  <c r="K30" i="9"/>
  <c r="J30" i="9"/>
  <c r="F30" i="9"/>
  <c r="N29" i="9"/>
  <c r="M29" i="9"/>
  <c r="K29" i="9"/>
  <c r="J29" i="9"/>
  <c r="G29" i="9"/>
  <c r="H29" i="9"/>
  <c r="F29" i="9"/>
  <c r="N28" i="9"/>
  <c r="O28" i="9"/>
  <c r="M28" i="9"/>
  <c r="K28" i="9"/>
  <c r="J28" i="9"/>
  <c r="O25" i="9"/>
  <c r="N27" i="9"/>
  <c r="O27" i="9"/>
  <c r="M27" i="9"/>
  <c r="K27" i="9"/>
  <c r="J27" i="9"/>
  <c r="G27" i="9"/>
  <c r="H27" i="9"/>
  <c r="F27" i="9"/>
  <c r="N26" i="9"/>
  <c r="M26" i="9"/>
  <c r="K26" i="9"/>
  <c r="J26" i="9"/>
  <c r="F26" i="9"/>
  <c r="N25" i="9"/>
  <c r="M25" i="9"/>
  <c r="K25" i="9"/>
  <c r="J25" i="9"/>
  <c r="G25" i="9"/>
  <c r="H25" i="9"/>
  <c r="F25" i="9"/>
  <c r="N24" i="9"/>
  <c r="O24" i="9"/>
  <c r="M24" i="9"/>
  <c r="K24" i="9"/>
  <c r="J24" i="9"/>
  <c r="G24" i="9"/>
  <c r="H24" i="9"/>
  <c r="I24" i="9"/>
  <c r="M23" i="9"/>
  <c r="G23" i="9"/>
  <c r="M33" i="8"/>
  <c r="K33" i="8"/>
  <c r="F33" i="8"/>
  <c r="B33" i="8"/>
  <c r="M32" i="8"/>
  <c r="K32" i="8"/>
  <c r="F32" i="8"/>
  <c r="B32" i="8"/>
  <c r="M31" i="8"/>
  <c r="K31" i="8"/>
  <c r="F31" i="8"/>
  <c r="B31" i="8"/>
  <c r="M30" i="8"/>
  <c r="K30" i="8"/>
  <c r="F30" i="8"/>
  <c r="B30" i="8"/>
  <c r="M29" i="8"/>
  <c r="K29" i="8"/>
  <c r="F29" i="8"/>
  <c r="B29" i="8"/>
  <c r="M28" i="8"/>
  <c r="K28" i="8"/>
  <c r="F28" i="8"/>
  <c r="B28" i="8"/>
  <c r="M27" i="8"/>
  <c r="K27" i="8"/>
  <c r="B27" i="8"/>
  <c r="M26" i="8"/>
  <c r="K26" i="8"/>
  <c r="F26" i="8"/>
  <c r="B26" i="8"/>
  <c r="M25" i="8"/>
  <c r="K25" i="8"/>
  <c r="F25" i="8"/>
  <c r="B25" i="8"/>
  <c r="M24" i="8"/>
  <c r="K24" i="8"/>
  <c r="F24" i="8"/>
  <c r="B24" i="8"/>
  <c r="M23" i="8"/>
  <c r="K23" i="8"/>
  <c r="J23" i="8"/>
  <c r="F23" i="8"/>
  <c r="C23" i="8"/>
  <c r="D23" i="8"/>
  <c r="B23" i="8"/>
  <c r="C26" i="8"/>
  <c r="M22" i="8"/>
  <c r="K22" i="8"/>
  <c r="F22" i="8"/>
  <c r="B22" i="8"/>
  <c r="M21" i="8"/>
  <c r="K21" i="8"/>
  <c r="F21" i="8"/>
  <c r="B21" i="8"/>
  <c r="M20" i="8"/>
  <c r="K20" i="8"/>
  <c r="F20" i="8"/>
  <c r="B20" i="8"/>
  <c r="M19" i="8"/>
  <c r="K19" i="8"/>
  <c r="F19" i="8"/>
  <c r="D19" i="8"/>
  <c r="N19" i="8"/>
  <c r="B19" i="8"/>
  <c r="M18" i="8"/>
  <c r="K18" i="8"/>
  <c r="F18" i="8"/>
  <c r="D18" i="8"/>
  <c r="O18" i="8"/>
  <c r="C18" i="8"/>
  <c r="J18" i="8"/>
  <c r="B18" i="8"/>
  <c r="O17" i="8"/>
  <c r="M17" i="8"/>
  <c r="K17" i="8"/>
  <c r="J17" i="8"/>
  <c r="F17" i="8"/>
  <c r="D17" i="8"/>
  <c r="N17" i="8"/>
  <c r="C17" i="8"/>
  <c r="B17" i="8"/>
  <c r="C29" i="8"/>
  <c r="M16" i="8"/>
  <c r="B10" i="8"/>
  <c r="H5" i="5"/>
  <c r="K41" i="5"/>
  <c r="J57" i="5"/>
  <c r="H4" i="5"/>
  <c r="G57" i="5"/>
  <c r="H57" i="5"/>
  <c r="E57" i="5"/>
  <c r="F57" i="5"/>
  <c r="J56" i="5"/>
  <c r="G56" i="5"/>
  <c r="H56" i="5"/>
  <c r="F56" i="5"/>
  <c r="E56" i="5"/>
  <c r="K55" i="5"/>
  <c r="J55" i="5"/>
  <c r="E55" i="5"/>
  <c r="F55" i="5"/>
  <c r="N54" i="5"/>
  <c r="O54" i="5"/>
  <c r="M54" i="5"/>
  <c r="J54" i="5"/>
  <c r="G54" i="5"/>
  <c r="H54" i="5"/>
  <c r="G53" i="5"/>
  <c r="H53" i="5"/>
  <c r="I54" i="5"/>
  <c r="E54" i="5"/>
  <c r="F54" i="5"/>
  <c r="N53" i="5"/>
  <c r="O53" i="5"/>
  <c r="M53" i="5"/>
  <c r="J53" i="5"/>
  <c r="E53" i="5"/>
  <c r="F53" i="5"/>
  <c r="N52" i="5"/>
  <c r="O52" i="5"/>
  <c r="M52" i="5"/>
  <c r="K52" i="5"/>
  <c r="J52" i="5"/>
  <c r="E52" i="5"/>
  <c r="F52" i="5"/>
  <c r="N51" i="5"/>
  <c r="O51" i="5"/>
  <c r="M51" i="5"/>
  <c r="K51" i="5"/>
  <c r="J51" i="5"/>
  <c r="E51" i="5"/>
  <c r="F51" i="5"/>
  <c r="N50" i="5"/>
  <c r="O50" i="5"/>
  <c r="M50" i="5"/>
  <c r="J50" i="5"/>
  <c r="G50" i="5"/>
  <c r="H50" i="5"/>
  <c r="G49" i="5"/>
  <c r="H49" i="5"/>
  <c r="I50" i="5"/>
  <c r="E50" i="5"/>
  <c r="F50" i="5"/>
  <c r="N49" i="5"/>
  <c r="O49" i="5"/>
  <c r="M49" i="5"/>
  <c r="J49" i="5"/>
  <c r="E49" i="5"/>
  <c r="F49" i="5"/>
  <c r="N48" i="5"/>
  <c r="O48" i="5"/>
  <c r="M48" i="5"/>
  <c r="K48" i="5"/>
  <c r="J48" i="5"/>
  <c r="E48" i="5"/>
  <c r="F48" i="5"/>
  <c r="N47" i="5"/>
  <c r="O47" i="5"/>
  <c r="M47" i="5"/>
  <c r="J47" i="5"/>
  <c r="E47" i="5"/>
  <c r="F47" i="5"/>
  <c r="N46" i="5"/>
  <c r="O46" i="5"/>
  <c r="M46" i="5"/>
  <c r="J46" i="5"/>
  <c r="G46" i="5"/>
  <c r="H46" i="5"/>
  <c r="E46" i="5"/>
  <c r="F46" i="5"/>
  <c r="N45" i="5"/>
  <c r="O45" i="5"/>
  <c r="M45" i="5"/>
  <c r="J45" i="5"/>
  <c r="G45" i="5"/>
  <c r="H45" i="5"/>
  <c r="E45" i="5"/>
  <c r="F45" i="5"/>
  <c r="N44" i="5"/>
  <c r="O44" i="5"/>
  <c r="M44" i="5"/>
  <c r="J44" i="5"/>
  <c r="E44" i="5"/>
  <c r="F44" i="5"/>
  <c r="N43" i="5"/>
  <c r="O43" i="5"/>
  <c r="M43" i="5"/>
  <c r="J43" i="5"/>
  <c r="E43" i="5"/>
  <c r="F43" i="5"/>
  <c r="N42" i="5"/>
  <c r="O42" i="5"/>
  <c r="M42" i="5"/>
  <c r="J42" i="5"/>
  <c r="G42" i="5"/>
  <c r="H42" i="5"/>
  <c r="G41" i="5"/>
  <c r="H41" i="5"/>
  <c r="I42" i="5"/>
  <c r="E42" i="5"/>
  <c r="F42" i="5"/>
  <c r="N41" i="5"/>
  <c r="O41" i="5"/>
  <c r="M41" i="5"/>
  <c r="J41" i="5"/>
  <c r="E41" i="5"/>
  <c r="F41" i="5"/>
  <c r="N40" i="5"/>
  <c r="O40" i="5"/>
  <c r="M40" i="5"/>
  <c r="J40" i="5"/>
  <c r="E40" i="5"/>
  <c r="F40" i="5"/>
  <c r="N39" i="5"/>
  <c r="O39" i="5"/>
  <c r="M39" i="5"/>
  <c r="J39" i="5"/>
  <c r="E39" i="5"/>
  <c r="F39" i="5"/>
  <c r="N38" i="5"/>
  <c r="O38" i="5"/>
  <c r="M38" i="5"/>
  <c r="J38" i="5"/>
  <c r="G38" i="5"/>
  <c r="H38" i="5"/>
  <c r="E38" i="5"/>
  <c r="F38" i="5"/>
  <c r="N37" i="5"/>
  <c r="O37" i="5"/>
  <c r="M37" i="5"/>
  <c r="J37" i="5"/>
  <c r="G37" i="5"/>
  <c r="H37" i="5"/>
  <c r="E37" i="5"/>
  <c r="F37" i="5"/>
  <c r="N36" i="5"/>
  <c r="O36" i="5"/>
  <c r="M36" i="5"/>
  <c r="J36" i="5"/>
  <c r="E36" i="5"/>
  <c r="F36" i="5"/>
  <c r="N35" i="5"/>
  <c r="O35" i="5"/>
  <c r="M35" i="5"/>
  <c r="J35" i="5"/>
  <c r="E35" i="5"/>
  <c r="G35" i="5"/>
  <c r="H35" i="5"/>
  <c r="G34" i="5"/>
  <c r="H34" i="5"/>
  <c r="I35" i="5"/>
  <c r="N34" i="5"/>
  <c r="O34" i="5"/>
  <c r="M34" i="5"/>
  <c r="J34" i="5"/>
  <c r="E34" i="5"/>
  <c r="F34" i="5"/>
  <c r="N33" i="5"/>
  <c r="O33" i="5"/>
  <c r="M33" i="5"/>
  <c r="J33" i="5"/>
  <c r="G33" i="5"/>
  <c r="H33" i="5"/>
  <c r="E33" i="5"/>
  <c r="F33" i="5"/>
  <c r="N32" i="5"/>
  <c r="O32" i="5"/>
  <c r="M32" i="5"/>
  <c r="J32" i="5"/>
  <c r="E32" i="5"/>
  <c r="F32" i="5"/>
  <c r="N31" i="5"/>
  <c r="O31" i="5"/>
  <c r="M31" i="5"/>
  <c r="J31" i="5"/>
  <c r="E31" i="5"/>
  <c r="F31" i="5"/>
  <c r="N30" i="5"/>
  <c r="O30" i="5"/>
  <c r="M30" i="5"/>
  <c r="J30" i="5"/>
  <c r="G30" i="5"/>
  <c r="H30" i="5"/>
  <c r="G29" i="5"/>
  <c r="H29" i="5"/>
  <c r="I30" i="5"/>
  <c r="E30" i="5"/>
  <c r="F30" i="5"/>
  <c r="N29" i="5"/>
  <c r="O29" i="5"/>
  <c r="M29" i="5"/>
  <c r="K29" i="5"/>
  <c r="J29" i="5"/>
  <c r="E29" i="5"/>
  <c r="F29" i="5"/>
  <c r="N28" i="5"/>
  <c r="O28" i="5"/>
  <c r="M28" i="5"/>
  <c r="J28" i="5"/>
  <c r="E28" i="5"/>
  <c r="F28" i="5"/>
  <c r="N27" i="5"/>
  <c r="O27" i="5"/>
  <c r="M27" i="5"/>
  <c r="J27" i="5"/>
  <c r="E27" i="5"/>
  <c r="F27" i="5"/>
  <c r="N26" i="5"/>
  <c r="O26" i="5"/>
  <c r="M26" i="5"/>
  <c r="J26" i="5"/>
  <c r="G26" i="5"/>
  <c r="H26" i="5"/>
  <c r="E26" i="5"/>
  <c r="F26" i="5"/>
  <c r="N25" i="5"/>
  <c r="O25" i="5"/>
  <c r="M25" i="5"/>
  <c r="K25" i="5"/>
  <c r="J25" i="5"/>
  <c r="G25" i="5"/>
  <c r="H25" i="5"/>
  <c r="E25" i="5"/>
  <c r="F25" i="5"/>
  <c r="N24" i="5"/>
  <c r="O24" i="5"/>
  <c r="M24" i="5"/>
  <c r="J24" i="5"/>
  <c r="E24" i="5"/>
  <c r="F24" i="5"/>
  <c r="M23" i="5"/>
  <c r="G52" i="5"/>
  <c r="H52" i="5"/>
  <c r="H5" i="3"/>
  <c r="K49" i="3"/>
  <c r="H4" i="3"/>
  <c r="G27" i="3"/>
  <c r="H27" i="3"/>
  <c r="H4" i="1"/>
  <c r="G29" i="1"/>
  <c r="H29" i="1"/>
  <c r="J27" i="3"/>
  <c r="M40" i="3"/>
  <c r="N40" i="3"/>
  <c r="M41" i="3"/>
  <c r="N41" i="3"/>
  <c r="M42" i="3"/>
  <c r="N42" i="3"/>
  <c r="O42" i="3"/>
  <c r="M43" i="3"/>
  <c r="N43" i="3"/>
  <c r="M44" i="3"/>
  <c r="N44" i="3"/>
  <c r="O44" i="3"/>
  <c r="M45" i="3"/>
  <c r="N45" i="3"/>
  <c r="O45" i="3"/>
  <c r="M46" i="3"/>
  <c r="N46" i="3"/>
  <c r="M47" i="3"/>
  <c r="N47" i="3"/>
  <c r="O47" i="3"/>
  <c r="M48" i="3"/>
  <c r="N48" i="3"/>
  <c r="O48" i="3"/>
  <c r="M49" i="3"/>
  <c r="N49" i="3"/>
  <c r="M50" i="3"/>
  <c r="N50" i="3"/>
  <c r="M51" i="3"/>
  <c r="N51" i="3"/>
  <c r="O51" i="3"/>
  <c r="M52" i="3"/>
  <c r="N52" i="3"/>
  <c r="M53" i="3"/>
  <c r="N53" i="3"/>
  <c r="O53" i="3"/>
  <c r="M54" i="3"/>
  <c r="N54" i="3"/>
  <c r="O54" i="3"/>
  <c r="J25" i="3"/>
  <c r="J26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24" i="3"/>
  <c r="F43" i="3"/>
  <c r="F44" i="3"/>
  <c r="K44" i="3"/>
  <c r="F45" i="3"/>
  <c r="F46" i="3"/>
  <c r="F47" i="3"/>
  <c r="F48" i="3"/>
  <c r="O46" i="3"/>
  <c r="F49" i="3"/>
  <c r="F50" i="3"/>
  <c r="F51" i="3"/>
  <c r="K51" i="3"/>
  <c r="O49" i="3"/>
  <c r="F52" i="3"/>
  <c r="F53" i="3"/>
  <c r="K53" i="3"/>
  <c r="F54" i="3"/>
  <c r="F56" i="3"/>
  <c r="K56" i="3"/>
  <c r="F57" i="3"/>
  <c r="F27" i="3"/>
  <c r="K42" i="3"/>
  <c r="N39" i="3"/>
  <c r="M39" i="3"/>
  <c r="K39" i="3"/>
  <c r="F39" i="3"/>
  <c r="N38" i="3"/>
  <c r="M38" i="3"/>
  <c r="G38" i="3"/>
  <c r="H38" i="3"/>
  <c r="F38" i="3"/>
  <c r="N37" i="3"/>
  <c r="M37" i="3"/>
  <c r="F37" i="3"/>
  <c r="N36" i="3"/>
  <c r="M36" i="3"/>
  <c r="N35" i="3"/>
  <c r="O35" i="3"/>
  <c r="M35" i="3"/>
  <c r="N34" i="3"/>
  <c r="M34" i="3"/>
  <c r="F34" i="3"/>
  <c r="N33" i="3"/>
  <c r="M33" i="3"/>
  <c r="G33" i="3"/>
  <c r="H33" i="3"/>
  <c r="F33" i="3"/>
  <c r="N32" i="3"/>
  <c r="M32" i="3"/>
  <c r="N31" i="3"/>
  <c r="O31" i="3"/>
  <c r="M31" i="3"/>
  <c r="N30" i="3"/>
  <c r="O30" i="3"/>
  <c r="M30" i="3"/>
  <c r="F30" i="3"/>
  <c r="N29" i="3"/>
  <c r="O29" i="3"/>
  <c r="M29" i="3"/>
  <c r="F29" i="3"/>
  <c r="N28" i="3"/>
  <c r="M28" i="3"/>
  <c r="K28" i="3"/>
  <c r="N27" i="3"/>
  <c r="O27" i="3"/>
  <c r="M27" i="3"/>
  <c r="N26" i="3"/>
  <c r="M26" i="3"/>
  <c r="K26" i="3"/>
  <c r="F26" i="3"/>
  <c r="N25" i="3"/>
  <c r="M25" i="3"/>
  <c r="N24" i="3"/>
  <c r="O24" i="3"/>
  <c r="M24" i="3"/>
  <c r="M23" i="3"/>
  <c r="O27" i="2"/>
  <c r="O28" i="2"/>
  <c r="O29" i="2"/>
  <c r="O35" i="2"/>
  <c r="O36" i="2"/>
  <c r="O37" i="2"/>
  <c r="F25" i="2"/>
  <c r="F26" i="2"/>
  <c r="G27" i="2"/>
  <c r="G28" i="2"/>
  <c r="H28" i="2"/>
  <c r="G29" i="2"/>
  <c r="H29" i="2"/>
  <c r="G30" i="2"/>
  <c r="H30" i="2"/>
  <c r="G31" i="2"/>
  <c r="H31" i="2"/>
  <c r="G35" i="2"/>
  <c r="H35" i="2"/>
  <c r="F36" i="2"/>
  <c r="G38" i="2"/>
  <c r="H38" i="2"/>
  <c r="F41" i="2"/>
  <c r="F42" i="2"/>
  <c r="F24" i="2"/>
  <c r="N25" i="2"/>
  <c r="O25" i="2"/>
  <c r="N26" i="2"/>
  <c r="O26" i="2"/>
  <c r="N27" i="2"/>
  <c r="N28" i="2"/>
  <c r="N29" i="2"/>
  <c r="N30" i="2"/>
  <c r="O30" i="2"/>
  <c r="N31" i="2"/>
  <c r="O31" i="2"/>
  <c r="N32" i="2"/>
  <c r="O32" i="2"/>
  <c r="N33" i="2"/>
  <c r="O33" i="2"/>
  <c r="N34" i="2"/>
  <c r="O34" i="2"/>
  <c r="N35" i="2"/>
  <c r="N36" i="2"/>
  <c r="N37" i="2"/>
  <c r="N38" i="2"/>
  <c r="O38" i="2"/>
  <c r="N39" i="2"/>
  <c r="O39" i="2"/>
  <c r="N24" i="2"/>
  <c r="O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24" i="2"/>
  <c r="M23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4" i="2"/>
  <c r="K41" i="2"/>
  <c r="K42" i="2"/>
  <c r="G23" i="2"/>
  <c r="G24" i="2"/>
  <c r="H24" i="2"/>
  <c r="I24" i="2"/>
  <c r="K24" i="2"/>
  <c r="K25" i="2"/>
  <c r="K26" i="2"/>
  <c r="K27" i="2"/>
  <c r="K28" i="2"/>
  <c r="K40" i="2"/>
  <c r="F40" i="2"/>
  <c r="G40" i="2"/>
  <c r="H40" i="2"/>
  <c r="K39" i="2"/>
  <c r="G39" i="2"/>
  <c r="H39" i="2"/>
  <c r="K38" i="2"/>
  <c r="K37" i="2"/>
  <c r="G37" i="2"/>
  <c r="H37" i="2"/>
  <c r="K36" i="2"/>
  <c r="K35" i="2"/>
  <c r="K34" i="2"/>
  <c r="G34" i="2"/>
  <c r="H34" i="2"/>
  <c r="K33" i="2"/>
  <c r="K32" i="2"/>
  <c r="F32" i="2"/>
  <c r="G32" i="2"/>
  <c r="H32" i="2"/>
  <c r="K31" i="2"/>
  <c r="K30" i="2"/>
  <c r="K29" i="2"/>
  <c r="M33" i="1"/>
  <c r="K33" i="1"/>
  <c r="B33" i="1"/>
  <c r="M32" i="1"/>
  <c r="K32" i="1"/>
  <c r="F32" i="1"/>
  <c r="B32" i="1"/>
  <c r="M31" i="1"/>
  <c r="K31" i="1"/>
  <c r="B31" i="1"/>
  <c r="M30" i="1"/>
  <c r="K30" i="1"/>
  <c r="F30" i="1"/>
  <c r="B30" i="1"/>
  <c r="M29" i="1"/>
  <c r="K29" i="1"/>
  <c r="F29" i="1"/>
  <c r="B29" i="1"/>
  <c r="M28" i="1"/>
  <c r="K28" i="1"/>
  <c r="F28" i="1"/>
  <c r="B28" i="1"/>
  <c r="M27" i="1"/>
  <c r="K27" i="1"/>
  <c r="F27" i="1"/>
  <c r="B27" i="1"/>
  <c r="M26" i="1"/>
  <c r="K26" i="1"/>
  <c r="B26" i="1"/>
  <c r="M25" i="1"/>
  <c r="K25" i="1"/>
  <c r="F25" i="1"/>
  <c r="B25" i="1"/>
  <c r="M24" i="1"/>
  <c r="K24" i="1"/>
  <c r="F24" i="1"/>
  <c r="B24" i="1"/>
  <c r="M23" i="1"/>
  <c r="K23" i="1"/>
  <c r="B23" i="1"/>
  <c r="M22" i="1"/>
  <c r="K22" i="1"/>
  <c r="F22" i="1"/>
  <c r="B22" i="1"/>
  <c r="M21" i="1"/>
  <c r="K21" i="1"/>
  <c r="F21" i="1"/>
  <c r="B21" i="1"/>
  <c r="M20" i="1"/>
  <c r="K20" i="1"/>
  <c r="F20" i="1"/>
  <c r="C20" i="1"/>
  <c r="D20" i="1"/>
  <c r="B20" i="1"/>
  <c r="M19" i="1"/>
  <c r="K19" i="1"/>
  <c r="F19" i="1"/>
  <c r="D19" i="1"/>
  <c r="N19" i="1"/>
  <c r="B19" i="1"/>
  <c r="N18" i="1"/>
  <c r="M18" i="1"/>
  <c r="K18" i="1"/>
  <c r="D18" i="1"/>
  <c r="B18" i="1"/>
  <c r="O17" i="1"/>
  <c r="M17" i="1"/>
  <c r="K17" i="1"/>
  <c r="J17" i="1"/>
  <c r="F17" i="1"/>
  <c r="D17" i="1"/>
  <c r="N17" i="1"/>
  <c r="C17" i="1"/>
  <c r="B17" i="1"/>
  <c r="C29" i="1"/>
  <c r="M16" i="1"/>
  <c r="B10" i="1"/>
  <c r="G27" i="8"/>
  <c r="H27" i="8"/>
  <c r="G33" i="8"/>
  <c r="H33" i="8"/>
  <c r="G53" i="10"/>
  <c r="H53" i="10"/>
  <c r="K56" i="10"/>
  <c r="K55" i="10"/>
  <c r="K27" i="10"/>
  <c r="K35" i="10"/>
  <c r="K40" i="10"/>
  <c r="K47" i="10"/>
  <c r="K32" i="10"/>
  <c r="K44" i="10"/>
  <c r="K28" i="10"/>
  <c r="I25" i="9"/>
  <c r="G26" i="10"/>
  <c r="H26" i="10"/>
  <c r="G29" i="10"/>
  <c r="H29" i="10"/>
  <c r="G37" i="10"/>
  <c r="H37" i="10"/>
  <c r="G34" i="10"/>
  <c r="H34" i="10"/>
  <c r="I34" i="10"/>
  <c r="G52" i="10"/>
  <c r="H52" i="10"/>
  <c r="G42" i="10"/>
  <c r="H42" i="10"/>
  <c r="G45" i="10"/>
  <c r="H45" i="10"/>
  <c r="G23" i="10"/>
  <c r="G25" i="10"/>
  <c r="H25" i="10"/>
  <c r="G30" i="10"/>
  <c r="H30" i="10"/>
  <c r="G41" i="10"/>
  <c r="H41" i="10"/>
  <c r="G46" i="10"/>
  <c r="H46" i="10"/>
  <c r="G49" i="10"/>
  <c r="H49" i="10"/>
  <c r="G38" i="10"/>
  <c r="H38" i="10"/>
  <c r="F37" i="10"/>
  <c r="F40" i="10"/>
  <c r="O38" i="10"/>
  <c r="O31" i="10"/>
  <c r="O47" i="10"/>
  <c r="O25" i="10"/>
  <c r="O34" i="10"/>
  <c r="O41" i="10"/>
  <c r="O39" i="10"/>
  <c r="O26" i="9"/>
  <c r="O30" i="9"/>
  <c r="O34" i="9"/>
  <c r="O38" i="9"/>
  <c r="G42" i="9"/>
  <c r="H42" i="9"/>
  <c r="I42" i="9"/>
  <c r="F41" i="9"/>
  <c r="G30" i="9"/>
  <c r="H30" i="9"/>
  <c r="I30" i="9"/>
  <c r="G34" i="9"/>
  <c r="H34" i="9"/>
  <c r="I34" i="9"/>
  <c r="G38" i="9"/>
  <c r="H38" i="9"/>
  <c r="I38" i="9"/>
  <c r="G22" i="8"/>
  <c r="H22" i="8"/>
  <c r="F27" i="8"/>
  <c r="O19" i="8"/>
  <c r="G30" i="8"/>
  <c r="H30" i="8"/>
  <c r="F26" i="10"/>
  <c r="F30" i="10"/>
  <c r="F34" i="10"/>
  <c r="F38" i="10"/>
  <c r="F42" i="10"/>
  <c r="F46" i="10"/>
  <c r="G50" i="10"/>
  <c r="H50" i="10"/>
  <c r="K52" i="10"/>
  <c r="G54" i="10"/>
  <c r="H54" i="10"/>
  <c r="F56" i="10"/>
  <c r="G57" i="10"/>
  <c r="H57" i="10"/>
  <c r="F27" i="10"/>
  <c r="F31" i="10"/>
  <c r="F35" i="10"/>
  <c r="F39" i="10"/>
  <c r="F43" i="10"/>
  <c r="F47" i="10"/>
  <c r="F51" i="10"/>
  <c r="F55" i="10"/>
  <c r="G56" i="10"/>
  <c r="H56" i="10"/>
  <c r="K25" i="10"/>
  <c r="G27" i="10"/>
  <c r="K29" i="10"/>
  <c r="G31" i="10"/>
  <c r="H31" i="10"/>
  <c r="K33" i="10"/>
  <c r="G35" i="10"/>
  <c r="H35" i="10"/>
  <c r="K37" i="10"/>
  <c r="G39" i="10"/>
  <c r="H39" i="10"/>
  <c r="K41" i="10"/>
  <c r="G43" i="10"/>
  <c r="H43" i="10"/>
  <c r="K45" i="10"/>
  <c r="G47" i="10"/>
  <c r="H47" i="10"/>
  <c r="K49" i="10"/>
  <c r="G51" i="10"/>
  <c r="H51" i="10"/>
  <c r="K53" i="10"/>
  <c r="G55" i="10"/>
  <c r="H55" i="10"/>
  <c r="G24" i="10"/>
  <c r="H24" i="10"/>
  <c r="I24" i="10"/>
  <c r="K26" i="10"/>
  <c r="G28" i="10"/>
  <c r="H28" i="10"/>
  <c r="K30" i="10"/>
  <c r="G32" i="10"/>
  <c r="H32" i="10"/>
  <c r="I33" i="10"/>
  <c r="K34" i="10"/>
  <c r="G36" i="10"/>
  <c r="H36" i="10"/>
  <c r="K38" i="10"/>
  <c r="G40" i="10"/>
  <c r="H40" i="10"/>
  <c r="K42" i="10"/>
  <c r="G44" i="10"/>
  <c r="H44" i="10"/>
  <c r="K46" i="10"/>
  <c r="G48" i="10"/>
  <c r="H48" i="10"/>
  <c r="K50" i="10"/>
  <c r="K54" i="10"/>
  <c r="K57" i="10"/>
  <c r="F24" i="9"/>
  <c r="F28" i="9"/>
  <c r="F32" i="9"/>
  <c r="F36" i="9"/>
  <c r="F40" i="9"/>
  <c r="G28" i="9"/>
  <c r="H28" i="9"/>
  <c r="I28" i="9"/>
  <c r="G32" i="9"/>
  <c r="H32" i="9"/>
  <c r="I32" i="9"/>
  <c r="G36" i="9"/>
  <c r="H36" i="9"/>
  <c r="I36" i="9"/>
  <c r="G40" i="9"/>
  <c r="H40" i="9"/>
  <c r="I40" i="9"/>
  <c r="J29" i="8"/>
  <c r="D29" i="8"/>
  <c r="J26" i="8"/>
  <c r="D26" i="8"/>
  <c r="O23" i="8"/>
  <c r="N23" i="8"/>
  <c r="N18" i="8"/>
  <c r="C20" i="8"/>
  <c r="G24" i="8"/>
  <c r="H24" i="8"/>
  <c r="C28" i="8"/>
  <c r="G32" i="8"/>
  <c r="H32" i="8"/>
  <c r="C31" i="8"/>
  <c r="G21" i="8"/>
  <c r="H21" i="8"/>
  <c r="C25" i="8"/>
  <c r="G29" i="8"/>
  <c r="H29" i="8"/>
  <c r="C33" i="8"/>
  <c r="G18" i="8"/>
  <c r="H18" i="8"/>
  <c r="C22" i="8"/>
  <c r="G26" i="8"/>
  <c r="H26" i="8"/>
  <c r="C30" i="8"/>
  <c r="C19" i="8"/>
  <c r="J19" i="8"/>
  <c r="G23" i="8"/>
  <c r="H23" i="8"/>
  <c r="C27" i="8"/>
  <c r="G31" i="8"/>
  <c r="H31" i="8"/>
  <c r="G20" i="8"/>
  <c r="H20" i="8"/>
  <c r="I20" i="8"/>
  <c r="C24" i="8"/>
  <c r="G28" i="8"/>
  <c r="H28" i="8"/>
  <c r="C32" i="8"/>
  <c r="G16" i="8"/>
  <c r="G17" i="8"/>
  <c r="C21" i="8"/>
  <c r="G25" i="8"/>
  <c r="H25" i="8"/>
  <c r="K56" i="5"/>
  <c r="K40" i="5"/>
  <c r="K43" i="5"/>
  <c r="K49" i="5"/>
  <c r="K28" i="5"/>
  <c r="K31" i="5"/>
  <c r="K37" i="5"/>
  <c r="K36" i="5"/>
  <c r="K39" i="5"/>
  <c r="K45" i="5"/>
  <c r="K24" i="5"/>
  <c r="K27" i="5"/>
  <c r="K33" i="5"/>
  <c r="K44" i="5"/>
  <c r="K47" i="5"/>
  <c r="K53" i="5"/>
  <c r="K32" i="5"/>
  <c r="K35" i="5"/>
  <c r="I46" i="5"/>
  <c r="G24" i="5"/>
  <c r="H24" i="5"/>
  <c r="I25" i="5"/>
  <c r="I34" i="5"/>
  <c r="G55" i="5"/>
  <c r="H55" i="5"/>
  <c r="I56" i="5"/>
  <c r="I53" i="5"/>
  <c r="I38" i="5"/>
  <c r="I57" i="5"/>
  <c r="I26" i="5"/>
  <c r="G23" i="5"/>
  <c r="F35" i="5"/>
  <c r="G27" i="5"/>
  <c r="H27" i="5"/>
  <c r="I27" i="5"/>
  <c r="G31" i="5"/>
  <c r="H31" i="5"/>
  <c r="I31" i="5"/>
  <c r="G39" i="5"/>
  <c r="H39" i="5"/>
  <c r="I39" i="5"/>
  <c r="G43" i="5"/>
  <c r="H43" i="5"/>
  <c r="I43" i="5"/>
  <c r="G47" i="5"/>
  <c r="H47" i="5"/>
  <c r="I47" i="5"/>
  <c r="G51" i="5"/>
  <c r="H51" i="5"/>
  <c r="I51" i="5"/>
  <c r="I55" i="5"/>
  <c r="I24" i="5"/>
  <c r="K26" i="5"/>
  <c r="G28" i="5"/>
  <c r="H28" i="5"/>
  <c r="I28" i="5"/>
  <c r="K30" i="5"/>
  <c r="G32" i="5"/>
  <c r="H32" i="5"/>
  <c r="I32" i="5"/>
  <c r="K34" i="5"/>
  <c r="G36" i="5"/>
  <c r="H36" i="5"/>
  <c r="I36" i="5"/>
  <c r="K38" i="5"/>
  <c r="G40" i="5"/>
  <c r="H40" i="5"/>
  <c r="K42" i="5"/>
  <c r="G44" i="5"/>
  <c r="H44" i="5"/>
  <c r="K46" i="5"/>
  <c r="G48" i="5"/>
  <c r="H48" i="5"/>
  <c r="I48" i="5"/>
  <c r="K50" i="5"/>
  <c r="K54" i="5"/>
  <c r="K57" i="5"/>
  <c r="G32" i="3"/>
  <c r="H32" i="3"/>
  <c r="G23" i="3"/>
  <c r="G56" i="3"/>
  <c r="H56" i="3"/>
  <c r="G57" i="3"/>
  <c r="H57" i="3"/>
  <c r="G30" i="3"/>
  <c r="H30" i="3"/>
  <c r="G35" i="3"/>
  <c r="H35" i="3"/>
  <c r="G52" i="3"/>
  <c r="H52" i="3"/>
  <c r="G44" i="3"/>
  <c r="H44" i="3"/>
  <c r="G31" i="3"/>
  <c r="H31" i="3"/>
  <c r="G36" i="3"/>
  <c r="H36" i="3"/>
  <c r="G42" i="3"/>
  <c r="H42" i="3"/>
  <c r="G24" i="3"/>
  <c r="H24" i="3"/>
  <c r="I24" i="3"/>
  <c r="G47" i="3"/>
  <c r="H47" i="3"/>
  <c r="G55" i="3"/>
  <c r="H55" i="3"/>
  <c r="I56" i="3"/>
  <c r="G25" i="3"/>
  <c r="H25" i="3"/>
  <c r="G49" i="3"/>
  <c r="H49" i="3"/>
  <c r="G28" i="1"/>
  <c r="H28" i="1"/>
  <c r="I29" i="1"/>
  <c r="G20" i="1"/>
  <c r="H20" i="1"/>
  <c r="G33" i="1"/>
  <c r="H33" i="1"/>
  <c r="G19" i="1"/>
  <c r="H19" i="1"/>
  <c r="G25" i="1"/>
  <c r="H25" i="1"/>
  <c r="G18" i="1"/>
  <c r="H18" i="1"/>
  <c r="G27" i="1"/>
  <c r="H27" i="1"/>
  <c r="G32" i="1"/>
  <c r="H32" i="1"/>
  <c r="G17" i="1"/>
  <c r="H17" i="1"/>
  <c r="I17" i="1"/>
  <c r="G24" i="1"/>
  <c r="H24" i="1"/>
  <c r="G16" i="1"/>
  <c r="G21" i="1"/>
  <c r="H21" i="1"/>
  <c r="G23" i="1"/>
  <c r="H23" i="1"/>
  <c r="G26" i="1"/>
  <c r="H26" i="1"/>
  <c r="G31" i="1"/>
  <c r="H31" i="1"/>
  <c r="I30" i="2"/>
  <c r="G45" i="3"/>
  <c r="H45" i="3"/>
  <c r="O37" i="3"/>
  <c r="G50" i="3"/>
  <c r="H50" i="3"/>
  <c r="O52" i="3"/>
  <c r="O43" i="3"/>
  <c r="O38" i="3"/>
  <c r="G53" i="3"/>
  <c r="H53" i="3"/>
  <c r="I53" i="3"/>
  <c r="F25" i="3"/>
  <c r="O41" i="3"/>
  <c r="G29" i="3"/>
  <c r="H29" i="3"/>
  <c r="F55" i="3"/>
  <c r="G48" i="3"/>
  <c r="H48" i="3"/>
  <c r="O33" i="3"/>
  <c r="O50" i="3"/>
  <c r="O25" i="3"/>
  <c r="O39" i="3"/>
  <c r="O40" i="3"/>
  <c r="F35" i="2"/>
  <c r="F28" i="2"/>
  <c r="G42" i="2"/>
  <c r="H42" i="2"/>
  <c r="F27" i="2"/>
  <c r="G36" i="2"/>
  <c r="H36" i="2"/>
  <c r="I36" i="2"/>
  <c r="G26" i="2"/>
  <c r="H26" i="2"/>
  <c r="I57" i="3"/>
  <c r="K47" i="3"/>
  <c r="K30" i="3"/>
  <c r="K32" i="3"/>
  <c r="K34" i="3"/>
  <c r="K36" i="3"/>
  <c r="K57" i="3"/>
  <c r="K50" i="3"/>
  <c r="K46" i="3"/>
  <c r="K43" i="3"/>
  <c r="K38" i="3"/>
  <c r="K40" i="3"/>
  <c r="K55" i="3"/>
  <c r="K48" i="3"/>
  <c r="K25" i="3"/>
  <c r="K27" i="3"/>
  <c r="K29" i="3"/>
  <c r="K52" i="3"/>
  <c r="K45" i="3"/>
  <c r="K31" i="3"/>
  <c r="K41" i="3"/>
  <c r="K24" i="3"/>
  <c r="K33" i="3"/>
  <c r="K35" i="3"/>
  <c r="K37" i="3"/>
  <c r="K54" i="3"/>
  <c r="G54" i="3"/>
  <c r="H54" i="3"/>
  <c r="G46" i="3"/>
  <c r="H46" i="3"/>
  <c r="G51" i="3"/>
  <c r="H51" i="3"/>
  <c r="G43" i="3"/>
  <c r="H43" i="3"/>
  <c r="O28" i="3"/>
  <c r="G26" i="3"/>
  <c r="H26" i="3"/>
  <c r="I26" i="3"/>
  <c r="I32" i="3"/>
  <c r="O34" i="3"/>
  <c r="O36" i="3"/>
  <c r="O26" i="3"/>
  <c r="O32" i="3"/>
  <c r="G34" i="3"/>
  <c r="H34" i="3"/>
  <c r="I34" i="3"/>
  <c r="G37" i="3"/>
  <c r="H37" i="3"/>
  <c r="I38" i="3"/>
  <c r="I33" i="3"/>
  <c r="F31" i="3"/>
  <c r="F35" i="3"/>
  <c r="F42" i="3"/>
  <c r="G39" i="3"/>
  <c r="H39" i="3"/>
  <c r="I39" i="3"/>
  <c r="F24" i="3"/>
  <c r="F28" i="3"/>
  <c r="F32" i="3"/>
  <c r="F36" i="3"/>
  <c r="F40" i="3"/>
  <c r="G41" i="3"/>
  <c r="H41" i="3"/>
  <c r="F41" i="3"/>
  <c r="G28" i="3"/>
  <c r="H28" i="3"/>
  <c r="I28" i="3"/>
  <c r="G40" i="3"/>
  <c r="H40" i="3"/>
  <c r="H27" i="2"/>
  <c r="I28" i="2"/>
  <c r="F34" i="2"/>
  <c r="G25" i="2"/>
  <c r="H25" i="2"/>
  <c r="G33" i="2"/>
  <c r="H33" i="2"/>
  <c r="I34" i="2"/>
  <c r="F29" i="2"/>
  <c r="I35" i="2"/>
  <c r="I39" i="2"/>
  <c r="G41" i="2"/>
  <c r="H41" i="2"/>
  <c r="I41" i="2"/>
  <c r="I31" i="2"/>
  <c r="I40" i="2"/>
  <c r="I29" i="2"/>
  <c r="I32" i="2"/>
  <c r="I38" i="2"/>
  <c r="F33" i="2"/>
  <c r="F31" i="2"/>
  <c r="F39" i="2"/>
  <c r="F30" i="2"/>
  <c r="F38" i="2"/>
  <c r="F37" i="2"/>
  <c r="J29" i="1"/>
  <c r="D29" i="1"/>
  <c r="O20" i="1"/>
  <c r="N20" i="1"/>
  <c r="C18" i="1"/>
  <c r="J18" i="1"/>
  <c r="O19" i="1"/>
  <c r="G22" i="1"/>
  <c r="H22" i="1"/>
  <c r="C26" i="1"/>
  <c r="G30" i="1"/>
  <c r="H30" i="1"/>
  <c r="I30" i="1"/>
  <c r="J20" i="1"/>
  <c r="C23" i="1"/>
  <c r="C31" i="1"/>
  <c r="F18" i="1"/>
  <c r="O18" i="1"/>
  <c r="C25" i="1"/>
  <c r="F26" i="1"/>
  <c r="C33" i="1"/>
  <c r="C22" i="1"/>
  <c r="F23" i="1"/>
  <c r="C30" i="1"/>
  <c r="F31" i="1"/>
  <c r="C19" i="1"/>
  <c r="J19" i="1"/>
  <c r="C27" i="1"/>
  <c r="C28" i="1"/>
  <c r="C24" i="1"/>
  <c r="C32" i="1"/>
  <c r="F33" i="1"/>
  <c r="C21" i="1"/>
  <c r="I30" i="10"/>
  <c r="I54" i="10"/>
  <c r="I28" i="8"/>
  <c r="I53" i="10"/>
  <c r="I26" i="10"/>
  <c r="I31" i="9"/>
  <c r="I38" i="10"/>
  <c r="I35" i="10"/>
  <c r="I42" i="10"/>
  <c r="I44" i="10"/>
  <c r="I31" i="10"/>
  <c r="I51" i="10"/>
  <c r="I43" i="10"/>
  <c r="H26" i="9"/>
  <c r="I46" i="10"/>
  <c r="I39" i="10"/>
  <c r="I39" i="9"/>
  <c r="I35" i="9"/>
  <c r="I47" i="10"/>
  <c r="I50" i="10"/>
  <c r="I31" i="8"/>
  <c r="I30" i="8"/>
  <c r="I23" i="8"/>
  <c r="I40" i="10"/>
  <c r="I48" i="10"/>
  <c r="I32" i="10"/>
  <c r="I25" i="8"/>
  <c r="I24" i="8"/>
  <c r="I22" i="8"/>
  <c r="I55" i="10"/>
  <c r="I56" i="10"/>
  <c r="I36" i="10"/>
  <c r="I57" i="10"/>
  <c r="I49" i="10"/>
  <c r="I37" i="10"/>
  <c r="I52" i="10"/>
  <c r="I45" i="10"/>
  <c r="H27" i="10"/>
  <c r="I27" i="10"/>
  <c r="I29" i="10"/>
  <c r="I41" i="10"/>
  <c r="I25" i="10"/>
  <c r="I37" i="9"/>
  <c r="I33" i="9"/>
  <c r="I29" i="9"/>
  <c r="I41" i="9"/>
  <c r="I26" i="8"/>
  <c r="I32" i="8"/>
  <c r="O26" i="8"/>
  <c r="N26" i="8"/>
  <c r="D24" i="8"/>
  <c r="J24" i="8"/>
  <c r="D22" i="8"/>
  <c r="J22" i="8"/>
  <c r="J28" i="8"/>
  <c r="D28" i="8"/>
  <c r="D33" i="8"/>
  <c r="J33" i="8"/>
  <c r="J20" i="8"/>
  <c r="D20" i="8"/>
  <c r="I19" i="8"/>
  <c r="J21" i="8"/>
  <c r="D21" i="8"/>
  <c r="D27" i="8"/>
  <c r="J27" i="8"/>
  <c r="I29" i="8"/>
  <c r="I27" i="8"/>
  <c r="H17" i="8"/>
  <c r="I17" i="8"/>
  <c r="D25" i="8"/>
  <c r="J25" i="8"/>
  <c r="I21" i="8"/>
  <c r="N29" i="8"/>
  <c r="O29" i="8"/>
  <c r="D32" i="8"/>
  <c r="J32" i="8"/>
  <c r="D30" i="8"/>
  <c r="J30" i="8"/>
  <c r="J31" i="8"/>
  <c r="D31" i="8"/>
  <c r="I33" i="8"/>
  <c r="I49" i="5"/>
  <c r="I33" i="5"/>
  <c r="I44" i="5"/>
  <c r="I29" i="5"/>
  <c r="I45" i="5"/>
  <c r="I40" i="5"/>
  <c r="I41" i="5"/>
  <c r="I37" i="5"/>
  <c r="I52" i="5"/>
  <c r="I25" i="3"/>
  <c r="I30" i="3"/>
  <c r="I36" i="3"/>
  <c r="I42" i="3"/>
  <c r="I43" i="3"/>
  <c r="I45" i="3"/>
  <c r="I31" i="3"/>
  <c r="I50" i="3"/>
  <c r="I48" i="3"/>
  <c r="I19" i="1"/>
  <c r="I24" i="1"/>
  <c r="I21" i="1"/>
  <c r="I20" i="1"/>
  <c r="I25" i="1"/>
  <c r="I26" i="1"/>
  <c r="I22" i="1"/>
  <c r="I27" i="1"/>
  <c r="I32" i="1"/>
  <c r="I33" i="1"/>
  <c r="I28" i="1"/>
  <c r="I46" i="3"/>
  <c r="I18" i="1"/>
  <c r="I51" i="3"/>
  <c r="I54" i="3"/>
  <c r="I49" i="3"/>
  <c r="I31" i="1"/>
  <c r="I27" i="2"/>
  <c r="I37" i="2"/>
  <c r="I26" i="2"/>
  <c r="I40" i="3"/>
  <c r="I47" i="3"/>
  <c r="I55" i="3"/>
  <c r="I44" i="3"/>
  <c r="I52" i="3"/>
  <c r="I35" i="3"/>
  <c r="I37" i="3"/>
  <c r="I27" i="3"/>
  <c r="I29" i="3"/>
  <c r="I41" i="3"/>
  <c r="I25" i="2"/>
  <c r="I33" i="2"/>
  <c r="I42" i="2"/>
  <c r="I23" i="1"/>
  <c r="J25" i="1"/>
  <c r="D25" i="1"/>
  <c r="J21" i="1"/>
  <c r="D21" i="1"/>
  <c r="D30" i="1"/>
  <c r="J30" i="1"/>
  <c r="D31" i="1"/>
  <c r="J31" i="1"/>
  <c r="D23" i="1"/>
  <c r="J23" i="1"/>
  <c r="D32" i="1"/>
  <c r="J32" i="1"/>
  <c r="D22" i="1"/>
  <c r="J22" i="1"/>
  <c r="N29" i="1"/>
  <c r="O29" i="1"/>
  <c r="D27" i="1"/>
  <c r="J27" i="1"/>
  <c r="D24" i="1"/>
  <c r="J24" i="1"/>
  <c r="D33" i="1"/>
  <c r="J33" i="1"/>
  <c r="D28" i="1"/>
  <c r="J28" i="1"/>
  <c r="J26" i="1"/>
  <c r="D26" i="1"/>
  <c r="I26" i="9"/>
  <c r="I27" i="9"/>
  <c r="I28" i="10"/>
  <c r="O20" i="8"/>
  <c r="N20" i="8"/>
  <c r="O22" i="8"/>
  <c r="N22" i="8"/>
  <c r="N32" i="8"/>
  <c r="O32" i="8"/>
  <c r="N24" i="8"/>
  <c r="O24" i="8"/>
  <c r="O33" i="8"/>
  <c r="N33" i="8"/>
  <c r="O31" i="8"/>
  <c r="N31" i="8"/>
  <c r="N27" i="8"/>
  <c r="O27" i="8"/>
  <c r="I18" i="8"/>
  <c r="O30" i="8"/>
  <c r="N30" i="8"/>
  <c r="O21" i="8"/>
  <c r="N21" i="8"/>
  <c r="O28" i="8"/>
  <c r="N28" i="8"/>
  <c r="O25" i="8"/>
  <c r="N25" i="8"/>
  <c r="H6" i="3"/>
  <c r="O33" i="1"/>
  <c r="N33" i="1"/>
  <c r="O22" i="1"/>
  <c r="N22" i="1"/>
  <c r="O30" i="1"/>
  <c r="N30" i="1"/>
  <c r="O24" i="1"/>
  <c r="N24" i="1"/>
  <c r="O32" i="1"/>
  <c r="N32" i="1"/>
  <c r="N26" i="1"/>
  <c r="O26" i="1"/>
  <c r="O25" i="1"/>
  <c r="N25" i="1"/>
  <c r="O21" i="1"/>
  <c r="N21" i="1"/>
  <c r="N27" i="1"/>
  <c r="O27" i="1"/>
  <c r="O23" i="1"/>
  <c r="N23" i="1"/>
  <c r="O28" i="1"/>
  <c r="N28" i="1"/>
  <c r="O31" i="1"/>
  <c r="N31" i="1"/>
  <c r="B4" i="4"/>
  <c r="D4" i="4"/>
  <c r="O60" i="3"/>
  <c r="N23" i="3"/>
  <c r="O12" i="11"/>
  <c r="O15" i="11"/>
  <c r="O23" i="11"/>
  <c r="O17" i="11"/>
  <c r="O25" i="11"/>
  <c r="O19" i="11"/>
  <c r="O27" i="11"/>
  <c r="O11" i="11"/>
  <c r="O20" i="11"/>
  <c r="P10" i="11"/>
  <c r="AA12" i="11"/>
  <c r="Y12" i="11"/>
  <c r="Z12" i="11"/>
  <c r="R12" i="11"/>
  <c r="L12" i="11"/>
  <c r="N12" i="11"/>
  <c r="AA10" i="11"/>
  <c r="Y10" i="11"/>
  <c r="N10" i="11"/>
  <c r="L10" i="11"/>
  <c r="A13" i="11"/>
  <c r="B11" i="11"/>
  <c r="C16" i="11"/>
  <c r="E15" i="11"/>
  <c r="C17" i="11"/>
  <c r="E16" i="11"/>
  <c r="R11" i="11"/>
  <c r="S11" i="11"/>
  <c r="P11" i="11"/>
  <c r="N11" i="11"/>
  <c r="AA11" i="11"/>
  <c r="L11" i="11"/>
  <c r="Y11" i="11"/>
  <c r="B13" i="11"/>
  <c r="S12" i="11"/>
  <c r="P12" i="11"/>
  <c r="N13" i="11"/>
  <c r="Y13" i="11"/>
  <c r="Z13" i="11"/>
  <c r="AA13" i="11"/>
  <c r="R13" i="11"/>
  <c r="S13" i="11"/>
  <c r="P13" i="11"/>
  <c r="L13" i="11"/>
  <c r="Z11" i="11"/>
  <c r="B14" i="11"/>
  <c r="E17" i="11"/>
  <c r="C18" i="11"/>
  <c r="B15" i="11"/>
  <c r="C19" i="11"/>
  <c r="E18" i="11"/>
  <c r="AA14" i="11"/>
  <c r="L14" i="11"/>
  <c r="Y14" i="11"/>
  <c r="R14" i="11"/>
  <c r="S14" i="11"/>
  <c r="P14" i="11"/>
  <c r="N14" i="11"/>
  <c r="Z14" i="11"/>
  <c r="E19" i="11"/>
  <c r="C20" i="11"/>
  <c r="N15" i="11"/>
  <c r="AA15" i="11"/>
  <c r="L15" i="11"/>
  <c r="R15" i="11"/>
  <c r="S15" i="11"/>
  <c r="P15" i="11"/>
  <c r="Y15" i="11"/>
  <c r="Z15" i="11"/>
  <c r="A17" i="11"/>
  <c r="B16" i="11"/>
  <c r="Y16" i="11"/>
  <c r="R16" i="11"/>
  <c r="S16" i="11"/>
  <c r="P16" i="11"/>
  <c r="AA16" i="11"/>
  <c r="L16" i="11"/>
  <c r="N16" i="11"/>
  <c r="E20" i="11"/>
  <c r="C21" i="11"/>
  <c r="B17" i="11"/>
  <c r="B18" i="11"/>
  <c r="C22" i="11"/>
  <c r="E21" i="11"/>
  <c r="N17" i="11"/>
  <c r="Y17" i="11"/>
  <c r="Z17" i="11"/>
  <c r="R17" i="11"/>
  <c r="S17" i="11"/>
  <c r="P17" i="11"/>
  <c r="L17" i="11"/>
  <c r="AA17" i="11"/>
  <c r="Z16" i="11"/>
  <c r="C23" i="11"/>
  <c r="E22" i="11"/>
  <c r="R18" i="11"/>
  <c r="S18" i="11"/>
  <c r="P18" i="11"/>
  <c r="N18" i="11"/>
  <c r="AA18" i="11"/>
  <c r="L18" i="11"/>
  <c r="Y18" i="11"/>
  <c r="Z18" i="11"/>
  <c r="B19" i="11"/>
  <c r="R19" i="11"/>
  <c r="S19" i="11"/>
  <c r="P19" i="11"/>
  <c r="N19" i="11"/>
  <c r="AA19" i="11"/>
  <c r="L19" i="11"/>
  <c r="Y19" i="11"/>
  <c r="Z19" i="11"/>
  <c r="A21" i="11"/>
  <c r="B20" i="11"/>
  <c r="C24" i="11"/>
  <c r="E23" i="11"/>
  <c r="B21" i="11"/>
  <c r="C25" i="11"/>
  <c r="E24" i="11"/>
  <c r="AA20" i="11"/>
  <c r="L20" i="11"/>
  <c r="Y20" i="11"/>
  <c r="Z20" i="11"/>
  <c r="R20" i="11"/>
  <c r="S20" i="11"/>
  <c r="P20" i="11"/>
  <c r="N20" i="11"/>
  <c r="E25" i="11"/>
  <c r="C26" i="11"/>
  <c r="B22" i="11"/>
  <c r="N21" i="11"/>
  <c r="Y21" i="11"/>
  <c r="Z21" i="11"/>
  <c r="R21" i="11"/>
  <c r="S21" i="11"/>
  <c r="P21" i="11"/>
  <c r="L21" i="11"/>
  <c r="AA21" i="11"/>
  <c r="C27" i="11"/>
  <c r="E26" i="11"/>
  <c r="B23" i="11"/>
  <c r="AA22" i="11"/>
  <c r="L22" i="11"/>
  <c r="Y22" i="11"/>
  <c r="Z22" i="11"/>
  <c r="R22" i="11"/>
  <c r="S22" i="11"/>
  <c r="P22" i="11"/>
  <c r="N22" i="11"/>
  <c r="N23" i="11"/>
  <c r="AA23" i="11"/>
  <c r="L23" i="11"/>
  <c r="R23" i="11"/>
  <c r="S23" i="11"/>
  <c r="P23" i="11"/>
  <c r="Y23" i="11"/>
  <c r="Z23" i="11"/>
  <c r="A25" i="11"/>
  <c r="B24" i="11"/>
  <c r="E27" i="11"/>
  <c r="C28" i="11"/>
  <c r="B25" i="11"/>
  <c r="Y24" i="11"/>
  <c r="Z24" i="11"/>
  <c r="R24" i="11"/>
  <c r="S24" i="11"/>
  <c r="P24" i="11"/>
  <c r="AA24" i="11"/>
  <c r="L24" i="11"/>
  <c r="N24" i="11"/>
  <c r="E28" i="11"/>
  <c r="C29" i="11"/>
  <c r="N25" i="11"/>
  <c r="Y25" i="11"/>
  <c r="Z25" i="11"/>
  <c r="R25" i="11"/>
  <c r="S25" i="11"/>
  <c r="P25" i="11"/>
  <c r="L25" i="11"/>
  <c r="AA25" i="11"/>
  <c r="E30" i="11"/>
  <c r="E29" i="11"/>
  <c r="B26" i="11"/>
  <c r="B27" i="11"/>
  <c r="R26" i="11"/>
  <c r="S26" i="11"/>
  <c r="P26" i="11"/>
  <c r="N26" i="11"/>
  <c r="AA26" i="11"/>
  <c r="L26" i="11"/>
  <c r="Y26" i="11"/>
  <c r="Z26" i="11"/>
  <c r="R27" i="11"/>
  <c r="S27" i="11"/>
  <c r="P27" i="11"/>
  <c r="N27" i="11"/>
  <c r="AA27" i="11"/>
  <c r="L27" i="11"/>
  <c r="Y27" i="11"/>
  <c r="Z27" i="11"/>
  <c r="A29" i="11"/>
  <c r="B28" i="11"/>
  <c r="AA28" i="11"/>
  <c r="L28" i="11"/>
  <c r="Y28" i="11"/>
  <c r="Z28" i="11"/>
  <c r="R28" i="11"/>
  <c r="S28" i="11"/>
  <c r="P28" i="11"/>
  <c r="N28" i="11"/>
  <c r="B29" i="11"/>
  <c r="B30" i="11"/>
  <c r="A31" i="11"/>
  <c r="N29" i="11"/>
  <c r="Y29" i="11"/>
  <c r="Z29" i="11"/>
  <c r="R29" i="11"/>
  <c r="S29" i="11"/>
  <c r="P29" i="11"/>
  <c r="L29" i="11"/>
  <c r="AA29" i="11"/>
  <c r="AA30" i="11"/>
  <c r="L30" i="11"/>
  <c r="Y30" i="11"/>
  <c r="Z30" i="11"/>
  <c r="R30" i="11"/>
  <c r="S30" i="11"/>
  <c r="P30" i="11"/>
  <c r="R31" i="11"/>
  <c r="S31" i="11"/>
  <c r="P31" i="11"/>
  <c r="R32" i="11"/>
  <c r="S32" i="11"/>
  <c r="P32" i="11"/>
  <c r="R33" i="11"/>
  <c r="S33" i="11"/>
  <c r="P33" i="11"/>
  <c r="R34" i="11"/>
  <c r="S34" i="11"/>
  <c r="P34" i="11"/>
  <c r="R35" i="11"/>
  <c r="S35" i="11"/>
  <c r="P35" i="11"/>
  <c r="R36" i="11"/>
  <c r="S36" i="11"/>
  <c r="P36" i="11"/>
  <c r="R37" i="11"/>
  <c r="S37" i="11"/>
  <c r="P37" i="11"/>
  <c r="R38" i="11"/>
  <c r="S38" i="11"/>
  <c r="P38" i="11"/>
  <c r="R39" i="11"/>
  <c r="S39" i="11"/>
  <c r="P39" i="11"/>
  <c r="R40" i="11"/>
  <c r="S40" i="11"/>
  <c r="P40" i="11"/>
  <c r="R41" i="11"/>
  <c r="S41" i="11"/>
  <c r="P41" i="11"/>
  <c r="R42" i="11"/>
  <c r="S42" i="11"/>
  <c r="P42" i="11"/>
  <c r="R43" i="11"/>
  <c r="S43" i="11"/>
  <c r="P43" i="11"/>
  <c r="R44" i="11"/>
  <c r="S44" i="11"/>
  <c r="P44" i="11"/>
  <c r="R45" i="11"/>
  <c r="S45" i="11"/>
  <c r="P45" i="11"/>
  <c r="R46" i="11"/>
  <c r="S46" i="11"/>
  <c r="P46" i="11"/>
  <c r="R47" i="11"/>
  <c r="S47" i="11"/>
  <c r="P47" i="11"/>
  <c r="R48" i="11"/>
  <c r="S48" i="11"/>
  <c r="P48" i="11"/>
  <c r="R49" i="11"/>
  <c r="S49" i="11"/>
  <c r="P49" i="11"/>
  <c r="R50" i="11"/>
  <c r="S50" i="11"/>
  <c r="P50" i="11"/>
  <c r="R51" i="11"/>
  <c r="S51" i="11"/>
  <c r="P51" i="11"/>
  <c r="R52" i="11"/>
  <c r="S52" i="11"/>
  <c r="P52" i="11"/>
  <c r="R53" i="11"/>
  <c r="S53" i="11"/>
  <c r="P53" i="11"/>
  <c r="R54" i="11"/>
  <c r="S54" i="11"/>
  <c r="P54" i="11"/>
  <c r="R55" i="11"/>
  <c r="S55" i="11"/>
  <c r="P55" i="11"/>
  <c r="R56" i="11"/>
  <c r="S56" i="11"/>
  <c r="P56" i="11"/>
  <c r="R57" i="11"/>
  <c r="S57" i="11"/>
  <c r="P57" i="11"/>
  <c r="R58" i="11"/>
  <c r="S58" i="11"/>
  <c r="P58" i="11"/>
  <c r="R59" i="11"/>
  <c r="S59" i="11"/>
  <c r="P59" i="11"/>
  <c r="R60" i="11"/>
  <c r="S60" i="11"/>
  <c r="P60" i="11"/>
  <c r="R61" i="11"/>
  <c r="S61" i="11"/>
  <c r="P61" i="11"/>
  <c r="P63" i="11"/>
  <c r="N30" i="11"/>
  <c r="A32" i="11"/>
  <c r="B31" i="11"/>
  <c r="N31" i="11"/>
  <c r="L31" i="11"/>
  <c r="Y31" i="11"/>
  <c r="Z31" i="11"/>
  <c r="AA31" i="11"/>
  <c r="B32" i="11"/>
  <c r="A33" i="11"/>
  <c r="B33" i="11"/>
  <c r="A34" i="11"/>
  <c r="N32" i="11"/>
  <c r="AA32" i="11"/>
  <c r="Y32" i="11"/>
  <c r="Z32" i="11"/>
  <c r="L32" i="11"/>
  <c r="L33" i="11"/>
  <c r="AA33" i="11"/>
  <c r="Y33" i="11"/>
  <c r="Z33" i="11"/>
  <c r="N33" i="11"/>
  <c r="A35" i="11"/>
  <c r="B34" i="11"/>
  <c r="N34" i="11"/>
  <c r="L34" i="11"/>
  <c r="AA34" i="11"/>
  <c r="Y34" i="11"/>
  <c r="Z34" i="11"/>
  <c r="A36" i="11"/>
  <c r="B35" i="11"/>
  <c r="L35" i="11"/>
  <c r="Y35" i="11"/>
  <c r="Z35" i="11"/>
  <c r="N35" i="11"/>
  <c r="AA35" i="11"/>
  <c r="B36" i="11"/>
  <c r="A37" i="11"/>
  <c r="A38" i="11"/>
  <c r="B37" i="11"/>
  <c r="Y36" i="11"/>
  <c r="Z36" i="11"/>
  <c r="N36" i="11"/>
  <c r="AA36" i="11"/>
  <c r="L36" i="11"/>
  <c r="A39" i="11"/>
  <c r="B38" i="11"/>
  <c r="L37" i="11"/>
  <c r="AA37" i="11"/>
  <c r="Y37" i="11"/>
  <c r="Z37" i="11"/>
  <c r="N37" i="11"/>
  <c r="AA38" i="11"/>
  <c r="Y38" i="11"/>
  <c r="Z38" i="11"/>
  <c r="N38" i="11"/>
  <c r="L38" i="11"/>
  <c r="A40" i="11"/>
  <c r="B39" i="11"/>
  <c r="N39" i="11"/>
  <c r="L39" i="11"/>
  <c r="Y39" i="11"/>
  <c r="Z39" i="11"/>
  <c r="AA39" i="11"/>
  <c r="B40" i="11"/>
  <c r="A41" i="11"/>
  <c r="B41" i="11"/>
  <c r="A42" i="11"/>
  <c r="N40" i="11"/>
  <c r="AA40" i="11"/>
  <c r="Y40" i="11"/>
  <c r="Z40" i="11"/>
  <c r="L40" i="11"/>
  <c r="A43" i="11"/>
  <c r="B42" i="11"/>
  <c r="L41" i="11"/>
  <c r="AA41" i="11"/>
  <c r="Y41" i="11"/>
  <c r="Z41" i="11"/>
  <c r="N41" i="11"/>
  <c r="N42" i="11"/>
  <c r="L42" i="11"/>
  <c r="AA42" i="11"/>
  <c r="Y42" i="11"/>
  <c r="Z42" i="11"/>
  <c r="A44" i="11"/>
  <c r="B43" i="11"/>
  <c r="A45" i="11"/>
  <c r="B44" i="11"/>
  <c r="L43" i="11"/>
  <c r="Y43" i="11"/>
  <c r="Z43" i="11"/>
  <c r="N43" i="11"/>
  <c r="AA43" i="11"/>
  <c r="A46" i="11"/>
  <c r="B45" i="11"/>
  <c r="Y44" i="11"/>
  <c r="Z44" i="11"/>
  <c r="L44" i="11"/>
  <c r="N44" i="11"/>
  <c r="AA44" i="11"/>
  <c r="L45" i="11"/>
  <c r="AA45" i="11"/>
  <c r="Y45" i="11"/>
  <c r="Z45" i="11"/>
  <c r="N45" i="11"/>
  <c r="A47" i="11"/>
  <c r="B46" i="11"/>
  <c r="AA46" i="11"/>
  <c r="Y46" i="11"/>
  <c r="Z46" i="11"/>
  <c r="N46" i="11"/>
  <c r="L46" i="11"/>
  <c r="A48" i="11"/>
  <c r="B47" i="11"/>
  <c r="N47" i="11"/>
  <c r="AA47" i="11"/>
  <c r="L47" i="11"/>
  <c r="Y47" i="11"/>
  <c r="Z47" i="11"/>
  <c r="B48" i="11"/>
  <c r="A49" i="11"/>
  <c r="B49" i="11"/>
  <c r="A50" i="11"/>
  <c r="N48" i="11"/>
  <c r="AA48" i="11"/>
  <c r="Y48" i="11"/>
  <c r="Z48" i="11"/>
  <c r="L48" i="11"/>
  <c r="A51" i="11"/>
  <c r="B50" i="11"/>
  <c r="N49" i="11"/>
  <c r="L49" i="11"/>
  <c r="AA49" i="11"/>
  <c r="Y49" i="11"/>
  <c r="Z49" i="11"/>
  <c r="N50" i="11"/>
  <c r="L50" i="11"/>
  <c r="AA50" i="11"/>
  <c r="Y50" i="11"/>
  <c r="Z50" i="11"/>
  <c r="A52" i="11"/>
  <c r="B51" i="11"/>
  <c r="L51" i="11"/>
  <c r="Y51" i="11"/>
  <c r="Z51" i="11"/>
  <c r="N51" i="11"/>
  <c r="AA51" i="11"/>
  <c r="A53" i="11"/>
  <c r="B52" i="11"/>
  <c r="A54" i="11"/>
  <c r="B53" i="11"/>
  <c r="Y52" i="11"/>
  <c r="Z52" i="11"/>
  <c r="L52" i="11"/>
  <c r="N52" i="11"/>
  <c r="AA52" i="11"/>
  <c r="L53" i="11"/>
  <c r="AA53" i="11"/>
  <c r="Y53" i="11"/>
  <c r="Z53" i="11"/>
  <c r="N53" i="11"/>
  <c r="A55" i="11"/>
  <c r="B54" i="11"/>
  <c r="A56" i="11"/>
  <c r="B55" i="11"/>
  <c r="AA54" i="11"/>
  <c r="Y54" i="11"/>
  <c r="Z54" i="11"/>
  <c r="N54" i="11"/>
  <c r="L54" i="11"/>
  <c r="N55" i="11"/>
  <c r="L55" i="11"/>
  <c r="AA55" i="11"/>
  <c r="Y55" i="11"/>
  <c r="Z55" i="11"/>
  <c r="B56" i="11"/>
  <c r="A57" i="11"/>
  <c r="B57" i="11"/>
  <c r="A58" i="11"/>
  <c r="N56" i="11"/>
  <c r="AA56" i="11"/>
  <c r="Y56" i="11"/>
  <c r="Z56" i="11"/>
  <c r="L56" i="11"/>
  <c r="A59" i="11"/>
  <c r="B58" i="11"/>
  <c r="N57" i="11"/>
  <c r="L57" i="11"/>
  <c r="AA57" i="11"/>
  <c r="Y57" i="11"/>
  <c r="Z57" i="11"/>
  <c r="N58" i="11"/>
  <c r="L58" i="11"/>
  <c r="AA58" i="11"/>
  <c r="Y58" i="11"/>
  <c r="Z58" i="11"/>
  <c r="A60" i="11"/>
  <c r="B59" i="11"/>
  <c r="A61" i="11"/>
  <c r="B61" i="11"/>
  <c r="B60" i="11"/>
  <c r="L59" i="11"/>
  <c r="Y59" i="11"/>
  <c r="Z59" i="11"/>
  <c r="N59" i="11"/>
  <c r="AA59" i="11"/>
  <c r="Y60" i="11"/>
  <c r="Z60" i="11"/>
  <c r="N60" i="11"/>
  <c r="L60" i="11"/>
  <c r="AA60" i="11"/>
  <c r="L61" i="11"/>
  <c r="AA61" i="11"/>
  <c r="Y61" i="11"/>
  <c r="N61" i="11"/>
  <c r="Z61" i="11"/>
  <c r="Y63" i="11"/>
  <c r="H6" i="1"/>
  <c r="N16" i="1"/>
  <c r="O35" i="1"/>
  <c r="H6" i="2"/>
  <c r="N23" i="2"/>
  <c r="O45" i="2"/>
  <c r="H6" i="5"/>
  <c r="N23" i="5"/>
  <c r="O60" i="5"/>
  <c r="B2" i="4"/>
  <c r="D2" i="4"/>
  <c r="B3" i="4"/>
  <c r="D3" i="4"/>
  <c r="B2" i="6"/>
  <c r="D2" i="6"/>
  <c r="B3" i="6"/>
  <c r="D3" i="6"/>
  <c r="B4" i="6"/>
  <c r="D4" i="6"/>
  <c r="N63" i="11"/>
  <c r="N65" i="11"/>
  <c r="N68" i="11"/>
  <c r="H6" i="10"/>
  <c r="O60" i="10"/>
  <c r="H6" i="9"/>
  <c r="O45" i="9"/>
  <c r="N23" i="10"/>
  <c r="N23" i="9"/>
  <c r="H6" i="8"/>
  <c r="O35" i="8"/>
  <c r="N16" i="8"/>
  <c r="C7" i="12"/>
  <c r="D7" i="12"/>
  <c r="C6" i="12"/>
  <c r="D6" i="12"/>
  <c r="C5" i="12"/>
  <c r="D5" i="12"/>
  <c r="D9" i="12"/>
</calcChain>
</file>

<file path=xl/sharedStrings.xml><?xml version="1.0" encoding="utf-8"?>
<sst xmlns="http://schemas.openxmlformats.org/spreadsheetml/2006/main" count="231" uniqueCount="53">
  <si>
    <t>Datos</t>
  </si>
  <si>
    <t>Fecha de emision</t>
  </si>
  <si>
    <t>Fecha de vencimiento</t>
  </si>
  <si>
    <t>Risk free</t>
  </si>
  <si>
    <t>Fecha de liquidacion</t>
  </si>
  <si>
    <t>Hazard rate</t>
  </si>
  <si>
    <t>Cupon</t>
  </si>
  <si>
    <t>Recovery</t>
  </si>
  <si>
    <t>Frecuencia cupon</t>
  </si>
  <si>
    <t>Precio</t>
  </si>
  <si>
    <t>Cant de Amortizaciones</t>
  </si>
  <si>
    <t>YTM</t>
  </si>
  <si>
    <t>Fecha amortizacion inicial</t>
  </si>
  <si>
    <t>Principal</t>
  </si>
  <si>
    <t>Fecha inicial devengamiento cupon</t>
  </si>
  <si>
    <t>Base</t>
  </si>
  <si>
    <t>Interes</t>
  </si>
  <si>
    <t>Total flujos de caja</t>
  </si>
  <si>
    <t>Ti</t>
  </si>
  <si>
    <t>Z</t>
  </si>
  <si>
    <t>P*</t>
  </si>
  <si>
    <t>1-P*</t>
  </si>
  <si>
    <t>Proba default en t</t>
  </si>
  <si>
    <t>Claim</t>
  </si>
  <si>
    <t>Fecha inicial pago de cupon</t>
  </si>
  <si>
    <t>Valuacion</t>
  </si>
  <si>
    <t>Precio mercado</t>
  </si>
  <si>
    <t>Valor</t>
  </si>
  <si>
    <t>f liq</t>
  </si>
  <si>
    <t>fecha</t>
  </si>
  <si>
    <t>Hazard Rate</t>
  </si>
  <si>
    <t>Tasa Libre De Riesgo Fija</t>
  </si>
  <si>
    <t>Fecha de Pago de Cupones</t>
  </si>
  <si>
    <t>15 de Junio y Diciembre de cada anio empezando Dic 2021</t>
  </si>
  <si>
    <t>Tasa de Recupero</t>
  </si>
  <si>
    <t>Fecha de Vencimiento</t>
  </si>
  <si>
    <t>Valor Nominal</t>
  </si>
  <si>
    <t xml:space="preserve">Cupon </t>
  </si>
  <si>
    <t>Amortiza?</t>
  </si>
  <si>
    <t>No</t>
  </si>
  <si>
    <t>Risk Free Discount Factor</t>
  </si>
  <si>
    <t>delta</t>
  </si>
  <si>
    <t>delta a hoy</t>
  </si>
  <si>
    <t>Default Prob</t>
  </si>
  <si>
    <t>Prob Default Periodo</t>
  </si>
  <si>
    <t>Amortizacion</t>
  </si>
  <si>
    <t>Total</t>
  </si>
  <si>
    <t>Points Upfront</t>
  </si>
  <si>
    <t>Cash Cada 10mn</t>
  </si>
  <si>
    <t>Fecha de Liquidacion</t>
  </si>
  <si>
    <t>HR</t>
  </si>
  <si>
    <t>P estimado</t>
  </si>
  <si>
    <t>P observado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</si>
</sst>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0.0000"/>
    <numFmt numFmtId="167" formatCode="0.0%"/>
    <numFmt numFmtId="168" formatCode="_-* #,##0.000_-;\-* #,##0.000_-;_-* &quot;-&quot;??_-;_-@_-"/>
    <numFmt numFmtId="169" formatCode="0.00000"/>
    <numFmt numFmtId="170" formatCode="0.0"/>
    <numFmt numFmtId="171" formatCode="_-* #,##0.0000_-;\-* #,##0.0000_-;_-* &quot;-&quot;????_-;_-@_-"/>
    <numFmt numFmtId="172" formatCode="_-* #,##0.000000_-;\-* #,##0.000000_-;_-* &quot;-&quot;??_-;_-@_-"/>
    <numFmt numFmtId="173" formatCode="_-* #,##0.0_-;\-* #,##0.0_-;_-* &quot;-&quot;??_-;_-@_-"/>
    <numFmt numFmtId="174" formatCode="0.000%"/>
    <numFmt numFmtId="175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0" fontId="2" fillId="0" borderId="0" xfId="0" applyNumberFormat="1" applyFont="1"/>
    <xf numFmtId="165" fontId="0" fillId="0" borderId="0" xfId="1" applyNumberFormat="1" applyFont="1" applyAlignment="1">
      <alignment horizontal="right"/>
    </xf>
    <xf numFmtId="0" fontId="0" fillId="2" borderId="0" xfId="0" applyFill="1"/>
    <xf numFmtId="43" fontId="3" fillId="2" borderId="0" xfId="1" applyFont="1" applyFill="1"/>
    <xf numFmtId="10" fontId="0" fillId="0" borderId="0" xfId="0" applyNumberFormat="1" applyAlignment="1">
      <alignment horizontal="right"/>
    </xf>
    <xf numFmtId="9" fontId="0" fillId="0" borderId="0" xfId="0" applyNumberFormat="1"/>
    <xf numFmtId="14" fontId="0" fillId="0" borderId="0" xfId="0" applyNumberFormat="1"/>
    <xf numFmtId="0" fontId="2" fillId="0" borderId="0" xfId="0" applyFont="1"/>
    <xf numFmtId="9" fontId="0" fillId="0" borderId="0" xfId="2" applyFont="1"/>
    <xf numFmtId="166" fontId="0" fillId="0" borderId="0" xfId="0" applyNumberFormat="1" applyAlignment="1">
      <alignment horizontal="right"/>
    </xf>
    <xf numFmtId="167" fontId="0" fillId="0" borderId="0" xfId="2" applyNumberFormat="1" applyFont="1"/>
    <xf numFmtId="14" fontId="0" fillId="3" borderId="0" xfId="0" applyNumberFormat="1" applyFill="1"/>
    <xf numFmtId="0" fontId="0" fillId="3" borderId="0" xfId="0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0" fillId="3" borderId="0" xfId="2" applyNumberFormat="1" applyFont="1" applyFill="1"/>
    <xf numFmtId="9" fontId="0" fillId="3" borderId="0" xfId="2" applyFont="1" applyFill="1"/>
    <xf numFmtId="0" fontId="0" fillId="3" borderId="0" xfId="0" applyFill="1"/>
    <xf numFmtId="9" fontId="0" fillId="3" borderId="0" xfId="0" applyNumberFormat="1" applyFill="1"/>
    <xf numFmtId="10" fontId="0" fillId="0" borderId="0" xfId="2" applyNumberFormat="1" applyFont="1"/>
    <xf numFmtId="43" fontId="0" fillId="0" borderId="0" xfId="0" applyNumberFormat="1"/>
    <xf numFmtId="167" fontId="3" fillId="2" borderId="0" xfId="2" applyNumberFormat="1" applyFont="1" applyFill="1"/>
    <xf numFmtId="171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3" applyNumberFormat="1" applyFont="1" applyAlignment="1">
      <alignment horizontal="right"/>
    </xf>
    <xf numFmtId="168" fontId="0" fillId="0" borderId="0" xfId="3" applyNumberFormat="1" applyFont="1" applyAlignment="1">
      <alignment horizontal="right"/>
    </xf>
    <xf numFmtId="9" fontId="0" fillId="0" borderId="0" xfId="0" applyNumberFormat="1"/>
    <xf numFmtId="0" fontId="2" fillId="0" borderId="0" xfId="0" applyFont="1"/>
    <xf numFmtId="10" fontId="2" fillId="0" borderId="0" xfId="2" applyNumberFormat="1" applyFont="1"/>
    <xf numFmtId="169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6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3" applyNumberFormat="1" applyFont="1" applyAlignment="1">
      <alignment horizontal="right"/>
    </xf>
    <xf numFmtId="168" fontId="0" fillId="0" borderId="0" xfId="3" applyNumberFormat="1" applyFont="1" applyAlignment="1">
      <alignment horizontal="right"/>
    </xf>
    <xf numFmtId="9" fontId="0" fillId="0" borderId="0" xfId="0" applyNumberFormat="1"/>
    <xf numFmtId="0" fontId="2" fillId="0" borderId="0" xfId="0" applyFont="1"/>
    <xf numFmtId="10" fontId="2" fillId="0" borderId="0" xfId="2" applyNumberFormat="1" applyFont="1"/>
    <xf numFmtId="169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7" fontId="0" fillId="0" borderId="0" xfId="2" applyNumberFormat="1" applyFont="1"/>
    <xf numFmtId="43" fontId="2" fillId="0" borderId="0" xfId="0" applyNumberFormat="1" applyFont="1"/>
    <xf numFmtId="2" fontId="0" fillId="0" borderId="0" xfId="0" applyNumberFormat="1"/>
    <xf numFmtId="172" fontId="0" fillId="0" borderId="0" xfId="0" applyNumberFormat="1"/>
    <xf numFmtId="173" fontId="3" fillId="2" borderId="0" xfId="1" applyNumberFormat="1" applyFont="1" applyFill="1"/>
    <xf numFmtId="167" fontId="0" fillId="0" borderId="0" xfId="2" applyNumberFormat="1" applyFont="1" applyFill="1"/>
    <xf numFmtId="9" fontId="0" fillId="0" borderId="0" xfId="2" applyFont="1" applyFill="1"/>
    <xf numFmtId="14" fontId="0" fillId="4" borderId="0" xfId="0" applyNumberFormat="1" applyFill="1"/>
    <xf numFmtId="166" fontId="0" fillId="4" borderId="0" xfId="0" applyNumberFormat="1" applyFill="1" applyAlignment="1">
      <alignment horizontal="right"/>
    </xf>
    <xf numFmtId="167" fontId="0" fillId="4" borderId="0" xfId="2" applyNumberFormat="1" applyFont="1" applyFill="1"/>
    <xf numFmtId="9" fontId="0" fillId="4" borderId="0" xfId="2" applyFont="1" applyFill="1"/>
    <xf numFmtId="166" fontId="0" fillId="4" borderId="0" xfId="0" applyNumberFormat="1" applyFill="1"/>
    <xf numFmtId="9" fontId="0" fillId="4" borderId="0" xfId="0" applyNumberFormat="1" applyFill="1"/>
    <xf numFmtId="43" fontId="0" fillId="0" borderId="0" xfId="1" applyFont="1"/>
    <xf numFmtId="167" fontId="0" fillId="0" borderId="0" xfId="0" applyNumberFormat="1"/>
    <xf numFmtId="164" fontId="0" fillId="0" borderId="0" xfId="0" applyNumberFormat="1"/>
    <xf numFmtId="174" fontId="0" fillId="0" borderId="0" xfId="2" applyNumberFormat="1" applyFont="1"/>
    <xf numFmtId="0" fontId="0" fillId="0" borderId="1" xfId="0" applyBorder="1"/>
    <xf numFmtId="2" fontId="5" fillId="0" borderId="2" xfId="0" applyNumberFormat="1" applyFont="1" applyBorder="1"/>
    <xf numFmtId="0" fontId="6" fillId="0" borderId="0" xfId="0" applyFont="1"/>
    <xf numFmtId="2" fontId="6" fillId="0" borderId="0" xfId="0" applyNumberFormat="1" applyFont="1"/>
    <xf numFmtId="0" fontId="5" fillId="0" borderId="0" xfId="0" applyFont="1"/>
    <xf numFmtId="175" fontId="5" fillId="0" borderId="0" xfId="0" applyNumberFormat="1" applyFont="1"/>
    <xf numFmtId="0" fontId="5" fillId="0" borderId="3" xfId="0" applyFont="1" applyBorder="1"/>
    <xf numFmtId="2" fontId="5" fillId="0" borderId="0" xfId="0" applyNumberFormat="1" applyFont="1"/>
    <xf numFmtId="43" fontId="5" fillId="0" borderId="4" xfId="1" applyFont="1" applyBorder="1"/>
    <xf numFmtId="0" fontId="0" fillId="0" borderId="0" xfId="0" applyFill="1"/>
    <xf numFmtId="167" fontId="4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170" fontId="3" fillId="0" borderId="0" xfId="0" applyNumberFormat="1" applyFont="1" applyFill="1" applyAlignment="1">
      <alignment horizontal="right"/>
    </xf>
    <xf numFmtId="10" fontId="2" fillId="0" borderId="0" xfId="0" applyNumberFormat="1" applyFont="1" applyFill="1"/>
    <xf numFmtId="43" fontId="3" fillId="0" borderId="0" xfId="1" applyFont="1" applyFill="1"/>
    <xf numFmtId="10" fontId="3" fillId="0" borderId="0" xfId="2" applyNumberFormat="1" applyFont="1" applyFill="1"/>
    <xf numFmtId="9" fontId="4" fillId="0" borderId="0" xfId="0" applyNumberFormat="1" applyFont="1" applyFill="1" applyAlignment="1">
      <alignment horizontal="right"/>
    </xf>
    <xf numFmtId="14" fontId="0" fillId="0" borderId="0" xfId="0" applyNumberFormat="1" applyFill="1"/>
    <xf numFmtId="10" fontId="0" fillId="0" borderId="0" xfId="0" applyNumberFormat="1"/>
  </cellXfs>
  <cellStyles count="4">
    <cellStyle name="Comma" xfId="1" builtinId="3"/>
    <cellStyle name="Millares 2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Cupon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[1]Bono3!$B$25:$AO$25</c:f>
              <c:numCache>
                <c:formatCode>General</c:formatCode>
                <c:ptCount val="40"/>
                <c:pt idx="0">
                  <c:v>0.147238473788216</c:v>
                </c:pt>
                <c:pt idx="1">
                  <c:v>0.144578615648728</c:v>
                </c:pt>
                <c:pt idx="2">
                  <c:v>0.141955782032323</c:v>
                </c:pt>
                <c:pt idx="3">
                  <c:v>0.139369028112628</c:v>
                </c:pt>
                <c:pt idx="4">
                  <c:v>0.13681741378591</c:v>
                </c:pt>
                <c:pt idx="5">
                  <c:v>0.134300059710601</c:v>
                </c:pt>
                <c:pt idx="6">
                  <c:v>0.131816091895073</c:v>
                </c:pt>
                <c:pt idx="7">
                  <c:v>0.129364697851593</c:v>
                </c:pt>
                <c:pt idx="8">
                  <c:v>0.126945082243818</c:v>
                </c:pt>
                <c:pt idx="9">
                  <c:v>0.124556467106232</c:v>
                </c:pt>
                <c:pt idx="10">
                  <c:v>0.122198125761796</c:v>
                </c:pt>
                <c:pt idx="11">
                  <c:v>0.119869315734904</c:v>
                </c:pt>
                <c:pt idx="12">
                  <c:v>0.117569368840776</c:v>
                </c:pt>
                <c:pt idx="13">
                  <c:v>0.115297612788624</c:v>
                </c:pt>
                <c:pt idx="14">
                  <c:v>0.11305339381633</c:v>
                </c:pt>
                <c:pt idx="15">
                  <c:v>0.110836088171465</c:v>
                </c:pt>
                <c:pt idx="16">
                  <c:v>0.108645102351556</c:v>
                </c:pt>
                <c:pt idx="17">
                  <c:v>0.106479850701651</c:v>
                </c:pt>
                <c:pt idx="18">
                  <c:v>0.104339755527617</c:v>
                </c:pt>
                <c:pt idx="19">
                  <c:v>0.102224292572087</c:v>
                </c:pt>
                <c:pt idx="20">
                  <c:v>0.100132900528561</c:v>
                </c:pt>
                <c:pt idx="21">
                  <c:v>0.0980650945570875</c:v>
                </c:pt>
                <c:pt idx="22">
                  <c:v>0.0960203643475661</c:v>
                </c:pt>
                <c:pt idx="23">
                  <c:v>0.0939982309798499</c:v>
                </c:pt>
                <c:pt idx="24">
                  <c:v>0.0919982157885597</c:v>
                </c:pt>
                <c:pt idx="25">
                  <c:v>0.0900198860454413</c:v>
                </c:pt>
                <c:pt idx="26">
                  <c:v>0.0880627867157737</c:v>
                </c:pt>
                <c:pt idx="27">
                  <c:v>0.0861264918288453</c:v>
                </c:pt>
                <c:pt idx="28">
                  <c:v>0.0842105960779391</c:v>
                </c:pt>
                <c:pt idx="29">
                  <c:v>0.0823146863323014</c:v>
                </c:pt>
                <c:pt idx="30">
                  <c:v>0.0804383817512653</c:v>
                </c:pt>
                <c:pt idx="31">
                  <c:v>0.0785812938219177</c:v>
                </c:pt>
                <c:pt idx="32">
                  <c:v>0.0767430550617676</c:v>
                </c:pt>
                <c:pt idx="33">
                  <c:v>0.07492330765611</c:v>
                </c:pt>
                <c:pt idx="34">
                  <c:v>0.0731217092833507</c:v>
                </c:pt>
                <c:pt idx="35">
                  <c:v>0.0713379101926228</c:v>
                </c:pt>
                <c:pt idx="36">
                  <c:v>0.0695715877623857</c:v>
                </c:pt>
                <c:pt idx="37">
                  <c:v>0.0678224120551793</c:v>
                </c:pt>
                <c:pt idx="38">
                  <c:v>0.0660900862025975</c:v>
                </c:pt>
                <c:pt idx="39">
                  <c:v>0.0643742888238914</c:v>
                </c:pt>
              </c:numCache>
            </c:numRef>
          </c:xVal>
          <c:yVal>
            <c:numRef>
              <c:f>[1]Bono3!$B$24:$AO$24</c:f>
              <c:numCache>
                <c:formatCode>General</c:formatCode>
                <c:ptCount val="40"/>
                <c:pt idx="0">
                  <c:v>64.1583979382855</c:v>
                </c:pt>
                <c:pt idx="1">
                  <c:v>64.9083979382855</c:v>
                </c:pt>
                <c:pt idx="2">
                  <c:v>65.6583979382855</c:v>
                </c:pt>
                <c:pt idx="3">
                  <c:v>66.4083979382855</c:v>
                </c:pt>
                <c:pt idx="4">
                  <c:v>67.1583979382855</c:v>
                </c:pt>
                <c:pt idx="5">
                  <c:v>67.9083979382855</c:v>
                </c:pt>
                <c:pt idx="6">
                  <c:v>68.6583979382855</c:v>
                </c:pt>
                <c:pt idx="7">
                  <c:v>69.4083979382855</c:v>
                </c:pt>
                <c:pt idx="8">
                  <c:v>70.1583979382855</c:v>
                </c:pt>
                <c:pt idx="9">
                  <c:v>70.9083979382855</c:v>
                </c:pt>
                <c:pt idx="10">
                  <c:v>71.6583979382855</c:v>
                </c:pt>
                <c:pt idx="11">
                  <c:v>72.4083979382855</c:v>
                </c:pt>
                <c:pt idx="12">
                  <c:v>73.1583979382855</c:v>
                </c:pt>
                <c:pt idx="13">
                  <c:v>73.9083979382855</c:v>
                </c:pt>
                <c:pt idx="14">
                  <c:v>74.6583979382855</c:v>
                </c:pt>
                <c:pt idx="15">
                  <c:v>75.4083979382855</c:v>
                </c:pt>
                <c:pt idx="16">
                  <c:v>76.1583979382855</c:v>
                </c:pt>
                <c:pt idx="17">
                  <c:v>76.9083979382855</c:v>
                </c:pt>
                <c:pt idx="18">
                  <c:v>77.6583979382855</c:v>
                </c:pt>
                <c:pt idx="19">
                  <c:v>78.4083979382855</c:v>
                </c:pt>
                <c:pt idx="20">
                  <c:v>79.1583979382855</c:v>
                </c:pt>
                <c:pt idx="21">
                  <c:v>79.9083979382855</c:v>
                </c:pt>
                <c:pt idx="22">
                  <c:v>80.6583979382855</c:v>
                </c:pt>
                <c:pt idx="23">
                  <c:v>81.4083979382855</c:v>
                </c:pt>
                <c:pt idx="24">
                  <c:v>82.1583979382855</c:v>
                </c:pt>
                <c:pt idx="25">
                  <c:v>82.9083979382855</c:v>
                </c:pt>
                <c:pt idx="26">
                  <c:v>83.6583979382855</c:v>
                </c:pt>
                <c:pt idx="27">
                  <c:v>84.4083979382855</c:v>
                </c:pt>
                <c:pt idx="28">
                  <c:v>85.1583979382855</c:v>
                </c:pt>
                <c:pt idx="29">
                  <c:v>85.9083979382855</c:v>
                </c:pt>
                <c:pt idx="30">
                  <c:v>86.6583979382855</c:v>
                </c:pt>
                <c:pt idx="31">
                  <c:v>87.4083979382855</c:v>
                </c:pt>
                <c:pt idx="32">
                  <c:v>88.1583979382855</c:v>
                </c:pt>
                <c:pt idx="33">
                  <c:v>88.9083979382855</c:v>
                </c:pt>
                <c:pt idx="34">
                  <c:v>89.6583979382855</c:v>
                </c:pt>
                <c:pt idx="35">
                  <c:v>90.4083979382855</c:v>
                </c:pt>
                <c:pt idx="36">
                  <c:v>91.1583979382855</c:v>
                </c:pt>
                <c:pt idx="37">
                  <c:v>91.9083979382855</c:v>
                </c:pt>
                <c:pt idx="38">
                  <c:v>92.6583979382855</c:v>
                </c:pt>
                <c:pt idx="39">
                  <c:v>93.4083979382855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2B-48A8-B54D-0891A9680D36}"/>
            </c:ext>
          </c:extLst>
        </c:ser>
        <c:ser>
          <c:idx val="1"/>
          <c:order val="1"/>
          <c:tx>
            <c:v>Cupon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'[1]CDS 5 - Ejemplo'!$B$78:$AV$78</c:f>
              <c:numCache>
                <c:formatCode>General</c:formatCode>
                <c:ptCount val="47"/>
              </c:numCache>
            </c:numRef>
          </c:xVal>
          <c:yVal>
            <c:numRef>
              <c:f>'[1]CDS 5 - Ejemplo'!$B$77:$AV$77</c:f>
              <c:numCache>
                <c:formatCode>General</c:formatCode>
                <c:ptCount val="47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2B-48A8-B54D-0891A9680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89744"/>
        <c:axId val="-2043394272"/>
      </c:scatterChart>
      <c:valAx>
        <c:axId val="2122189744"/>
        <c:scaling>
          <c:orientation val="minMax"/>
          <c:min val="0.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2043394272"/>
        <c:crosses val="autoZero"/>
        <c:crossBetween val="midCat"/>
      </c:valAx>
      <c:valAx>
        <c:axId val="-2043394272"/>
        <c:scaling>
          <c:orientation val="minMax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12218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130</xdr:row>
      <xdr:rowOff>50800</xdr:rowOff>
    </xdr:from>
    <xdr:to>
      <xdr:col>12</xdr:col>
      <xdr:colOff>180975</xdr:colOff>
      <xdr:row>152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86AB20C-1174-45A5-8591-25B75D1F0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tgpactual-my.sharepoint.com/personal/alejo_costa_btgpactual_com/Documents/Documents/Breakout%20room_Clase%20renta%20fija%202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o3"/>
      <sheetName val="Bono2 Ej 2 (2)"/>
      <sheetName val="CDS 10 - Ejemplo 2"/>
      <sheetName val="CDS 5 - Ejemplo"/>
      <sheetName val="Bono2 Ej 2"/>
      <sheetName val="Bono1 Ej 2"/>
      <sheetName val="Bono1 Ej 1"/>
      <sheetName val="Ejercicio 1"/>
      <sheetName val="Ejercicio 2"/>
    </sheetNames>
    <sheetDataSet>
      <sheetData sheetId="0">
        <row r="24">
          <cell r="B24">
            <v>64.158397938285503</v>
          </cell>
          <cell r="C24">
            <v>64.908397938285503</v>
          </cell>
          <cell r="D24">
            <v>65.658397938285503</v>
          </cell>
          <cell r="E24">
            <v>66.408397938285503</v>
          </cell>
          <cell r="F24">
            <v>67.158397938285503</v>
          </cell>
          <cell r="G24">
            <v>67.908397938285503</v>
          </cell>
          <cell r="H24">
            <v>68.658397938285503</v>
          </cell>
          <cell r="I24">
            <v>69.408397938285503</v>
          </cell>
          <cell r="J24">
            <v>70.158397938285503</v>
          </cell>
          <cell r="K24">
            <v>70.908397938285503</v>
          </cell>
          <cell r="L24">
            <v>71.658397938285503</v>
          </cell>
          <cell r="M24">
            <v>72.408397938285503</v>
          </cell>
          <cell r="N24">
            <v>73.158397938285503</v>
          </cell>
          <cell r="O24">
            <v>73.908397938285503</v>
          </cell>
          <cell r="P24">
            <v>74.658397938285503</v>
          </cell>
          <cell r="Q24">
            <v>75.408397938285503</v>
          </cell>
          <cell r="R24">
            <v>76.158397938285503</v>
          </cell>
          <cell r="S24">
            <v>76.908397938285503</v>
          </cell>
          <cell r="T24">
            <v>77.658397938285503</v>
          </cell>
          <cell r="U24">
            <v>78.408397938285503</v>
          </cell>
          <cell r="V24">
            <v>79.158397938285503</v>
          </cell>
          <cell r="W24">
            <v>79.908397938285503</v>
          </cell>
          <cell r="X24">
            <v>80.658397938285503</v>
          </cell>
          <cell r="Y24">
            <v>81.408397938285503</v>
          </cell>
          <cell r="Z24">
            <v>82.158397938285503</v>
          </cell>
          <cell r="AA24">
            <v>82.908397938285503</v>
          </cell>
          <cell r="AB24">
            <v>83.658397938285503</v>
          </cell>
          <cell r="AC24">
            <v>84.408397938285503</v>
          </cell>
          <cell r="AD24">
            <v>85.158397938285503</v>
          </cell>
          <cell r="AE24">
            <v>85.908397938285503</v>
          </cell>
          <cell r="AF24">
            <v>86.658397938285503</v>
          </cell>
          <cell r="AG24">
            <v>87.408397938285503</v>
          </cell>
          <cell r="AH24">
            <v>88.158397938285503</v>
          </cell>
          <cell r="AI24">
            <v>88.908397938285503</v>
          </cell>
          <cell r="AJ24">
            <v>89.658397938285503</v>
          </cell>
          <cell r="AK24">
            <v>90.408397938285503</v>
          </cell>
          <cell r="AL24">
            <v>91.158397938285503</v>
          </cell>
          <cell r="AM24">
            <v>91.908397938285503</v>
          </cell>
          <cell r="AN24">
            <v>92.658397938285503</v>
          </cell>
          <cell r="AO24">
            <v>93.408397938285503</v>
          </cell>
        </row>
        <row r="25">
          <cell r="B25">
            <v>0.14723847378821553</v>
          </cell>
          <cell r="C25">
            <v>0.14457861564872809</v>
          </cell>
          <cell r="D25">
            <v>0.14195578203232317</v>
          </cell>
          <cell r="E25">
            <v>0.13936902811262808</v>
          </cell>
          <cell r="F25">
            <v>0.13681741378590973</v>
          </cell>
          <cell r="G25">
            <v>0.13430005971060144</v>
          </cell>
          <cell r="H25">
            <v>0.1318160918950726</v>
          </cell>
          <cell r="I25">
            <v>0.12936469785159277</v>
          </cell>
          <cell r="J25">
            <v>0.12694508224381851</v>
          </cell>
          <cell r="K25">
            <v>0.12455646710623158</v>
          </cell>
          <cell r="L25">
            <v>0.12219812576179567</v>
          </cell>
          <cell r="M25">
            <v>0.11986931573490445</v>
          </cell>
          <cell r="N25">
            <v>0.11756936884077573</v>
          </cell>
          <cell r="O25">
            <v>0.11529761278862383</v>
          </cell>
          <cell r="P25">
            <v>0.11305339381633051</v>
          </cell>
          <cell r="Q25">
            <v>0.11083608817146517</v>
          </cell>
          <cell r="R25">
            <v>0.10864510235155578</v>
          </cell>
          <cell r="S25">
            <v>0.10647985070165067</v>
          </cell>
          <cell r="T25">
            <v>0.10433975552761687</v>
          </cell>
          <cell r="U25">
            <v>0.10222429257208709</v>
          </cell>
          <cell r="V25">
            <v>0.10013290052856094</v>
          </cell>
          <cell r="W25">
            <v>9.8065094557087562E-2</v>
          </cell>
          <cell r="X25">
            <v>9.6020364347566112E-2</v>
          </cell>
          <cell r="Y25">
            <v>9.3998230979849939E-2</v>
          </cell>
          <cell r="Z25">
            <v>9.1998215788559712E-2</v>
          </cell>
          <cell r="AA25">
            <v>9.0019886045441311E-2</v>
          </cell>
          <cell r="AB25">
            <v>8.8062786715773722E-2</v>
          </cell>
          <cell r="AC25">
            <v>8.6126491828845353E-2</v>
          </cell>
          <cell r="AD25">
            <v>8.4210596077939126E-2</v>
          </cell>
          <cell r="AE25">
            <v>8.2314686332301434E-2</v>
          </cell>
          <cell r="AF25">
            <v>8.0438381751265275E-2</v>
          </cell>
          <cell r="AG25">
            <v>7.8581293821917697E-2</v>
          </cell>
          <cell r="AH25">
            <v>7.6743055061767596E-2</v>
          </cell>
          <cell r="AI25">
            <v>7.4923307656109994E-2</v>
          </cell>
          <cell r="AJ25">
            <v>7.3121709283350711E-2</v>
          </cell>
          <cell r="AK25">
            <v>7.1337910192622811E-2</v>
          </cell>
          <cell r="AL25">
            <v>6.95715877623857E-2</v>
          </cell>
          <cell r="AM25">
            <v>6.782241205517936E-2</v>
          </cell>
          <cell r="AN25">
            <v>6.6090086202597487E-2</v>
          </cell>
          <cell r="AO25">
            <v>6.4374288823891401E-2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A10" workbookViewId="0">
      <selection activeCell="E19" sqref="E19"/>
    </sheetView>
  </sheetViews>
  <sheetFormatPr baseColWidth="10" defaultColWidth="11" defaultRowHeight="16" x14ac:dyDescent="0.2"/>
  <cols>
    <col min="1" max="1" width="29.6640625" bestFit="1" customWidth="1"/>
    <col min="2" max="3" width="11" style="1"/>
    <col min="4" max="4" width="16.33203125" style="1" bestFit="1" customWidth="1"/>
    <col min="5" max="5" width="11" style="1"/>
    <col min="6" max="6" width="15.6640625" style="1" customWidth="1"/>
    <col min="7" max="8" width="11" style="1"/>
    <col min="9" max="9" width="15.6640625" style="1" bestFit="1" customWidth="1"/>
  </cols>
  <sheetData>
    <row r="1" spans="1:15" x14ac:dyDescent="0.25">
      <c r="A1" t="s">
        <v>0</v>
      </c>
    </row>
    <row r="2" spans="1:15" x14ac:dyDescent="0.25">
      <c r="A2" t="s">
        <v>1</v>
      </c>
      <c r="B2" s="2">
        <v>44078</v>
      </c>
    </row>
    <row r="3" spans="1:15" x14ac:dyDescent="0.25">
      <c r="A3" t="s">
        <v>2</v>
      </c>
      <c r="B3" s="2">
        <v>47365</v>
      </c>
      <c r="G3" t="s">
        <v>3</v>
      </c>
      <c r="H3" s="3">
        <v>0.03</v>
      </c>
    </row>
    <row r="4" spans="1:15" x14ac:dyDescent="0.25">
      <c r="A4" t="s">
        <v>4</v>
      </c>
      <c r="B4" s="2">
        <v>44779</v>
      </c>
      <c r="F4"/>
      <c r="G4" t="s">
        <v>5</v>
      </c>
      <c r="H4" s="3">
        <f>+'2030'!H4</f>
        <v>0.7</v>
      </c>
      <c r="I4"/>
    </row>
    <row r="5" spans="1:15" x14ac:dyDescent="0.25">
      <c r="A5" t="s">
        <v>6</v>
      </c>
      <c r="B5" s="4">
        <v>1</v>
      </c>
      <c r="G5" t="s">
        <v>7</v>
      </c>
      <c r="H5" s="3">
        <v>0.2</v>
      </c>
    </row>
    <row r="6" spans="1:15" x14ac:dyDescent="0.25">
      <c r="A6" t="s">
        <v>8</v>
      </c>
      <c r="B6" s="1">
        <v>2</v>
      </c>
      <c r="G6" s="5" t="s">
        <v>9</v>
      </c>
      <c r="H6" s="6">
        <f>SUMPRODUCT(F17:F33,G17:G33,D17:D33)+SUMPRODUCT(I17:I33,J17:J33,K17:K33,F17:F33)</f>
        <v>24.646520268255674</v>
      </c>
      <c r="K6" s="51"/>
    </row>
    <row r="7" spans="1:15" x14ac:dyDescent="0.25">
      <c r="A7" t="s">
        <v>10</v>
      </c>
      <c r="B7" s="1">
        <v>10</v>
      </c>
      <c r="G7" s="5" t="s">
        <v>11</v>
      </c>
      <c r="H7" s="23">
        <v>0.37563544499350826</v>
      </c>
    </row>
    <row r="8" spans="1:15" x14ac:dyDescent="0.25">
      <c r="A8" t="s">
        <v>12</v>
      </c>
      <c r="B8" s="2">
        <v>45666</v>
      </c>
      <c r="F8"/>
      <c r="H8" s="7"/>
      <c r="I8" s="8"/>
    </row>
    <row r="9" spans="1:15" x14ac:dyDescent="0.25">
      <c r="A9" t="s">
        <v>13</v>
      </c>
      <c r="B9" s="1">
        <v>100</v>
      </c>
      <c r="F9"/>
      <c r="H9" s="7"/>
      <c r="I9" s="8"/>
    </row>
    <row r="10" spans="1:15" x14ac:dyDescent="0.25">
      <c r="A10" t="s">
        <v>14</v>
      </c>
      <c r="B10" s="2">
        <f>+B2</f>
        <v>44078</v>
      </c>
      <c r="F10"/>
      <c r="H10" s="7"/>
      <c r="I10" s="8"/>
    </row>
    <row r="11" spans="1:15" x14ac:dyDescent="0.25">
      <c r="A11" t="s">
        <v>15</v>
      </c>
      <c r="B11" s="1">
        <v>0</v>
      </c>
      <c r="F11"/>
      <c r="H11" s="7"/>
      <c r="I11"/>
    </row>
    <row r="12" spans="1:15" x14ac:dyDescent="0.25">
      <c r="F12"/>
      <c r="G12"/>
      <c r="H12"/>
      <c r="I12"/>
    </row>
    <row r="13" spans="1:15" x14ac:dyDescent="0.25">
      <c r="F13"/>
      <c r="G13"/>
      <c r="H13"/>
      <c r="I13"/>
    </row>
    <row r="14" spans="1:15" x14ac:dyDescent="0.25">
      <c r="B14" s="1" t="s">
        <v>13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21</v>
      </c>
      <c r="I14" t="s">
        <v>22</v>
      </c>
      <c r="J14" t="s">
        <v>23</v>
      </c>
      <c r="K14" t="s">
        <v>7</v>
      </c>
      <c r="O14" t="s">
        <v>11</v>
      </c>
    </row>
    <row r="15" spans="1:15" x14ac:dyDescent="0.25">
      <c r="A15" s="9">
        <v>44078</v>
      </c>
      <c r="F15"/>
      <c r="G15"/>
      <c r="H15"/>
      <c r="I15"/>
      <c r="M15" s="10"/>
    </row>
    <row r="16" spans="1:15" x14ac:dyDescent="0.25">
      <c r="A16" s="9">
        <v>44205</v>
      </c>
      <c r="F16"/>
      <c r="G16" s="11">
        <f t="shared" ref="G16:G33" si="0">EXP(-H$4*E16)</f>
        <v>1</v>
      </c>
      <c r="H16" s="11">
        <v>0</v>
      </c>
      <c r="I16"/>
      <c r="M16" s="9">
        <f>B4</f>
        <v>44779</v>
      </c>
      <c r="N16">
        <f>-H6</f>
        <v>-24.646520268255674</v>
      </c>
    </row>
    <row r="17" spans="1:15" x14ac:dyDescent="0.25">
      <c r="A17" s="9">
        <v>44386</v>
      </c>
      <c r="B17" s="1">
        <f t="shared" ref="B17:B33" si="1">IF(A17&lt;B$8,0,B$9/B$7)</f>
        <v>0</v>
      </c>
      <c r="C17" s="12">
        <f>B$5%*YEARFRAC(A15,A17,B$11)*(B$9-SUM(B$15:B16))</f>
        <v>0.84722222222222232</v>
      </c>
      <c r="D17" s="12">
        <f>IF(A17&lt;B$4,0,C17+B17)</f>
        <v>0</v>
      </c>
      <c r="E17" s="12">
        <f>IF(A17&lt;B$4,0,YEARFRAC(B$4,A17,1))</f>
        <v>0</v>
      </c>
      <c r="F17" s="13">
        <f t="shared" ref="F17:F33" si="2">EXP(-H$3*E17)</f>
        <v>1</v>
      </c>
      <c r="G17" s="11">
        <f t="shared" si="0"/>
        <v>1</v>
      </c>
      <c r="H17" s="11">
        <f t="shared" ref="H17:H33" si="3">1-G17</f>
        <v>0</v>
      </c>
      <c r="I17" s="13">
        <f t="shared" ref="I17:I33" si="4">H17-H16</f>
        <v>0</v>
      </c>
      <c r="J17">
        <f>B$9-SUM(B16:B$16)+C17</f>
        <v>100.84722222222223</v>
      </c>
      <c r="K17" s="8">
        <f t="shared" ref="K17:K33" si="5">H$5</f>
        <v>0.2</v>
      </c>
      <c r="L17" s="8"/>
      <c r="M17" s="9">
        <f t="shared" ref="M17:M33" si="6">A17</f>
        <v>44386</v>
      </c>
      <c r="N17">
        <f t="shared" ref="N17:N33" si="7">D17</f>
        <v>0</v>
      </c>
      <c r="O17">
        <f t="shared" ref="O17:O33" si="8">D17/((1+H$7/2)^(2*E17))</f>
        <v>0</v>
      </c>
    </row>
    <row r="18" spans="1:15" x14ac:dyDescent="0.25">
      <c r="A18" s="9">
        <v>44570</v>
      </c>
      <c r="B18" s="1">
        <f t="shared" si="1"/>
        <v>0</v>
      </c>
      <c r="C18" s="12">
        <f>B$5%*YEARFRAC(A17,A18,B$11)*(B$9-SUM(B$15:B17))</f>
        <v>0.5</v>
      </c>
      <c r="D18" s="12">
        <f t="shared" ref="D18:D33" si="9">IF(A18&lt;B$4,0,C18+B18)</f>
        <v>0</v>
      </c>
      <c r="E18" s="48">
        <f t="shared" ref="E18:E33" si="10">IF(A18&lt;B$4,0,YEARFRAC(B$4,A18,1))</f>
        <v>0</v>
      </c>
      <c r="F18" s="13">
        <f t="shared" si="2"/>
        <v>1</v>
      </c>
      <c r="G18" s="11">
        <f t="shared" si="0"/>
        <v>1</v>
      </c>
      <c r="H18" s="11">
        <f t="shared" si="3"/>
        <v>0</v>
      </c>
      <c r="I18" s="13">
        <f t="shared" si="4"/>
        <v>0</v>
      </c>
      <c r="J18">
        <f>B$9-SUM(B$16:B17)+C18</f>
        <v>100.5</v>
      </c>
      <c r="K18" s="8">
        <f t="shared" si="5"/>
        <v>0.2</v>
      </c>
      <c r="L18" s="8"/>
      <c r="M18" s="9">
        <f t="shared" si="6"/>
        <v>44570</v>
      </c>
      <c r="N18">
        <f t="shared" si="7"/>
        <v>0</v>
      </c>
      <c r="O18">
        <f t="shared" si="8"/>
        <v>0</v>
      </c>
    </row>
    <row r="19" spans="1:15" x14ac:dyDescent="0.25">
      <c r="A19" s="9">
        <v>44751</v>
      </c>
      <c r="B19" s="1">
        <f t="shared" si="1"/>
        <v>0</v>
      </c>
      <c r="C19" s="12">
        <f>B$5%*YEARFRAC(A18,A19,B$11)*(B$9-SUM(B$15:B18))</f>
        <v>0.5</v>
      </c>
      <c r="D19" s="12">
        <f t="shared" si="9"/>
        <v>0</v>
      </c>
      <c r="E19" s="48">
        <f t="shared" si="10"/>
        <v>0</v>
      </c>
      <c r="F19" s="13">
        <f t="shared" si="2"/>
        <v>1</v>
      </c>
      <c r="G19" s="11">
        <f t="shared" si="0"/>
        <v>1</v>
      </c>
      <c r="H19" s="11">
        <f t="shared" si="3"/>
        <v>0</v>
      </c>
      <c r="I19" s="13">
        <f t="shared" si="4"/>
        <v>0</v>
      </c>
      <c r="J19">
        <f>B$9-SUM(B$16:B18)+C19</f>
        <v>100.5</v>
      </c>
      <c r="K19" s="8">
        <f t="shared" si="5"/>
        <v>0.2</v>
      </c>
      <c r="L19" s="8"/>
      <c r="M19" s="9">
        <f t="shared" si="6"/>
        <v>44751</v>
      </c>
      <c r="N19">
        <f t="shared" si="7"/>
        <v>0</v>
      </c>
      <c r="O19">
        <f t="shared" si="8"/>
        <v>0</v>
      </c>
    </row>
    <row r="20" spans="1:15" x14ac:dyDescent="0.25">
      <c r="A20" s="14">
        <v>44935</v>
      </c>
      <c r="B20" s="15">
        <f t="shared" si="1"/>
        <v>0</v>
      </c>
      <c r="C20" s="16">
        <f>B$5%*YEARFRAC(A19,A20,B$11)*(B$9-SUM(B$15:B19))</f>
        <v>0.5</v>
      </c>
      <c r="D20" s="16">
        <f t="shared" si="9"/>
        <v>0.5</v>
      </c>
      <c r="E20" s="48">
        <f t="shared" si="10"/>
        <v>0.42739726027397262</v>
      </c>
      <c r="F20" s="17">
        <f t="shared" si="2"/>
        <v>0.98725993277928459</v>
      </c>
      <c r="G20" s="18">
        <f t="shared" si="0"/>
        <v>0.74142736266798048</v>
      </c>
      <c r="H20" s="18">
        <f t="shared" si="3"/>
        <v>0.25857263733201952</v>
      </c>
      <c r="I20" s="17">
        <f t="shared" si="4"/>
        <v>0.25857263733201952</v>
      </c>
      <c r="J20" s="19">
        <f>B$9-SUM(B$16:B19)+C20</f>
        <v>100.5</v>
      </c>
      <c r="K20" s="20">
        <f t="shared" si="5"/>
        <v>0.2</v>
      </c>
      <c r="L20" s="20"/>
      <c r="M20" s="14">
        <f t="shared" si="6"/>
        <v>44935</v>
      </c>
      <c r="N20" s="19">
        <f t="shared" si="7"/>
        <v>0.5</v>
      </c>
      <c r="O20" s="19">
        <f t="shared" si="8"/>
        <v>0.4315928926563215</v>
      </c>
    </row>
    <row r="21" spans="1:15" x14ac:dyDescent="0.25">
      <c r="A21" s="9">
        <v>45116</v>
      </c>
      <c r="B21" s="1">
        <f t="shared" si="1"/>
        <v>0</v>
      </c>
      <c r="C21" s="12">
        <f>B$5%*YEARFRAC(A20,A21,B$11)*(B$9-SUM(B$15:B20))</f>
        <v>0.5</v>
      </c>
      <c r="D21" s="12">
        <f t="shared" si="9"/>
        <v>0.5</v>
      </c>
      <c r="E21" s="48">
        <f t="shared" si="10"/>
        <v>0.92328767123287669</v>
      </c>
      <c r="F21" s="13">
        <f t="shared" si="2"/>
        <v>0.97268145951258267</v>
      </c>
      <c r="G21" s="11">
        <f t="shared" si="0"/>
        <v>0.52398020616805496</v>
      </c>
      <c r="H21" s="11">
        <f t="shared" si="3"/>
        <v>0.47601979383194504</v>
      </c>
      <c r="I21" s="13">
        <f t="shared" si="4"/>
        <v>0.21744715649992552</v>
      </c>
      <c r="J21">
        <f>B$9-SUM(B$16:B20)+C21</f>
        <v>100.5</v>
      </c>
      <c r="K21" s="8">
        <f t="shared" si="5"/>
        <v>0.2</v>
      </c>
      <c r="L21" s="8"/>
      <c r="M21" s="9">
        <f t="shared" si="6"/>
        <v>45116</v>
      </c>
      <c r="N21">
        <f t="shared" si="7"/>
        <v>0.5</v>
      </c>
      <c r="O21">
        <f t="shared" si="8"/>
        <v>0.36386381228329312</v>
      </c>
    </row>
    <row r="22" spans="1:15" x14ac:dyDescent="0.25">
      <c r="A22" s="9">
        <v>45300</v>
      </c>
      <c r="B22" s="1">
        <f t="shared" si="1"/>
        <v>0</v>
      </c>
      <c r="C22" s="12">
        <f>B$5%*YEARFRAC(A21,A22,B$11)*(B$9-SUM(B$15:B21))</f>
        <v>0.5</v>
      </c>
      <c r="D22" s="12">
        <f t="shared" si="9"/>
        <v>0.5</v>
      </c>
      <c r="E22" s="48">
        <f t="shared" si="10"/>
        <v>1.426094890510949</v>
      </c>
      <c r="F22" s="13">
        <f t="shared" si="2"/>
        <v>0.95811942625886171</v>
      </c>
      <c r="G22" s="11">
        <f t="shared" si="0"/>
        <v>0.3685177414892572</v>
      </c>
      <c r="H22" s="11">
        <f t="shared" si="3"/>
        <v>0.6314822585107428</v>
      </c>
      <c r="I22" s="13">
        <f t="shared" si="4"/>
        <v>0.15546246467879776</v>
      </c>
      <c r="J22">
        <f>B$9-SUM(B$16:B21)+C22</f>
        <v>100.5</v>
      </c>
      <c r="K22" s="8">
        <f t="shared" si="5"/>
        <v>0.2</v>
      </c>
      <c r="L22" s="8"/>
      <c r="M22" s="9">
        <f t="shared" si="6"/>
        <v>45300</v>
      </c>
      <c r="N22">
        <f t="shared" si="7"/>
        <v>0.5</v>
      </c>
      <c r="O22">
        <f t="shared" si="8"/>
        <v>0.30603379405401376</v>
      </c>
    </row>
    <row r="23" spans="1:15" x14ac:dyDescent="0.25">
      <c r="A23" s="9">
        <v>45482</v>
      </c>
      <c r="B23" s="1">
        <f t="shared" si="1"/>
        <v>0</v>
      </c>
      <c r="C23" s="12">
        <f>B$5%*YEARFRAC(A22,A23,B$11)*(B$9-SUM(B$15:B22))</f>
        <v>0.5</v>
      </c>
      <c r="D23" s="12">
        <f t="shared" si="9"/>
        <v>0.5</v>
      </c>
      <c r="E23" s="48">
        <f t="shared" si="10"/>
        <v>1.9242700729927009</v>
      </c>
      <c r="F23" s="13">
        <f t="shared" si="2"/>
        <v>0.94390655867555584</v>
      </c>
      <c r="G23" s="11">
        <f t="shared" si="0"/>
        <v>0.26002199611703514</v>
      </c>
      <c r="H23" s="11">
        <f t="shared" si="3"/>
        <v>0.73997800388296486</v>
      </c>
      <c r="I23" s="13">
        <f t="shared" si="4"/>
        <v>0.10849574537222206</v>
      </c>
      <c r="J23">
        <f>B$9-SUM(B$16:B22)+C23</f>
        <v>100.5</v>
      </c>
      <c r="K23" s="8">
        <f t="shared" si="5"/>
        <v>0.2</v>
      </c>
      <c r="L23" s="8"/>
      <c r="M23" s="9">
        <f t="shared" si="6"/>
        <v>45482</v>
      </c>
      <c r="N23">
        <f t="shared" si="7"/>
        <v>0.5</v>
      </c>
      <c r="O23">
        <f t="shared" si="8"/>
        <v>0.25780562875754992</v>
      </c>
    </row>
    <row r="24" spans="1:15" x14ac:dyDescent="0.25">
      <c r="A24" s="9">
        <v>45666</v>
      </c>
      <c r="B24" s="1">
        <f t="shared" si="1"/>
        <v>10</v>
      </c>
      <c r="C24" s="12">
        <f>B$5%*YEARFRAC(A23,A24,B$11)*(B$9-SUM(B$15:B23))</f>
        <v>0.5</v>
      </c>
      <c r="D24" s="12">
        <f t="shared" si="9"/>
        <v>10.5</v>
      </c>
      <c r="E24" s="48">
        <f t="shared" si="10"/>
        <v>2.4284736481861739</v>
      </c>
      <c r="F24" s="13">
        <f t="shared" si="2"/>
        <v>0.92973636692594641</v>
      </c>
      <c r="G24" s="11">
        <f t="shared" si="0"/>
        <v>0.1826960284864238</v>
      </c>
      <c r="H24" s="11">
        <f t="shared" si="3"/>
        <v>0.81730397151357614</v>
      </c>
      <c r="I24" s="13">
        <f t="shared" si="4"/>
        <v>7.7325967630611281E-2</v>
      </c>
      <c r="J24">
        <f>B$9-SUM(B$16:B23)+C24</f>
        <v>100.5</v>
      </c>
      <c r="K24" s="8">
        <f t="shared" si="5"/>
        <v>0.2</v>
      </c>
      <c r="L24" s="8"/>
      <c r="M24" s="9">
        <f t="shared" si="6"/>
        <v>45666</v>
      </c>
      <c r="N24">
        <f t="shared" si="7"/>
        <v>10.5</v>
      </c>
      <c r="O24">
        <f t="shared" si="8"/>
        <v>4.5512789704098511</v>
      </c>
    </row>
    <row r="25" spans="1:15" x14ac:dyDescent="0.25">
      <c r="A25" s="9">
        <v>45847</v>
      </c>
      <c r="B25" s="1">
        <f t="shared" si="1"/>
        <v>10</v>
      </c>
      <c r="C25" s="12">
        <f>B$5%*YEARFRAC(A24,A25,B$11)*(B$9-SUM(B$15:B24))</f>
        <v>0.45</v>
      </c>
      <c r="D25" s="12">
        <f t="shared" si="9"/>
        <v>10.45</v>
      </c>
      <c r="E25" s="48">
        <f t="shared" si="10"/>
        <v>2.924024640657084</v>
      </c>
      <c r="F25" s="13">
        <f t="shared" si="2"/>
        <v>0.91601664853217135</v>
      </c>
      <c r="G25" s="11">
        <f t="shared" si="0"/>
        <v>0.12914528752908672</v>
      </c>
      <c r="H25" s="11">
        <f t="shared" si="3"/>
        <v>0.87085471247091328</v>
      </c>
      <c r="I25" s="13">
        <f t="shared" si="4"/>
        <v>5.355074095733714E-2</v>
      </c>
      <c r="J25">
        <f>B$9-SUM(B$16:B24)+C25</f>
        <v>90.45</v>
      </c>
      <c r="K25" s="8">
        <f t="shared" si="5"/>
        <v>0.2</v>
      </c>
      <c r="L25" s="8"/>
      <c r="M25" s="9">
        <f t="shared" si="6"/>
        <v>45847</v>
      </c>
      <c r="N25">
        <f t="shared" si="7"/>
        <v>10.45</v>
      </c>
      <c r="O25">
        <f t="shared" si="8"/>
        <v>3.8192296376822332</v>
      </c>
    </row>
    <row r="26" spans="1:15" x14ac:dyDescent="0.25">
      <c r="A26" s="9">
        <v>46031</v>
      </c>
      <c r="B26" s="1">
        <f t="shared" si="1"/>
        <v>10</v>
      </c>
      <c r="C26" s="12">
        <f>B$5%*YEARFRAC(A25,A26,B$11)*(B$9-SUM(B$15:B25))</f>
        <v>0.4</v>
      </c>
      <c r="D26" s="12">
        <f t="shared" si="9"/>
        <v>10.4</v>
      </c>
      <c r="E26" s="48">
        <f t="shared" si="10"/>
        <v>3.4282584884994525</v>
      </c>
      <c r="F26" s="13">
        <f t="shared" si="2"/>
        <v>0.90226432856941385</v>
      </c>
      <c r="G26" s="11">
        <f t="shared" si="0"/>
        <v>9.0737827964169113E-2</v>
      </c>
      <c r="H26" s="11">
        <f t="shared" si="3"/>
        <v>0.90926217203583093</v>
      </c>
      <c r="I26" s="13">
        <f t="shared" si="4"/>
        <v>3.8407459564917645E-2</v>
      </c>
      <c r="J26">
        <f>B$9-SUM(B$16:B25)+C26</f>
        <v>80.400000000000006</v>
      </c>
      <c r="K26" s="8">
        <f t="shared" si="5"/>
        <v>0.2</v>
      </c>
      <c r="L26" s="8"/>
      <c r="M26" s="9">
        <f t="shared" si="6"/>
        <v>46031</v>
      </c>
      <c r="N26">
        <f t="shared" si="7"/>
        <v>10.4</v>
      </c>
      <c r="O26">
        <f t="shared" si="8"/>
        <v>3.19528838980517</v>
      </c>
    </row>
    <row r="27" spans="1:15" x14ac:dyDescent="0.25">
      <c r="A27" s="9">
        <v>46212</v>
      </c>
      <c r="B27" s="1">
        <f t="shared" si="1"/>
        <v>10</v>
      </c>
      <c r="C27" s="12">
        <f>B$5%*YEARFRAC(A26,A27,B$11)*(B$9-SUM(B$15:B26))</f>
        <v>0.35000000000000003</v>
      </c>
      <c r="D27" s="12">
        <f t="shared" si="9"/>
        <v>10.35</v>
      </c>
      <c r="E27" s="48">
        <f t="shared" si="10"/>
        <v>3.9238773274917853</v>
      </c>
      <c r="F27" s="13">
        <f t="shared" si="2"/>
        <v>0.8889481938286049</v>
      </c>
      <c r="G27" s="11">
        <f t="shared" si="0"/>
        <v>6.4138265387486446E-2</v>
      </c>
      <c r="H27" s="11">
        <f t="shared" si="3"/>
        <v>0.93586173461251354</v>
      </c>
      <c r="I27" s="13">
        <f t="shared" si="4"/>
        <v>2.6599562576682612E-2</v>
      </c>
      <c r="J27">
        <f>B$9-SUM(B$16:B26)+C27</f>
        <v>70.349999999999994</v>
      </c>
      <c r="K27" s="8">
        <f t="shared" si="5"/>
        <v>0.2</v>
      </c>
      <c r="L27" s="8"/>
      <c r="M27" s="9">
        <f t="shared" si="6"/>
        <v>46212</v>
      </c>
      <c r="N27">
        <f t="shared" si="7"/>
        <v>10.35</v>
      </c>
      <c r="O27">
        <f t="shared" si="8"/>
        <v>2.6811570451807905</v>
      </c>
    </row>
    <row r="28" spans="1:15" x14ac:dyDescent="0.25">
      <c r="A28" s="9">
        <v>46396</v>
      </c>
      <c r="B28" s="1">
        <f t="shared" si="1"/>
        <v>10</v>
      </c>
      <c r="C28" s="12">
        <f>B$5%*YEARFRAC(A27,A28,B$11)*(B$9-SUM(B$15:B27))</f>
        <v>0.3</v>
      </c>
      <c r="D28" s="12">
        <f t="shared" si="9"/>
        <v>10.3</v>
      </c>
      <c r="E28" s="48">
        <f t="shared" si="10"/>
        <v>4.4281150159744405</v>
      </c>
      <c r="F28" s="13">
        <f t="shared" si="2"/>
        <v>0.87560215647778949</v>
      </c>
      <c r="G28" s="11">
        <f t="shared" si="0"/>
        <v>4.5063597409378355E-2</v>
      </c>
      <c r="H28" s="11">
        <f t="shared" si="3"/>
        <v>0.95493640259062162</v>
      </c>
      <c r="I28" s="13">
        <f t="shared" si="4"/>
        <v>1.9074667978108084E-2</v>
      </c>
      <c r="J28">
        <f>B$9-SUM(B$16:B27)+C28</f>
        <v>60.3</v>
      </c>
      <c r="K28" s="8">
        <f t="shared" si="5"/>
        <v>0.2</v>
      </c>
      <c r="L28" s="8"/>
      <c r="M28" s="9">
        <f t="shared" si="6"/>
        <v>46396</v>
      </c>
      <c r="N28">
        <f t="shared" si="7"/>
        <v>10.3</v>
      </c>
      <c r="O28">
        <f t="shared" si="8"/>
        <v>2.2430336781053946</v>
      </c>
    </row>
    <row r="29" spans="1:15" x14ac:dyDescent="0.2">
      <c r="A29" s="9">
        <v>46577</v>
      </c>
      <c r="B29" s="1">
        <f t="shared" si="1"/>
        <v>10</v>
      </c>
      <c r="C29" s="12">
        <f>B$5%*YEARFRAC(A28,A29,B$11)*(B$9-SUM(B$15:B28))</f>
        <v>0.25</v>
      </c>
      <c r="D29" s="12">
        <f t="shared" si="9"/>
        <v>10.25</v>
      </c>
      <c r="E29" s="48">
        <f t="shared" si="10"/>
        <v>4.9237790963030577</v>
      </c>
      <c r="F29" s="13">
        <f t="shared" si="2"/>
        <v>0.8626783465108212</v>
      </c>
      <c r="G29" s="11">
        <f t="shared" si="0"/>
        <v>3.1852310150001673E-2</v>
      </c>
      <c r="H29" s="11">
        <f t="shared" si="3"/>
        <v>0.96814768984999833</v>
      </c>
      <c r="I29" s="13">
        <f t="shared" si="4"/>
        <v>1.3211287259376703E-2</v>
      </c>
      <c r="J29">
        <f>B$9-SUM(B$16:B28)+C29</f>
        <v>50.25</v>
      </c>
      <c r="K29" s="8">
        <f t="shared" si="5"/>
        <v>0.2</v>
      </c>
      <c r="L29" s="8"/>
      <c r="M29" s="9">
        <f t="shared" si="6"/>
        <v>46577</v>
      </c>
      <c r="N29">
        <f t="shared" si="7"/>
        <v>10.25</v>
      </c>
      <c r="O29">
        <f t="shared" si="8"/>
        <v>1.8820053451759624</v>
      </c>
    </row>
    <row r="30" spans="1:15" x14ac:dyDescent="0.2">
      <c r="A30" s="9">
        <v>46761</v>
      </c>
      <c r="B30" s="1">
        <f t="shared" si="1"/>
        <v>10</v>
      </c>
      <c r="C30" s="12">
        <f>B$5%*YEARFRAC(A29,A30,B$11)*(B$9-SUM(B$15:B29))</f>
        <v>0.2</v>
      </c>
      <c r="D30" s="12">
        <f t="shared" si="9"/>
        <v>10.199999999999999</v>
      </c>
      <c r="E30" s="48">
        <f t="shared" si="10"/>
        <v>5.4258897145091902</v>
      </c>
      <c r="F30" s="13">
        <f t="shared" si="2"/>
        <v>0.84978093058821524</v>
      </c>
      <c r="G30" s="11">
        <f t="shared" si="0"/>
        <v>2.241280570621932E-2</v>
      </c>
      <c r="H30" s="11">
        <f t="shared" si="3"/>
        <v>0.97758719429378071</v>
      </c>
      <c r="I30" s="13">
        <f t="shared" si="4"/>
        <v>9.4395044437823872E-3</v>
      </c>
      <c r="J30">
        <f>B$9-SUM(B$16:B29)+C30</f>
        <v>40.200000000000003</v>
      </c>
      <c r="K30" s="8">
        <f t="shared" si="5"/>
        <v>0.2</v>
      </c>
      <c r="L30" s="8"/>
      <c r="M30" s="9">
        <f t="shared" si="6"/>
        <v>46761</v>
      </c>
      <c r="N30">
        <f t="shared" si="7"/>
        <v>10.199999999999999</v>
      </c>
      <c r="O30">
        <f t="shared" si="8"/>
        <v>1.5755486633037445</v>
      </c>
    </row>
    <row r="31" spans="1:15" x14ac:dyDescent="0.2">
      <c r="A31" s="9">
        <v>46943</v>
      </c>
      <c r="B31" s="1">
        <f t="shared" si="1"/>
        <v>10</v>
      </c>
      <c r="C31" s="12">
        <f>B$5%*YEARFRAC(A30,A31,B$11)*(B$9-SUM(B$15:B30))</f>
        <v>0.15</v>
      </c>
      <c r="D31" s="12">
        <f t="shared" si="9"/>
        <v>10.15</v>
      </c>
      <c r="E31" s="48">
        <f t="shared" si="10"/>
        <v>5.9241298396558468</v>
      </c>
      <c r="F31" s="13">
        <f t="shared" si="2"/>
        <v>0.83717353922247273</v>
      </c>
      <c r="G31" s="11">
        <f t="shared" si="0"/>
        <v>1.5813506098133038E-2</v>
      </c>
      <c r="H31" s="11">
        <f t="shared" si="3"/>
        <v>0.98418649390186697</v>
      </c>
      <c r="I31" s="13">
        <f t="shared" si="4"/>
        <v>6.5992996080862509E-3</v>
      </c>
      <c r="J31">
        <f>B$9-SUM(B$16:B30)+C31</f>
        <v>30.15</v>
      </c>
      <c r="K31" s="8">
        <f t="shared" si="5"/>
        <v>0.2</v>
      </c>
      <c r="L31" s="8"/>
      <c r="M31" s="9">
        <f t="shared" si="6"/>
        <v>46943</v>
      </c>
      <c r="N31">
        <f t="shared" si="7"/>
        <v>10.15</v>
      </c>
      <c r="O31">
        <f t="shared" si="8"/>
        <v>1.3207207219011838</v>
      </c>
    </row>
    <row r="32" spans="1:15" x14ac:dyDescent="0.2">
      <c r="A32" s="9">
        <v>47127</v>
      </c>
      <c r="B32" s="1">
        <f t="shared" si="1"/>
        <v>10</v>
      </c>
      <c r="C32" s="12">
        <f>B$5%*YEARFRAC(A31,A32,B$11)*(B$9-SUM(B$15:B31))</f>
        <v>0.1</v>
      </c>
      <c r="D32" s="12">
        <f t="shared" si="9"/>
        <v>10.1</v>
      </c>
      <c r="E32" s="48">
        <f t="shared" si="10"/>
        <v>6.4284736481861735</v>
      </c>
      <c r="F32" s="13">
        <f t="shared" si="2"/>
        <v>0.82460218458578383</v>
      </c>
      <c r="G32" s="11">
        <f t="shared" si="0"/>
        <v>1.110975693363804E-2</v>
      </c>
      <c r="H32" s="11">
        <f t="shared" si="3"/>
        <v>0.98889024306636197</v>
      </c>
      <c r="I32" s="13">
        <f t="shared" si="4"/>
        <v>4.703749164495008E-3</v>
      </c>
      <c r="J32">
        <f>B$9-SUM(B$16:B31)+C32</f>
        <v>20.100000000000001</v>
      </c>
      <c r="K32" s="8">
        <f t="shared" si="5"/>
        <v>0.2</v>
      </c>
      <c r="L32" s="8"/>
      <c r="M32" s="9">
        <f t="shared" si="6"/>
        <v>47127</v>
      </c>
      <c r="N32">
        <f t="shared" si="7"/>
        <v>10.1</v>
      </c>
      <c r="O32">
        <f t="shared" si="8"/>
        <v>1.1047579234088942</v>
      </c>
    </row>
    <row r="33" spans="1:15" x14ac:dyDescent="0.2">
      <c r="A33" s="9">
        <v>47308</v>
      </c>
      <c r="B33" s="1">
        <f t="shared" si="1"/>
        <v>10</v>
      </c>
      <c r="C33" s="12">
        <f>B$5%*YEARFRAC(A32,A33,B$11)*(B$9-SUM(B$15:B32))</f>
        <v>0.05</v>
      </c>
      <c r="D33" s="12">
        <f t="shared" si="9"/>
        <v>10.050000000000001</v>
      </c>
      <c r="E33" s="48">
        <f t="shared" si="10"/>
        <v>6.924024640657084</v>
      </c>
      <c r="F33" s="13">
        <f t="shared" si="2"/>
        <v>0.81243388595634036</v>
      </c>
      <c r="G33" s="11">
        <f t="shared" si="0"/>
        <v>7.8533330223955495E-3</v>
      </c>
      <c r="H33" s="11">
        <f t="shared" si="3"/>
        <v>0.99214666697760445</v>
      </c>
      <c r="I33" s="13">
        <f t="shared" si="4"/>
        <v>3.2564239112424787E-3</v>
      </c>
      <c r="J33">
        <f>B$9-SUM(B$16:B32)+C33</f>
        <v>10.050000000000001</v>
      </c>
      <c r="K33" s="8">
        <f t="shared" si="5"/>
        <v>0.2</v>
      </c>
      <c r="L33" s="8"/>
      <c r="M33" s="9">
        <f t="shared" si="6"/>
        <v>47308</v>
      </c>
      <c r="N33">
        <f t="shared" si="7"/>
        <v>10.050000000000001</v>
      </c>
      <c r="O33">
        <f t="shared" si="8"/>
        <v>0.92688773861577467</v>
      </c>
    </row>
    <row r="34" spans="1:15" x14ac:dyDescent="0.2">
      <c r="A34" s="9"/>
      <c r="C34" s="12"/>
      <c r="D34" s="12"/>
      <c r="E34" s="12"/>
      <c r="F34" s="13"/>
      <c r="G34" s="11"/>
      <c r="H34" s="11"/>
      <c r="I34" s="21"/>
      <c r="K34" s="8"/>
      <c r="L34" s="8"/>
      <c r="M34" s="9"/>
    </row>
    <row r="35" spans="1:15" x14ac:dyDescent="0.2">
      <c r="A35" s="9"/>
      <c r="F35" s="13"/>
      <c r="G35" s="13"/>
      <c r="H35" s="21"/>
      <c r="I35" s="21"/>
      <c r="K35" s="8"/>
      <c r="L35" s="8"/>
      <c r="M35" s="9"/>
      <c r="O35" s="22">
        <f>SUM(O17:O33)-H6</f>
        <v>1.2683973084506306E-2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N18" workbookViewId="0">
      <selection activeCell="L36" sqref="L36"/>
    </sheetView>
  </sheetViews>
  <sheetFormatPr baseColWidth="10" defaultColWidth="10.83203125" defaultRowHeight="16" x14ac:dyDescent="0.2"/>
  <cols>
    <col min="1" max="1" width="29.6640625" style="38" bestFit="1" customWidth="1"/>
    <col min="2" max="2" width="10.83203125" style="38"/>
    <col min="3" max="3" width="6.5" style="38" bestFit="1" customWidth="1"/>
    <col min="4" max="4" width="16.5" style="38" bestFit="1" customWidth="1"/>
    <col min="5" max="7" width="10.83203125" style="38"/>
    <col min="8" max="8" width="11.83203125" style="38" bestFit="1" customWidth="1"/>
    <col min="9" max="16384" width="10.83203125" style="38"/>
  </cols>
  <sheetData>
    <row r="1" spans="1:11" x14ac:dyDescent="0.25">
      <c r="A1" s="38" t="s">
        <v>0</v>
      </c>
    </row>
    <row r="2" spans="1:11" x14ac:dyDescent="0.25">
      <c r="A2" s="38" t="s">
        <v>1</v>
      </c>
      <c r="B2" s="41">
        <v>44078</v>
      </c>
    </row>
    <row r="3" spans="1:11" x14ac:dyDescent="0.25">
      <c r="A3" s="38" t="s">
        <v>2</v>
      </c>
      <c r="B3" s="41">
        <v>50652</v>
      </c>
      <c r="G3" s="38" t="s">
        <v>3</v>
      </c>
      <c r="H3" s="3">
        <v>0.03</v>
      </c>
    </row>
    <row r="4" spans="1:11" x14ac:dyDescent="0.25">
      <c r="A4" s="38" t="s">
        <v>4</v>
      </c>
      <c r="B4" s="41">
        <v>44598</v>
      </c>
      <c r="C4" s="40"/>
      <c r="D4" s="40"/>
      <c r="G4" s="38" t="s">
        <v>5</v>
      </c>
      <c r="H4" s="3">
        <f>'HR implicita'!B2</f>
        <v>0.36180624888826729</v>
      </c>
    </row>
    <row r="5" spans="1:11" x14ac:dyDescent="0.25">
      <c r="A5" s="38" t="s">
        <v>6</v>
      </c>
      <c r="B5" s="42"/>
      <c r="G5" s="38" t="s">
        <v>7</v>
      </c>
      <c r="H5" s="3">
        <f>20%*1.173</f>
        <v>0.23460000000000003</v>
      </c>
    </row>
    <row r="6" spans="1:11" x14ac:dyDescent="0.25">
      <c r="A6" s="39">
        <v>44386</v>
      </c>
      <c r="B6" s="43">
        <v>0.125</v>
      </c>
      <c r="C6" s="40"/>
      <c r="D6" s="40"/>
      <c r="G6" s="5" t="s">
        <v>9</v>
      </c>
      <c r="H6" s="54">
        <f>SUMPRODUCT(F26:F57,G26:G57,D26:D57)+SUMPRODUCT(I26:I57,J26:J57,K26:K57,F26:F57)</f>
        <v>33.54872592530549</v>
      </c>
      <c r="K6" s="51"/>
    </row>
    <row r="7" spans="1:11" x14ac:dyDescent="0.25">
      <c r="A7" s="39">
        <v>44751</v>
      </c>
      <c r="B7" s="43">
        <v>2</v>
      </c>
      <c r="C7" s="40"/>
      <c r="D7" s="40"/>
      <c r="G7" s="5" t="s">
        <v>11</v>
      </c>
      <c r="H7" s="23">
        <v>0.30083527908332403</v>
      </c>
    </row>
    <row r="8" spans="1:11" x14ac:dyDescent="0.25">
      <c r="A8" s="39">
        <v>45116</v>
      </c>
      <c r="B8" s="43">
        <v>3.875</v>
      </c>
      <c r="C8" s="40"/>
      <c r="D8" s="40"/>
      <c r="E8" s="49"/>
    </row>
    <row r="9" spans="1:11" x14ac:dyDescent="0.25">
      <c r="A9" s="39">
        <v>45482</v>
      </c>
      <c r="B9" s="43">
        <v>4.25</v>
      </c>
      <c r="C9" s="40"/>
      <c r="D9" s="40"/>
      <c r="E9" s="49"/>
      <c r="H9" s="3"/>
    </row>
    <row r="10" spans="1:11" x14ac:dyDescent="0.25">
      <c r="A10" s="39">
        <v>50414</v>
      </c>
      <c r="B10" s="43">
        <v>5</v>
      </c>
      <c r="C10" s="40"/>
      <c r="D10" s="40"/>
      <c r="H10" s="3"/>
    </row>
    <row r="11" spans="1:11" x14ac:dyDescent="0.25">
      <c r="A11" s="38" t="s">
        <v>8</v>
      </c>
      <c r="B11" s="40">
        <v>2</v>
      </c>
      <c r="C11" s="40"/>
      <c r="D11" s="40"/>
    </row>
    <row r="12" spans="1:11" x14ac:dyDescent="0.25">
      <c r="A12" s="38" t="s">
        <v>10</v>
      </c>
      <c r="B12" s="40">
        <v>22</v>
      </c>
      <c r="C12" s="40"/>
      <c r="D12" s="40"/>
    </row>
    <row r="13" spans="1:11" x14ac:dyDescent="0.25">
      <c r="A13" s="38" t="s">
        <v>12</v>
      </c>
      <c r="B13" s="41">
        <v>46577</v>
      </c>
      <c r="C13" s="40"/>
      <c r="D13" s="40"/>
    </row>
    <row r="14" spans="1:11" x14ac:dyDescent="0.25">
      <c r="A14" s="38" t="s">
        <v>13</v>
      </c>
      <c r="B14" s="40">
        <v>100</v>
      </c>
      <c r="C14" s="40"/>
      <c r="D14" s="40"/>
    </row>
    <row r="15" spans="1:11" x14ac:dyDescent="0.25">
      <c r="A15" s="38" t="s">
        <v>14</v>
      </c>
      <c r="B15" s="41">
        <v>44078</v>
      </c>
      <c r="C15" s="40"/>
      <c r="D15" s="40"/>
    </row>
    <row r="16" spans="1:11" x14ac:dyDescent="0.25">
      <c r="A16" s="38" t="s">
        <v>24</v>
      </c>
      <c r="B16" s="39">
        <v>44386</v>
      </c>
      <c r="C16" s="40"/>
      <c r="D16" s="40"/>
    </row>
    <row r="17" spans="1:15" x14ac:dyDescent="0.25">
      <c r="A17" s="38" t="s">
        <v>15</v>
      </c>
      <c r="B17" s="40">
        <v>0</v>
      </c>
      <c r="C17" s="40"/>
      <c r="D17" s="40"/>
    </row>
    <row r="18" spans="1:15" x14ac:dyDescent="0.25">
      <c r="A18" s="76"/>
      <c r="B18" s="83"/>
      <c r="C18" s="40"/>
      <c r="D18" s="40"/>
    </row>
    <row r="19" spans="1:15" x14ac:dyDescent="0.25">
      <c r="A19" s="78"/>
      <c r="B19" s="79"/>
      <c r="C19" s="40"/>
      <c r="D19" s="40"/>
    </row>
    <row r="21" spans="1:15" x14ac:dyDescent="0.25">
      <c r="B21" s="40" t="s">
        <v>13</v>
      </c>
      <c r="C21" s="40" t="s">
        <v>16</v>
      </c>
      <c r="D21" s="40" t="s">
        <v>17</v>
      </c>
      <c r="E21" s="40" t="s">
        <v>18</v>
      </c>
      <c r="F21" s="40" t="s">
        <v>19</v>
      </c>
      <c r="G21" s="40" t="s">
        <v>20</v>
      </c>
      <c r="H21" s="40" t="s">
        <v>21</v>
      </c>
      <c r="I21" s="38" t="s">
        <v>22</v>
      </c>
      <c r="J21" s="38" t="s">
        <v>23</v>
      </c>
      <c r="K21" s="38" t="s">
        <v>7</v>
      </c>
      <c r="O21" s="38" t="s">
        <v>11</v>
      </c>
    </row>
    <row r="22" spans="1:15" x14ac:dyDescent="0.25">
      <c r="A22" s="39">
        <v>44078</v>
      </c>
      <c r="E22" s="40"/>
      <c r="M22" s="45"/>
    </row>
    <row r="23" spans="1:15" x14ac:dyDescent="0.25">
      <c r="A23" s="39">
        <v>44205</v>
      </c>
      <c r="B23" s="48">
        <v>0</v>
      </c>
      <c r="C23" s="48"/>
      <c r="D23" s="48"/>
      <c r="E23" s="40"/>
      <c r="G23" s="11">
        <f t="shared" ref="G23:G57" si="0">EXP(-H$4*E23)</f>
        <v>1</v>
      </c>
      <c r="H23" s="11">
        <v>0</v>
      </c>
      <c r="M23" s="39">
        <f>+B4</f>
        <v>44598</v>
      </c>
      <c r="N23" s="22">
        <f>-H6</f>
        <v>-33.54872592530549</v>
      </c>
    </row>
    <row r="24" spans="1:15" x14ac:dyDescent="0.25">
      <c r="A24" s="39">
        <v>44386</v>
      </c>
      <c r="B24" s="48">
        <v>0</v>
      </c>
      <c r="C24" s="48">
        <v>0.10590277777777779</v>
      </c>
      <c r="D24" s="48">
        <v>0.10590277777777779</v>
      </c>
      <c r="E24" s="48">
        <f>IF(A24&lt;B$4,0,YEARFRAC(B$4,A24,1))</f>
        <v>0</v>
      </c>
      <c r="F24" s="50">
        <f t="shared" ref="F24:F57" si="1">EXP(-H$3*E24)</f>
        <v>1</v>
      </c>
      <c r="G24" s="11">
        <f t="shared" si="0"/>
        <v>1</v>
      </c>
      <c r="H24" s="11">
        <f t="shared" ref="H24:H57" si="2">1-G24</f>
        <v>0</v>
      </c>
      <c r="I24" s="50">
        <f t="shared" ref="I24:I57" si="3">H24-H23</f>
        <v>0</v>
      </c>
      <c r="J24" s="37">
        <f>B$14-SUM(B$22:B23)+C24</f>
        <v>100.10590277777777</v>
      </c>
      <c r="K24" s="44">
        <f t="shared" ref="K24:K57" si="4">H$5</f>
        <v>0.23460000000000003</v>
      </c>
      <c r="M24" s="39">
        <f t="shared" ref="M24:M54" si="5">+A27</f>
        <v>44935</v>
      </c>
      <c r="N24" s="37">
        <f t="shared" ref="N24:N54" si="6">+D27</f>
        <v>1.9375</v>
      </c>
      <c r="O24" s="24">
        <f>N24/((1+H$7/2)^(2*E27))</f>
        <v>1.4957788426672065</v>
      </c>
    </row>
    <row r="25" spans="1:15" x14ac:dyDescent="0.25">
      <c r="A25" s="39">
        <v>44570</v>
      </c>
      <c r="B25" s="48">
        <v>0</v>
      </c>
      <c r="C25" s="48">
        <v>1</v>
      </c>
      <c r="D25" s="48">
        <v>1</v>
      </c>
      <c r="E25" s="48">
        <f t="shared" ref="E25:E57" si="7">IF(A25&lt;B$4,0,YEARFRAC(B$4,A25,1))</f>
        <v>0</v>
      </c>
      <c r="F25" s="50">
        <f t="shared" si="1"/>
        <v>1</v>
      </c>
      <c r="G25" s="11">
        <f t="shared" si="0"/>
        <v>1</v>
      </c>
      <c r="H25" s="11">
        <f t="shared" si="2"/>
        <v>0</v>
      </c>
      <c r="I25" s="50">
        <f t="shared" si="3"/>
        <v>0</v>
      </c>
      <c r="J25" s="37">
        <f>B$14-SUM(B$22:B24)+C25</f>
        <v>101</v>
      </c>
      <c r="K25" s="44">
        <f t="shared" si="4"/>
        <v>0.23460000000000003</v>
      </c>
      <c r="M25" s="39">
        <f t="shared" si="5"/>
        <v>45116</v>
      </c>
      <c r="N25" s="37">
        <f t="shared" si="6"/>
        <v>1.9375</v>
      </c>
      <c r="O25" s="24">
        <f t="shared" ref="O25:O54" si="8">N25/((1+H$7/2)^(2*E28))</f>
        <v>1.3017033910557079</v>
      </c>
    </row>
    <row r="26" spans="1:15" x14ac:dyDescent="0.25">
      <c r="A26" s="39">
        <v>44751</v>
      </c>
      <c r="B26" s="48">
        <v>0</v>
      </c>
      <c r="C26" s="48">
        <v>1</v>
      </c>
      <c r="D26" s="48">
        <v>1</v>
      </c>
      <c r="E26" s="48">
        <f t="shared" si="7"/>
        <v>0.41917808219178082</v>
      </c>
      <c r="F26" s="50">
        <f t="shared" si="1"/>
        <v>0.98750339675018484</v>
      </c>
      <c r="G26" s="11">
        <f t="shared" si="0"/>
        <v>0.85927931271235003</v>
      </c>
      <c r="H26" s="50">
        <f t="shared" si="2"/>
        <v>0.14072068728764997</v>
      </c>
      <c r="I26" s="50">
        <f t="shared" si="3"/>
        <v>0.14072068728764997</v>
      </c>
      <c r="J26" s="37">
        <f>B$14-SUM(B$22:B25)+C26</f>
        <v>101</v>
      </c>
      <c r="K26" s="44">
        <f t="shared" si="4"/>
        <v>0.23460000000000003</v>
      </c>
      <c r="M26" s="39">
        <f t="shared" si="5"/>
        <v>45300</v>
      </c>
      <c r="N26" s="37">
        <f t="shared" si="6"/>
        <v>2.125</v>
      </c>
      <c r="O26" s="24">
        <f t="shared" si="8"/>
        <v>1.2401868620906373</v>
      </c>
    </row>
    <row r="27" spans="1:15" x14ac:dyDescent="0.25">
      <c r="A27" s="39">
        <v>44935</v>
      </c>
      <c r="B27" s="48">
        <v>0</v>
      </c>
      <c r="C27" s="48">
        <v>1.9375</v>
      </c>
      <c r="D27" s="48">
        <v>1.9375</v>
      </c>
      <c r="E27" s="48">
        <f t="shared" si="7"/>
        <v>0.92328767123287669</v>
      </c>
      <c r="F27" s="17">
        <f>EXP(-H$3*E27)</f>
        <v>0.97268145951258267</v>
      </c>
      <c r="G27" s="18">
        <f>EXP(-H$4*E27)</f>
        <v>0.71601708614618842</v>
      </c>
      <c r="H27" s="18">
        <f t="shared" si="2"/>
        <v>0.28398291385381158</v>
      </c>
      <c r="I27" s="17">
        <f t="shared" si="3"/>
        <v>0.14326222656616161</v>
      </c>
      <c r="J27" s="37">
        <f>B$14-SUM(B$22:B26)+C27</f>
        <v>101.9375</v>
      </c>
      <c r="K27" s="20">
        <f t="shared" si="4"/>
        <v>0.23460000000000003</v>
      </c>
      <c r="M27" s="39">
        <f t="shared" si="5"/>
        <v>45482</v>
      </c>
      <c r="N27" s="37">
        <f t="shared" si="6"/>
        <v>2.125</v>
      </c>
      <c r="O27" s="24">
        <f t="shared" si="8"/>
        <v>1.0785833072533213</v>
      </c>
    </row>
    <row r="28" spans="1:15" x14ac:dyDescent="0.25">
      <c r="A28" s="39">
        <v>45116</v>
      </c>
      <c r="B28" s="48">
        <v>0</v>
      </c>
      <c r="C28" s="48">
        <v>1.9375</v>
      </c>
      <c r="D28" s="48">
        <v>1.9375</v>
      </c>
      <c r="E28" s="48">
        <f t="shared" si="7"/>
        <v>1.4191780821917808</v>
      </c>
      <c r="F28" s="50">
        <f t="shared" si="1"/>
        <v>0.95831826074019733</v>
      </c>
      <c r="G28" s="11">
        <f t="shared" si="0"/>
        <v>0.59841696721407256</v>
      </c>
      <c r="H28" s="11">
        <f t="shared" si="2"/>
        <v>0.40158303278592744</v>
      </c>
      <c r="I28" s="50">
        <f t="shared" si="3"/>
        <v>0.11760011893211586</v>
      </c>
      <c r="J28" s="37">
        <f>B$14-SUM(B$22:B27)+C28</f>
        <v>101.9375</v>
      </c>
      <c r="K28" s="44">
        <f t="shared" si="4"/>
        <v>0.23460000000000003</v>
      </c>
      <c r="M28" s="39">
        <f t="shared" si="5"/>
        <v>45666</v>
      </c>
      <c r="N28" s="37">
        <f t="shared" si="6"/>
        <v>2.5</v>
      </c>
      <c r="O28" s="24">
        <f t="shared" si="8"/>
        <v>1.1016759211143914</v>
      </c>
    </row>
    <row r="29" spans="1:15" x14ac:dyDescent="0.2">
      <c r="A29" s="39">
        <v>45300</v>
      </c>
      <c r="B29" s="48">
        <v>0</v>
      </c>
      <c r="C29" s="48">
        <v>2.125</v>
      </c>
      <c r="D29" s="48">
        <v>2.125</v>
      </c>
      <c r="E29" s="48">
        <f t="shared" si="7"/>
        <v>1.9215328467153285</v>
      </c>
      <c r="F29" s="50">
        <f t="shared" si="1"/>
        <v>0.9439840724331765</v>
      </c>
      <c r="G29" s="11">
        <f>EXP(-H$4*E29)</f>
        <v>0.49896337067509283</v>
      </c>
      <c r="H29" s="11">
        <f t="shared" si="2"/>
        <v>0.50103662932490711</v>
      </c>
      <c r="I29" s="50">
        <f t="shared" si="3"/>
        <v>9.9453596538979672E-2</v>
      </c>
      <c r="J29" s="37">
        <f>B$14-SUM(B$22:B28)+C29</f>
        <v>102.125</v>
      </c>
      <c r="K29" s="44">
        <f t="shared" si="4"/>
        <v>0.23460000000000003</v>
      </c>
      <c r="M29" s="39">
        <f t="shared" si="5"/>
        <v>45847</v>
      </c>
      <c r="N29" s="37">
        <f t="shared" si="6"/>
        <v>2.5</v>
      </c>
      <c r="O29" s="24">
        <f t="shared" si="8"/>
        <v>0.95882603646219877</v>
      </c>
    </row>
    <row r="30" spans="1:15" x14ac:dyDescent="0.2">
      <c r="A30" s="39">
        <v>45482</v>
      </c>
      <c r="B30" s="48">
        <v>0</v>
      </c>
      <c r="C30" s="48">
        <v>2.125</v>
      </c>
      <c r="D30" s="48">
        <v>2.125</v>
      </c>
      <c r="E30" s="48">
        <f t="shared" si="7"/>
        <v>2.4197080291970803</v>
      </c>
      <c r="F30" s="50">
        <f t="shared" si="1"/>
        <v>0.92998089051813027</v>
      </c>
      <c r="G30" s="11">
        <f t="shared" si="0"/>
        <v>0.41666802162940408</v>
      </c>
      <c r="H30" s="11">
        <f t="shared" si="2"/>
        <v>0.58333197837059592</v>
      </c>
      <c r="I30" s="50">
        <f t="shared" si="3"/>
        <v>8.2295349045688804E-2</v>
      </c>
      <c r="J30" s="37">
        <f>B$14-SUM(B$22:B29)+C30</f>
        <v>102.125</v>
      </c>
      <c r="K30" s="44">
        <f t="shared" si="4"/>
        <v>0.23460000000000003</v>
      </c>
      <c r="M30" s="39">
        <f t="shared" si="5"/>
        <v>46031</v>
      </c>
      <c r="N30" s="37">
        <f t="shared" si="6"/>
        <v>2.5</v>
      </c>
      <c r="O30" s="24">
        <f t="shared" si="8"/>
        <v>0.83245491645876091</v>
      </c>
    </row>
    <row r="31" spans="1:15" x14ac:dyDescent="0.2">
      <c r="A31" s="39">
        <v>45666</v>
      </c>
      <c r="B31" s="48">
        <v>0</v>
      </c>
      <c r="C31" s="48">
        <v>2.5</v>
      </c>
      <c r="D31" s="48">
        <v>2.5</v>
      </c>
      <c r="E31" s="48">
        <f t="shared" si="7"/>
        <v>2.924024640657084</v>
      </c>
      <c r="F31" s="50">
        <f t="shared" si="1"/>
        <v>0.91601664853217135</v>
      </c>
      <c r="G31" s="11">
        <f t="shared" si="0"/>
        <v>0.34717358231506312</v>
      </c>
      <c r="H31" s="11">
        <f t="shared" si="2"/>
        <v>0.65282641768493688</v>
      </c>
      <c r="I31" s="50">
        <f t="shared" si="3"/>
        <v>6.9494439314340961E-2</v>
      </c>
      <c r="J31" s="37">
        <f>B$14-SUM(B$22:B30)+C31</f>
        <v>102.5</v>
      </c>
      <c r="K31" s="44">
        <f t="shared" si="4"/>
        <v>0.23460000000000003</v>
      </c>
      <c r="M31" s="39">
        <f t="shared" si="5"/>
        <v>46212</v>
      </c>
      <c r="N31" s="37">
        <f t="shared" si="6"/>
        <v>2.5</v>
      </c>
      <c r="O31" s="24">
        <f t="shared" si="8"/>
        <v>0.72450006063480998</v>
      </c>
    </row>
    <row r="32" spans="1:15" x14ac:dyDescent="0.2">
      <c r="A32" s="39">
        <v>45847</v>
      </c>
      <c r="B32" s="48">
        <v>0</v>
      </c>
      <c r="C32" s="48">
        <v>2.5</v>
      </c>
      <c r="D32" s="48">
        <v>2.5</v>
      </c>
      <c r="E32" s="48">
        <f t="shared" si="7"/>
        <v>3.4195756331279945</v>
      </c>
      <c r="F32" s="50">
        <f t="shared" si="1"/>
        <v>0.90249938610279701</v>
      </c>
      <c r="G32" s="11">
        <f t="shared" si="0"/>
        <v>0.29018871315756478</v>
      </c>
      <c r="H32" s="11">
        <f t="shared" si="2"/>
        <v>0.70981128684243522</v>
      </c>
      <c r="I32" s="50">
        <f t="shared" si="3"/>
        <v>5.6984869157498341E-2</v>
      </c>
      <c r="J32" s="37">
        <f>B$14-SUM(B$22:B31)+C32</f>
        <v>102.5</v>
      </c>
      <c r="K32" s="44">
        <f t="shared" si="4"/>
        <v>0.23460000000000003</v>
      </c>
      <c r="M32" s="39">
        <f t="shared" si="5"/>
        <v>46396</v>
      </c>
      <c r="N32" s="37">
        <f t="shared" si="6"/>
        <v>2.5</v>
      </c>
      <c r="O32" s="24">
        <f t="shared" si="8"/>
        <v>0.62901588625693239</v>
      </c>
    </row>
    <row r="33" spans="1:15" x14ac:dyDescent="0.2">
      <c r="A33" s="39">
        <v>46031</v>
      </c>
      <c r="B33" s="48">
        <v>0</v>
      </c>
      <c r="C33" s="48">
        <v>2.5</v>
      </c>
      <c r="D33" s="48">
        <v>2.5</v>
      </c>
      <c r="E33" s="48">
        <f t="shared" si="7"/>
        <v>3.9238773274917853</v>
      </c>
      <c r="F33" s="50">
        <f t="shared" si="1"/>
        <v>0.8889481938286049</v>
      </c>
      <c r="G33" s="11">
        <f t="shared" si="0"/>
        <v>0.2417905709133108</v>
      </c>
      <c r="H33" s="11">
        <f t="shared" si="2"/>
        <v>0.7582094290866892</v>
      </c>
      <c r="I33" s="50">
        <f t="shared" si="3"/>
        <v>4.8398142244253983E-2</v>
      </c>
      <c r="J33" s="37">
        <f>B$14-SUM(B$22:B32)+C33</f>
        <v>102.5</v>
      </c>
      <c r="K33" s="44">
        <f t="shared" si="4"/>
        <v>0.23460000000000003</v>
      </c>
      <c r="M33" s="39">
        <f t="shared" si="5"/>
        <v>46577</v>
      </c>
      <c r="N33" s="37">
        <f t="shared" si="6"/>
        <v>7.0454545454545459</v>
      </c>
      <c r="O33" s="24">
        <f t="shared" si="8"/>
        <v>1.5427758070563957</v>
      </c>
    </row>
    <row r="34" spans="1:15" x14ac:dyDescent="0.2">
      <c r="A34" s="39">
        <v>46212</v>
      </c>
      <c r="B34" s="48">
        <v>0</v>
      </c>
      <c r="C34" s="48">
        <v>2.5</v>
      </c>
      <c r="D34" s="48">
        <v>2.5</v>
      </c>
      <c r="E34" s="48">
        <f t="shared" si="7"/>
        <v>4.4194961664841186</v>
      </c>
      <c r="F34" s="50">
        <f t="shared" si="1"/>
        <v>0.87582858624599191</v>
      </c>
      <c r="G34" s="11">
        <f t="shared" si="0"/>
        <v>0.20209824670944021</v>
      </c>
      <c r="H34" s="11">
        <f t="shared" si="2"/>
        <v>0.79790175329055979</v>
      </c>
      <c r="I34" s="50">
        <f t="shared" si="3"/>
        <v>3.9692324203870588E-2</v>
      </c>
      <c r="J34" s="37">
        <f>B$14-SUM(B$22:B33)+C34</f>
        <v>102.5</v>
      </c>
      <c r="K34" s="44">
        <f t="shared" si="4"/>
        <v>0.23460000000000003</v>
      </c>
      <c r="M34" s="39">
        <f t="shared" si="5"/>
        <v>46761</v>
      </c>
      <c r="N34" s="37">
        <f t="shared" si="6"/>
        <v>6.9318181818181817</v>
      </c>
      <c r="O34" s="24">
        <f t="shared" si="8"/>
        <v>1.3187066874869153</v>
      </c>
    </row>
    <row r="35" spans="1:15" x14ac:dyDescent="0.2">
      <c r="A35" s="39">
        <v>46396</v>
      </c>
      <c r="B35" s="48">
        <v>0</v>
      </c>
      <c r="C35" s="48">
        <v>2.5</v>
      </c>
      <c r="D35" s="48">
        <v>2.5</v>
      </c>
      <c r="E35" s="48">
        <f t="shared" si="7"/>
        <v>4.9237790963030577</v>
      </c>
      <c r="F35" s="50">
        <f t="shared" si="1"/>
        <v>0.8626783465108212</v>
      </c>
      <c r="G35" s="11">
        <f t="shared" si="0"/>
        <v>0.1683931179670774</v>
      </c>
      <c r="H35" s="11">
        <f t="shared" si="2"/>
        <v>0.83160688203292255</v>
      </c>
      <c r="I35" s="50">
        <f t="shared" si="3"/>
        <v>3.3705128742362755E-2</v>
      </c>
      <c r="J35" s="37">
        <f>B$14-SUM(B$22:B34)+C35</f>
        <v>102.5</v>
      </c>
      <c r="K35" s="44">
        <f t="shared" si="4"/>
        <v>0.23460000000000003</v>
      </c>
      <c r="M35" s="39">
        <f t="shared" si="5"/>
        <v>46943</v>
      </c>
      <c r="N35" s="37">
        <f t="shared" si="6"/>
        <v>6.8181818181818183</v>
      </c>
      <c r="O35" s="24">
        <f t="shared" si="8"/>
        <v>1.128049839379798</v>
      </c>
    </row>
    <row r="36" spans="1:15" x14ac:dyDescent="0.2">
      <c r="A36" s="39">
        <v>46577</v>
      </c>
      <c r="B36" s="48">
        <v>4.5454545454545459</v>
      </c>
      <c r="C36" s="48">
        <v>2.5</v>
      </c>
      <c r="D36" s="48">
        <v>7.0454545454545459</v>
      </c>
      <c r="E36" s="48">
        <f t="shared" si="7"/>
        <v>5.4194431766316749</v>
      </c>
      <c r="F36" s="50">
        <f t="shared" si="1"/>
        <v>0.8499452908297197</v>
      </c>
      <c r="G36" s="11">
        <f t="shared" si="0"/>
        <v>0.1407474109503804</v>
      </c>
      <c r="H36" s="11">
        <f t="shared" si="2"/>
        <v>0.85925258904961965</v>
      </c>
      <c r="I36" s="50">
        <f t="shared" si="3"/>
        <v>2.7645707016697108E-2</v>
      </c>
      <c r="J36" s="37">
        <f>B$14-SUM(B$22:B35)+C36</f>
        <v>102.5</v>
      </c>
      <c r="K36" s="44">
        <f t="shared" si="4"/>
        <v>0.23460000000000003</v>
      </c>
      <c r="M36" s="39">
        <f t="shared" si="5"/>
        <v>47127</v>
      </c>
      <c r="N36" s="37">
        <f t="shared" si="6"/>
        <v>6.704545454545455</v>
      </c>
      <c r="O36" s="24">
        <f t="shared" si="8"/>
        <v>0.96302803585457641</v>
      </c>
    </row>
    <row r="37" spans="1:15" x14ac:dyDescent="0.2">
      <c r="A37" s="39">
        <v>46761</v>
      </c>
      <c r="B37" s="48">
        <v>4.5454545454545459</v>
      </c>
      <c r="C37" s="48">
        <v>2.3863636363636362</v>
      </c>
      <c r="D37" s="48">
        <v>6.9318181818181817</v>
      </c>
      <c r="E37" s="48">
        <f t="shared" si="7"/>
        <v>5.9213922565506456</v>
      </c>
      <c r="F37" s="50">
        <f t="shared" si="1"/>
        <v>0.8372422970099993</v>
      </c>
      <c r="G37" s="11">
        <f t="shared" si="0"/>
        <v>0.11737319489378902</v>
      </c>
      <c r="H37" s="11">
        <f t="shared" si="2"/>
        <v>0.88262680510621094</v>
      </c>
      <c r="I37" s="50">
        <f t="shared" si="3"/>
        <v>2.337421605659129E-2</v>
      </c>
      <c r="J37" s="37">
        <f>B$14-SUM(B$22:B36)+C37</f>
        <v>97.840909090909093</v>
      </c>
      <c r="K37" s="44">
        <f t="shared" si="4"/>
        <v>0.23460000000000003</v>
      </c>
      <c r="M37" s="39">
        <f t="shared" si="5"/>
        <v>47308</v>
      </c>
      <c r="N37" s="37">
        <f t="shared" si="6"/>
        <v>6.5909090909090917</v>
      </c>
      <c r="O37" s="24">
        <f t="shared" si="8"/>
        <v>0.8239500297090413</v>
      </c>
    </row>
    <row r="38" spans="1:15" x14ac:dyDescent="0.2">
      <c r="A38" s="39">
        <v>46943</v>
      </c>
      <c r="B38" s="48">
        <v>4.5454545454545459</v>
      </c>
      <c r="C38" s="48">
        <v>2.2727272727272729</v>
      </c>
      <c r="D38" s="48">
        <v>6.8181818181818183</v>
      </c>
      <c r="E38" s="48">
        <f t="shared" si="7"/>
        <v>6.4196323816973013</v>
      </c>
      <c r="F38" s="50">
        <f t="shared" si="1"/>
        <v>0.82482092942405949</v>
      </c>
      <c r="G38" s="11">
        <f t="shared" si="0"/>
        <v>9.8012220288557342E-2</v>
      </c>
      <c r="H38" s="11">
        <f t="shared" si="2"/>
        <v>0.90198777971144262</v>
      </c>
      <c r="I38" s="50">
        <f t="shared" si="3"/>
        <v>1.9360974605231673E-2</v>
      </c>
      <c r="J38" s="37">
        <f>B$14-SUM(B$22:B37)+C38</f>
        <v>93.181818181818173</v>
      </c>
      <c r="K38" s="44">
        <f t="shared" si="4"/>
        <v>0.23460000000000003</v>
      </c>
      <c r="M38" s="39">
        <f t="shared" si="5"/>
        <v>47492</v>
      </c>
      <c r="N38" s="37">
        <f t="shared" si="6"/>
        <v>6.4772727272727275</v>
      </c>
      <c r="O38" s="24">
        <f t="shared" si="8"/>
        <v>0.70300865289421099</v>
      </c>
    </row>
    <row r="39" spans="1:15" x14ac:dyDescent="0.2">
      <c r="A39" s="39">
        <v>47127</v>
      </c>
      <c r="B39" s="48">
        <v>4.5454545454545459</v>
      </c>
      <c r="C39" s="48">
        <v>2.1590909090909092</v>
      </c>
      <c r="D39" s="48">
        <v>6.704545454545455</v>
      </c>
      <c r="E39" s="48">
        <f t="shared" si="7"/>
        <v>6.924024640657084</v>
      </c>
      <c r="F39" s="50">
        <f t="shared" si="1"/>
        <v>0.81243388595634036</v>
      </c>
      <c r="G39" s="11">
        <f t="shared" si="0"/>
        <v>8.1662908017018768E-2</v>
      </c>
      <c r="H39" s="11">
        <f t="shared" si="2"/>
        <v>0.91833709198298119</v>
      </c>
      <c r="I39" s="50">
        <f t="shared" si="3"/>
        <v>1.6349312271538574E-2</v>
      </c>
      <c r="J39" s="37">
        <f>B$14-SUM(B$22:B38)+C39</f>
        <v>88.522727272727266</v>
      </c>
      <c r="K39" s="44">
        <f t="shared" si="4"/>
        <v>0.23460000000000003</v>
      </c>
      <c r="M39" s="39">
        <f t="shared" si="5"/>
        <v>47673</v>
      </c>
      <c r="N39" s="37">
        <f t="shared" si="6"/>
        <v>6.3636363636363642</v>
      </c>
      <c r="O39" s="24">
        <f t="shared" si="8"/>
        <v>0.60111174794814437</v>
      </c>
    </row>
    <row r="40" spans="1:15" x14ac:dyDescent="0.2">
      <c r="A40" s="39">
        <v>47308</v>
      </c>
      <c r="B40" s="48">
        <v>4.5454545454545459</v>
      </c>
      <c r="C40" s="48">
        <v>2.0454545454545454</v>
      </c>
      <c r="D40" s="48">
        <v>6.5909090909090917</v>
      </c>
      <c r="E40" s="48">
        <f t="shared" si="7"/>
        <v>7.4195756331279945</v>
      </c>
      <c r="F40" s="50">
        <f t="shared" si="1"/>
        <v>0.80044514965925928</v>
      </c>
      <c r="G40" s="11">
        <f t="shared" si="0"/>
        <v>6.8258805961386254E-2</v>
      </c>
      <c r="H40" s="11">
        <f t="shared" si="2"/>
        <v>0.93174119403861377</v>
      </c>
      <c r="I40" s="50">
        <f t="shared" si="3"/>
        <v>1.3404102055632583E-2</v>
      </c>
      <c r="J40" s="37">
        <f>B$14-SUM(B$22:B39)+C40</f>
        <v>83.86363636363636</v>
      </c>
      <c r="K40" s="44">
        <f t="shared" si="4"/>
        <v>0.23460000000000003</v>
      </c>
      <c r="M40" s="39">
        <f t="shared" si="5"/>
        <v>47857</v>
      </c>
      <c r="N40" s="37">
        <f t="shared" si="6"/>
        <v>6.25</v>
      </c>
      <c r="O40" s="24">
        <f t="shared" si="8"/>
        <v>0.51256082413130677</v>
      </c>
    </row>
    <row r="41" spans="1:15" x14ac:dyDescent="0.2">
      <c r="A41" s="39">
        <v>47492</v>
      </c>
      <c r="B41" s="48">
        <v>4.5454545454545459</v>
      </c>
      <c r="C41" s="48">
        <v>1.9318181818181817</v>
      </c>
      <c r="D41" s="48">
        <v>6.4772727272727275</v>
      </c>
      <c r="E41" s="48">
        <f t="shared" si="7"/>
        <v>7.9239428049893519</v>
      </c>
      <c r="F41" s="50">
        <f t="shared" si="1"/>
        <v>0.78842477156544166</v>
      </c>
      <c r="G41" s="11">
        <f t="shared" si="0"/>
        <v>5.6873144712742782E-2</v>
      </c>
      <c r="H41" s="11">
        <f t="shared" si="2"/>
        <v>0.94312685528725726</v>
      </c>
      <c r="I41" s="50">
        <f t="shared" si="3"/>
        <v>1.1385661248643486E-2</v>
      </c>
      <c r="J41" s="37">
        <f>B$14-SUM(B$22:B40)+C41</f>
        <v>79.204545454545453</v>
      </c>
      <c r="K41" s="44">
        <f t="shared" si="4"/>
        <v>0.23460000000000003</v>
      </c>
      <c r="M41" s="39">
        <f t="shared" si="5"/>
        <v>48038</v>
      </c>
      <c r="N41" s="37">
        <f t="shared" si="6"/>
        <v>6.1363636363636367</v>
      </c>
      <c r="O41" s="24">
        <f t="shared" si="8"/>
        <v>0.43797990310527818</v>
      </c>
    </row>
    <row r="42" spans="1:15" x14ac:dyDescent="0.2">
      <c r="A42" s="39">
        <v>47673</v>
      </c>
      <c r="B42" s="48">
        <v>4.5454545454545459</v>
      </c>
      <c r="C42" s="48">
        <v>1.8181818181818181</v>
      </c>
      <c r="D42" s="48">
        <v>6.3636363636363642</v>
      </c>
      <c r="E42" s="48">
        <f t="shared" si="7"/>
        <v>8.4195314876787339</v>
      </c>
      <c r="F42" s="50">
        <f t="shared" si="1"/>
        <v>0.77678944908829051</v>
      </c>
      <c r="G42" s="11">
        <f t="shared" si="0"/>
        <v>4.7537371685720219E-2</v>
      </c>
      <c r="H42" s="11">
        <f t="shared" si="2"/>
        <v>0.95246262831427975</v>
      </c>
      <c r="I42" s="50">
        <f t="shared" si="3"/>
        <v>9.335773027022487E-3</v>
      </c>
      <c r="J42" s="37">
        <f>B$14-SUM(B$22:B41)+C42</f>
        <v>74.545454545454533</v>
      </c>
      <c r="K42" s="44">
        <f t="shared" si="4"/>
        <v>0.23460000000000003</v>
      </c>
      <c r="M42" s="39">
        <f t="shared" si="5"/>
        <v>48222</v>
      </c>
      <c r="N42" s="37">
        <f t="shared" si="6"/>
        <v>6.0227272727272734</v>
      </c>
      <c r="O42" s="24">
        <f t="shared" si="8"/>
        <v>0.37346908112049648</v>
      </c>
    </row>
    <row r="43" spans="1:15" x14ac:dyDescent="0.2">
      <c r="A43" s="39">
        <v>47857</v>
      </c>
      <c r="B43" s="48">
        <v>4.5454545454545459</v>
      </c>
      <c r="C43" s="48">
        <v>1.7045454545454544</v>
      </c>
      <c r="D43" s="48">
        <v>6.25</v>
      </c>
      <c r="E43" s="48">
        <f t="shared" si="7"/>
        <v>8.9238773274917857</v>
      </c>
      <c r="F43" s="50">
        <f t="shared" si="1"/>
        <v>0.76512480105692859</v>
      </c>
      <c r="G43" s="11">
        <f t="shared" si="0"/>
        <v>3.9608379427610162E-2</v>
      </c>
      <c r="H43" s="11">
        <f t="shared" si="2"/>
        <v>0.9603916205723898</v>
      </c>
      <c r="I43" s="50">
        <f t="shared" si="3"/>
        <v>7.9289922581100569E-3</v>
      </c>
      <c r="J43" s="37">
        <f>B$14-SUM(B$22:B42)+C43</f>
        <v>69.886363636363626</v>
      </c>
      <c r="K43" s="44">
        <f t="shared" si="4"/>
        <v>0.23460000000000003</v>
      </c>
      <c r="M43" s="39">
        <f t="shared" si="5"/>
        <v>48404</v>
      </c>
      <c r="N43" s="37">
        <f t="shared" si="6"/>
        <v>5.9090909090909092</v>
      </c>
      <c r="O43" s="24">
        <f t="shared" si="8"/>
        <v>0.31866813241477288</v>
      </c>
    </row>
    <row r="44" spans="1:15" x14ac:dyDescent="0.2">
      <c r="A44" s="39">
        <v>48038</v>
      </c>
      <c r="B44" s="48">
        <v>4.5454545454545459</v>
      </c>
      <c r="C44" s="48">
        <v>1.5909090909090908</v>
      </c>
      <c r="D44" s="48">
        <v>6.1363636363636367</v>
      </c>
      <c r="E44" s="48">
        <f t="shared" si="7"/>
        <v>9.4194961664841195</v>
      </c>
      <c r="F44" s="50">
        <f t="shared" si="1"/>
        <v>0.75383265016300693</v>
      </c>
      <c r="G44" s="11">
        <f t="shared" si="0"/>
        <v>3.310627046822362E-2</v>
      </c>
      <c r="H44" s="11">
        <f t="shared" si="2"/>
        <v>0.96689372953177632</v>
      </c>
      <c r="I44" s="50">
        <f t="shared" si="3"/>
        <v>6.5021089593865211E-3</v>
      </c>
      <c r="J44" s="37">
        <f>B$14-SUM(B$22:B43)+C44</f>
        <v>65.22727272727272</v>
      </c>
      <c r="K44" s="44">
        <f t="shared" si="4"/>
        <v>0.23460000000000003</v>
      </c>
      <c r="M44" s="39">
        <f t="shared" si="5"/>
        <v>48588</v>
      </c>
      <c r="N44" s="37">
        <f t="shared" si="6"/>
        <v>5.7954545454545459</v>
      </c>
      <c r="O44" s="24">
        <f t="shared" si="8"/>
        <v>0.27133938569991228</v>
      </c>
    </row>
    <row r="45" spans="1:15" x14ac:dyDescent="0.2">
      <c r="A45" s="39">
        <v>48222</v>
      </c>
      <c r="B45" s="48">
        <v>4.5454545454545459</v>
      </c>
      <c r="C45" s="48">
        <v>1.4772727272727273</v>
      </c>
      <c r="D45" s="48">
        <v>6.0227272727272734</v>
      </c>
      <c r="E45" s="48">
        <f t="shared" si="7"/>
        <v>9.9213539074166253</v>
      </c>
      <c r="F45" s="50">
        <f t="shared" si="1"/>
        <v>0.74256815800706766</v>
      </c>
      <c r="G45" s="11">
        <f t="shared" si="0"/>
        <v>2.760915547560534E-2</v>
      </c>
      <c r="H45" s="11">
        <f t="shared" si="2"/>
        <v>0.97239084452439462</v>
      </c>
      <c r="I45" s="50">
        <f t="shared" si="3"/>
        <v>5.4971149926182905E-3</v>
      </c>
      <c r="J45" s="37">
        <f>B$14-SUM(B$22:B44)+C45</f>
        <v>60.568181818181813</v>
      </c>
      <c r="K45" s="44">
        <f t="shared" si="4"/>
        <v>0.23460000000000003</v>
      </c>
      <c r="M45" s="39">
        <f t="shared" si="5"/>
        <v>48769</v>
      </c>
      <c r="N45" s="37">
        <f t="shared" si="6"/>
        <v>5.6818181818181817</v>
      </c>
      <c r="O45" s="24">
        <f t="shared" si="8"/>
        <v>0.23152539132714342</v>
      </c>
    </row>
    <row r="46" spans="1:15" x14ac:dyDescent="0.2">
      <c r="A46" s="39">
        <v>48404</v>
      </c>
      <c r="B46" s="48">
        <v>4.5454545454545459</v>
      </c>
      <c r="C46" s="48">
        <v>1.3636363636363635</v>
      </c>
      <c r="D46" s="48">
        <v>5.9090909090909092</v>
      </c>
      <c r="E46" s="48">
        <f t="shared" si="7"/>
        <v>10.41961174713788</v>
      </c>
      <c r="F46" s="50">
        <f t="shared" si="1"/>
        <v>0.73155099179507066</v>
      </c>
      <c r="G46" s="11">
        <f t="shared" si="0"/>
        <v>2.305481492026085E-2</v>
      </c>
      <c r="H46" s="11">
        <f t="shared" si="2"/>
        <v>0.97694518507973915</v>
      </c>
      <c r="I46" s="50">
        <f t="shared" si="3"/>
        <v>4.5543405553445382E-3</v>
      </c>
      <c r="J46" s="37">
        <f>B$14-SUM(B$22:B45)+C46</f>
        <v>55.909090909090907</v>
      </c>
      <c r="K46" s="44">
        <f t="shared" si="4"/>
        <v>0.23460000000000003</v>
      </c>
      <c r="M46" s="39">
        <f t="shared" si="5"/>
        <v>48953</v>
      </c>
      <c r="N46" s="37">
        <f t="shared" si="6"/>
        <v>5.5681818181818183</v>
      </c>
      <c r="O46" s="24">
        <f t="shared" si="8"/>
        <v>0.19698564208929947</v>
      </c>
    </row>
    <row r="47" spans="1:15" x14ac:dyDescent="0.2">
      <c r="A47" s="39">
        <v>48588</v>
      </c>
      <c r="B47" s="48">
        <v>4.5454545454545459</v>
      </c>
      <c r="C47" s="48">
        <v>1.25</v>
      </c>
      <c r="D47" s="48">
        <v>5.7954545454545459</v>
      </c>
      <c r="E47" s="48">
        <f t="shared" si="7"/>
        <v>10.924024640657084</v>
      </c>
      <c r="F47" s="50">
        <f t="shared" si="1"/>
        <v>0.72056421693621475</v>
      </c>
      <c r="G47" s="11">
        <f t="shared" si="0"/>
        <v>1.9208922814132917E-2</v>
      </c>
      <c r="H47" s="11">
        <f t="shared" si="2"/>
        <v>0.98079107718586711</v>
      </c>
      <c r="I47" s="50">
        <f t="shared" si="3"/>
        <v>3.8458921061279572E-3</v>
      </c>
      <c r="J47" s="37">
        <f>B$14-SUM(B$22:B46)+C47</f>
        <v>51.249999999999993</v>
      </c>
      <c r="K47" s="44">
        <f t="shared" si="4"/>
        <v>0.23460000000000003</v>
      </c>
      <c r="M47" s="39">
        <f t="shared" si="5"/>
        <v>49134</v>
      </c>
      <c r="N47" s="37">
        <f t="shared" si="6"/>
        <v>5.454545454545455</v>
      </c>
      <c r="O47" s="24">
        <f t="shared" si="8"/>
        <v>0.16794323528302776</v>
      </c>
    </row>
    <row r="48" spans="1:15" x14ac:dyDescent="0.2">
      <c r="A48" s="39">
        <v>48769</v>
      </c>
      <c r="B48" s="48">
        <v>4.5454545454545459</v>
      </c>
      <c r="C48" s="48">
        <v>1.1363636363636362</v>
      </c>
      <c r="D48" s="48">
        <v>5.6818181818181817</v>
      </c>
      <c r="E48" s="48">
        <f t="shared" si="7"/>
        <v>11.419575633127995</v>
      </c>
      <c r="F48" s="50">
        <f t="shared" si="1"/>
        <v>0.70993116170392079</v>
      </c>
      <c r="G48" s="11">
        <f t="shared" si="0"/>
        <v>1.6055981435585075E-2</v>
      </c>
      <c r="H48" s="11">
        <f t="shared" si="2"/>
        <v>0.98394401856441494</v>
      </c>
      <c r="I48" s="50">
        <f t="shared" si="3"/>
        <v>3.1529413785478244E-3</v>
      </c>
      <c r="J48" s="37">
        <f>B$14-SUM(B$22:B47)+C48</f>
        <v>46.590909090909079</v>
      </c>
      <c r="K48" s="44">
        <f t="shared" si="4"/>
        <v>0.23460000000000003</v>
      </c>
      <c r="M48" s="39">
        <f t="shared" si="5"/>
        <v>49318</v>
      </c>
      <c r="N48" s="37">
        <f t="shared" si="6"/>
        <v>5.3409090909090917</v>
      </c>
      <c r="O48" s="24">
        <f t="shared" si="8"/>
        <v>0.14276810560048131</v>
      </c>
    </row>
    <row r="49" spans="1:15" x14ac:dyDescent="0.2">
      <c r="A49" s="39">
        <v>48953</v>
      </c>
      <c r="B49" s="48">
        <v>4.5454545454545459</v>
      </c>
      <c r="C49" s="48">
        <v>1.0227272727272725</v>
      </c>
      <c r="D49" s="48">
        <v>5.5681818181818183</v>
      </c>
      <c r="E49" s="48">
        <f t="shared" si="7"/>
        <v>11.92396798652064</v>
      </c>
      <c r="F49" s="50">
        <f t="shared" si="1"/>
        <v>0.69926951445493246</v>
      </c>
      <c r="G49" s="11">
        <f t="shared" si="0"/>
        <v>1.3377700111666438E-2</v>
      </c>
      <c r="H49" s="11">
        <f t="shared" si="2"/>
        <v>0.98662229988833361</v>
      </c>
      <c r="I49" s="50">
        <f t="shared" si="3"/>
        <v>2.6782813239186742E-3</v>
      </c>
      <c r="J49" s="37">
        <f>B$14-SUM(B$22:B48)+C49</f>
        <v>41.931818181818173</v>
      </c>
      <c r="K49" s="44">
        <f t="shared" si="4"/>
        <v>0.23460000000000003</v>
      </c>
      <c r="M49" s="39">
        <f t="shared" si="5"/>
        <v>49499</v>
      </c>
      <c r="N49" s="37">
        <f t="shared" si="6"/>
        <v>5.2272727272727275</v>
      </c>
      <c r="O49" s="24">
        <f t="shared" si="8"/>
        <v>0.12161054471401787</v>
      </c>
    </row>
    <row r="50" spans="1:15" x14ac:dyDescent="0.2">
      <c r="A50" s="39">
        <v>49134</v>
      </c>
      <c r="B50" s="48">
        <v>4.5454545454545459</v>
      </c>
      <c r="C50" s="48">
        <v>0.90909090909090884</v>
      </c>
      <c r="D50" s="48">
        <v>5.454545454545455</v>
      </c>
      <c r="E50" s="48">
        <f t="shared" si="7"/>
        <v>12.419545071609098</v>
      </c>
      <c r="F50" s="50">
        <f t="shared" si="1"/>
        <v>0.68895015666308101</v>
      </c>
      <c r="G50" s="11">
        <f t="shared" si="0"/>
        <v>1.1181786661999291E-2</v>
      </c>
      <c r="H50" s="11">
        <f t="shared" si="2"/>
        <v>0.98881821333800068</v>
      </c>
      <c r="I50" s="50">
        <f t="shared" si="3"/>
        <v>2.1959134496670751E-3</v>
      </c>
      <c r="J50" s="37">
        <f>B$14-SUM(B$22:B49)+C50</f>
        <v>37.272727272727259</v>
      </c>
      <c r="K50" s="44">
        <f t="shared" si="4"/>
        <v>0.23460000000000003</v>
      </c>
      <c r="M50" s="39">
        <f t="shared" si="5"/>
        <v>49683</v>
      </c>
      <c r="N50" s="37">
        <f t="shared" si="6"/>
        <v>5.1136363636363642</v>
      </c>
      <c r="O50" s="24">
        <f t="shared" si="8"/>
        <v>0.10335921874860532</v>
      </c>
    </row>
    <row r="51" spans="1:15" x14ac:dyDescent="0.2">
      <c r="A51" s="39">
        <v>49318</v>
      </c>
      <c r="B51" s="48">
        <v>4.5454545454545459</v>
      </c>
      <c r="C51" s="48">
        <v>0.79545454545454541</v>
      </c>
      <c r="D51" s="48">
        <v>5.3409090909090917</v>
      </c>
      <c r="E51" s="48">
        <f t="shared" si="7"/>
        <v>12.923919421083513</v>
      </c>
      <c r="F51" s="50">
        <f t="shared" si="1"/>
        <v>0.67860396574964987</v>
      </c>
      <c r="G51" s="11">
        <f t="shared" si="0"/>
        <v>9.3166253135472995E-3</v>
      </c>
      <c r="H51" s="11">
        <f t="shared" si="2"/>
        <v>0.99068337468645273</v>
      </c>
      <c r="I51" s="50">
        <f t="shared" si="3"/>
        <v>1.8651613484520491E-3</v>
      </c>
      <c r="J51" s="37">
        <f>B$14-SUM(B$22:B50)+C51</f>
        <v>32.61363636363636</v>
      </c>
      <c r="K51" s="44">
        <f t="shared" si="4"/>
        <v>0.23460000000000003</v>
      </c>
      <c r="M51" s="39">
        <f t="shared" si="5"/>
        <v>49865</v>
      </c>
      <c r="N51" s="37">
        <f t="shared" si="6"/>
        <v>5</v>
      </c>
      <c r="O51" s="24">
        <f t="shared" si="8"/>
        <v>8.7891096472735075E-2</v>
      </c>
    </row>
    <row r="52" spans="1:15" x14ac:dyDescent="0.2">
      <c r="A52" s="39">
        <v>49499</v>
      </c>
      <c r="B52" s="48">
        <v>4.5454545454545459</v>
      </c>
      <c r="C52" s="48">
        <v>0.68181818181818166</v>
      </c>
      <c r="D52" s="48">
        <v>5.2272727272727275</v>
      </c>
      <c r="E52" s="48">
        <f t="shared" si="7"/>
        <v>13.419518873459808</v>
      </c>
      <c r="F52" s="50">
        <f t="shared" si="1"/>
        <v>0.66858912784495905</v>
      </c>
      <c r="G52" s="11">
        <f t="shared" si="0"/>
        <v>7.7872633366177554E-3</v>
      </c>
      <c r="H52" s="11">
        <f t="shared" si="2"/>
        <v>0.99221273666338228</v>
      </c>
      <c r="I52" s="50">
        <f t="shared" si="3"/>
        <v>1.5293619769295441E-3</v>
      </c>
      <c r="J52" s="37">
        <f>B$14-SUM(B$22:B51)+C52</f>
        <v>27.954545454545446</v>
      </c>
      <c r="K52" s="44">
        <f t="shared" si="4"/>
        <v>0.23460000000000003</v>
      </c>
      <c r="M52" s="39">
        <f t="shared" si="5"/>
        <v>50049</v>
      </c>
      <c r="N52" s="37">
        <f t="shared" si="6"/>
        <v>4.8863636363636367</v>
      </c>
      <c r="O52" s="24">
        <f t="shared" si="8"/>
        <v>7.4570466391589943E-2</v>
      </c>
    </row>
    <row r="53" spans="1:15" x14ac:dyDescent="0.2">
      <c r="A53" s="39">
        <v>49683</v>
      </c>
      <c r="B53" s="48">
        <v>4.5454545454545459</v>
      </c>
      <c r="C53" s="48">
        <v>0.56818181818181801</v>
      </c>
      <c r="D53" s="48">
        <v>5.1136363636363642</v>
      </c>
      <c r="E53" s="48">
        <f t="shared" si="7"/>
        <v>13.921336010220843</v>
      </c>
      <c r="F53" s="50">
        <f t="shared" si="1"/>
        <v>0.65859922860416886</v>
      </c>
      <c r="G53" s="11">
        <f t="shared" si="0"/>
        <v>6.4943262922805504E-3</v>
      </c>
      <c r="H53" s="11">
        <f t="shared" si="2"/>
        <v>0.99350567370771947</v>
      </c>
      <c r="I53" s="50">
        <f t="shared" si="3"/>
        <v>1.2929370443371946E-3</v>
      </c>
      <c r="J53" s="37">
        <f>B$14-SUM(B$22:B52)+C53</f>
        <v>23.295454545454536</v>
      </c>
      <c r="K53" s="44">
        <f t="shared" si="4"/>
        <v>0.23460000000000003</v>
      </c>
      <c r="M53" s="39">
        <f t="shared" si="5"/>
        <v>50230</v>
      </c>
      <c r="N53" s="37">
        <f t="shared" si="6"/>
        <v>4.7727272727272725</v>
      </c>
      <c r="O53" s="24">
        <f t="shared" si="8"/>
        <v>6.3391883452937239E-2</v>
      </c>
    </row>
    <row r="54" spans="1:15" x14ac:dyDescent="0.2">
      <c r="A54" s="39">
        <v>49865</v>
      </c>
      <c r="B54" s="48">
        <v>4.5454545454545459</v>
      </c>
      <c r="C54" s="48">
        <v>0.45454545454545436</v>
      </c>
      <c r="D54" s="48">
        <v>5</v>
      </c>
      <c r="E54" s="48">
        <f t="shared" si="7"/>
        <v>14.419602117174668</v>
      </c>
      <c r="F54" s="50">
        <f t="shared" si="1"/>
        <v>0.6488277125693368</v>
      </c>
      <c r="G54" s="11">
        <f t="shared" si="0"/>
        <v>5.4230214677847919E-3</v>
      </c>
      <c r="H54" s="11">
        <f t="shared" si="2"/>
        <v>0.99457697853221516</v>
      </c>
      <c r="I54" s="50">
        <f t="shared" si="3"/>
        <v>1.0713048244956891E-3</v>
      </c>
      <c r="J54" s="37">
        <f>B$14-SUM(B$22:B53)+C54</f>
        <v>18.636363636363626</v>
      </c>
      <c r="K54" s="44">
        <f t="shared" si="4"/>
        <v>0.23460000000000003</v>
      </c>
      <c r="M54" s="39">
        <f t="shared" si="5"/>
        <v>50414</v>
      </c>
      <c r="N54" s="37">
        <f t="shared" si="6"/>
        <v>4.6590909090909092</v>
      </c>
      <c r="O54" s="24">
        <f t="shared" si="8"/>
        <v>5.3725005546286717E-2</v>
      </c>
    </row>
    <row r="55" spans="1:15" x14ac:dyDescent="0.2">
      <c r="A55" s="39">
        <v>50049</v>
      </c>
      <c r="B55" s="48">
        <v>4.5454545454545459</v>
      </c>
      <c r="C55" s="48">
        <v>0.34090909090909066</v>
      </c>
      <c r="D55" s="48">
        <v>4.8863636363636367</v>
      </c>
      <c r="E55" s="48">
        <f t="shared" si="7"/>
        <v>14.924024640657084</v>
      </c>
      <c r="F55" s="50">
        <f t="shared" si="1"/>
        <v>0.63908312996782424</v>
      </c>
      <c r="G55" s="11">
        <f t="shared" si="0"/>
        <v>4.5183636566361197E-3</v>
      </c>
      <c r="H55" s="11">
        <f t="shared" si="2"/>
        <v>0.99548163634336384</v>
      </c>
      <c r="I55" s="50">
        <f t="shared" si="3"/>
        <v>9.0465781114867916E-4</v>
      </c>
      <c r="J55" s="37">
        <f>B$14-SUM(B$22:B54)+C55</f>
        <v>13.977272727272716</v>
      </c>
      <c r="K55" s="44">
        <f t="shared" si="4"/>
        <v>0.23460000000000003</v>
      </c>
      <c r="M55" s="39"/>
      <c r="N55" s="37"/>
      <c r="O55" s="24"/>
    </row>
    <row r="56" spans="1:15" x14ac:dyDescent="0.2">
      <c r="A56" s="39">
        <v>50230</v>
      </c>
      <c r="B56" s="48">
        <v>4.5454545454545459</v>
      </c>
      <c r="C56" s="48">
        <v>0.22727272727272699</v>
      </c>
      <c r="D56" s="48">
        <v>4.7727272727272725</v>
      </c>
      <c r="E56" s="48">
        <f t="shared" si="7"/>
        <v>15.419575633127995</v>
      </c>
      <c r="F56" s="50">
        <f t="shared" si="1"/>
        <v>0.62965245597756037</v>
      </c>
      <c r="G56" s="11">
        <f t="shared" si="0"/>
        <v>3.7767220833849003E-3</v>
      </c>
      <c r="H56" s="11">
        <f t="shared" si="2"/>
        <v>0.99622327791661514</v>
      </c>
      <c r="I56" s="50">
        <f t="shared" si="3"/>
        <v>7.4164157325129487E-4</v>
      </c>
      <c r="J56" s="37">
        <f>B$14-SUM(B$22:B55)+C56</f>
        <v>9.3181818181818059</v>
      </c>
      <c r="K56" s="44">
        <f t="shared" si="4"/>
        <v>0.23460000000000003</v>
      </c>
      <c r="M56" s="39"/>
      <c r="N56" s="37"/>
      <c r="O56" s="24"/>
    </row>
    <row r="57" spans="1:15" x14ac:dyDescent="0.2">
      <c r="A57" s="39">
        <v>50414</v>
      </c>
      <c r="B57" s="48">
        <v>4.5454545454545459</v>
      </c>
      <c r="C57" s="48">
        <v>0.11363636363636331</v>
      </c>
      <c r="D57" s="48">
        <v>4.6590909090909092</v>
      </c>
      <c r="E57" s="48">
        <f t="shared" si="7"/>
        <v>15.923981317442422</v>
      </c>
      <c r="F57" s="50">
        <f t="shared" si="1"/>
        <v>0.62019617510971281</v>
      </c>
      <c r="G57" s="11">
        <f t="shared" si="0"/>
        <v>3.1467158798550569E-3</v>
      </c>
      <c r="H57" s="11">
        <f t="shared" si="2"/>
        <v>0.99685328412014496</v>
      </c>
      <c r="I57" s="50">
        <f t="shared" si="3"/>
        <v>6.300062035298204E-4</v>
      </c>
      <c r="J57" s="37">
        <f>B$14-SUM(B$22:B56)+C57</f>
        <v>4.6590909090908958</v>
      </c>
      <c r="K57" s="44">
        <f t="shared" si="4"/>
        <v>0.23460000000000003</v>
      </c>
      <c r="M57" s="39"/>
      <c r="N57" s="37"/>
      <c r="O57" s="24"/>
    </row>
    <row r="58" spans="1:15" x14ac:dyDescent="0.2">
      <c r="A58" s="39"/>
      <c r="B58" s="48"/>
      <c r="C58" s="48"/>
      <c r="D58" s="48"/>
    </row>
    <row r="59" spans="1:15" x14ac:dyDescent="0.2">
      <c r="A59" s="39"/>
    </row>
    <row r="60" spans="1:15" x14ac:dyDescent="0.2">
      <c r="A60" s="39"/>
      <c r="O60" s="22">
        <f>SUM(O24:O57)-H6</f>
        <v>-13.947581984884554</v>
      </c>
    </row>
    <row r="61" spans="1:15" x14ac:dyDescent="0.2">
      <c r="A61" s="39"/>
    </row>
    <row r="62" spans="1:15" x14ac:dyDescent="0.2">
      <c r="A62" s="39"/>
    </row>
  </sheetData>
  <pageMargins left="0.7" right="0.7" top="0.75" bottom="0.75" header="0.3" footer="0.3"/>
  <ignoredErrors>
    <ignoredError sqref="H6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K14" sqref="K14"/>
    </sheetView>
  </sheetViews>
  <sheetFormatPr baseColWidth="10" defaultColWidth="11" defaultRowHeight="16" x14ac:dyDescent="0.2"/>
  <sheetData>
    <row r="2" spans="1:4" x14ac:dyDescent="0.25">
      <c r="A2" t="s">
        <v>28</v>
      </c>
      <c r="B2" s="39">
        <v>44598</v>
      </c>
      <c r="D2" s="39">
        <v>44598</v>
      </c>
    </row>
    <row r="3" spans="1:4" x14ac:dyDescent="0.25">
      <c r="A3" t="s">
        <v>29</v>
      </c>
      <c r="B3" s="39">
        <v>46022</v>
      </c>
      <c r="D3" s="84">
        <v>45482</v>
      </c>
    </row>
    <row r="5" spans="1:4" x14ac:dyDescent="0.25">
      <c r="A5" t="s">
        <v>18</v>
      </c>
      <c r="B5">
        <f>+YEARFRAC(B2,B3,1)</f>
        <v>3.8986995208761122</v>
      </c>
      <c r="D5" s="38">
        <f>+YEARFRAC(D2,D3)</f>
        <v>2.4249999999999998</v>
      </c>
    </row>
    <row r="6" spans="1:4" x14ac:dyDescent="0.2">
      <c r="D6" s="38"/>
    </row>
    <row r="7" spans="1:4" x14ac:dyDescent="0.25">
      <c r="A7" t="s">
        <v>20</v>
      </c>
      <c r="B7" s="50">
        <f>+EXP(-B5*'2030 Feb'!$H4)</f>
        <v>0.24400322191884832</v>
      </c>
      <c r="D7" s="50">
        <f>+EXP(-D5*'2030 Feb'!$H4)</f>
        <v>0.41587100391352333</v>
      </c>
    </row>
    <row r="8" spans="1:4" x14ac:dyDescent="0.2">
      <c r="D8" s="38"/>
    </row>
    <row r="9" spans="1:4" x14ac:dyDescent="0.25">
      <c r="A9" t="s">
        <v>21</v>
      </c>
      <c r="B9" s="50">
        <f>1-B7</f>
        <v>0.75599677808115162</v>
      </c>
      <c r="D9" s="50">
        <f>1-D7</f>
        <v>0.58412899608647662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2"/>
  <sheetViews>
    <sheetView workbookViewId="0">
      <selection activeCell="I11" sqref="I11"/>
    </sheetView>
  </sheetViews>
  <sheetFormatPr baseColWidth="10" defaultColWidth="8.83203125" defaultRowHeight="16" x14ac:dyDescent="0.2"/>
  <cols>
    <col min="1" max="1" width="23.1640625" style="38" customWidth="1"/>
    <col min="2" max="2" width="10.83203125" style="38" customWidth="1"/>
    <col min="3" max="4" width="8.83203125" style="38"/>
    <col min="5" max="5" width="9.33203125" style="38" bestFit="1" customWidth="1"/>
    <col min="6" max="12" width="8.83203125" style="38"/>
    <col min="13" max="13" width="13.33203125" style="38" customWidth="1"/>
    <col min="14" max="14" width="13.5" style="38" customWidth="1"/>
    <col min="15" max="15" width="8.83203125" style="38"/>
    <col min="16" max="16" width="13.33203125" style="38" customWidth="1"/>
    <col min="17" max="16384" width="8.83203125" style="38"/>
  </cols>
  <sheetData>
    <row r="1" spans="1:27" x14ac:dyDescent="0.2">
      <c r="N1" s="38" t="s">
        <v>30</v>
      </c>
    </row>
    <row r="2" spans="1:27" x14ac:dyDescent="0.2">
      <c r="A2" s="38" t="s">
        <v>49</v>
      </c>
      <c r="B2" s="39">
        <f>'2038 Feb'!B4</f>
        <v>44598</v>
      </c>
      <c r="I2" s="38" t="s">
        <v>31</v>
      </c>
      <c r="L2" s="44">
        <f>'2038 Feb'!H3</f>
        <v>0.03</v>
      </c>
      <c r="N2" s="44">
        <f>'2038 Feb'!H4</f>
        <v>0.36180624888826729</v>
      </c>
    </row>
    <row r="3" spans="1:27" x14ac:dyDescent="0.2">
      <c r="A3" s="38" t="s">
        <v>32</v>
      </c>
      <c r="B3" s="38" t="s">
        <v>33</v>
      </c>
      <c r="I3" s="38" t="s">
        <v>34</v>
      </c>
      <c r="L3" s="11">
        <f>'2038 Feb'!H5</f>
        <v>0.23460000000000003</v>
      </c>
    </row>
    <row r="4" spans="1:27" x14ac:dyDescent="0.2">
      <c r="A4" s="38" t="s">
        <v>35</v>
      </c>
      <c r="B4" s="39">
        <v>46467</v>
      </c>
    </row>
    <row r="5" spans="1:27" x14ac:dyDescent="0.2">
      <c r="A5" s="38" t="s">
        <v>36</v>
      </c>
      <c r="B5" s="38">
        <v>100</v>
      </c>
    </row>
    <row r="6" spans="1:27" x14ac:dyDescent="0.2">
      <c r="A6" s="38" t="s">
        <v>37</v>
      </c>
      <c r="B6" s="44">
        <v>0.05</v>
      </c>
      <c r="C6" s="38">
        <f>B6/4</f>
        <v>1.2500000000000001E-2</v>
      </c>
    </row>
    <row r="7" spans="1:27" x14ac:dyDescent="0.2">
      <c r="A7" s="38" t="s">
        <v>38</v>
      </c>
      <c r="B7" s="38" t="s">
        <v>39</v>
      </c>
      <c r="E7" s="63">
        <f>+B2-A10</f>
        <v>-43</v>
      </c>
      <c r="L7" s="38" t="s">
        <v>19</v>
      </c>
      <c r="N7" s="11"/>
      <c r="Y7" s="64">
        <f>B78-L2</f>
        <v>-0.03</v>
      </c>
    </row>
    <row r="8" spans="1:27" x14ac:dyDescent="0.2">
      <c r="G8" s="44"/>
      <c r="I8" s="65"/>
      <c r="L8" s="38" t="s">
        <v>40</v>
      </c>
      <c r="N8" s="38" t="s">
        <v>20</v>
      </c>
      <c r="O8" s="38" t="s">
        <v>41</v>
      </c>
      <c r="P8" s="38" t="s">
        <v>42</v>
      </c>
      <c r="R8" s="38" t="s">
        <v>43</v>
      </c>
      <c r="S8" s="38" t="s">
        <v>44</v>
      </c>
      <c r="Y8" s="38" t="s">
        <v>30</v>
      </c>
      <c r="AA8" s="38" t="s">
        <v>43</v>
      </c>
    </row>
    <row r="9" spans="1:27" x14ac:dyDescent="0.2">
      <c r="C9" s="38" t="s">
        <v>6</v>
      </c>
      <c r="D9" s="38" t="s">
        <v>45</v>
      </c>
      <c r="E9" s="38" t="s">
        <v>46</v>
      </c>
      <c r="Y9" s="44">
        <v>0.1</v>
      </c>
    </row>
    <row r="10" spans="1:27" x14ac:dyDescent="0.2">
      <c r="A10" s="39">
        <v>44641</v>
      </c>
      <c r="B10" s="63">
        <f>(A10-B2)/365</f>
        <v>0.11780821917808219</v>
      </c>
      <c r="C10" s="38">
        <v>-1.25</v>
      </c>
      <c r="E10" s="38">
        <f t="shared" ref="E10:E20" si="0">D10+C10</f>
        <v>-1.25</v>
      </c>
      <c r="F10" s="65"/>
      <c r="G10" s="65"/>
      <c r="L10" s="38">
        <f>EXP(-$L$2*B10)</f>
        <v>0.99647199152292876</v>
      </c>
      <c r="N10" s="11">
        <f t="shared" ref="N10:N61" si="1">EXP(-$N$2*B10)</f>
        <v>0.95827187216446785</v>
      </c>
      <c r="O10" s="63">
        <f t="shared" ref="O10:O30" si="2">(1-$L$3)*100</f>
        <v>76.539999999999992</v>
      </c>
      <c r="P10" s="63">
        <f>O10*S10</f>
        <v>3.19387090453163</v>
      </c>
      <c r="R10" s="11">
        <f t="shared" ref="R10" si="3">1-EXP(-$N$2*B10)</f>
        <v>4.1728127835532147E-2</v>
      </c>
      <c r="S10" s="44">
        <f>R10-R9</f>
        <v>4.1728127835532147E-2</v>
      </c>
      <c r="Y10" s="38">
        <f>EXP(-$N$2*B10)*(1-$L$3)+$L$3</f>
        <v>0.96806129095468374</v>
      </c>
      <c r="AA10" s="11">
        <f>1-EXP(-$Y$9*B10)</f>
        <v>1.1711699740238224E-2</v>
      </c>
    </row>
    <row r="11" spans="1:27" x14ac:dyDescent="0.2">
      <c r="A11" s="39">
        <f>+A10+365/4+1</f>
        <v>44733.25</v>
      </c>
      <c r="B11" s="63">
        <f>(A11-$B$2)/365</f>
        <v>0.37054794520547946</v>
      </c>
      <c r="C11" s="38">
        <v>-1.25</v>
      </c>
      <c r="E11" s="38">
        <f t="shared" si="0"/>
        <v>-1.25</v>
      </c>
      <c r="F11" s="65"/>
      <c r="G11" s="65"/>
      <c r="H11" s="65"/>
      <c r="L11" s="38">
        <f t="shared" ref="L11:L61" si="4">EXP(-$L$2*B11)</f>
        <v>0.98894512092688602</v>
      </c>
      <c r="M11" s="65"/>
      <c r="N11" s="11">
        <f t="shared" si="1"/>
        <v>0.87453185199984418</v>
      </c>
      <c r="O11" s="63">
        <f t="shared" si="2"/>
        <v>76.539999999999992</v>
      </c>
      <c r="P11" s="63">
        <f t="shared" ref="P11:P61" si="5">O11*S11</f>
        <v>6.4094611434002955</v>
      </c>
      <c r="Q11" s="66"/>
      <c r="R11" s="11">
        <f t="shared" ref="R11:R61" si="6">1-EXP(-$N$2*B11)</f>
        <v>0.12546814800015582</v>
      </c>
      <c r="S11" s="44">
        <f>R11-R10</f>
        <v>8.3740020164623674E-2</v>
      </c>
      <c r="Y11" s="38">
        <f>EXP(-Y$9*B11)*(1-$L$3)+$L$3</f>
        <v>0.97215729879034585</v>
      </c>
      <c r="Z11" s="66" t="e">
        <f>-LN(Y11)/F11</f>
        <v>#DIV/0!</v>
      </c>
      <c r="AA11" s="11">
        <f t="shared" ref="AA11:AA61" si="7">1-EXP(-$Y$9*B11)</f>
        <v>3.6376667376083249E-2</v>
      </c>
    </row>
    <row r="12" spans="1:27" x14ac:dyDescent="0.2">
      <c r="A12" s="39">
        <f>+A11+365/4+1</f>
        <v>44825.5</v>
      </c>
      <c r="B12" s="63">
        <f t="shared" ref="B12:B61" si="8">(A12-$B$2)/365</f>
        <v>0.62328767123287676</v>
      </c>
      <c r="C12" s="38">
        <f>C11</f>
        <v>-1.25</v>
      </c>
      <c r="E12" s="38">
        <f t="shared" si="0"/>
        <v>-1.25</v>
      </c>
      <c r="F12" s="65"/>
      <c r="G12" s="65"/>
      <c r="H12" s="65"/>
      <c r="L12" s="38">
        <f t="shared" si="4"/>
        <v>0.98147510469448973</v>
      </c>
      <c r="M12" s="65"/>
      <c r="N12" s="11">
        <f t="shared" si="1"/>
        <v>0.79810957868855625</v>
      </c>
      <c r="O12" s="63">
        <f t="shared" si="2"/>
        <v>76.539999999999992</v>
      </c>
      <c r="P12" s="63">
        <f t="shared" si="5"/>
        <v>5.8493607992459768</v>
      </c>
      <c r="Q12" s="66"/>
      <c r="R12" s="11">
        <f t="shared" si="6"/>
        <v>0.20189042131144375</v>
      </c>
      <c r="S12" s="44">
        <f t="shared" ref="S12:S61" si="9">R12-R11</f>
        <v>7.6422273311287925E-2</v>
      </c>
      <c r="Y12" s="38">
        <f t="shared" ref="Y12:Y61" si="10">EXP(-Y$9*B12)*(1-$L$3)+$L$3</f>
        <v>0.95374988983947229</v>
      </c>
      <c r="Z12" s="66" t="e">
        <f t="shared" ref="Z12:Z61" si="11">-LN(Y12)/F12</f>
        <v>#DIV/0!</v>
      </c>
      <c r="AA12" s="11">
        <f t="shared" si="7"/>
        <v>6.0426065012448071E-2</v>
      </c>
    </row>
    <row r="13" spans="1:27" x14ac:dyDescent="0.2">
      <c r="A13" s="39">
        <f t="shared" ref="A13:A61" si="12">+A12+365/4</f>
        <v>44916.75</v>
      </c>
      <c r="B13" s="63">
        <f t="shared" si="8"/>
        <v>0.87328767123287676</v>
      </c>
      <c r="C13" s="38">
        <f t="shared" ref="C13:C29" si="13">C12</f>
        <v>-1.25</v>
      </c>
      <c r="E13" s="38">
        <f t="shared" si="0"/>
        <v>-1.25</v>
      </c>
      <c r="F13" s="65"/>
      <c r="G13" s="65"/>
      <c r="H13" s="65"/>
      <c r="L13" s="38">
        <f t="shared" si="4"/>
        <v>0.97414157651583211</v>
      </c>
      <c r="M13" s="65"/>
      <c r="N13" s="11">
        <f t="shared" si="1"/>
        <v>0.72908793031647556</v>
      </c>
      <c r="O13" s="63">
        <f t="shared" si="2"/>
        <v>76.539999999999992</v>
      </c>
      <c r="P13" s="63">
        <f t="shared" si="5"/>
        <v>5.2829169663990552</v>
      </c>
      <c r="Q13" s="66"/>
      <c r="R13" s="11">
        <f t="shared" si="6"/>
        <v>0.27091206968352444</v>
      </c>
      <c r="S13" s="44">
        <f t="shared" si="9"/>
        <v>6.9021648372080691E-2</v>
      </c>
      <c r="Y13" s="38">
        <f t="shared" si="10"/>
        <v>0.9359940157945208</v>
      </c>
      <c r="Z13" s="66" t="e">
        <f t="shared" si="11"/>
        <v>#DIV/0!</v>
      </c>
      <c r="AA13" s="11">
        <f t="shared" si="7"/>
        <v>8.3624228123176381E-2</v>
      </c>
    </row>
    <row r="14" spans="1:27" x14ac:dyDescent="0.2">
      <c r="A14" s="39">
        <f>+A13+365/4-2</f>
        <v>45006</v>
      </c>
      <c r="B14" s="63">
        <f t="shared" si="8"/>
        <v>1.1178082191780823</v>
      </c>
      <c r="C14" s="38">
        <f t="shared" si="13"/>
        <v>-1.25</v>
      </c>
      <c r="E14" s="38">
        <f t="shared" si="0"/>
        <v>-1.25</v>
      </c>
      <c r="F14" s="65"/>
      <c r="G14" s="65"/>
      <c r="H14" s="65"/>
      <c r="L14" s="38">
        <f t="shared" si="4"/>
        <v>0.96702179347961315</v>
      </c>
      <c r="M14" s="65"/>
      <c r="N14" s="11">
        <f t="shared" si="1"/>
        <v>0.66735709684096345</v>
      </c>
      <c r="O14" s="63">
        <f t="shared" si="2"/>
        <v>76.539999999999992</v>
      </c>
      <c r="P14" s="63">
        <f t="shared" si="5"/>
        <v>4.7248779942156967</v>
      </c>
      <c r="Q14" s="66"/>
      <c r="R14" s="11">
        <f t="shared" si="6"/>
        <v>0.33264290315903655</v>
      </c>
      <c r="S14" s="44">
        <f t="shared" si="9"/>
        <v>6.1730833475512115E-2</v>
      </c>
      <c r="Y14" s="38">
        <f t="shared" si="10"/>
        <v>0.91905147501342821</v>
      </c>
      <c r="Z14" s="66" t="e">
        <f t="shared" si="11"/>
        <v>#DIV/0!</v>
      </c>
      <c r="AA14" s="11">
        <f t="shared" si="7"/>
        <v>0.10575976611781002</v>
      </c>
    </row>
    <row r="15" spans="1:27" x14ac:dyDescent="0.2">
      <c r="A15" s="39">
        <f>+A14+365/4+1</f>
        <v>45098.25</v>
      </c>
      <c r="B15" s="63">
        <f t="shared" si="8"/>
        <v>1.3705479452054794</v>
      </c>
      <c r="C15" s="38">
        <f t="shared" si="13"/>
        <v>-1.25</v>
      </c>
      <c r="E15" s="38">
        <f t="shared" si="0"/>
        <v>-1.25</v>
      </c>
      <c r="F15" s="65"/>
      <c r="G15" s="65"/>
      <c r="H15" s="65"/>
      <c r="L15" s="38">
        <f t="shared" si="4"/>
        <v>0.95971737552808578</v>
      </c>
      <c r="N15" s="11">
        <f t="shared" si="1"/>
        <v>0.60903909923529487</v>
      </c>
      <c r="O15" s="63">
        <f t="shared" si="2"/>
        <v>76.539999999999992</v>
      </c>
      <c r="P15" s="63">
        <f t="shared" si="5"/>
        <v>4.4636595367378726</v>
      </c>
      <c r="Q15" s="66"/>
      <c r="R15" s="11">
        <f t="shared" si="6"/>
        <v>0.39096090076470513</v>
      </c>
      <c r="S15" s="44">
        <f t="shared" si="9"/>
        <v>5.8317997605668581E-2</v>
      </c>
      <c r="Y15" s="38">
        <f t="shared" si="10"/>
        <v>0.90196944189103334</v>
      </c>
      <c r="Z15" s="66" t="e">
        <f t="shared" si="11"/>
        <v>#DIV/0!</v>
      </c>
      <c r="AA15" s="11">
        <f t="shared" si="7"/>
        <v>0.12807755174936852</v>
      </c>
    </row>
    <row r="16" spans="1:27" x14ac:dyDescent="0.2">
      <c r="A16" s="39">
        <f>+A15+365/4+1</f>
        <v>45190.5</v>
      </c>
      <c r="B16" s="63">
        <f t="shared" si="8"/>
        <v>1.6232876712328768</v>
      </c>
      <c r="C16" s="38">
        <f t="shared" si="13"/>
        <v>-1.25</v>
      </c>
      <c r="E16" s="38">
        <f t="shared" si="0"/>
        <v>-1.25</v>
      </c>
      <c r="F16" s="65"/>
      <c r="G16" s="65"/>
      <c r="H16" s="65"/>
      <c r="L16" s="38">
        <f t="shared" si="4"/>
        <v>0.95246813163982202</v>
      </c>
      <c r="N16" s="11">
        <f t="shared" si="1"/>
        <v>0.55581730703574828</v>
      </c>
      <c r="O16" s="63">
        <f t="shared" si="2"/>
        <v>76.539999999999992</v>
      </c>
      <c r="P16" s="63">
        <f t="shared" si="5"/>
        <v>4.073595974953296</v>
      </c>
      <c r="Q16" s="66"/>
      <c r="R16" s="11">
        <f t="shared" si="6"/>
        <v>0.44418269296425172</v>
      </c>
      <c r="S16" s="44">
        <f t="shared" si="9"/>
        <v>5.3221792199546591E-2</v>
      </c>
      <c r="Y16" s="38">
        <f t="shared" si="10"/>
        <v>0.88531372950319287</v>
      </c>
      <c r="Z16" s="66" t="e">
        <f t="shared" si="11"/>
        <v>#DIV/0!</v>
      </c>
      <c r="AA16" s="11">
        <f t="shared" si="7"/>
        <v>0.14983834661197692</v>
      </c>
    </row>
    <row r="17" spans="1:27" x14ac:dyDescent="0.2">
      <c r="A17" s="39">
        <f t="shared" si="12"/>
        <v>45281.75</v>
      </c>
      <c r="B17" s="63">
        <f t="shared" si="8"/>
        <v>1.8732876712328768</v>
      </c>
      <c r="C17" s="38">
        <f t="shared" si="13"/>
        <v>-1.25</v>
      </c>
      <c r="E17" s="38">
        <f t="shared" si="0"/>
        <v>-1.25</v>
      </c>
      <c r="F17" s="65"/>
      <c r="G17" s="65"/>
      <c r="H17" s="65"/>
      <c r="L17" s="38">
        <f t="shared" si="4"/>
        <v>0.94535134197369153</v>
      </c>
      <c r="N17" s="11">
        <f t="shared" si="1"/>
        <v>0.50774943797398797</v>
      </c>
      <c r="O17" s="63">
        <f t="shared" si="2"/>
        <v>76.539999999999992</v>
      </c>
      <c r="P17" s="63">
        <f t="shared" si="5"/>
        <v>3.6791146979871332</v>
      </c>
      <c r="Q17" s="66"/>
      <c r="R17" s="11">
        <f t="shared" si="6"/>
        <v>0.49225056202601203</v>
      </c>
      <c r="S17" s="44">
        <f t="shared" si="9"/>
        <v>4.8067869061760304E-2</v>
      </c>
      <c r="Y17" s="38">
        <f t="shared" si="10"/>
        <v>0.86924755027738732</v>
      </c>
      <c r="Z17" s="66" t="e">
        <f t="shared" si="11"/>
        <v>#DIV/0!</v>
      </c>
      <c r="AA17" s="11">
        <f t="shared" si="7"/>
        <v>0.17082891262426536</v>
      </c>
    </row>
    <row r="18" spans="1:27" x14ac:dyDescent="0.2">
      <c r="A18" s="39">
        <f>+A17+365/4-1</f>
        <v>45372</v>
      </c>
      <c r="B18" s="63">
        <f t="shared" si="8"/>
        <v>2.1205479452054794</v>
      </c>
      <c r="C18" s="38">
        <f t="shared" si="13"/>
        <v>-1.25</v>
      </c>
      <c r="E18" s="38">
        <f t="shared" si="0"/>
        <v>-1.25</v>
      </c>
      <c r="F18" s="65"/>
      <c r="G18" s="65"/>
      <c r="H18" s="65"/>
      <c r="L18" s="38">
        <f t="shared" si="4"/>
        <v>0.93836485127852776</v>
      </c>
      <c r="N18" s="11">
        <f t="shared" si="1"/>
        <v>0.46429855431772182</v>
      </c>
      <c r="O18" s="63">
        <f t="shared" si="2"/>
        <v>76.539999999999992</v>
      </c>
      <c r="P18" s="63">
        <f t="shared" si="5"/>
        <v>3.3257306350506108</v>
      </c>
      <c r="Q18" s="66"/>
      <c r="R18" s="11">
        <f t="shared" si="6"/>
        <v>0.53570144568227818</v>
      </c>
      <c r="S18" s="44">
        <f t="shared" si="9"/>
        <v>4.3450883656266148E-2</v>
      </c>
      <c r="Y18" s="38">
        <f t="shared" si="10"/>
        <v>0.85374765268912778</v>
      </c>
      <c r="Z18" s="66" t="e">
        <f t="shared" si="11"/>
        <v>#DIV/0!</v>
      </c>
      <c r="AA18" s="11">
        <f t="shared" si="7"/>
        <v>0.19107962805183198</v>
      </c>
    </row>
    <row r="19" spans="1:27" x14ac:dyDescent="0.2">
      <c r="A19" s="39">
        <f>+A18+365/4+1</f>
        <v>45464.25</v>
      </c>
      <c r="B19" s="63">
        <f t="shared" si="8"/>
        <v>2.3732876712328768</v>
      </c>
      <c r="C19" s="38">
        <f t="shared" si="13"/>
        <v>-1.25</v>
      </c>
      <c r="E19" s="38">
        <f t="shared" si="0"/>
        <v>-1.25</v>
      </c>
      <c r="F19" s="65"/>
      <c r="G19" s="65"/>
      <c r="H19" s="65"/>
      <c r="L19" s="38">
        <f t="shared" si="4"/>
        <v>0.93127689409806147</v>
      </c>
      <c r="N19" s="11">
        <f t="shared" si="1"/>
        <v>0.42372513102277343</v>
      </c>
      <c r="O19" s="63">
        <f t="shared" si="2"/>
        <v>76.539999999999992</v>
      </c>
      <c r="P19" s="63">
        <f t="shared" si="5"/>
        <v>3.1054898189953501</v>
      </c>
      <c r="Q19" s="66"/>
      <c r="R19" s="11">
        <f t="shared" si="6"/>
        <v>0.57627486897722657</v>
      </c>
      <c r="S19" s="44">
        <f t="shared" si="9"/>
        <v>4.0573423294948396E-2</v>
      </c>
      <c r="Y19" s="38">
        <f t="shared" si="10"/>
        <v>0.83829542401114709</v>
      </c>
      <c r="Z19" s="66" t="e">
        <f t="shared" si="11"/>
        <v>#DIV/0!</v>
      </c>
      <c r="AA19" s="11">
        <f t="shared" si="7"/>
        <v>0.21126806374294871</v>
      </c>
    </row>
    <row r="20" spans="1:27" x14ac:dyDescent="0.2">
      <c r="A20" s="39">
        <f>+A19+365/4+1</f>
        <v>45556.5</v>
      </c>
      <c r="B20" s="63">
        <f t="shared" si="8"/>
        <v>2.6260273972602741</v>
      </c>
      <c r="C20" s="38">
        <f t="shared" si="13"/>
        <v>-1.25</v>
      </c>
      <c r="E20" s="38">
        <f t="shared" si="0"/>
        <v>-1.25</v>
      </c>
      <c r="F20" s="65"/>
      <c r="G20" s="65"/>
      <c r="H20" s="65"/>
      <c r="L20" s="38">
        <f t="shared" si="4"/>
        <v>0.92424247594020859</v>
      </c>
      <c r="N20" s="11">
        <f t="shared" si="1"/>
        <v>0.38669727697968309</v>
      </c>
      <c r="O20" s="63">
        <f t="shared" si="2"/>
        <v>76.539999999999992</v>
      </c>
      <c r="P20" s="63">
        <f t="shared" si="5"/>
        <v>2.8341119484581383</v>
      </c>
      <c r="Q20" s="66"/>
      <c r="R20" s="11">
        <f t="shared" si="6"/>
        <v>0.61330272302031696</v>
      </c>
      <c r="S20" s="44">
        <f t="shared" si="9"/>
        <v>3.7027854043090391E-2</v>
      </c>
      <c r="Y20" s="38">
        <f t="shared" si="10"/>
        <v>0.82322884061515933</v>
      </c>
      <c r="Z20" s="66" t="e">
        <f t="shared" si="11"/>
        <v>#DIV/0!</v>
      </c>
      <c r="AA20" s="11">
        <f t="shared" si="7"/>
        <v>0.23095265140428622</v>
      </c>
    </row>
    <row r="21" spans="1:27" x14ac:dyDescent="0.2">
      <c r="A21" s="39">
        <f t="shared" si="12"/>
        <v>45647.75</v>
      </c>
      <c r="B21" s="63">
        <f t="shared" si="8"/>
        <v>2.8760273972602741</v>
      </c>
      <c r="C21" s="38">
        <f t="shared" si="13"/>
        <v>-1.25</v>
      </c>
      <c r="E21" s="38">
        <f>D21+C21</f>
        <v>-1.25</v>
      </c>
      <c r="F21" s="65"/>
      <c r="G21" s="65"/>
      <c r="H21" s="65"/>
      <c r="L21" s="38">
        <f t="shared" si="4"/>
        <v>0.91733658682615959</v>
      </c>
      <c r="N21" s="11">
        <f t="shared" si="1"/>
        <v>0.35325514799034025</v>
      </c>
      <c r="O21" s="63">
        <f t="shared" si="2"/>
        <v>76.539999999999992</v>
      </c>
      <c r="P21" s="63">
        <f t="shared" si="5"/>
        <v>2.5596605528442926</v>
      </c>
      <c r="Q21" s="66"/>
      <c r="R21" s="11">
        <f t="shared" si="6"/>
        <v>0.6467448520096597</v>
      </c>
      <c r="S21" s="44">
        <f t="shared" si="9"/>
        <v>3.3442128989342734E-2</v>
      </c>
      <c r="Y21" s="38">
        <f t="shared" si="10"/>
        <v>0.80869554275771049</v>
      </c>
      <c r="Z21" s="66" t="e">
        <f t="shared" si="11"/>
        <v>#DIV/0!</v>
      </c>
      <c r="AA21" s="11">
        <f t="shared" si="7"/>
        <v>0.2499404980954919</v>
      </c>
    </row>
    <row r="22" spans="1:27" x14ac:dyDescent="0.2">
      <c r="A22" s="39">
        <f>+A21+365/4-2</f>
        <v>45737</v>
      </c>
      <c r="B22" s="63">
        <f t="shared" si="8"/>
        <v>3.1205479452054794</v>
      </c>
      <c r="C22" s="38">
        <f t="shared" si="13"/>
        <v>-1.25</v>
      </c>
      <c r="E22" s="38">
        <f t="shared" ref="E22:E61" si="14">D22+C22</f>
        <v>-1.25</v>
      </c>
      <c r="F22" s="65"/>
      <c r="G22" s="65"/>
      <c r="H22" s="65"/>
      <c r="L22" s="38">
        <f t="shared" si="4"/>
        <v>0.9106319787621574</v>
      </c>
      <c r="N22" s="11">
        <f t="shared" si="1"/>
        <v>0.32334553927484089</v>
      </c>
      <c r="O22" s="63">
        <f t="shared" si="2"/>
        <v>76.539999999999992</v>
      </c>
      <c r="P22" s="63">
        <f t="shared" si="5"/>
        <v>2.2892814510843249</v>
      </c>
      <c r="Q22" s="66"/>
      <c r="R22" s="11">
        <f t="shared" si="6"/>
        <v>0.67665446072515911</v>
      </c>
      <c r="S22" s="44">
        <f t="shared" si="9"/>
        <v>2.9909608715499414E-2</v>
      </c>
      <c r="Y22" s="38">
        <f t="shared" si="10"/>
        <v>0.79482796344225548</v>
      </c>
      <c r="Z22" s="66" t="e">
        <f t="shared" si="11"/>
        <v>#DIV/0!</v>
      </c>
      <c r="AA22" s="11">
        <f t="shared" si="7"/>
        <v>0.26805857924973153</v>
      </c>
    </row>
    <row r="23" spans="1:27" x14ac:dyDescent="0.2">
      <c r="A23" s="39">
        <f>+A22+365/4+1</f>
        <v>45829.25</v>
      </c>
      <c r="B23" s="63">
        <f t="shared" si="8"/>
        <v>3.3732876712328768</v>
      </c>
      <c r="C23" s="38">
        <f t="shared" si="13"/>
        <v>-1.25</v>
      </c>
      <c r="E23" s="38">
        <f t="shared" si="14"/>
        <v>-1.25</v>
      </c>
      <c r="F23" s="65"/>
      <c r="G23" s="65"/>
      <c r="H23" s="65"/>
      <c r="L23" s="38">
        <f t="shared" si="4"/>
        <v>0.90375350237439089</v>
      </c>
      <c r="N23" s="11">
        <f t="shared" si="1"/>
        <v>0.29508950592403715</v>
      </c>
      <c r="O23" s="63">
        <f t="shared" si="2"/>
        <v>76.539999999999992</v>
      </c>
      <c r="P23" s="63">
        <f t="shared" si="5"/>
        <v>2.1627167926705173</v>
      </c>
      <c r="Q23" s="66"/>
      <c r="R23" s="11">
        <f t="shared" si="6"/>
        <v>0.70491049407596285</v>
      </c>
      <c r="S23" s="44">
        <f t="shared" si="9"/>
        <v>2.8256033350803733E-2</v>
      </c>
      <c r="Y23" s="38">
        <f t="shared" si="10"/>
        <v>0.7808462087423701</v>
      </c>
      <c r="Z23" s="66" t="e">
        <f t="shared" si="11"/>
        <v>#DIV/0!</v>
      </c>
      <c r="AA23" s="11">
        <f t="shared" si="7"/>
        <v>0.28632583127466671</v>
      </c>
    </row>
    <row r="24" spans="1:27" x14ac:dyDescent="0.2">
      <c r="A24" s="39">
        <f>+A23+365/4+1</f>
        <v>45921.5</v>
      </c>
      <c r="B24" s="63">
        <f t="shared" si="8"/>
        <v>3.6260273972602741</v>
      </c>
      <c r="C24" s="38">
        <f t="shared" si="13"/>
        <v>-1.25</v>
      </c>
      <c r="E24" s="38">
        <f t="shared" si="14"/>
        <v>-1.25</v>
      </c>
      <c r="F24" s="65"/>
      <c r="G24" s="65"/>
      <c r="H24" s="65"/>
      <c r="L24" s="38">
        <f t="shared" si="4"/>
        <v>0.89692698269198989</v>
      </c>
      <c r="N24" s="11">
        <f t="shared" si="1"/>
        <v>0.26930266829033633</v>
      </c>
      <c r="O24" s="63">
        <f t="shared" si="2"/>
        <v>76.539999999999992</v>
      </c>
      <c r="P24" s="63">
        <f t="shared" si="5"/>
        <v>1.9737245524834606</v>
      </c>
      <c r="Q24" s="66"/>
      <c r="R24" s="11">
        <f t="shared" si="6"/>
        <v>0.73069733170966367</v>
      </c>
      <c r="S24" s="44">
        <f t="shared" si="9"/>
        <v>2.5786837633700821E-2</v>
      </c>
      <c r="Y24" s="38">
        <f t="shared" si="10"/>
        <v>0.7672134003237211</v>
      </c>
      <c r="Z24" s="66" t="e">
        <f t="shared" si="11"/>
        <v>#DIV/0!</v>
      </c>
      <c r="AA24" s="11">
        <f t="shared" si="7"/>
        <v>0.30413718274925383</v>
      </c>
    </row>
    <row r="25" spans="1:27" x14ac:dyDescent="0.2">
      <c r="A25" s="39">
        <f t="shared" si="12"/>
        <v>46012.75</v>
      </c>
      <c r="B25" s="63">
        <f t="shared" si="8"/>
        <v>3.8760273972602741</v>
      </c>
      <c r="C25" s="38">
        <f t="shared" si="13"/>
        <v>-1.25</v>
      </c>
      <c r="E25" s="38">
        <f t="shared" si="14"/>
        <v>-1.25</v>
      </c>
      <c r="F25" s="65"/>
      <c r="G25" s="65"/>
      <c r="H25" s="65"/>
      <c r="L25" s="38">
        <f t="shared" si="4"/>
        <v>0.89022519344607987</v>
      </c>
      <c r="N25" s="11">
        <f t="shared" si="1"/>
        <v>0.24601299156832307</v>
      </c>
      <c r="O25" s="63">
        <f t="shared" si="2"/>
        <v>76.539999999999992</v>
      </c>
      <c r="P25" s="63">
        <f t="shared" si="5"/>
        <v>1.7825918563028909</v>
      </c>
      <c r="Q25" s="66"/>
      <c r="R25" s="11">
        <f t="shared" si="6"/>
        <v>0.75398700843167688</v>
      </c>
      <c r="S25" s="44">
        <f t="shared" si="9"/>
        <v>2.3289676722013208E-2</v>
      </c>
      <c r="Y25" s="38">
        <f t="shared" si="10"/>
        <v>0.75406312861483948</v>
      </c>
      <c r="Z25" s="66" t="e">
        <f t="shared" si="11"/>
        <v>#DIV/0!</v>
      </c>
      <c r="AA25" s="11">
        <f t="shared" si="7"/>
        <v>0.32131809692338709</v>
      </c>
    </row>
    <row r="26" spans="1:27" x14ac:dyDescent="0.2">
      <c r="A26" s="39">
        <f>+A25+365/4-2</f>
        <v>46102</v>
      </c>
      <c r="B26" s="63">
        <f t="shared" si="8"/>
        <v>4.1205479452054794</v>
      </c>
      <c r="C26" s="38">
        <f t="shared" si="13"/>
        <v>-1.25</v>
      </c>
      <c r="E26" s="38">
        <f t="shared" si="14"/>
        <v>-1.25</v>
      </c>
      <c r="F26" s="65"/>
      <c r="G26" s="65"/>
      <c r="H26" s="65"/>
      <c r="L26" s="38">
        <f t="shared" si="4"/>
        <v>0.88371873649617561</v>
      </c>
      <c r="N26" s="11">
        <f t="shared" si="1"/>
        <v>0.22518342302955346</v>
      </c>
      <c r="O26" s="63">
        <f t="shared" si="2"/>
        <v>76.539999999999992</v>
      </c>
      <c r="P26" s="63">
        <f t="shared" si="5"/>
        <v>1.5942951759574253</v>
      </c>
      <c r="Q26" s="66"/>
      <c r="R26" s="11">
        <f t="shared" si="6"/>
        <v>0.77481657697044648</v>
      </c>
      <c r="S26" s="44">
        <f t="shared" si="9"/>
        <v>2.0829568538769605E-2</v>
      </c>
      <c r="Y26" s="38">
        <f t="shared" si="10"/>
        <v>0.74151522395263436</v>
      </c>
      <c r="Z26" s="66" t="e">
        <f t="shared" si="11"/>
        <v>#DIV/0!</v>
      </c>
      <c r="AA26" s="11">
        <f t="shared" si="7"/>
        <v>0.3377120146947552</v>
      </c>
    </row>
    <row r="27" spans="1:27" x14ac:dyDescent="0.2">
      <c r="A27" s="39">
        <f>+A26+365/4+1</f>
        <v>46194.25</v>
      </c>
      <c r="B27" s="63">
        <f t="shared" si="8"/>
        <v>4.3732876712328768</v>
      </c>
      <c r="C27" s="38">
        <f t="shared" si="13"/>
        <v>-1.25</v>
      </c>
      <c r="D27" s="38">
        <v>0</v>
      </c>
      <c r="E27" s="38">
        <f t="shared" si="14"/>
        <v>-1.25</v>
      </c>
      <c r="F27" s="65"/>
      <c r="G27" s="65"/>
      <c r="H27" s="65"/>
      <c r="L27" s="38">
        <f t="shared" si="4"/>
        <v>0.87704354980804866</v>
      </c>
      <c r="N27" s="11">
        <f t="shared" si="1"/>
        <v>0.20550543295911405</v>
      </c>
      <c r="O27" s="63">
        <f t="shared" si="2"/>
        <v>76.539999999999992</v>
      </c>
      <c r="P27" s="63">
        <f t="shared" si="5"/>
        <v>1.5061533599914365</v>
      </c>
      <c r="Q27" s="66"/>
      <c r="R27" s="11">
        <f t="shared" si="6"/>
        <v>0.79449456704088595</v>
      </c>
      <c r="S27" s="44">
        <f t="shared" si="9"/>
        <v>1.9677990070439466E-2</v>
      </c>
      <c r="Y27" s="38">
        <f t="shared" si="10"/>
        <v>0.72886400913037797</v>
      </c>
      <c r="Z27" s="66" t="e">
        <f t="shared" si="11"/>
        <v>#DIV/0!</v>
      </c>
      <c r="AA27" s="11">
        <f t="shared" si="7"/>
        <v>0.35424090785160967</v>
      </c>
    </row>
    <row r="28" spans="1:27" x14ac:dyDescent="0.2">
      <c r="A28" s="39">
        <f>+A27+365/4+1</f>
        <v>46286.5</v>
      </c>
      <c r="B28" s="63">
        <f t="shared" si="8"/>
        <v>4.6260273972602741</v>
      </c>
      <c r="C28" s="38">
        <f t="shared" si="13"/>
        <v>-1.25</v>
      </c>
      <c r="D28" s="38">
        <v>0</v>
      </c>
      <c r="E28" s="38">
        <f t="shared" si="14"/>
        <v>-1.25</v>
      </c>
      <c r="F28" s="65"/>
      <c r="G28" s="65"/>
      <c r="H28" s="65"/>
      <c r="L28" s="38">
        <f t="shared" si="4"/>
        <v>0.87041878427258179</v>
      </c>
      <c r="N28" s="11">
        <f t="shared" si="1"/>
        <v>0.18754703346955634</v>
      </c>
      <c r="O28" s="63">
        <f t="shared" si="2"/>
        <v>76.539999999999992</v>
      </c>
      <c r="P28" s="63">
        <f t="shared" si="5"/>
        <v>1.3745358969307451</v>
      </c>
      <c r="Q28" s="66"/>
      <c r="R28" s="11">
        <f t="shared" si="6"/>
        <v>0.81245296653044363</v>
      </c>
      <c r="S28" s="44">
        <f t="shared" si="9"/>
        <v>1.7958399489557686E-2</v>
      </c>
      <c r="Y28" s="38">
        <f t="shared" si="10"/>
        <v>0.71652853396026872</v>
      </c>
      <c r="Z28" s="66" t="e">
        <f t="shared" si="11"/>
        <v>#DIV/0!</v>
      </c>
      <c r="AA28" s="11">
        <f t="shared" si="7"/>
        <v>0.37035728513160604</v>
      </c>
    </row>
    <row r="29" spans="1:27" x14ac:dyDescent="0.2">
      <c r="A29" s="39">
        <f t="shared" si="12"/>
        <v>46377.75</v>
      </c>
      <c r="B29" s="63">
        <f t="shared" si="8"/>
        <v>4.8760273972602741</v>
      </c>
      <c r="C29" s="38">
        <f t="shared" si="13"/>
        <v>-1.25</v>
      </c>
      <c r="D29" s="38">
        <v>0</v>
      </c>
      <c r="E29" s="38">
        <f t="shared" si="14"/>
        <v>-1.25</v>
      </c>
      <c r="F29" s="65"/>
      <c r="G29" s="65"/>
      <c r="H29" s="65"/>
      <c r="L29" s="38">
        <f t="shared" si="4"/>
        <v>0.86391506283210484</v>
      </c>
      <c r="N29" s="11">
        <f t="shared" si="1"/>
        <v>0.17132770000580649</v>
      </c>
      <c r="O29" s="63">
        <f t="shared" si="2"/>
        <v>76.539999999999992</v>
      </c>
      <c r="P29" s="63">
        <f t="shared" si="5"/>
        <v>1.2414277833154195</v>
      </c>
      <c r="Q29" s="66"/>
      <c r="R29" s="11">
        <f t="shared" si="6"/>
        <v>0.82867229999419356</v>
      </c>
      <c r="S29" s="44">
        <f t="shared" si="9"/>
        <v>1.621933346374993E-2</v>
      </c>
      <c r="Y29" s="38">
        <f t="shared" si="10"/>
        <v>0.70462967606073312</v>
      </c>
      <c r="Z29" s="66" t="e">
        <f t="shared" si="11"/>
        <v>#DIV/0!</v>
      </c>
      <c r="AA29" s="11">
        <f t="shared" si="7"/>
        <v>0.38590321915242609</v>
      </c>
    </row>
    <row r="30" spans="1:27" x14ac:dyDescent="0.2">
      <c r="A30" s="39">
        <f>+A29+365/4-2</f>
        <v>46467</v>
      </c>
      <c r="B30" s="63">
        <f t="shared" si="8"/>
        <v>5.1205479452054794</v>
      </c>
      <c r="C30" s="38">
        <v>-1.25</v>
      </c>
      <c r="D30" s="38">
        <v>0</v>
      </c>
      <c r="E30" s="38">
        <f t="shared" si="14"/>
        <v>-1.25</v>
      </c>
      <c r="F30" s="65"/>
      <c r="G30" s="65"/>
      <c r="H30" s="65"/>
      <c r="L30" s="38">
        <f t="shared" si="4"/>
        <v>0.85760090074584461</v>
      </c>
      <c r="N30" s="11">
        <f t="shared" si="1"/>
        <v>0.15682162840726818</v>
      </c>
      <c r="O30" s="63">
        <f t="shared" si="2"/>
        <v>76.539999999999992</v>
      </c>
      <c r="P30" s="63">
        <f t="shared" si="5"/>
        <v>1.1102947201521158</v>
      </c>
      <c r="Q30" s="66"/>
      <c r="R30" s="11">
        <f t="shared" si="6"/>
        <v>0.84317837159273179</v>
      </c>
      <c r="S30" s="44">
        <f t="shared" si="9"/>
        <v>1.4506071598538228E-2</v>
      </c>
      <c r="Y30" s="38">
        <f t="shared" si="10"/>
        <v>0.69327586240442196</v>
      </c>
      <c r="Z30" s="66" t="e">
        <f t="shared" si="11"/>
        <v>#DIV/0!</v>
      </c>
      <c r="AA30" s="11">
        <f t="shared" si="7"/>
        <v>0.40073704938016474</v>
      </c>
    </row>
    <row r="31" spans="1:27" x14ac:dyDescent="0.2">
      <c r="A31" s="39">
        <f t="shared" si="12"/>
        <v>46558.25</v>
      </c>
      <c r="B31" s="63">
        <f t="shared" si="8"/>
        <v>5.3705479452054794</v>
      </c>
      <c r="C31" s="38">
        <v>0</v>
      </c>
      <c r="D31" s="38">
        <v>0</v>
      </c>
      <c r="E31" s="38">
        <f t="shared" si="14"/>
        <v>0</v>
      </c>
      <c r="F31" s="65"/>
      <c r="G31" s="65"/>
      <c r="H31" s="65"/>
      <c r="L31" s="38">
        <f t="shared" si="4"/>
        <v>0.8511929538284142</v>
      </c>
      <c r="N31" s="11">
        <f t="shared" si="1"/>
        <v>0.14325947155300564</v>
      </c>
      <c r="O31" s="63">
        <v>0</v>
      </c>
      <c r="P31" s="63">
        <f t="shared" si="5"/>
        <v>0</v>
      </c>
      <c r="Q31" s="66"/>
      <c r="R31" s="11">
        <f t="shared" si="6"/>
        <v>0.85674052844699433</v>
      </c>
      <c r="S31" s="44">
        <f t="shared" si="9"/>
        <v>1.3562156854262541E-2</v>
      </c>
      <c r="Y31" s="38">
        <f t="shared" si="10"/>
        <v>0.68195111501117633</v>
      </c>
      <c r="Z31" s="66" t="e">
        <f t="shared" si="11"/>
        <v>#DIV/0!</v>
      </c>
      <c r="AA31" s="11">
        <f t="shared" si="7"/>
        <v>0.41553290434912937</v>
      </c>
    </row>
    <row r="32" spans="1:27" x14ac:dyDescent="0.2">
      <c r="A32" s="39">
        <f t="shared" si="12"/>
        <v>46649.5</v>
      </c>
      <c r="B32" s="63">
        <f t="shared" si="8"/>
        <v>5.6205479452054794</v>
      </c>
      <c r="C32" s="38">
        <v>0</v>
      </c>
      <c r="D32" s="38">
        <v>0</v>
      </c>
      <c r="E32" s="38">
        <f t="shared" si="14"/>
        <v>0</v>
      </c>
      <c r="F32" s="65"/>
      <c r="G32" s="65"/>
      <c r="H32" s="65"/>
      <c r="L32" s="38">
        <f t="shared" si="4"/>
        <v>0.84483288673907264</v>
      </c>
      <c r="N32" s="11">
        <f t="shared" si="1"/>
        <v>0.1308701892595272</v>
      </c>
      <c r="O32" s="63">
        <v>0</v>
      </c>
      <c r="P32" s="63">
        <f t="shared" si="5"/>
        <v>0</v>
      </c>
      <c r="Q32" s="66"/>
      <c r="R32" s="11">
        <f t="shared" si="6"/>
        <v>0.8691298107404728</v>
      </c>
      <c r="S32" s="44">
        <f t="shared" si="9"/>
        <v>1.2389282293478465E-2</v>
      </c>
      <c r="Y32" s="38">
        <f t="shared" si="10"/>
        <v>0.67090597662732698</v>
      </c>
      <c r="Z32" s="66" t="e">
        <f t="shared" si="11"/>
        <v>#DIV/0!</v>
      </c>
      <c r="AA32" s="11">
        <f t="shared" si="7"/>
        <v>0.42996344835729428</v>
      </c>
    </row>
    <row r="33" spans="1:27" x14ac:dyDescent="0.2">
      <c r="A33" s="39">
        <f t="shared" si="12"/>
        <v>46740.75</v>
      </c>
      <c r="B33" s="63">
        <f t="shared" si="8"/>
        <v>5.8705479452054794</v>
      </c>
      <c r="C33" s="38">
        <v>0</v>
      </c>
      <c r="D33" s="38">
        <v>0</v>
      </c>
      <c r="E33" s="38">
        <f t="shared" si="14"/>
        <v>0</v>
      </c>
      <c r="F33" s="65"/>
      <c r="G33" s="65"/>
      <c r="H33" s="65"/>
      <c r="L33" s="38">
        <f t="shared" si="4"/>
        <v>0.83852034172236922</v>
      </c>
      <c r="N33" s="11">
        <f t="shared" si="1"/>
        <v>0.11955234967125737</v>
      </c>
      <c r="O33" s="63">
        <v>0</v>
      </c>
      <c r="P33" s="63">
        <f t="shared" si="5"/>
        <v>0</v>
      </c>
      <c r="Q33" s="66"/>
      <c r="R33" s="11">
        <f t="shared" si="6"/>
        <v>0.88044765032874261</v>
      </c>
      <c r="S33" s="44">
        <f t="shared" si="9"/>
        <v>1.1317839588269818E-2</v>
      </c>
      <c r="Y33" s="38">
        <f t="shared" si="10"/>
        <v>0.66013354368183397</v>
      </c>
      <c r="Z33" s="66" t="e">
        <f t="shared" si="11"/>
        <v>#DIV/0!</v>
      </c>
      <c r="AA33" s="11">
        <f t="shared" si="7"/>
        <v>0.44403770096441864</v>
      </c>
    </row>
    <row r="34" spans="1:27" x14ac:dyDescent="0.2">
      <c r="A34" s="39">
        <f t="shared" si="12"/>
        <v>46832</v>
      </c>
      <c r="B34" s="63">
        <f t="shared" si="8"/>
        <v>6.1205479452054794</v>
      </c>
      <c r="C34" s="38">
        <v>0</v>
      </c>
      <c r="D34" s="38">
        <v>0</v>
      </c>
      <c r="E34" s="38">
        <f t="shared" si="14"/>
        <v>0</v>
      </c>
      <c r="F34" s="65"/>
      <c r="G34" s="65"/>
      <c r="H34" s="65"/>
      <c r="L34" s="38">
        <f t="shared" si="4"/>
        <v>0.8322549636959824</v>
      </c>
      <c r="N34" s="11">
        <f t="shared" si="1"/>
        <v>0.10921329290335757</v>
      </c>
      <c r="O34" s="63">
        <v>0</v>
      </c>
      <c r="P34" s="63">
        <f t="shared" si="5"/>
        <v>0</v>
      </c>
      <c r="Q34" s="66"/>
      <c r="R34" s="11">
        <f t="shared" si="6"/>
        <v>0.89078670709664243</v>
      </c>
      <c r="S34" s="44">
        <f t="shared" si="9"/>
        <v>1.0339056767899812E-2</v>
      </c>
      <c r="Y34" s="38">
        <f t="shared" si="10"/>
        <v>0.6496270830534342</v>
      </c>
      <c r="Z34" s="66" t="e">
        <f t="shared" si="11"/>
        <v>#DIV/0!</v>
      </c>
      <c r="AA34" s="11">
        <f t="shared" si="7"/>
        <v>0.45776445903653751</v>
      </c>
    </row>
    <row r="35" spans="1:27" x14ac:dyDescent="0.2">
      <c r="A35" s="39">
        <f t="shared" si="12"/>
        <v>46923.25</v>
      </c>
      <c r="B35" s="63">
        <f t="shared" si="8"/>
        <v>6.3705479452054794</v>
      </c>
      <c r="C35" s="38">
        <v>0</v>
      </c>
      <c r="D35" s="38">
        <v>0</v>
      </c>
      <c r="E35" s="38">
        <f t="shared" si="14"/>
        <v>0</v>
      </c>
      <c r="F35" s="65"/>
      <c r="G35" s="65"/>
      <c r="H35" s="65"/>
      <c r="L35" s="38">
        <f t="shared" si="4"/>
        <v>0.82603640023074609</v>
      </c>
      <c r="N35" s="11">
        <f t="shared" si="1"/>
        <v>9.9768372429255389E-2</v>
      </c>
      <c r="O35" s="63">
        <v>0</v>
      </c>
      <c r="P35" s="63">
        <f t="shared" si="5"/>
        <v>0</v>
      </c>
      <c r="Q35" s="66"/>
      <c r="R35" s="11">
        <f t="shared" si="6"/>
        <v>0.9002316275707446</v>
      </c>
      <c r="S35" s="44">
        <f t="shared" si="9"/>
        <v>9.4449204741021697E-3</v>
      </c>
      <c r="Y35" s="38">
        <f t="shared" si="10"/>
        <v>0.63938002786222037</v>
      </c>
      <c r="Z35" s="66" t="e">
        <f t="shared" si="11"/>
        <v>#DIV/0!</v>
      </c>
      <c r="AA35" s="11">
        <f t="shared" si="7"/>
        <v>0.47115230224429006</v>
      </c>
    </row>
    <row r="36" spans="1:27" x14ac:dyDescent="0.2">
      <c r="A36" s="39">
        <f t="shared" si="12"/>
        <v>47014.5</v>
      </c>
      <c r="B36" s="63">
        <f t="shared" si="8"/>
        <v>6.6205479452054794</v>
      </c>
      <c r="C36" s="38">
        <v>0</v>
      </c>
      <c r="D36" s="38">
        <v>0</v>
      </c>
      <c r="E36" s="38">
        <f t="shared" si="14"/>
        <v>0</v>
      </c>
      <c r="F36" s="65"/>
      <c r="G36" s="65"/>
      <c r="H36" s="65"/>
      <c r="L36" s="38">
        <f t="shared" si="4"/>
        <v>0.81986430153082568</v>
      </c>
      <c r="N36" s="11">
        <f t="shared" si="1"/>
        <v>9.114026207405565E-2</v>
      </c>
      <c r="O36" s="63">
        <v>0</v>
      </c>
      <c r="P36" s="63">
        <f t="shared" si="5"/>
        <v>0</v>
      </c>
      <c r="Q36" s="66"/>
      <c r="R36" s="11">
        <f t="shared" si="6"/>
        <v>0.90885973792594432</v>
      </c>
      <c r="S36" s="44">
        <f t="shared" si="9"/>
        <v>8.6281103551997251E-3</v>
      </c>
      <c r="Y36" s="38">
        <f t="shared" si="10"/>
        <v>0.62938597336512825</v>
      </c>
      <c r="Z36" s="66" t="e">
        <f t="shared" si="11"/>
        <v>#DIV/0!</v>
      </c>
      <c r="AA36" s="11">
        <f t="shared" si="7"/>
        <v>0.48420959842549227</v>
      </c>
    </row>
    <row r="37" spans="1:27" x14ac:dyDescent="0.2">
      <c r="A37" s="39">
        <f t="shared" si="12"/>
        <v>47105.75</v>
      </c>
      <c r="B37" s="63">
        <f t="shared" si="8"/>
        <v>6.8705479452054794</v>
      </c>
      <c r="C37" s="38">
        <v>0</v>
      </c>
      <c r="D37" s="38">
        <v>0</v>
      </c>
      <c r="E37" s="38">
        <f t="shared" si="14"/>
        <v>0</v>
      </c>
      <c r="F37" s="65"/>
      <c r="G37" s="65"/>
      <c r="H37" s="65"/>
      <c r="L37" s="38">
        <f t="shared" si="4"/>
        <v>0.81373832041404204</v>
      </c>
      <c r="N37" s="11">
        <f t="shared" si="1"/>
        <v>8.3258322940144389E-2</v>
      </c>
      <c r="O37" s="63">
        <v>0</v>
      </c>
      <c r="P37" s="63">
        <f t="shared" si="5"/>
        <v>0</v>
      </c>
      <c r="Q37" s="66"/>
      <c r="R37" s="11">
        <f t="shared" si="6"/>
        <v>0.91674167705985565</v>
      </c>
      <c r="S37" s="44">
        <f t="shared" si="9"/>
        <v>7.8819391339113309E-3</v>
      </c>
      <c r="Y37" s="38">
        <f t="shared" si="10"/>
        <v>0.61963867295276287</v>
      </c>
      <c r="Z37" s="66" t="e">
        <f t="shared" si="11"/>
        <v>#DIV/0!</v>
      </c>
      <c r="AA37" s="11">
        <f t="shared" si="7"/>
        <v>0.49694450881530849</v>
      </c>
    </row>
    <row r="38" spans="1:27" x14ac:dyDescent="0.2">
      <c r="A38" s="39">
        <f t="shared" si="12"/>
        <v>47197</v>
      </c>
      <c r="B38" s="63">
        <f t="shared" si="8"/>
        <v>7.1205479452054794</v>
      </c>
      <c r="C38" s="38">
        <v>0</v>
      </c>
      <c r="D38" s="38">
        <v>0</v>
      </c>
      <c r="E38" s="38">
        <f t="shared" si="14"/>
        <v>0</v>
      </c>
      <c r="F38" s="65"/>
      <c r="G38" s="65"/>
      <c r="H38" s="65"/>
      <c r="L38" s="38">
        <f t="shared" si="4"/>
        <v>0.80765811229234197</v>
      </c>
      <c r="N38" s="11">
        <f t="shared" si="1"/>
        <v>7.6058025081964839E-2</v>
      </c>
      <c r="O38" s="63">
        <v>0</v>
      </c>
      <c r="P38" s="63">
        <f t="shared" si="5"/>
        <v>0</v>
      </c>
      <c r="Q38" s="66"/>
      <c r="R38" s="11">
        <f t="shared" si="6"/>
        <v>0.9239419749180352</v>
      </c>
      <c r="S38" s="44">
        <f t="shared" si="9"/>
        <v>7.2002978581795496E-3</v>
      </c>
      <c r="Y38" s="38">
        <f t="shared" si="10"/>
        <v>0.61013203424506512</v>
      </c>
      <c r="Z38" s="66" t="e">
        <f t="shared" si="11"/>
        <v>#DIV/0!</v>
      </c>
      <c r="AA38" s="11">
        <f t="shared" si="7"/>
        <v>0.50936499314728878</v>
      </c>
    </row>
    <row r="39" spans="1:27" x14ac:dyDescent="0.2">
      <c r="A39" s="39">
        <f t="shared" si="12"/>
        <v>47288.25</v>
      </c>
      <c r="B39" s="63">
        <f t="shared" si="8"/>
        <v>7.3705479452054794</v>
      </c>
      <c r="C39" s="38">
        <v>0</v>
      </c>
      <c r="D39" s="38">
        <v>0</v>
      </c>
      <c r="E39" s="38">
        <f t="shared" si="14"/>
        <v>0</v>
      </c>
      <c r="F39" s="65"/>
      <c r="G39" s="65"/>
      <c r="H39" s="65"/>
      <c r="L39" s="38">
        <f t="shared" si="4"/>
        <v>0.80162333515241535</v>
      </c>
      <c r="N39" s="11">
        <f t="shared" si="1"/>
        <v>6.9480419195178694E-2</v>
      </c>
      <c r="O39" s="63">
        <v>0</v>
      </c>
      <c r="P39" s="63">
        <f t="shared" si="5"/>
        <v>0</v>
      </c>
      <c r="Q39" s="66"/>
      <c r="R39" s="11">
        <f t="shared" si="6"/>
        <v>0.93051958080482133</v>
      </c>
      <c r="S39" s="44">
        <f t="shared" si="9"/>
        <v>6.5776058867861309E-3</v>
      </c>
      <c r="Y39" s="38">
        <f t="shared" si="10"/>
        <v>0.60086011528337524</v>
      </c>
      <c r="Z39" s="66" t="e">
        <f t="shared" si="11"/>
        <v>#DIV/0!</v>
      </c>
      <c r="AA39" s="11">
        <f t="shared" si="7"/>
        <v>0.52147881462846191</v>
      </c>
    </row>
    <row r="40" spans="1:27" x14ac:dyDescent="0.2">
      <c r="A40" s="39">
        <f t="shared" si="12"/>
        <v>47379.5</v>
      </c>
      <c r="B40" s="63">
        <f t="shared" si="8"/>
        <v>7.6205479452054794</v>
      </c>
      <c r="C40" s="38">
        <v>0</v>
      </c>
      <c r="D40" s="38">
        <v>0</v>
      </c>
      <c r="E40" s="38">
        <f t="shared" si="14"/>
        <v>0</v>
      </c>
      <c r="F40" s="65"/>
      <c r="G40" s="65"/>
      <c r="H40" s="65"/>
      <c r="L40" s="38">
        <f t="shared" si="4"/>
        <v>0.7956336495364571</v>
      </c>
      <c r="N40" s="11">
        <f t="shared" si="1"/>
        <v>6.3471653994898111E-2</v>
      </c>
      <c r="O40" s="63">
        <v>0</v>
      </c>
      <c r="P40" s="63">
        <f t="shared" si="5"/>
        <v>0</v>
      </c>
      <c r="Q40" s="66"/>
      <c r="R40" s="11">
        <f t="shared" si="6"/>
        <v>0.93652834600510193</v>
      </c>
      <c r="S40" s="44">
        <f t="shared" si="9"/>
        <v>6.0087652002805969E-3</v>
      </c>
      <c r="Y40" s="38">
        <f t="shared" si="10"/>
        <v>0.59181712081651572</v>
      </c>
      <c r="Z40" s="66" t="e">
        <f t="shared" si="11"/>
        <v>#DIV/0!</v>
      </c>
      <c r="AA40" s="11">
        <f t="shared" si="7"/>
        <v>0.53329354479159163</v>
      </c>
    </row>
    <row r="41" spans="1:27" x14ac:dyDescent="0.2">
      <c r="A41" s="39">
        <f t="shared" si="12"/>
        <v>47470.75</v>
      </c>
      <c r="B41" s="63">
        <f t="shared" si="8"/>
        <v>7.8705479452054794</v>
      </c>
      <c r="C41" s="38">
        <v>0</v>
      </c>
      <c r="D41" s="38">
        <v>0</v>
      </c>
      <c r="E41" s="38">
        <f t="shared" si="14"/>
        <v>0</v>
      </c>
      <c r="F41" s="65"/>
      <c r="G41" s="65"/>
      <c r="H41" s="65"/>
      <c r="L41" s="38">
        <f t="shared" si="4"/>
        <v>0.78968871852307188</v>
      </c>
      <c r="N41" s="11">
        <f t="shared" si="1"/>
        <v>5.7982535331732955E-2</v>
      </c>
      <c r="O41" s="63">
        <v>0</v>
      </c>
      <c r="P41" s="63">
        <f t="shared" si="5"/>
        <v>0</v>
      </c>
      <c r="Q41" s="66"/>
      <c r="R41" s="11">
        <f t="shared" si="6"/>
        <v>0.94201746466826708</v>
      </c>
      <c r="S41" s="44">
        <f t="shared" si="9"/>
        <v>5.489118663165149E-3</v>
      </c>
      <c r="Y41" s="38">
        <f t="shared" si="10"/>
        <v>0.58299739867857026</v>
      </c>
      <c r="Z41" s="66" t="e">
        <f t="shared" si="11"/>
        <v>#DIV/0!</v>
      </c>
      <c r="AA41" s="11">
        <f t="shared" si="7"/>
        <v>0.54481656822763225</v>
      </c>
    </row>
    <row r="42" spans="1:27" x14ac:dyDescent="0.2">
      <c r="A42" s="39">
        <f t="shared" si="12"/>
        <v>47562</v>
      </c>
      <c r="B42" s="63">
        <f t="shared" si="8"/>
        <v>8.1205479452054803</v>
      </c>
      <c r="C42" s="38">
        <v>0</v>
      </c>
      <c r="D42" s="38">
        <v>0</v>
      </c>
      <c r="E42" s="38">
        <f t="shared" si="14"/>
        <v>0</v>
      </c>
      <c r="F42" s="65"/>
      <c r="G42" s="65"/>
      <c r="H42" s="65"/>
      <c r="L42" s="38">
        <f t="shared" si="4"/>
        <v>0.78378820770832269</v>
      </c>
      <c r="N42" s="11">
        <f t="shared" si="1"/>
        <v>5.2968123436107371E-2</v>
      </c>
      <c r="O42" s="63">
        <v>0</v>
      </c>
      <c r="P42" s="63">
        <f t="shared" si="5"/>
        <v>0</v>
      </c>
      <c r="Q42" s="66"/>
      <c r="R42" s="11">
        <f t="shared" si="6"/>
        <v>0.94703187656389265</v>
      </c>
      <c r="S42" s="44">
        <f t="shared" si="9"/>
        <v>5.0144118956255701E-3</v>
      </c>
      <c r="Y42" s="38">
        <f t="shared" si="10"/>
        <v>0.57439543625609624</v>
      </c>
      <c r="Z42" s="66" t="e">
        <f t="shared" si="11"/>
        <v>#DIV/0!</v>
      </c>
      <c r="AA42" s="11">
        <f t="shared" si="7"/>
        <v>0.55605508720133756</v>
      </c>
    </row>
    <row r="43" spans="1:27" x14ac:dyDescent="0.2">
      <c r="A43" s="39">
        <f t="shared" si="12"/>
        <v>47653.25</v>
      </c>
      <c r="B43" s="63">
        <f t="shared" si="8"/>
        <v>8.3705479452054803</v>
      </c>
      <c r="C43" s="38">
        <v>0</v>
      </c>
      <c r="D43" s="38">
        <v>0</v>
      </c>
      <c r="E43" s="38">
        <f t="shared" si="14"/>
        <v>0</v>
      </c>
      <c r="F43" s="65"/>
      <c r="G43" s="65"/>
      <c r="H43" s="65"/>
      <c r="L43" s="38">
        <f t="shared" si="4"/>
        <v>0.7779317851869203</v>
      </c>
      <c r="N43" s="11">
        <f t="shared" si="1"/>
        <v>4.8387364993459206E-2</v>
      </c>
      <c r="O43" s="63">
        <v>0</v>
      </c>
      <c r="P43" s="63">
        <f t="shared" si="5"/>
        <v>0</v>
      </c>
      <c r="Q43" s="66"/>
      <c r="R43" s="11">
        <f t="shared" si="6"/>
        <v>0.95161263500654081</v>
      </c>
      <c r="S43" s="44">
        <f t="shared" si="9"/>
        <v>4.5807584426481585E-3</v>
      </c>
      <c r="Y43" s="38">
        <f t="shared" si="10"/>
        <v>0.56600585704256212</v>
      </c>
      <c r="Z43" s="66" t="e">
        <f t="shared" si="11"/>
        <v>#DIV/0!</v>
      </c>
      <c r="AA43" s="11">
        <f t="shared" si="7"/>
        <v>0.56701612615291075</v>
      </c>
    </row>
    <row r="44" spans="1:27" x14ac:dyDescent="0.2">
      <c r="A44" s="39">
        <f t="shared" si="12"/>
        <v>47744.5</v>
      </c>
      <c r="B44" s="63">
        <f t="shared" si="8"/>
        <v>8.6205479452054803</v>
      </c>
      <c r="C44" s="38">
        <v>0</v>
      </c>
      <c r="D44" s="38">
        <v>0</v>
      </c>
      <c r="E44" s="38">
        <f t="shared" si="14"/>
        <v>0</v>
      </c>
      <c r="F44" s="65"/>
      <c r="G44" s="65"/>
      <c r="H44" s="65"/>
      <c r="L44" s="38">
        <f t="shared" si="4"/>
        <v>0.77211912153355389</v>
      </c>
      <c r="N44" s="11">
        <f t="shared" si="1"/>
        <v>4.4202757038098069E-2</v>
      </c>
      <c r="O44" s="63">
        <v>0</v>
      </c>
      <c r="P44" s="63">
        <f t="shared" si="5"/>
        <v>0</v>
      </c>
      <c r="Q44" s="66"/>
      <c r="R44" s="11">
        <f t="shared" si="6"/>
        <v>0.95579724296190194</v>
      </c>
      <c r="S44" s="44">
        <f t="shared" si="9"/>
        <v>4.1846079553611304E-3</v>
      </c>
      <c r="Y44" s="38">
        <f t="shared" si="10"/>
        <v>0.55782341727785556</v>
      </c>
      <c r="Z44" s="66" t="e">
        <f t="shared" si="11"/>
        <v>#DIV/0!</v>
      </c>
      <c r="AA44" s="11">
        <f t="shared" si="7"/>
        <v>0.57770653608850864</v>
      </c>
    </row>
    <row r="45" spans="1:27" x14ac:dyDescent="0.2">
      <c r="A45" s="39">
        <f t="shared" si="12"/>
        <v>47835.75</v>
      </c>
      <c r="B45" s="63">
        <f t="shared" si="8"/>
        <v>8.8705479452054803</v>
      </c>
      <c r="C45" s="38">
        <v>0</v>
      </c>
      <c r="D45" s="38">
        <v>0</v>
      </c>
      <c r="E45" s="38">
        <f t="shared" si="14"/>
        <v>0</v>
      </c>
      <c r="F45" s="65"/>
      <c r="G45" s="65"/>
      <c r="H45" s="65"/>
      <c r="L45" s="38">
        <f t="shared" si="4"/>
        <v>0.76634988978436014</v>
      </c>
      <c r="N45" s="11">
        <f t="shared" si="1"/>
        <v>4.038003991399914E-2</v>
      </c>
      <c r="O45" s="63">
        <v>0</v>
      </c>
      <c r="P45" s="63">
        <f t="shared" si="5"/>
        <v>0</v>
      </c>
      <c r="Q45" s="66"/>
      <c r="R45" s="11">
        <f t="shared" si="6"/>
        <v>0.95961996008600081</v>
      </c>
      <c r="S45" s="44">
        <f t="shared" si="9"/>
        <v>3.8227171240988733E-3</v>
      </c>
      <c r="Y45" s="38">
        <f t="shared" si="10"/>
        <v>0.54984300267076236</v>
      </c>
      <c r="Z45" s="66" t="e">
        <f t="shared" si="11"/>
        <v>#DIV/0!</v>
      </c>
      <c r="AA45" s="11">
        <f t="shared" si="7"/>
        <v>0.58813299886234349</v>
      </c>
    </row>
    <row r="46" spans="1:27" x14ac:dyDescent="0.2">
      <c r="A46" s="39">
        <f t="shared" si="12"/>
        <v>47927</v>
      </c>
      <c r="B46" s="63">
        <f t="shared" si="8"/>
        <v>9.1205479452054803</v>
      </c>
      <c r="C46" s="38">
        <v>0</v>
      </c>
      <c r="D46" s="38">
        <v>0</v>
      </c>
      <c r="E46" s="38">
        <f t="shared" si="14"/>
        <v>0</v>
      </c>
      <c r="F46" s="65"/>
      <c r="G46" s="65"/>
      <c r="H46" s="65"/>
      <c r="L46" s="38">
        <f t="shared" si="4"/>
        <v>0.76062376541853216</v>
      </c>
      <c r="N46" s="11">
        <f t="shared" si="1"/>
        <v>3.6887916788783226E-2</v>
      </c>
      <c r="O46" s="63">
        <v>0</v>
      </c>
      <c r="P46" s="63">
        <f t="shared" si="5"/>
        <v>0</v>
      </c>
      <c r="Q46" s="66"/>
      <c r="R46" s="11">
        <f t="shared" si="6"/>
        <v>0.96311208321121677</v>
      </c>
      <c r="S46" s="44">
        <f t="shared" si="9"/>
        <v>3.4921231252159624E-3</v>
      </c>
      <c r="Y46" s="38">
        <f t="shared" si="10"/>
        <v>0.54205962520236861</v>
      </c>
      <c r="Z46" s="66" t="e">
        <f t="shared" si="11"/>
        <v>#DIV/0!</v>
      </c>
      <c r="AA46" s="11">
        <f t="shared" si="7"/>
        <v>0.59830203135305904</v>
      </c>
    </row>
    <row r="47" spans="1:27" x14ac:dyDescent="0.2">
      <c r="A47" s="39">
        <f t="shared" si="12"/>
        <v>48018.25</v>
      </c>
      <c r="B47" s="63">
        <f t="shared" si="8"/>
        <v>9.3705479452054803</v>
      </c>
      <c r="C47" s="38">
        <v>0</v>
      </c>
      <c r="D47" s="38">
        <v>0</v>
      </c>
      <c r="E47" s="38">
        <f t="shared" si="14"/>
        <v>0</v>
      </c>
      <c r="F47" s="65"/>
      <c r="G47" s="65"/>
      <c r="H47" s="65"/>
      <c r="L47" s="38">
        <f t="shared" si="4"/>
        <v>0.75494042634006431</v>
      </c>
      <c r="N47" s="11">
        <f t="shared" si="1"/>
        <v>3.3697797424525465E-2</v>
      </c>
      <c r="O47" s="63">
        <v>0</v>
      </c>
      <c r="P47" s="63">
        <f t="shared" si="5"/>
        <v>0</v>
      </c>
      <c r="Q47" s="66"/>
      <c r="R47" s="11">
        <f t="shared" si="6"/>
        <v>0.9663022025754745</v>
      </c>
      <c r="S47" s="44">
        <f t="shared" si="9"/>
        <v>3.1901193642577264E-3</v>
      </c>
      <c r="Y47" s="38">
        <f t="shared" si="10"/>
        <v>0.53446842000838624</v>
      </c>
      <c r="Z47" s="66" t="e">
        <f t="shared" si="11"/>
        <v>#DIV/0!</v>
      </c>
      <c r="AA47" s="11">
        <f t="shared" si="7"/>
        <v>0.60821998953699208</v>
      </c>
    </row>
    <row r="48" spans="1:27" x14ac:dyDescent="0.2">
      <c r="A48" s="39">
        <f t="shared" si="12"/>
        <v>48109.5</v>
      </c>
      <c r="B48" s="63">
        <f t="shared" si="8"/>
        <v>9.6205479452054803</v>
      </c>
      <c r="C48" s="38">
        <v>0</v>
      </c>
      <c r="D48" s="38">
        <v>0</v>
      </c>
      <c r="E48" s="38">
        <f t="shared" si="14"/>
        <v>0</v>
      </c>
      <c r="F48" s="65"/>
      <c r="G48" s="65"/>
      <c r="H48" s="65"/>
      <c r="L48" s="38">
        <f t="shared" si="4"/>
        <v>0.74929955285963512</v>
      </c>
      <c r="N48" s="11">
        <f t="shared" si="1"/>
        <v>3.0783564107627989E-2</v>
      </c>
      <c r="O48" s="63">
        <v>0</v>
      </c>
      <c r="P48" s="63">
        <f t="shared" si="5"/>
        <v>0</v>
      </c>
      <c r="Q48" s="66"/>
      <c r="R48" s="11">
        <f t="shared" si="6"/>
        <v>0.96921643589237205</v>
      </c>
      <c r="S48" s="44">
        <f t="shared" si="9"/>
        <v>2.9142333168975521E-3</v>
      </c>
      <c r="Y48" s="38">
        <f t="shared" si="10"/>
        <v>0.5270646423384544</v>
      </c>
      <c r="Z48" s="66" t="e">
        <f t="shared" si="11"/>
        <v>#DIV/0!</v>
      </c>
      <c r="AA48" s="11">
        <f t="shared" si="7"/>
        <v>0.61789307246086445</v>
      </c>
    </row>
    <row r="49" spans="1:27" x14ac:dyDescent="0.2">
      <c r="A49" s="39">
        <f t="shared" si="12"/>
        <v>48200.75</v>
      </c>
      <c r="B49" s="63">
        <f t="shared" si="8"/>
        <v>9.8705479452054803</v>
      </c>
      <c r="C49" s="38">
        <v>0</v>
      </c>
      <c r="E49" s="38">
        <f t="shared" si="14"/>
        <v>0</v>
      </c>
      <c r="F49" s="65"/>
      <c r="G49" s="65"/>
      <c r="H49" s="65"/>
      <c r="L49" s="38">
        <f t="shared" si="4"/>
        <v>0.74370082767662382</v>
      </c>
      <c r="N49" s="11">
        <f t="shared" si="1"/>
        <v>2.8121357821409197E-2</v>
      </c>
      <c r="O49" s="63">
        <v>0</v>
      </c>
      <c r="P49" s="63">
        <f t="shared" si="5"/>
        <v>0</v>
      </c>
      <c r="Q49" s="66"/>
      <c r="R49" s="11">
        <f t="shared" si="6"/>
        <v>0.97187864217859077</v>
      </c>
      <c r="S49" s="44">
        <f t="shared" si="9"/>
        <v>2.6622062862187157E-3</v>
      </c>
      <c r="Y49" s="38">
        <f t="shared" si="10"/>
        <v>0.51984366459051567</v>
      </c>
      <c r="Z49" s="66" t="e">
        <f t="shared" si="11"/>
        <v>#DIV/0!</v>
      </c>
      <c r="AA49" s="11">
        <f t="shared" si="7"/>
        <v>0.62732732611638919</v>
      </c>
    </row>
    <row r="50" spans="1:27" x14ac:dyDescent="0.2">
      <c r="A50" s="39">
        <f t="shared" si="12"/>
        <v>48292</v>
      </c>
      <c r="B50" s="63">
        <f t="shared" si="8"/>
        <v>10.12054794520548</v>
      </c>
      <c r="C50" s="38">
        <v>0</v>
      </c>
      <c r="E50" s="38">
        <f t="shared" si="14"/>
        <v>0</v>
      </c>
      <c r="F50" s="65"/>
      <c r="G50" s="65"/>
      <c r="H50" s="65"/>
      <c r="L50" s="38">
        <f t="shared" si="4"/>
        <v>0.7381439358612627</v>
      </c>
      <c r="N50" s="11">
        <f t="shared" si="1"/>
        <v>2.5689382910790825E-2</v>
      </c>
      <c r="O50" s="63">
        <v>0</v>
      </c>
      <c r="P50" s="63">
        <f t="shared" si="5"/>
        <v>0</v>
      </c>
      <c r="Q50" s="66"/>
      <c r="R50" s="11">
        <f t="shared" si="6"/>
        <v>0.97431061708920919</v>
      </c>
      <c r="S50" s="44">
        <f t="shared" si="9"/>
        <v>2.4319749106184174E-3</v>
      </c>
      <c r="Y50" s="38">
        <f t="shared" si="10"/>
        <v>0.51280097341841513</v>
      </c>
      <c r="Z50" s="66" t="e">
        <f t="shared" si="11"/>
        <v>#DIV/0!</v>
      </c>
      <c r="AA50" s="11">
        <f t="shared" si="7"/>
        <v>0.6365286472192121</v>
      </c>
    </row>
    <row r="51" spans="1:27" x14ac:dyDescent="0.2">
      <c r="A51" s="39">
        <f t="shared" si="12"/>
        <v>48383.25</v>
      </c>
      <c r="B51" s="63">
        <f t="shared" si="8"/>
        <v>10.37054794520548</v>
      </c>
      <c r="C51" s="38">
        <v>0</v>
      </c>
      <c r="E51" s="38">
        <f t="shared" si="14"/>
        <v>0</v>
      </c>
      <c r="F51" s="65"/>
      <c r="G51" s="65"/>
      <c r="H51" s="65"/>
      <c r="L51" s="38">
        <f t="shared" si="4"/>
        <v>0.73262856483692196</v>
      </c>
      <c r="N51" s="11">
        <f t="shared" si="1"/>
        <v>2.3467728639859867E-2</v>
      </c>
      <c r="O51" s="63">
        <v>0</v>
      </c>
      <c r="P51" s="63">
        <f t="shared" si="5"/>
        <v>0</v>
      </c>
      <c r="Q51" s="66"/>
      <c r="R51" s="11">
        <f t="shared" si="6"/>
        <v>0.97653227136014009</v>
      </c>
      <c r="S51" s="44">
        <f t="shared" si="9"/>
        <v>2.2216542709309062E-3</v>
      </c>
      <c r="Y51" s="38">
        <f t="shared" si="10"/>
        <v>0.50593216691091092</v>
      </c>
      <c r="Z51" s="66" t="e">
        <f t="shared" si="11"/>
        <v>#DIV/0!</v>
      </c>
      <c r="AA51" s="11">
        <f t="shared" si="7"/>
        <v>0.64550278689455065</v>
      </c>
    </row>
    <row r="52" spans="1:27" x14ac:dyDescent="0.2">
      <c r="A52" s="39">
        <f t="shared" si="12"/>
        <v>48474.5</v>
      </c>
      <c r="B52" s="63">
        <f t="shared" si="8"/>
        <v>10.62054794520548</v>
      </c>
      <c r="C52" s="38">
        <v>0</v>
      </c>
      <c r="E52" s="38">
        <f t="shared" si="14"/>
        <v>0</v>
      </c>
      <c r="F52" s="65"/>
      <c r="G52" s="65"/>
      <c r="H52" s="65"/>
      <c r="L52" s="38">
        <f t="shared" si="4"/>
        <v>0.72715440436252721</v>
      </c>
      <c r="N52" s="11">
        <f t="shared" si="1"/>
        <v>2.1438206181385654E-2</v>
      </c>
      <c r="O52" s="63">
        <v>0</v>
      </c>
      <c r="P52" s="63">
        <f t="shared" si="5"/>
        <v>0</v>
      </c>
      <c r="Q52" s="66"/>
      <c r="R52" s="11">
        <f t="shared" si="6"/>
        <v>0.9785617938186143</v>
      </c>
      <c r="S52" s="44">
        <f t="shared" si="9"/>
        <v>2.0295224584742089E-3</v>
      </c>
      <c r="Y52" s="38">
        <f t="shared" si="10"/>
        <v>0.49923295184033739</v>
      </c>
      <c r="Z52" s="66" t="e">
        <f t="shared" si="11"/>
        <v>#DIV/0!</v>
      </c>
      <c r="AA52" s="11">
        <f t="shared" si="7"/>
        <v>0.65425535427183512</v>
      </c>
    </row>
    <row r="53" spans="1:27" x14ac:dyDescent="0.2">
      <c r="A53" s="39">
        <f t="shared" si="12"/>
        <v>48565.75</v>
      </c>
      <c r="B53" s="63">
        <f t="shared" si="8"/>
        <v>10.87054794520548</v>
      </c>
      <c r="C53" s="38">
        <v>0</v>
      </c>
      <c r="E53" s="38">
        <f t="shared" si="14"/>
        <v>0</v>
      </c>
      <c r="F53" s="65"/>
      <c r="G53" s="65"/>
      <c r="H53" s="65"/>
      <c r="L53" s="38">
        <f t="shared" si="4"/>
        <v>0.72172114651510832</v>
      </c>
      <c r="N53" s="11">
        <f t="shared" si="1"/>
        <v>1.9584199703714764E-2</v>
      </c>
      <c r="O53" s="63">
        <v>0</v>
      </c>
      <c r="P53" s="63">
        <f t="shared" si="5"/>
        <v>0</v>
      </c>
      <c r="Q53" s="66"/>
      <c r="R53" s="11">
        <f t="shared" si="6"/>
        <v>0.98041580029628528</v>
      </c>
      <c r="S53" s="44">
        <f t="shared" si="9"/>
        <v>1.8540064776709775E-3</v>
      </c>
      <c r="Y53" s="38">
        <f t="shared" si="10"/>
        <v>0.49269914097919748</v>
      </c>
      <c r="Z53" s="66" t="e">
        <f t="shared" si="11"/>
        <v>#DIV/0!</v>
      </c>
      <c r="AA53" s="11">
        <f t="shared" si="7"/>
        <v>0.66279181999059644</v>
      </c>
    </row>
    <row r="54" spans="1:27" x14ac:dyDescent="0.2">
      <c r="A54" s="39">
        <f t="shared" si="12"/>
        <v>48657</v>
      </c>
      <c r="B54" s="63">
        <f t="shared" si="8"/>
        <v>11.12054794520548</v>
      </c>
      <c r="C54" s="38">
        <v>0</v>
      </c>
      <c r="E54" s="38">
        <f t="shared" si="14"/>
        <v>0</v>
      </c>
      <c r="F54" s="65"/>
      <c r="G54" s="65"/>
      <c r="H54" s="65"/>
      <c r="L54" s="38">
        <f t="shared" si="4"/>
        <v>0.71632848567247898</v>
      </c>
      <c r="N54" s="11">
        <f t="shared" si="1"/>
        <v>1.789053033588239E-2</v>
      </c>
      <c r="O54" s="63">
        <v>0</v>
      </c>
      <c r="P54" s="63">
        <f t="shared" si="5"/>
        <v>0</v>
      </c>
      <c r="Q54" s="66"/>
      <c r="R54" s="11">
        <f t="shared" si="6"/>
        <v>0.98210946966411761</v>
      </c>
      <c r="S54" s="44">
        <f t="shared" si="9"/>
        <v>1.6936693678323289E-3</v>
      </c>
      <c r="Y54" s="38">
        <f t="shared" si="10"/>
        <v>0.48632665048300933</v>
      </c>
      <c r="Z54" s="66" t="e">
        <f t="shared" si="11"/>
        <v>#DIV/0!</v>
      </c>
      <c r="AA54" s="11">
        <f t="shared" si="7"/>
        <v>0.67111751961979449</v>
      </c>
    </row>
    <row r="55" spans="1:27" x14ac:dyDescent="0.2">
      <c r="A55" s="39">
        <f t="shared" si="12"/>
        <v>48748.25</v>
      </c>
      <c r="B55" s="63">
        <f t="shared" si="8"/>
        <v>11.37054794520548</v>
      </c>
      <c r="C55" s="38">
        <v>0</v>
      </c>
      <c r="E55" s="38">
        <f t="shared" si="14"/>
        <v>0</v>
      </c>
      <c r="F55" s="65"/>
      <c r="G55" s="65"/>
      <c r="H55" s="65"/>
      <c r="L55" s="38">
        <f t="shared" si="4"/>
        <v>0.71097611849604458</v>
      </c>
      <c r="N55" s="11">
        <f t="shared" si="1"/>
        <v>1.6343331897213875E-2</v>
      </c>
      <c r="O55" s="63">
        <v>0</v>
      </c>
      <c r="P55" s="63">
        <f t="shared" si="5"/>
        <v>0</v>
      </c>
      <c r="Q55" s="66"/>
      <c r="R55" s="11">
        <f t="shared" si="6"/>
        <v>0.98365666810278607</v>
      </c>
      <c r="S55" s="44">
        <f t="shared" si="9"/>
        <v>1.5471984386684623E-3</v>
      </c>
      <c r="Y55" s="38">
        <f t="shared" si="10"/>
        <v>0.4801114973377707</v>
      </c>
      <c r="Z55" s="66" t="e">
        <f t="shared" si="11"/>
        <v>#DIV/0!</v>
      </c>
      <c r="AA55" s="11">
        <f t="shared" si="7"/>
        <v>0.67923765699272187</v>
      </c>
    </row>
    <row r="56" spans="1:27" x14ac:dyDescent="0.2">
      <c r="A56" s="39">
        <f t="shared" si="12"/>
        <v>48839.5</v>
      </c>
      <c r="B56" s="63">
        <f t="shared" si="8"/>
        <v>11.62054794520548</v>
      </c>
      <c r="C56" s="38">
        <v>0</v>
      </c>
      <c r="E56" s="38">
        <f t="shared" si="14"/>
        <v>0</v>
      </c>
      <c r="F56" s="65"/>
      <c r="G56" s="65"/>
      <c r="H56" s="65"/>
      <c r="L56" s="38">
        <f t="shared" si="4"/>
        <v>0.70566374391374043</v>
      </c>
      <c r="N56" s="11">
        <f t="shared" si="1"/>
        <v>1.4929937374006568E-2</v>
      </c>
      <c r="O56" s="63">
        <v>0</v>
      </c>
      <c r="P56" s="63">
        <f t="shared" si="5"/>
        <v>0</v>
      </c>
      <c r="Q56" s="66"/>
      <c r="R56" s="11">
        <f t="shared" si="6"/>
        <v>0.98507006262599339</v>
      </c>
      <c r="S56" s="44">
        <f t="shared" si="9"/>
        <v>1.4133945232073231E-3</v>
      </c>
      <c r="Y56" s="38">
        <f t="shared" si="10"/>
        <v>0.47404979687044535</v>
      </c>
      <c r="Z56" s="66" t="e">
        <f t="shared" si="11"/>
        <v>#DIV/0!</v>
      </c>
      <c r="AA56" s="11">
        <f t="shared" si="7"/>
        <v>0.68715730745956982</v>
      </c>
    </row>
    <row r="57" spans="1:27" x14ac:dyDescent="0.2">
      <c r="A57" s="39">
        <f t="shared" si="12"/>
        <v>48930.75</v>
      </c>
      <c r="B57" s="63">
        <f t="shared" si="8"/>
        <v>11.87054794520548</v>
      </c>
      <c r="C57" s="38">
        <v>0</v>
      </c>
      <c r="E57" s="38">
        <f t="shared" si="14"/>
        <v>0</v>
      </c>
      <c r="F57" s="65"/>
      <c r="G57" s="65"/>
      <c r="H57" s="65"/>
      <c r="L57" s="38">
        <f t="shared" si="4"/>
        <v>0.7003910631030954</v>
      </c>
      <c r="N57" s="11">
        <f t="shared" si="1"/>
        <v>1.3638775213869166E-2</v>
      </c>
      <c r="O57" s="63">
        <v>0</v>
      </c>
      <c r="P57" s="63">
        <f t="shared" si="5"/>
        <v>0</v>
      </c>
      <c r="Q57" s="66"/>
      <c r="R57" s="11">
        <f t="shared" si="6"/>
        <v>0.98636122478613086</v>
      </c>
      <c r="S57" s="44">
        <f t="shared" si="9"/>
        <v>1.2911621601374712E-3</v>
      </c>
      <c r="Y57" s="38">
        <f t="shared" si="10"/>
        <v>0.46813776032091614</v>
      </c>
      <c r="Z57" s="66" t="e">
        <f t="shared" si="11"/>
        <v>#DIV/0!</v>
      </c>
      <c r="AA57" s="11">
        <f t="shared" si="7"/>
        <v>0.69488142105968631</v>
      </c>
    </row>
    <row r="58" spans="1:27" x14ac:dyDescent="0.2">
      <c r="A58" s="39">
        <f t="shared" si="12"/>
        <v>49022</v>
      </c>
      <c r="B58" s="63">
        <f t="shared" si="8"/>
        <v>12.12054794520548</v>
      </c>
      <c r="C58" s="38">
        <v>0</v>
      </c>
      <c r="E58" s="38">
        <f t="shared" si="14"/>
        <v>0</v>
      </c>
      <c r="F58" s="65"/>
      <c r="G58" s="65"/>
      <c r="H58" s="65"/>
      <c r="L58" s="38">
        <f t="shared" si="4"/>
        <v>0.6951577794744237</v>
      </c>
      <c r="N58" s="11">
        <f t="shared" si="1"/>
        <v>1.2459274588673842E-2</v>
      </c>
      <c r="O58" s="63">
        <v>0</v>
      </c>
      <c r="P58" s="63">
        <f t="shared" si="5"/>
        <v>0</v>
      </c>
      <c r="Q58" s="66"/>
      <c r="R58" s="11">
        <f t="shared" si="6"/>
        <v>0.9875407254113262</v>
      </c>
      <c r="S58" s="44">
        <f t="shared" si="9"/>
        <v>1.1795006251953399E-3</v>
      </c>
      <c r="Y58" s="38">
        <f t="shared" si="10"/>
        <v>0.4623716924738866</v>
      </c>
      <c r="Z58" s="66" t="e">
        <f t="shared" si="11"/>
        <v>#DIV/0!</v>
      </c>
      <c r="AA58" s="11">
        <f t="shared" si="7"/>
        <v>0.70241482561551272</v>
      </c>
    </row>
    <row r="59" spans="1:27" x14ac:dyDescent="0.2">
      <c r="A59" s="39">
        <f t="shared" si="12"/>
        <v>49113.25</v>
      </c>
      <c r="B59" s="63">
        <f t="shared" si="8"/>
        <v>12.37054794520548</v>
      </c>
      <c r="C59" s="38">
        <v>0</v>
      </c>
      <c r="E59" s="38">
        <f t="shared" si="14"/>
        <v>0</v>
      </c>
      <c r="F59" s="65"/>
      <c r="G59" s="65"/>
      <c r="H59" s="65"/>
      <c r="L59" s="38">
        <f t="shared" si="4"/>
        <v>0.68996359865414136</v>
      </c>
      <c r="N59" s="11">
        <f t="shared" si="1"/>
        <v>1.1381778850502497E-2</v>
      </c>
      <c r="O59" s="63">
        <v>0</v>
      </c>
      <c r="P59" s="63">
        <f t="shared" si="5"/>
        <v>0</v>
      </c>
      <c r="Q59" s="66"/>
      <c r="R59" s="11">
        <f t="shared" si="6"/>
        <v>0.98861822114949749</v>
      </c>
      <c r="S59" s="44">
        <f t="shared" si="9"/>
        <v>1.0774957381712857E-3</v>
      </c>
      <c r="Y59" s="38">
        <f t="shared" si="10"/>
        <v>0.45674798934925076</v>
      </c>
      <c r="Z59" s="66" t="e">
        <f t="shared" si="11"/>
        <v>#DIV/0!</v>
      </c>
      <c r="AA59" s="11">
        <f t="shared" si="7"/>
        <v>0.70976222975012959</v>
      </c>
    </row>
    <row r="60" spans="1:27" x14ac:dyDescent="0.2">
      <c r="A60" s="39">
        <f t="shared" si="12"/>
        <v>49204.5</v>
      </c>
      <c r="B60" s="63">
        <f t="shared" si="8"/>
        <v>12.62054794520548</v>
      </c>
      <c r="C60" s="38">
        <v>0</v>
      </c>
      <c r="E60" s="38">
        <f t="shared" si="14"/>
        <v>0</v>
      </c>
      <c r="F60" s="65"/>
      <c r="G60" s="65"/>
      <c r="H60" s="65"/>
      <c r="L60" s="38">
        <f t="shared" si="4"/>
        <v>0.68480822846820766</v>
      </c>
      <c r="N60" s="11">
        <f t="shared" si="1"/>
        <v>1.0397466472045595E-2</v>
      </c>
      <c r="O60" s="63">
        <v>0</v>
      </c>
      <c r="P60" s="63">
        <f t="shared" si="5"/>
        <v>0</v>
      </c>
      <c r="Q60" s="66"/>
      <c r="R60" s="11">
        <f t="shared" si="6"/>
        <v>0.98960253352795435</v>
      </c>
      <c r="S60" s="44">
        <f t="shared" si="9"/>
        <v>9.8431237845686415E-4</v>
      </c>
      <c r="Y60" s="38">
        <f t="shared" si="10"/>
        <v>0.45126313594948875</v>
      </c>
      <c r="Z60" s="66" t="e">
        <f t="shared" si="11"/>
        <v>#DIV/0!</v>
      </c>
      <c r="AA60" s="11">
        <f t="shared" si="7"/>
        <v>0.71692822583029958</v>
      </c>
    </row>
    <row r="61" spans="1:27" x14ac:dyDescent="0.2">
      <c r="A61" s="39">
        <f t="shared" si="12"/>
        <v>49295.75</v>
      </c>
      <c r="B61" s="63">
        <f t="shared" si="8"/>
        <v>12.87054794520548</v>
      </c>
      <c r="C61" s="38">
        <v>0</v>
      </c>
      <c r="D61" s="38">
        <v>0</v>
      </c>
      <c r="E61" s="38">
        <f t="shared" si="14"/>
        <v>0</v>
      </c>
      <c r="F61" s="65"/>
      <c r="G61" s="65"/>
      <c r="H61" s="65"/>
      <c r="K61" s="38">
        <v>1</v>
      </c>
      <c r="L61" s="38">
        <f t="shared" si="4"/>
        <v>0.67969137892569031</v>
      </c>
      <c r="N61" s="11">
        <f t="shared" si="1"/>
        <v>9.4982788241874342E-3</v>
      </c>
      <c r="O61" s="63">
        <v>0</v>
      </c>
      <c r="P61" s="63">
        <f t="shared" si="5"/>
        <v>0</v>
      </c>
      <c r="Q61" s="66"/>
      <c r="R61" s="11">
        <f t="shared" si="6"/>
        <v>0.99050172117581259</v>
      </c>
      <c r="S61" s="44">
        <f t="shared" si="9"/>
        <v>8.9918764785823502E-4</v>
      </c>
      <c r="Y61" s="38">
        <f t="shared" si="10"/>
        <v>0.44591370406267855</v>
      </c>
      <c r="Z61" s="66" t="e">
        <f t="shared" si="11"/>
        <v>#DIV/0!</v>
      </c>
      <c r="AA61" s="11">
        <f t="shared" si="7"/>
        <v>0.72391729283684536</v>
      </c>
    </row>
    <row r="62" spans="1:27" x14ac:dyDescent="0.2">
      <c r="A62" s="39"/>
      <c r="G62" s="65"/>
    </row>
    <row r="63" spans="1:27" x14ac:dyDescent="0.2">
      <c r="A63" s="39"/>
      <c r="G63" s="65">
        <f>SUM(G10:G61)</f>
        <v>0</v>
      </c>
      <c r="N63" s="38">
        <f>SUMPRODUCT(N10:N61,$L$10:$L$61,$E$10:$E$61)</f>
        <v>-11.138729704889952</v>
      </c>
      <c r="P63" s="38">
        <f>SUMPRODUCT(P10:P61,$L$10:$L$61)</f>
        <v>60.947174976173628</v>
      </c>
      <c r="Y63" s="38">
        <f>SUMPRODUCT(Y11:Y61,$L$11:$L$61,$E$11:$E$61)</f>
        <v>-19.029473519476134</v>
      </c>
    </row>
    <row r="64" spans="1:27" ht="17" thickBot="1" x14ac:dyDescent="0.25">
      <c r="A64" s="39"/>
      <c r="G64" s="65"/>
    </row>
    <row r="65" spans="1:72" ht="17" thickBot="1" x14ac:dyDescent="0.25">
      <c r="A65" s="39"/>
      <c r="G65" s="65"/>
      <c r="M65" s="67" t="s">
        <v>47</v>
      </c>
      <c r="N65" s="68">
        <f>N63+P63</f>
        <v>49.808445271283674</v>
      </c>
    </row>
    <row r="66" spans="1:72" ht="17" thickBot="1" x14ac:dyDescent="0.25">
      <c r="A66" s="39"/>
      <c r="G66" s="65"/>
      <c r="M66" s="69"/>
      <c r="N66" s="70"/>
    </row>
    <row r="67" spans="1:72" x14ac:dyDescent="0.2">
      <c r="A67" s="39"/>
      <c r="G67" s="65"/>
      <c r="M67" s="71"/>
      <c r="N67" s="73" t="s">
        <v>48</v>
      </c>
    </row>
    <row r="68" spans="1:72" ht="17" thickBot="1" x14ac:dyDescent="0.25">
      <c r="A68" s="39"/>
      <c r="G68" s="65"/>
      <c r="M68" s="71"/>
      <c r="N68" s="75">
        <f>+N65*10000000/100</f>
        <v>4980844.5271283677</v>
      </c>
    </row>
    <row r="69" spans="1:72" x14ac:dyDescent="0.2">
      <c r="A69" s="39"/>
      <c r="G69" s="65"/>
      <c r="N69" s="64"/>
    </row>
    <row r="70" spans="1:72" x14ac:dyDescent="0.2">
      <c r="A70" s="39"/>
      <c r="G70" s="65"/>
      <c r="M70" s="71"/>
      <c r="N70" s="72"/>
    </row>
    <row r="71" spans="1:72" x14ac:dyDescent="0.2">
      <c r="A71" s="39"/>
      <c r="G71" s="65"/>
      <c r="M71" s="71"/>
      <c r="N71" s="74"/>
    </row>
    <row r="72" spans="1:72" x14ac:dyDescent="0.2">
      <c r="A72" s="39"/>
      <c r="G72" s="65"/>
    </row>
    <row r="73" spans="1:72" x14ac:dyDescent="0.2">
      <c r="A73" s="39"/>
      <c r="G73" s="65"/>
    </row>
    <row r="74" spans="1:72" x14ac:dyDescent="0.2">
      <c r="A74" s="39"/>
      <c r="G74" s="65"/>
    </row>
    <row r="75" spans="1:72" x14ac:dyDescent="0.2">
      <c r="A75" s="39"/>
      <c r="Z75" s="11"/>
      <c r="BF75" s="11" t="e">
        <f>BF77/AX77-1</f>
        <v>#DIV/0!</v>
      </c>
    </row>
    <row r="76" spans="1:72" x14ac:dyDescent="0.2">
      <c r="B76" s="64"/>
    </row>
    <row r="77" spans="1:72" x14ac:dyDescent="0.2"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</row>
    <row r="78" spans="1:72" x14ac:dyDescent="0.2"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</row>
    <row r="79" spans="1:72" x14ac:dyDescent="0.2">
      <c r="A79" s="39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</row>
    <row r="80" spans="1:72" x14ac:dyDescent="0.2">
      <c r="A80" s="39"/>
    </row>
    <row r="81" spans="1:1" x14ac:dyDescent="0.2">
      <c r="A81" s="39"/>
    </row>
    <row r="82" spans="1:1" x14ac:dyDescent="0.2">
      <c r="A82" s="39"/>
    </row>
    <row r="83" spans="1:1" x14ac:dyDescent="0.2">
      <c r="A83" s="39"/>
    </row>
    <row r="84" spans="1:1" x14ac:dyDescent="0.2">
      <c r="A84" s="39"/>
    </row>
    <row r="85" spans="1:1" x14ac:dyDescent="0.2">
      <c r="A85" s="39"/>
    </row>
    <row r="86" spans="1:1" x14ac:dyDescent="0.2">
      <c r="A86" s="39"/>
    </row>
    <row r="87" spans="1:1" x14ac:dyDescent="0.2">
      <c r="A87" s="39"/>
    </row>
    <row r="88" spans="1:1" x14ac:dyDescent="0.2">
      <c r="A88" s="39"/>
    </row>
    <row r="89" spans="1:1" x14ac:dyDescent="0.2">
      <c r="A89" s="39"/>
    </row>
    <row r="90" spans="1:1" x14ac:dyDescent="0.2">
      <c r="A90" s="39"/>
    </row>
    <row r="91" spans="1:1" x14ac:dyDescent="0.2">
      <c r="A91" s="39"/>
    </row>
    <row r="92" spans="1:1" x14ac:dyDescent="0.2">
      <c r="A92" s="39"/>
    </row>
    <row r="93" spans="1:1" x14ac:dyDescent="0.2">
      <c r="A93" s="39"/>
    </row>
    <row r="94" spans="1:1" x14ac:dyDescent="0.2">
      <c r="A94" s="39"/>
    </row>
    <row r="95" spans="1:1" x14ac:dyDescent="0.2">
      <c r="A95" s="39"/>
    </row>
    <row r="96" spans="1:1" x14ac:dyDescent="0.2">
      <c r="A96" s="39"/>
    </row>
    <row r="97" spans="1:1" x14ac:dyDescent="0.2">
      <c r="A97" s="39"/>
    </row>
    <row r="98" spans="1:1" x14ac:dyDescent="0.2">
      <c r="A98" s="39"/>
    </row>
    <row r="99" spans="1:1" x14ac:dyDescent="0.2">
      <c r="A99" s="39"/>
    </row>
    <row r="100" spans="1:1" x14ac:dyDescent="0.2">
      <c r="A100" s="39"/>
    </row>
    <row r="101" spans="1:1" x14ac:dyDescent="0.2">
      <c r="A101" s="39"/>
    </row>
    <row r="102" spans="1:1" x14ac:dyDescent="0.2">
      <c r="A102" s="39"/>
    </row>
    <row r="103" spans="1:1" x14ac:dyDescent="0.2">
      <c r="A103" s="39"/>
    </row>
    <row r="104" spans="1:1" x14ac:dyDescent="0.2">
      <c r="A104" s="39"/>
    </row>
    <row r="105" spans="1:1" x14ac:dyDescent="0.2">
      <c r="A105" s="39"/>
    </row>
    <row r="106" spans="1:1" x14ac:dyDescent="0.2">
      <c r="A106" s="39"/>
    </row>
    <row r="107" spans="1:1" x14ac:dyDescent="0.2">
      <c r="A107" s="39"/>
    </row>
    <row r="108" spans="1:1" x14ac:dyDescent="0.2">
      <c r="A108" s="39"/>
    </row>
    <row r="109" spans="1:1" x14ac:dyDescent="0.2">
      <c r="A109" s="39"/>
    </row>
    <row r="110" spans="1:1" x14ac:dyDescent="0.2">
      <c r="A110" s="39"/>
    </row>
    <row r="111" spans="1:1" x14ac:dyDescent="0.2">
      <c r="A111" s="39"/>
    </row>
    <row r="112" spans="1:1" x14ac:dyDescent="0.2">
      <c r="A112" s="39"/>
    </row>
    <row r="113" spans="1:1" x14ac:dyDescent="0.2">
      <c r="A113" s="39"/>
    </row>
    <row r="114" spans="1:1" x14ac:dyDescent="0.2">
      <c r="A114" s="39"/>
    </row>
    <row r="115" spans="1:1" x14ac:dyDescent="0.2">
      <c r="A115" s="39"/>
    </row>
    <row r="116" spans="1:1" x14ac:dyDescent="0.2">
      <c r="A116" s="39"/>
    </row>
    <row r="117" spans="1:1" x14ac:dyDescent="0.2">
      <c r="A117" s="39"/>
    </row>
    <row r="118" spans="1:1" x14ac:dyDescent="0.2">
      <c r="A118" s="39"/>
    </row>
    <row r="119" spans="1:1" x14ac:dyDescent="0.2">
      <c r="A119" s="39"/>
    </row>
    <row r="120" spans="1:1" x14ac:dyDescent="0.2">
      <c r="A120" s="39"/>
    </row>
    <row r="121" spans="1:1" x14ac:dyDescent="0.2">
      <c r="A121" s="39"/>
    </row>
    <row r="122" spans="1:1" x14ac:dyDescent="0.2">
      <c r="A122" s="39"/>
    </row>
    <row r="123" spans="1:1" x14ac:dyDescent="0.2">
      <c r="A123" s="39"/>
    </row>
    <row r="124" spans="1:1" x14ac:dyDescent="0.2">
      <c r="A124" s="39"/>
    </row>
    <row r="125" spans="1:1" x14ac:dyDescent="0.2">
      <c r="A125" s="39"/>
    </row>
    <row r="126" spans="1:1" x14ac:dyDescent="0.2">
      <c r="A126" s="39"/>
    </row>
    <row r="127" spans="1:1" x14ac:dyDescent="0.2">
      <c r="A127" s="39"/>
    </row>
    <row r="128" spans="1:1" x14ac:dyDescent="0.2">
      <c r="A128" s="39"/>
    </row>
    <row r="129" spans="1:1" x14ac:dyDescent="0.2">
      <c r="A129" s="39"/>
    </row>
    <row r="130" spans="1:1" x14ac:dyDescent="0.2">
      <c r="A130" s="39"/>
    </row>
    <row r="131" spans="1:1" x14ac:dyDescent="0.2">
      <c r="A131" s="39"/>
    </row>
    <row r="132" spans="1:1" x14ac:dyDescent="0.2">
      <c r="A132" s="3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A18" workbookViewId="0">
      <selection activeCell="E24" sqref="E24"/>
    </sheetView>
  </sheetViews>
  <sheetFormatPr baseColWidth="10" defaultColWidth="11" defaultRowHeight="16" x14ac:dyDescent="0.2"/>
  <cols>
    <col min="1" max="1" width="29.6640625" bestFit="1" customWidth="1"/>
    <col min="4" max="4" width="16.5" bestFit="1" customWidth="1"/>
    <col min="8" max="8" width="11.83203125" bestFit="1" customWidth="1"/>
  </cols>
  <sheetData>
    <row r="1" spans="1:19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x14ac:dyDescent="0.25">
      <c r="A2" s="25" t="s">
        <v>1</v>
      </c>
      <c r="B2" s="28">
        <v>44078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19" x14ac:dyDescent="0.25">
      <c r="A3" s="25" t="s">
        <v>2</v>
      </c>
      <c r="B3" s="28">
        <v>47730</v>
      </c>
      <c r="C3" s="25"/>
      <c r="D3" s="25"/>
      <c r="E3" s="25"/>
      <c r="F3" s="25"/>
      <c r="G3" s="38" t="s">
        <v>3</v>
      </c>
      <c r="H3" s="3">
        <v>0.03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1:19" x14ac:dyDescent="0.25">
      <c r="A4" s="25" t="s">
        <v>4</v>
      </c>
      <c r="B4" s="28">
        <v>44779</v>
      </c>
      <c r="C4" s="25"/>
      <c r="D4" s="25"/>
      <c r="E4" s="25"/>
      <c r="F4" s="25"/>
      <c r="G4" s="38" t="s">
        <v>5</v>
      </c>
      <c r="H4" s="3">
        <v>0.7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x14ac:dyDescent="0.25">
      <c r="A5" s="25" t="s">
        <v>6</v>
      </c>
      <c r="B5" s="29"/>
      <c r="C5" s="25"/>
      <c r="D5" s="25"/>
      <c r="E5" s="25"/>
      <c r="F5" s="25"/>
      <c r="G5" s="38" t="s">
        <v>7</v>
      </c>
      <c r="H5" s="3">
        <v>0.2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1:19" x14ac:dyDescent="0.25">
      <c r="A6" s="26">
        <v>44386</v>
      </c>
      <c r="B6" s="30">
        <v>0.125</v>
      </c>
      <c r="C6" s="25"/>
      <c r="D6" s="25"/>
      <c r="E6" s="25"/>
      <c r="F6" s="25"/>
      <c r="G6" s="5" t="s">
        <v>9</v>
      </c>
      <c r="H6" s="6">
        <f>SUMPRODUCT(F27:F42,G27:G42,D27:D42)+SUMPRODUCT(I27:I42,J27:J42,K27:K42,F27:F42)</f>
        <v>24.150174214817351</v>
      </c>
      <c r="I6" s="25"/>
      <c r="J6" s="25"/>
      <c r="K6" s="51"/>
      <c r="L6" s="25"/>
      <c r="M6" s="25"/>
      <c r="N6" s="25"/>
      <c r="O6" s="25"/>
      <c r="P6" s="25"/>
      <c r="Q6" s="25"/>
      <c r="R6" s="25"/>
      <c r="S6" s="25"/>
    </row>
    <row r="7" spans="1:19" x14ac:dyDescent="0.25">
      <c r="A7" s="26">
        <v>45116</v>
      </c>
      <c r="B7" s="30">
        <v>0.5</v>
      </c>
      <c r="C7" s="25"/>
      <c r="D7" s="25"/>
      <c r="E7" s="25"/>
      <c r="F7" s="25"/>
      <c r="G7" s="5" t="s">
        <v>11</v>
      </c>
      <c r="H7" s="23">
        <v>0.35747643290404785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</row>
    <row r="8" spans="1:19" x14ac:dyDescent="0.25">
      <c r="A8" s="26">
        <v>46577</v>
      </c>
      <c r="B8" s="30">
        <v>0.75</v>
      </c>
      <c r="C8" s="25"/>
      <c r="D8" s="25"/>
      <c r="E8" s="36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1:19" x14ac:dyDescent="0.25">
      <c r="A9" s="26">
        <v>47673</v>
      </c>
      <c r="B9" s="30">
        <v>1.75</v>
      </c>
      <c r="C9" s="25"/>
      <c r="D9" s="25"/>
      <c r="E9" s="36"/>
      <c r="F9" s="25"/>
      <c r="G9" s="38"/>
      <c r="H9" s="3"/>
      <c r="I9" s="25"/>
      <c r="J9" s="25"/>
      <c r="K9" s="22"/>
      <c r="L9" s="25"/>
      <c r="M9" s="25"/>
      <c r="N9" s="25"/>
      <c r="O9" s="25"/>
      <c r="P9" s="25"/>
      <c r="Q9" s="25"/>
      <c r="R9" s="25"/>
      <c r="S9" s="25"/>
    </row>
    <row r="10" spans="1:19" x14ac:dyDescent="0.25">
      <c r="A10" s="25" t="s">
        <v>8</v>
      </c>
      <c r="B10" s="27">
        <v>2</v>
      </c>
      <c r="C10" s="25"/>
      <c r="D10" s="25"/>
      <c r="E10" s="25"/>
      <c r="F10" s="25"/>
      <c r="G10" s="76"/>
      <c r="H10" s="80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spans="1:19" x14ac:dyDescent="0.25">
      <c r="A11" s="25" t="s">
        <v>10</v>
      </c>
      <c r="B11" s="27">
        <v>12.5</v>
      </c>
      <c r="C11" s="25"/>
      <c r="D11" s="25"/>
      <c r="E11" s="25"/>
      <c r="F11" s="25"/>
      <c r="G11" s="76"/>
      <c r="H11" s="80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r="12" spans="1:19" x14ac:dyDescent="0.25">
      <c r="A12" s="25" t="s">
        <v>12</v>
      </c>
      <c r="B12" s="28">
        <v>45482</v>
      </c>
      <c r="C12" s="25"/>
      <c r="D12" s="25"/>
      <c r="E12" s="25"/>
      <c r="F12" s="25"/>
      <c r="G12" s="76"/>
      <c r="H12" s="81"/>
      <c r="I12" s="25"/>
      <c r="J12" s="25"/>
      <c r="K12" s="25"/>
      <c r="L12" s="25"/>
      <c r="M12" s="25"/>
      <c r="N12" s="25"/>
      <c r="O12" s="25"/>
      <c r="P12" s="25"/>
      <c r="Q12" s="32"/>
      <c r="R12" s="31"/>
      <c r="S12" s="31"/>
    </row>
    <row r="13" spans="1:19" x14ac:dyDescent="0.25">
      <c r="A13" s="25" t="s">
        <v>13</v>
      </c>
      <c r="B13" s="27">
        <v>100</v>
      </c>
      <c r="C13" s="25"/>
      <c r="D13" s="25"/>
      <c r="E13" s="25"/>
      <c r="F13" s="25"/>
      <c r="G13" s="76"/>
      <c r="H13" s="82"/>
      <c r="I13" s="25"/>
      <c r="J13" s="25"/>
      <c r="K13" s="25"/>
      <c r="L13" s="25"/>
      <c r="M13" s="25"/>
      <c r="N13" s="25"/>
      <c r="O13" s="25"/>
      <c r="P13" s="25"/>
      <c r="Q13" s="32"/>
      <c r="R13" s="31"/>
      <c r="S13" s="31"/>
    </row>
    <row r="14" spans="1:19" x14ac:dyDescent="0.25">
      <c r="A14" s="25" t="s">
        <v>14</v>
      </c>
      <c r="B14" s="28">
        <v>44078</v>
      </c>
      <c r="C14" s="25"/>
      <c r="D14" s="25"/>
      <c r="E14" s="25"/>
      <c r="F14" s="25"/>
      <c r="G14" s="76"/>
      <c r="H14" s="76"/>
      <c r="I14" s="25"/>
      <c r="J14" s="25"/>
      <c r="K14" s="25"/>
      <c r="L14" s="25"/>
      <c r="M14" s="25"/>
      <c r="N14" s="25"/>
      <c r="O14" s="25"/>
      <c r="P14" s="25"/>
      <c r="Q14" s="32"/>
      <c r="R14" s="31"/>
      <c r="S14" s="31"/>
    </row>
    <row r="15" spans="1:19" x14ac:dyDescent="0.25">
      <c r="A15" s="25" t="s">
        <v>15</v>
      </c>
      <c r="B15" s="27">
        <v>0</v>
      </c>
      <c r="C15" s="25"/>
      <c r="D15" s="25"/>
      <c r="E15" s="25"/>
      <c r="F15" s="25"/>
      <c r="G15" s="76"/>
      <c r="H15" s="76"/>
      <c r="I15" s="25"/>
      <c r="J15" s="25"/>
      <c r="K15" s="25"/>
      <c r="L15" s="25"/>
      <c r="M15" s="25"/>
      <c r="N15" s="25"/>
      <c r="O15" s="25"/>
      <c r="P15" s="25"/>
      <c r="Q15" s="32"/>
      <c r="R15" s="32"/>
      <c r="S15" s="25"/>
    </row>
    <row r="16" spans="1:19" x14ac:dyDescent="0.25">
      <c r="A16" s="76"/>
      <c r="B16" s="77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24" x14ac:dyDescent="0.2">
      <c r="A17" s="76"/>
      <c r="B17" s="76"/>
    </row>
    <row r="18" spans="1:24" x14ac:dyDescent="0.25">
      <c r="A18" s="76"/>
      <c r="B18" s="77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spans="1:24" x14ac:dyDescent="0.25">
      <c r="A19" s="78"/>
      <c r="B19" s="79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1" spans="1:24" x14ac:dyDescent="0.25">
      <c r="A21" s="25"/>
      <c r="B21" s="27" t="s">
        <v>13</v>
      </c>
      <c r="C21" s="27" t="s">
        <v>16</v>
      </c>
      <c r="D21" s="27" t="s">
        <v>17</v>
      </c>
      <c r="E21" s="40" t="s">
        <v>18</v>
      </c>
      <c r="F21" s="40" t="s">
        <v>19</v>
      </c>
      <c r="G21" s="40" t="s">
        <v>20</v>
      </c>
      <c r="H21" s="40" t="s">
        <v>21</v>
      </c>
      <c r="I21" s="38" t="s">
        <v>22</v>
      </c>
      <c r="J21" s="38" t="s">
        <v>23</v>
      </c>
      <c r="K21" s="38" t="s">
        <v>7</v>
      </c>
      <c r="L21" s="25"/>
      <c r="M21" s="38"/>
      <c r="N21" s="38"/>
      <c r="O21" s="38" t="s">
        <v>11</v>
      </c>
      <c r="P21" s="25"/>
      <c r="Q21" s="25"/>
      <c r="R21" s="25"/>
      <c r="S21" s="25"/>
      <c r="T21" s="25"/>
      <c r="U21" s="25"/>
      <c r="V21" s="25"/>
      <c r="W21" s="25"/>
      <c r="X21" s="25"/>
    </row>
    <row r="22" spans="1:24" x14ac:dyDescent="0.25">
      <c r="A22" s="26">
        <v>44078</v>
      </c>
      <c r="B22" s="25"/>
      <c r="C22" s="34"/>
      <c r="D22" s="34"/>
      <c r="E22" s="40"/>
      <c r="F22" s="38"/>
      <c r="G22" s="38"/>
      <c r="H22" s="38"/>
      <c r="I22" s="38"/>
      <c r="J22" s="38"/>
      <c r="K22" s="38"/>
      <c r="L22" s="25"/>
      <c r="M22" s="45"/>
      <c r="N22" s="38"/>
      <c r="O22" s="38"/>
      <c r="P22" s="25"/>
      <c r="Q22" s="25"/>
      <c r="R22" s="25"/>
      <c r="S22" s="25"/>
      <c r="T22" s="25"/>
      <c r="U22" s="25"/>
      <c r="V22" s="25"/>
      <c r="W22" s="32"/>
      <c r="X22" s="33"/>
    </row>
    <row r="23" spans="1:24" x14ac:dyDescent="0.25">
      <c r="A23" s="26">
        <v>44205</v>
      </c>
      <c r="B23" s="35">
        <v>0</v>
      </c>
      <c r="C23" s="34"/>
      <c r="D23" s="34"/>
      <c r="E23" s="40"/>
      <c r="F23" s="38"/>
      <c r="G23" s="11">
        <f t="shared" ref="G23:G40" si="0">EXP(-H$4*E23)</f>
        <v>1</v>
      </c>
      <c r="H23" s="11">
        <v>0</v>
      </c>
      <c r="I23" s="38"/>
      <c r="J23" s="38"/>
      <c r="K23" s="38"/>
      <c r="L23" s="25"/>
      <c r="M23" s="39">
        <f>+B4</f>
        <v>44779</v>
      </c>
      <c r="N23" s="22">
        <f>-H6</f>
        <v>-24.150174214817351</v>
      </c>
      <c r="O23" s="38"/>
      <c r="P23" s="25"/>
      <c r="Q23" s="25"/>
      <c r="R23" s="25"/>
      <c r="S23" s="25"/>
      <c r="T23" s="25"/>
      <c r="U23" s="25"/>
      <c r="V23" s="25"/>
      <c r="W23" s="26"/>
      <c r="X23" s="25"/>
    </row>
    <row r="24" spans="1:24" x14ac:dyDescent="0.25">
      <c r="A24" s="26">
        <v>44386</v>
      </c>
      <c r="B24" s="35">
        <v>0</v>
      </c>
      <c r="C24" s="35">
        <v>0.10590277777777779</v>
      </c>
      <c r="D24" s="35">
        <v>0.10590277777777779</v>
      </c>
      <c r="E24" s="48">
        <f>IF(A24&lt;B$4,0,YEARFRAC(B$4,A24,1))</f>
        <v>0</v>
      </c>
      <c r="F24" s="50">
        <f t="shared" ref="F24:F40" si="1">EXP(-H$3*E24)</f>
        <v>1</v>
      </c>
      <c r="G24" s="11">
        <f t="shared" si="0"/>
        <v>1</v>
      </c>
      <c r="H24" s="11">
        <f t="shared" ref="H24:H40" si="2">1-G24</f>
        <v>0</v>
      </c>
      <c r="I24" s="50">
        <f t="shared" ref="I24:I40" si="3">H24-H23</f>
        <v>0</v>
      </c>
      <c r="J24" s="37">
        <f>B$13-SUM(B$22:B23)+C24</f>
        <v>100.10590277777777</v>
      </c>
      <c r="K24" s="44">
        <f t="shared" ref="K24:K40" si="4">H$5</f>
        <v>0.2</v>
      </c>
      <c r="L24" s="25"/>
      <c r="M24" s="39">
        <f>+A27</f>
        <v>44935</v>
      </c>
      <c r="N24" s="37">
        <f>+D27</f>
        <v>0.25</v>
      </c>
      <c r="O24" s="24">
        <f>N24/((1+H$7/2)^(2*E27))</f>
        <v>0.21721651270614745</v>
      </c>
      <c r="P24" s="25"/>
      <c r="Q24" s="25"/>
      <c r="R24" s="25"/>
      <c r="S24" s="25"/>
      <c r="T24" s="25"/>
      <c r="U24" s="25"/>
      <c r="V24" s="31"/>
      <c r="W24" s="26"/>
      <c r="X24" s="25"/>
    </row>
    <row r="25" spans="1:24" x14ac:dyDescent="0.25">
      <c r="A25" s="26">
        <v>44570</v>
      </c>
      <c r="B25" s="35">
        <v>0</v>
      </c>
      <c r="C25" s="35">
        <v>0.25</v>
      </c>
      <c r="D25" s="35">
        <v>0.25</v>
      </c>
      <c r="E25" s="48">
        <f t="shared" ref="E25:E42" si="5">IF(A25&lt;B$4,0,YEARFRAC(B$4,A25,1))</f>
        <v>0</v>
      </c>
      <c r="F25" s="50">
        <f t="shared" si="1"/>
        <v>1</v>
      </c>
      <c r="G25" s="11">
        <f t="shared" si="0"/>
        <v>1</v>
      </c>
      <c r="H25" s="11">
        <f t="shared" si="2"/>
        <v>0</v>
      </c>
      <c r="I25" s="50">
        <f t="shared" si="3"/>
        <v>0</v>
      </c>
      <c r="J25" s="37">
        <f>B$13-SUM(B$22:B24)+C25</f>
        <v>100.25</v>
      </c>
      <c r="K25" s="44">
        <f t="shared" si="4"/>
        <v>0.2</v>
      </c>
      <c r="L25" s="25"/>
      <c r="M25" s="39">
        <f t="shared" ref="M25:M39" si="6">+A28</f>
        <v>45116</v>
      </c>
      <c r="N25" s="37">
        <f t="shared" ref="N25:N39" si="7">+D28</f>
        <v>0.25</v>
      </c>
      <c r="O25" s="24">
        <f t="shared" ref="O25:O39" si="8">N25/((1+H$7/2)^(2*E28))</f>
        <v>0.18452808080072688</v>
      </c>
      <c r="P25" s="25"/>
      <c r="Q25" s="25"/>
      <c r="R25" s="25"/>
      <c r="S25" s="25"/>
      <c r="T25" s="25"/>
      <c r="U25" s="25"/>
      <c r="V25" s="31"/>
      <c r="W25" s="26"/>
      <c r="X25" s="25"/>
    </row>
    <row r="26" spans="1:24" x14ac:dyDescent="0.25">
      <c r="A26" s="26">
        <v>44751</v>
      </c>
      <c r="B26" s="35">
        <v>0</v>
      </c>
      <c r="C26" s="35">
        <v>0.25</v>
      </c>
      <c r="D26" s="35">
        <v>0.25</v>
      </c>
      <c r="E26" s="48">
        <f t="shared" si="5"/>
        <v>0</v>
      </c>
      <c r="F26" s="55">
        <f t="shared" si="1"/>
        <v>1</v>
      </c>
      <c r="G26" s="56">
        <f t="shared" si="0"/>
        <v>1</v>
      </c>
      <c r="H26" s="56">
        <f t="shared" si="2"/>
        <v>0</v>
      </c>
      <c r="I26" s="55">
        <f t="shared" si="3"/>
        <v>0</v>
      </c>
      <c r="J26" s="37">
        <f>B$13-SUM(B$22:B25)+C26</f>
        <v>100.25</v>
      </c>
      <c r="K26" s="44">
        <f t="shared" si="4"/>
        <v>0.2</v>
      </c>
      <c r="L26" s="25"/>
      <c r="M26" s="39">
        <f t="shared" si="6"/>
        <v>45300</v>
      </c>
      <c r="N26" s="37">
        <f t="shared" si="7"/>
        <v>0.375</v>
      </c>
      <c r="O26" s="24">
        <f t="shared" si="8"/>
        <v>0.23460398849514671</v>
      </c>
      <c r="P26" s="25"/>
      <c r="Q26" s="25"/>
      <c r="R26" s="25"/>
      <c r="S26" s="25"/>
      <c r="T26" s="25"/>
      <c r="U26" s="25"/>
      <c r="V26" s="31"/>
      <c r="W26" s="26"/>
      <c r="X26" s="25"/>
    </row>
    <row r="27" spans="1:24" x14ac:dyDescent="0.25">
      <c r="A27" s="26">
        <v>44935</v>
      </c>
      <c r="B27" s="35">
        <v>0</v>
      </c>
      <c r="C27" s="35">
        <v>0.25</v>
      </c>
      <c r="D27" s="35">
        <v>0.25</v>
      </c>
      <c r="E27" s="48">
        <f t="shared" si="5"/>
        <v>0.42739726027397262</v>
      </c>
      <c r="F27" s="55">
        <f>EXP(-H$3*E27)</f>
        <v>0.98725993277928459</v>
      </c>
      <c r="G27" s="56">
        <f>EXP(-H$4*E27)</f>
        <v>0.74142736266798048</v>
      </c>
      <c r="H27" s="56">
        <f t="shared" si="2"/>
        <v>0.25857263733201952</v>
      </c>
      <c r="I27" s="55">
        <f t="shared" si="3"/>
        <v>0.25857263733201952</v>
      </c>
      <c r="J27" s="37">
        <f>B$13-SUM(B$22:B26)+C27</f>
        <v>100.25</v>
      </c>
      <c r="K27" s="20">
        <f t="shared" si="4"/>
        <v>0.2</v>
      </c>
      <c r="L27" s="25"/>
      <c r="M27" s="39">
        <f t="shared" si="6"/>
        <v>45482</v>
      </c>
      <c r="N27" s="37">
        <f t="shared" si="7"/>
        <v>4.375</v>
      </c>
      <c r="O27" s="24">
        <f t="shared" si="8"/>
        <v>2.323407912184885</v>
      </c>
      <c r="P27" s="25"/>
      <c r="Q27" s="25"/>
      <c r="R27" s="25"/>
      <c r="S27" s="25"/>
      <c r="T27" s="25"/>
      <c r="U27" s="25"/>
      <c r="V27" s="31"/>
      <c r="W27" s="26"/>
      <c r="X27" s="25"/>
    </row>
    <row r="28" spans="1:24" x14ac:dyDescent="0.25">
      <c r="A28" s="26">
        <v>45116</v>
      </c>
      <c r="B28" s="35">
        <v>0</v>
      </c>
      <c r="C28" s="35">
        <v>0.25</v>
      </c>
      <c r="D28" s="35">
        <v>0.25</v>
      </c>
      <c r="E28" s="48">
        <f t="shared" si="5"/>
        <v>0.92328767123287669</v>
      </c>
      <c r="F28" s="55">
        <f t="shared" si="1"/>
        <v>0.97268145951258267</v>
      </c>
      <c r="G28" s="56">
        <f t="shared" si="0"/>
        <v>0.52398020616805496</v>
      </c>
      <c r="H28" s="56">
        <f t="shared" si="2"/>
        <v>0.47601979383194504</v>
      </c>
      <c r="I28" s="55">
        <f t="shared" si="3"/>
        <v>0.21744715649992552</v>
      </c>
      <c r="J28" s="37">
        <f>B$13-SUM(B$22:B27)+C28</f>
        <v>100.25</v>
      </c>
      <c r="K28" s="44">
        <f t="shared" si="4"/>
        <v>0.2</v>
      </c>
      <c r="L28" s="25"/>
      <c r="M28" s="39">
        <f t="shared" si="6"/>
        <v>45666</v>
      </c>
      <c r="N28" s="37">
        <f t="shared" si="7"/>
        <v>8.36</v>
      </c>
      <c r="O28" s="24">
        <f t="shared" si="8"/>
        <v>3.7612820664862054</v>
      </c>
      <c r="P28" s="25"/>
      <c r="Q28" s="25"/>
      <c r="R28" s="25"/>
      <c r="S28" s="25"/>
      <c r="T28" s="25"/>
      <c r="U28" s="25"/>
      <c r="V28" s="31"/>
      <c r="W28" s="26"/>
      <c r="X28" s="25"/>
    </row>
    <row r="29" spans="1:24" x14ac:dyDescent="0.2">
      <c r="A29" s="26">
        <v>45300</v>
      </c>
      <c r="B29" s="35">
        <v>0</v>
      </c>
      <c r="C29" s="35">
        <v>0.375</v>
      </c>
      <c r="D29" s="35">
        <v>0.375</v>
      </c>
      <c r="E29" s="48">
        <f t="shared" si="5"/>
        <v>1.426094890510949</v>
      </c>
      <c r="F29" s="50">
        <f t="shared" si="1"/>
        <v>0.95811942625886171</v>
      </c>
      <c r="G29" s="11">
        <f t="shared" si="0"/>
        <v>0.3685177414892572</v>
      </c>
      <c r="H29" s="11">
        <f t="shared" si="2"/>
        <v>0.6314822585107428</v>
      </c>
      <c r="I29" s="50">
        <f t="shared" si="3"/>
        <v>0.15546246467879776</v>
      </c>
      <c r="J29" s="37">
        <f>B$13-SUM(B$22:B28)+C29</f>
        <v>100.375</v>
      </c>
      <c r="K29" s="44">
        <f t="shared" si="4"/>
        <v>0.2</v>
      </c>
      <c r="L29" s="25"/>
      <c r="M29" s="39">
        <f t="shared" si="6"/>
        <v>45847</v>
      </c>
      <c r="N29" s="37">
        <f t="shared" si="7"/>
        <v>8.33</v>
      </c>
      <c r="O29" s="24">
        <f t="shared" si="8"/>
        <v>3.184144262028779</v>
      </c>
      <c r="P29" s="25"/>
      <c r="Q29" s="25"/>
      <c r="R29" s="25"/>
      <c r="S29" s="25"/>
      <c r="T29" s="25"/>
      <c r="U29" s="25"/>
      <c r="V29" s="31"/>
      <c r="W29" s="26"/>
      <c r="X29" s="25"/>
    </row>
    <row r="30" spans="1:24" x14ac:dyDescent="0.2">
      <c r="A30" s="57">
        <v>45482</v>
      </c>
      <c r="B30" s="58">
        <v>4</v>
      </c>
      <c r="C30" s="58">
        <v>0.375</v>
      </c>
      <c r="D30" s="58">
        <v>4.375</v>
      </c>
      <c r="E30" s="48">
        <f t="shared" si="5"/>
        <v>1.9242700729927009</v>
      </c>
      <c r="F30" s="59">
        <f t="shared" si="1"/>
        <v>0.94390655867555584</v>
      </c>
      <c r="G30" s="60">
        <f t="shared" si="0"/>
        <v>0.26002199611703514</v>
      </c>
      <c r="H30" s="60">
        <f t="shared" si="2"/>
        <v>0.73997800388296486</v>
      </c>
      <c r="I30" s="59">
        <f t="shared" si="3"/>
        <v>0.10849574537222206</v>
      </c>
      <c r="J30" s="61">
        <f>B$13-SUM(B$22:B29)+C30</f>
        <v>100.375</v>
      </c>
      <c r="K30" s="62">
        <f t="shared" si="4"/>
        <v>0.2</v>
      </c>
      <c r="L30" s="25"/>
      <c r="M30" s="39">
        <f t="shared" si="6"/>
        <v>46031</v>
      </c>
      <c r="N30" s="37">
        <f t="shared" si="7"/>
        <v>8.3000000000000007</v>
      </c>
      <c r="O30" s="24">
        <f t="shared" si="8"/>
        <v>2.6878419142297552</v>
      </c>
      <c r="P30" s="25"/>
      <c r="Q30" s="25"/>
      <c r="R30" s="25"/>
      <c r="S30" s="25"/>
      <c r="T30" s="25"/>
      <c r="U30" s="25"/>
      <c r="V30" s="31"/>
      <c r="W30" s="26"/>
      <c r="X30" s="25"/>
    </row>
    <row r="31" spans="1:24" x14ac:dyDescent="0.2">
      <c r="A31" s="26">
        <v>45666</v>
      </c>
      <c r="B31" s="35">
        <v>8</v>
      </c>
      <c r="C31" s="35">
        <v>0.36</v>
      </c>
      <c r="D31" s="35">
        <v>8.36</v>
      </c>
      <c r="E31" s="48">
        <f t="shared" si="5"/>
        <v>2.4284736481861739</v>
      </c>
      <c r="F31" s="50">
        <f t="shared" si="1"/>
        <v>0.92973636692594641</v>
      </c>
      <c r="G31" s="11">
        <f t="shared" si="0"/>
        <v>0.1826960284864238</v>
      </c>
      <c r="H31" s="11">
        <f t="shared" si="2"/>
        <v>0.81730397151357614</v>
      </c>
      <c r="I31" s="50">
        <f t="shared" si="3"/>
        <v>7.7325967630611281E-2</v>
      </c>
      <c r="J31" s="37">
        <f>B$13-SUM(B$22:B30)+C31</f>
        <v>96.36</v>
      </c>
      <c r="K31" s="44">
        <f t="shared" si="4"/>
        <v>0.2</v>
      </c>
      <c r="L31" s="25"/>
      <c r="M31" s="39">
        <f t="shared" si="6"/>
        <v>46212</v>
      </c>
      <c r="N31" s="37">
        <f t="shared" si="7"/>
        <v>8.27</v>
      </c>
      <c r="O31" s="24">
        <f t="shared" si="8"/>
        <v>2.2753046633640577</v>
      </c>
      <c r="P31" s="25"/>
      <c r="Q31" s="25"/>
      <c r="R31" s="25"/>
      <c r="S31" s="25"/>
      <c r="T31" s="25"/>
      <c r="U31" s="25"/>
      <c r="V31" s="31"/>
      <c r="W31" s="26"/>
      <c r="X31" s="25"/>
    </row>
    <row r="32" spans="1:24" x14ac:dyDescent="0.2">
      <c r="A32" s="26">
        <v>45847</v>
      </c>
      <c r="B32" s="35">
        <v>8</v>
      </c>
      <c r="C32" s="35">
        <v>0.32999999999999996</v>
      </c>
      <c r="D32" s="35">
        <v>8.33</v>
      </c>
      <c r="E32" s="48">
        <f t="shared" si="5"/>
        <v>2.924024640657084</v>
      </c>
      <c r="F32" s="50">
        <f t="shared" si="1"/>
        <v>0.91601664853217135</v>
      </c>
      <c r="G32" s="11">
        <f t="shared" si="0"/>
        <v>0.12914528752908672</v>
      </c>
      <c r="H32" s="11">
        <f t="shared" si="2"/>
        <v>0.87085471247091328</v>
      </c>
      <c r="I32" s="50">
        <f t="shared" si="3"/>
        <v>5.355074095733714E-2</v>
      </c>
      <c r="J32" s="37">
        <f>B$13-SUM(B$22:B31)+C32</f>
        <v>88.33</v>
      </c>
      <c r="K32" s="44">
        <f t="shared" si="4"/>
        <v>0.2</v>
      </c>
      <c r="L32" s="25"/>
      <c r="M32" s="39">
        <f t="shared" si="6"/>
        <v>46396</v>
      </c>
      <c r="N32" s="37">
        <f t="shared" si="7"/>
        <v>8.24</v>
      </c>
      <c r="O32" s="24">
        <f t="shared" si="8"/>
        <v>1.9206074349901514</v>
      </c>
      <c r="P32" s="25"/>
      <c r="Q32" s="25"/>
      <c r="R32" s="25"/>
      <c r="S32" s="25"/>
      <c r="T32" s="25"/>
      <c r="U32" s="25"/>
      <c r="V32" s="31"/>
      <c r="W32" s="26"/>
      <c r="X32" s="25"/>
    </row>
    <row r="33" spans="1:23" x14ac:dyDescent="0.2">
      <c r="A33" s="26">
        <v>46031</v>
      </c>
      <c r="B33" s="35">
        <v>8</v>
      </c>
      <c r="C33" s="35">
        <v>0.3</v>
      </c>
      <c r="D33" s="35">
        <v>8.3000000000000007</v>
      </c>
      <c r="E33" s="48">
        <f t="shared" si="5"/>
        <v>3.4282584884994525</v>
      </c>
      <c r="F33" s="50">
        <f t="shared" si="1"/>
        <v>0.90226432856941385</v>
      </c>
      <c r="G33" s="11">
        <f t="shared" si="0"/>
        <v>9.0737827964169113E-2</v>
      </c>
      <c r="H33" s="11">
        <f t="shared" si="2"/>
        <v>0.90926217203583093</v>
      </c>
      <c r="I33" s="50">
        <f t="shared" si="3"/>
        <v>3.8407459564917645E-2</v>
      </c>
      <c r="J33" s="37">
        <f>B$13-SUM(B$22:B32)+C33</f>
        <v>80.3</v>
      </c>
      <c r="K33" s="44">
        <f t="shared" si="4"/>
        <v>0.2</v>
      </c>
      <c r="L33" s="25"/>
      <c r="M33" s="39">
        <f t="shared" si="6"/>
        <v>46577</v>
      </c>
      <c r="N33" s="37">
        <f t="shared" si="7"/>
        <v>8.2100000000000009</v>
      </c>
      <c r="O33" s="24">
        <f t="shared" si="8"/>
        <v>1.6257602726473417</v>
      </c>
      <c r="P33" s="25"/>
      <c r="Q33" s="25"/>
      <c r="R33" s="25"/>
      <c r="S33" s="25"/>
      <c r="T33" s="25"/>
      <c r="U33" s="25"/>
      <c r="V33" s="31"/>
      <c r="W33" s="26"/>
    </row>
    <row r="34" spans="1:23" x14ac:dyDescent="0.2">
      <c r="A34" s="26">
        <v>46212</v>
      </c>
      <c r="B34" s="35">
        <v>8</v>
      </c>
      <c r="C34" s="35">
        <v>0.27</v>
      </c>
      <c r="D34" s="35">
        <v>8.27</v>
      </c>
      <c r="E34" s="48">
        <f t="shared" si="5"/>
        <v>3.9238773274917853</v>
      </c>
      <c r="F34" s="50">
        <f t="shared" si="1"/>
        <v>0.8889481938286049</v>
      </c>
      <c r="G34" s="11">
        <f t="shared" si="0"/>
        <v>6.4138265387486446E-2</v>
      </c>
      <c r="H34" s="11">
        <f t="shared" si="2"/>
        <v>0.93586173461251354</v>
      </c>
      <c r="I34" s="50">
        <f t="shared" si="3"/>
        <v>2.6599562576682612E-2</v>
      </c>
      <c r="J34" s="37">
        <f>B$13-SUM(B$22:B33)+C34</f>
        <v>72.27</v>
      </c>
      <c r="K34" s="44">
        <f t="shared" si="4"/>
        <v>0.2</v>
      </c>
      <c r="L34" s="25"/>
      <c r="M34" s="39">
        <f t="shared" si="6"/>
        <v>46761</v>
      </c>
      <c r="N34" s="37">
        <f t="shared" si="7"/>
        <v>8.42</v>
      </c>
      <c r="O34" s="24">
        <f t="shared" si="8"/>
        <v>1.4135351336475841</v>
      </c>
      <c r="P34" s="25"/>
      <c r="Q34" s="25"/>
      <c r="R34" s="25"/>
      <c r="S34" s="25"/>
      <c r="T34" s="25"/>
      <c r="U34" s="25"/>
      <c r="V34" s="31"/>
      <c r="W34" s="26"/>
    </row>
    <row r="35" spans="1:23" x14ac:dyDescent="0.2">
      <c r="A35" s="26">
        <v>46396</v>
      </c>
      <c r="B35" s="35">
        <v>8</v>
      </c>
      <c r="C35" s="35">
        <v>0.24</v>
      </c>
      <c r="D35" s="35">
        <v>8.24</v>
      </c>
      <c r="E35" s="48">
        <f t="shared" si="5"/>
        <v>4.4281150159744405</v>
      </c>
      <c r="F35" s="50">
        <f t="shared" si="1"/>
        <v>0.87560215647778949</v>
      </c>
      <c r="G35" s="11">
        <f t="shared" si="0"/>
        <v>4.5063597409378355E-2</v>
      </c>
      <c r="H35" s="11">
        <f t="shared" si="2"/>
        <v>0.95493640259062162</v>
      </c>
      <c r="I35" s="50">
        <f t="shared" si="3"/>
        <v>1.9074667978108084E-2</v>
      </c>
      <c r="J35" s="37">
        <f>B$13-SUM(B$22:B34)+C35</f>
        <v>64.239999999999995</v>
      </c>
      <c r="K35" s="44">
        <f t="shared" si="4"/>
        <v>0.2</v>
      </c>
      <c r="L35" s="25"/>
      <c r="M35" s="39">
        <f t="shared" si="6"/>
        <v>46943</v>
      </c>
      <c r="N35" s="37">
        <f t="shared" si="7"/>
        <v>8.35</v>
      </c>
      <c r="O35" s="24">
        <f t="shared" si="8"/>
        <v>1.18991242222986</v>
      </c>
      <c r="P35" s="25"/>
      <c r="Q35" s="25"/>
      <c r="R35" s="25"/>
      <c r="S35" s="25"/>
      <c r="T35" s="25"/>
      <c r="U35" s="25"/>
      <c r="V35" s="31"/>
      <c r="W35" s="26"/>
    </row>
    <row r="36" spans="1:23" x14ac:dyDescent="0.2">
      <c r="A36" s="26">
        <v>46577</v>
      </c>
      <c r="B36" s="35">
        <v>8</v>
      </c>
      <c r="C36" s="35">
        <v>0.21</v>
      </c>
      <c r="D36" s="35">
        <v>8.2100000000000009</v>
      </c>
      <c r="E36" s="48">
        <f t="shared" si="5"/>
        <v>4.9237790963030577</v>
      </c>
      <c r="F36" s="50">
        <f t="shared" si="1"/>
        <v>0.8626783465108212</v>
      </c>
      <c r="G36" s="11">
        <f t="shared" si="0"/>
        <v>3.1852310150001673E-2</v>
      </c>
      <c r="H36" s="11">
        <f t="shared" si="2"/>
        <v>0.96814768984999833</v>
      </c>
      <c r="I36" s="50">
        <f t="shared" si="3"/>
        <v>1.3211287259376703E-2</v>
      </c>
      <c r="J36" s="37">
        <f>B$13-SUM(B$22:B35)+C36</f>
        <v>56.21</v>
      </c>
      <c r="K36" s="44">
        <f t="shared" si="4"/>
        <v>0.2</v>
      </c>
      <c r="L36" s="25"/>
      <c r="M36" s="39">
        <f t="shared" si="6"/>
        <v>47127</v>
      </c>
      <c r="N36" s="37">
        <f t="shared" si="7"/>
        <v>8.2799999999999994</v>
      </c>
      <c r="O36" s="24">
        <f t="shared" si="8"/>
        <v>0.99958803444768107</v>
      </c>
      <c r="P36" s="25"/>
      <c r="Q36" s="25"/>
      <c r="R36" s="25"/>
      <c r="S36" s="25"/>
      <c r="T36" s="25"/>
      <c r="U36" s="25"/>
      <c r="V36" s="31"/>
      <c r="W36" s="26"/>
    </row>
    <row r="37" spans="1:23" x14ac:dyDescent="0.2">
      <c r="A37" s="26">
        <v>46761</v>
      </c>
      <c r="B37" s="35">
        <v>8</v>
      </c>
      <c r="C37" s="35">
        <v>0.42000000000000004</v>
      </c>
      <c r="D37" s="35">
        <v>8.42</v>
      </c>
      <c r="E37" s="48">
        <f t="shared" si="5"/>
        <v>5.4258897145091902</v>
      </c>
      <c r="F37" s="50">
        <f t="shared" si="1"/>
        <v>0.84978093058821524</v>
      </c>
      <c r="G37" s="11">
        <f t="shared" si="0"/>
        <v>2.241280570621932E-2</v>
      </c>
      <c r="H37" s="11">
        <f t="shared" si="2"/>
        <v>0.97758719429378071</v>
      </c>
      <c r="I37" s="50">
        <f t="shared" si="3"/>
        <v>9.4395044437823872E-3</v>
      </c>
      <c r="J37" s="37">
        <f>B$13-SUM(B$22:B36)+C37</f>
        <v>48.42</v>
      </c>
      <c r="K37" s="44">
        <f t="shared" si="4"/>
        <v>0.2</v>
      </c>
      <c r="L37" s="25"/>
      <c r="M37" s="39">
        <f t="shared" si="6"/>
        <v>47308</v>
      </c>
      <c r="N37" s="37">
        <f t="shared" si="7"/>
        <v>8.2100000000000009</v>
      </c>
      <c r="O37" s="24">
        <f t="shared" si="8"/>
        <v>0.84207733389289352</v>
      </c>
      <c r="P37" s="25"/>
      <c r="Q37" s="25"/>
      <c r="R37" s="25"/>
      <c r="S37" s="25"/>
      <c r="T37" s="25"/>
      <c r="U37" s="25"/>
      <c r="V37" s="31"/>
      <c r="W37" s="26"/>
    </row>
    <row r="38" spans="1:23" x14ac:dyDescent="0.2">
      <c r="A38" s="26">
        <v>46943</v>
      </c>
      <c r="B38" s="35">
        <v>8</v>
      </c>
      <c r="C38" s="35">
        <v>0.35000000000000003</v>
      </c>
      <c r="D38" s="35">
        <v>8.35</v>
      </c>
      <c r="E38" s="48">
        <f t="shared" si="5"/>
        <v>5.9241298396558468</v>
      </c>
      <c r="F38" s="50">
        <f t="shared" si="1"/>
        <v>0.83717353922247273</v>
      </c>
      <c r="G38" s="11">
        <f t="shared" si="0"/>
        <v>1.5813506098133038E-2</v>
      </c>
      <c r="H38" s="11">
        <f t="shared" si="2"/>
        <v>0.98418649390186697</v>
      </c>
      <c r="I38" s="50">
        <f t="shared" si="3"/>
        <v>6.5992996080862509E-3</v>
      </c>
      <c r="J38" s="37">
        <f>B$13-SUM(B$22:B37)+C38</f>
        <v>40.35</v>
      </c>
      <c r="K38" s="44">
        <f t="shared" si="4"/>
        <v>0.2</v>
      </c>
      <c r="L38" s="25"/>
      <c r="M38" s="39">
        <f t="shared" si="6"/>
        <v>47492</v>
      </c>
      <c r="N38" s="37">
        <f t="shared" si="7"/>
        <v>8.14</v>
      </c>
      <c r="O38" s="24">
        <f t="shared" si="8"/>
        <v>0.70728990714897255</v>
      </c>
      <c r="P38" s="25"/>
      <c r="Q38" s="25"/>
      <c r="R38" s="25"/>
      <c r="S38" s="25"/>
      <c r="T38" s="25"/>
      <c r="U38" s="25"/>
      <c r="V38" s="31"/>
      <c r="W38" s="26"/>
    </row>
    <row r="39" spans="1:23" x14ac:dyDescent="0.2">
      <c r="A39" s="26">
        <v>47127</v>
      </c>
      <c r="B39" s="35">
        <v>8</v>
      </c>
      <c r="C39" s="35">
        <v>0.28000000000000003</v>
      </c>
      <c r="D39" s="35">
        <v>8.2799999999999994</v>
      </c>
      <c r="E39" s="48">
        <f t="shared" si="5"/>
        <v>6.4284736481861735</v>
      </c>
      <c r="F39" s="50">
        <f t="shared" si="1"/>
        <v>0.82460218458578383</v>
      </c>
      <c r="G39" s="11">
        <f t="shared" si="0"/>
        <v>1.110975693363804E-2</v>
      </c>
      <c r="H39" s="11">
        <f t="shared" si="2"/>
        <v>0.98889024306636197</v>
      </c>
      <c r="I39" s="50">
        <f t="shared" si="3"/>
        <v>4.703749164495008E-3</v>
      </c>
      <c r="J39" s="37">
        <f>B$13-SUM(B$22:B38)+C39</f>
        <v>32.28</v>
      </c>
      <c r="K39" s="44">
        <f t="shared" si="4"/>
        <v>0.2</v>
      </c>
      <c r="L39" s="25"/>
      <c r="M39" s="39">
        <f t="shared" si="6"/>
        <v>47673</v>
      </c>
      <c r="N39" s="37">
        <f t="shared" si="7"/>
        <v>8.07</v>
      </c>
      <c r="O39" s="24">
        <f t="shared" si="8"/>
        <v>0.59574350437408619</v>
      </c>
      <c r="P39" s="25"/>
      <c r="Q39" s="25"/>
      <c r="R39" s="25"/>
      <c r="S39" s="25"/>
      <c r="T39" s="25"/>
      <c r="U39" s="25"/>
      <c r="V39" s="31"/>
      <c r="W39" s="26"/>
    </row>
    <row r="40" spans="1:23" x14ac:dyDescent="0.2">
      <c r="A40" s="26">
        <v>47308</v>
      </c>
      <c r="B40" s="35">
        <v>8</v>
      </c>
      <c r="C40" s="35">
        <v>0.21000000000000002</v>
      </c>
      <c r="D40" s="35">
        <v>8.2100000000000009</v>
      </c>
      <c r="E40" s="48">
        <f t="shared" si="5"/>
        <v>6.924024640657084</v>
      </c>
      <c r="F40" s="50">
        <f t="shared" si="1"/>
        <v>0.81243388595634036</v>
      </c>
      <c r="G40" s="11">
        <f t="shared" si="0"/>
        <v>7.8533330223955495E-3</v>
      </c>
      <c r="H40" s="11">
        <f t="shared" si="2"/>
        <v>0.99214666697760445</v>
      </c>
      <c r="I40" s="50">
        <f t="shared" si="3"/>
        <v>3.2564239112424787E-3</v>
      </c>
      <c r="J40" s="37">
        <f>B$13-SUM(B$22:B39)+C40</f>
        <v>24.21</v>
      </c>
      <c r="K40" s="44">
        <f t="shared" si="4"/>
        <v>0.2</v>
      </c>
      <c r="L40" s="25"/>
      <c r="M40" s="39"/>
      <c r="N40" s="37"/>
      <c r="O40" s="38"/>
      <c r="P40" s="25"/>
      <c r="Q40" s="25"/>
      <c r="R40" s="25"/>
      <c r="S40" s="25"/>
      <c r="T40" s="25"/>
      <c r="U40" s="25"/>
      <c r="V40" s="31"/>
      <c r="W40" s="26"/>
    </row>
    <row r="41" spans="1:23" x14ac:dyDescent="0.2">
      <c r="A41" s="26">
        <v>47492</v>
      </c>
      <c r="B41" s="35">
        <v>8</v>
      </c>
      <c r="C41" s="35">
        <v>0.14000000000000001</v>
      </c>
      <c r="D41" s="35">
        <v>8.14</v>
      </c>
      <c r="E41" s="48">
        <f t="shared" si="5"/>
        <v>7.4283541222999698</v>
      </c>
      <c r="F41" s="50">
        <f t="shared" ref="F41:F42" si="9">EXP(-H$3*E41)</f>
        <v>0.80023437644216222</v>
      </c>
      <c r="G41" s="11">
        <f t="shared" ref="G41:G42" si="10">EXP(-H$4*E41)</f>
        <v>5.5174036334191944E-3</v>
      </c>
      <c r="H41" s="11">
        <f t="shared" ref="H41:H42" si="11">1-G41</f>
        <v>0.99448259636658076</v>
      </c>
      <c r="I41" s="50">
        <f t="shared" ref="I41:I42" si="12">H41-H40</f>
        <v>2.33592938897631E-3</v>
      </c>
      <c r="J41" s="37">
        <f>B$13-SUM(B$22:B40)+C41</f>
        <v>16.14</v>
      </c>
      <c r="K41" s="44">
        <f t="shared" ref="K41:K42" si="13">H$5</f>
        <v>0.2</v>
      </c>
      <c r="L41" s="25"/>
      <c r="M41" s="39"/>
      <c r="N41" s="38"/>
      <c r="O41" s="38"/>
      <c r="P41" s="25"/>
      <c r="Q41" s="25"/>
      <c r="R41" s="25"/>
      <c r="S41" s="25"/>
      <c r="T41" s="25"/>
      <c r="U41" s="25"/>
      <c r="V41" s="31"/>
      <c r="W41" s="26"/>
    </row>
    <row r="42" spans="1:23" x14ac:dyDescent="0.2">
      <c r="A42" s="26">
        <v>47673</v>
      </c>
      <c r="B42" s="35">
        <v>8</v>
      </c>
      <c r="C42" s="35">
        <v>7.0000000000000007E-2</v>
      </c>
      <c r="D42" s="35">
        <v>8.07</v>
      </c>
      <c r="E42" s="48">
        <f t="shared" si="5"/>
        <v>7.9239428049893519</v>
      </c>
      <c r="F42" s="50">
        <f t="shared" si="9"/>
        <v>0.78842477156544166</v>
      </c>
      <c r="G42" s="11">
        <f t="shared" si="10"/>
        <v>3.9000731738670171E-3</v>
      </c>
      <c r="H42" s="11">
        <f t="shared" si="11"/>
        <v>0.99609992682613302</v>
      </c>
      <c r="I42" s="50">
        <f t="shared" si="12"/>
        <v>1.6173304595522575E-3</v>
      </c>
      <c r="J42" s="37">
        <f>B$13-SUM(B$22:B41)+C42</f>
        <v>8.07</v>
      </c>
      <c r="K42" s="44">
        <f t="shared" si="13"/>
        <v>0.2</v>
      </c>
      <c r="L42" s="25"/>
      <c r="M42" s="39"/>
      <c r="N42" s="38"/>
      <c r="P42" s="25"/>
      <c r="Q42" s="25"/>
      <c r="R42" s="25"/>
      <c r="S42" s="25"/>
      <c r="T42" s="25"/>
      <c r="U42" s="25"/>
      <c r="V42" s="31"/>
      <c r="W42" s="26"/>
    </row>
    <row r="45" spans="1:23" x14ac:dyDescent="0.2">
      <c r="O45" s="22">
        <f>SUM(O24:O40)-H6</f>
        <v>1.266922885692523E-2</v>
      </c>
    </row>
  </sheetData>
  <pageMargins left="0.7" right="0.7" top="0.75" bottom="0.75" header="0.3" footer="0.3"/>
  <ignoredErrors>
    <ignoredError sqref="J24:J42 H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A17" workbookViewId="0">
      <selection activeCell="E24" sqref="E24"/>
    </sheetView>
  </sheetViews>
  <sheetFormatPr baseColWidth="10" defaultColWidth="11" defaultRowHeight="16" x14ac:dyDescent="0.2"/>
  <cols>
    <col min="1" max="1" width="29.6640625" bestFit="1" customWidth="1"/>
    <col min="3" max="3" width="6.5" bestFit="1" customWidth="1"/>
    <col min="4" max="4" width="16.5" bestFit="1" customWidth="1"/>
    <col min="5" max="7" width="11" style="38"/>
    <col min="8" max="8" width="11.83203125" style="38" bestFit="1" customWidth="1"/>
    <col min="9" max="15" width="11" style="38"/>
  </cols>
  <sheetData>
    <row r="1" spans="1:11" x14ac:dyDescent="0.25">
      <c r="A1" s="38" t="s">
        <v>0</v>
      </c>
      <c r="B1" s="38"/>
      <c r="C1" s="38"/>
      <c r="D1" s="38"/>
    </row>
    <row r="2" spans="1:11" x14ac:dyDescent="0.25">
      <c r="A2" s="38" t="s">
        <v>1</v>
      </c>
      <c r="B2" s="41">
        <v>44078</v>
      </c>
      <c r="C2" s="38"/>
      <c r="D2" s="38"/>
    </row>
    <row r="3" spans="1:11" x14ac:dyDescent="0.25">
      <c r="A3" s="38" t="s">
        <v>2</v>
      </c>
      <c r="B3" s="41">
        <v>50652</v>
      </c>
      <c r="C3" s="38"/>
      <c r="D3" s="38"/>
      <c r="G3" s="38" t="s">
        <v>3</v>
      </c>
      <c r="H3" s="3">
        <v>0.03</v>
      </c>
    </row>
    <row r="4" spans="1:11" x14ac:dyDescent="0.25">
      <c r="A4" s="38" t="s">
        <v>4</v>
      </c>
      <c r="B4" s="41">
        <v>44779</v>
      </c>
      <c r="C4" s="40"/>
      <c r="D4" s="40"/>
      <c r="G4" s="38" t="s">
        <v>5</v>
      </c>
      <c r="H4" s="3">
        <f>+'2030'!H4</f>
        <v>0.7</v>
      </c>
    </row>
    <row r="5" spans="1:11" x14ac:dyDescent="0.25">
      <c r="A5" s="38" t="s">
        <v>6</v>
      </c>
      <c r="B5" s="42"/>
      <c r="C5" s="38"/>
      <c r="D5" s="38"/>
      <c r="G5" s="38" t="s">
        <v>7</v>
      </c>
      <c r="H5" s="3">
        <f>20%</f>
        <v>0.2</v>
      </c>
    </row>
    <row r="6" spans="1:11" x14ac:dyDescent="0.25">
      <c r="A6" s="39">
        <v>44386</v>
      </c>
      <c r="B6" s="43">
        <v>0.125</v>
      </c>
      <c r="C6" s="40"/>
      <c r="D6" s="40"/>
      <c r="G6" s="5" t="s">
        <v>9</v>
      </c>
      <c r="H6" s="6">
        <f>SUMPRODUCT(F27:F57,G27:G57,D27:D57)+SUMPRODUCT(I27:I57,J27:J57,K27:K57,F27:F57)</f>
        <v>24.810488128409169</v>
      </c>
      <c r="K6" s="51"/>
    </row>
    <row r="7" spans="1:11" x14ac:dyDescent="0.25">
      <c r="A7" s="39">
        <v>44751</v>
      </c>
      <c r="B7" s="43">
        <v>2</v>
      </c>
      <c r="C7" s="40"/>
      <c r="D7" s="40"/>
      <c r="G7" s="5" t="s">
        <v>11</v>
      </c>
      <c r="H7" s="23">
        <v>0.27861652605842852</v>
      </c>
    </row>
    <row r="8" spans="1:11" x14ac:dyDescent="0.25">
      <c r="A8" s="39">
        <v>45116</v>
      </c>
      <c r="B8" s="43">
        <v>3.875</v>
      </c>
      <c r="C8" s="40"/>
      <c r="D8" s="40"/>
      <c r="E8" s="49"/>
    </row>
    <row r="9" spans="1:11" x14ac:dyDescent="0.25">
      <c r="A9" s="39">
        <v>45482</v>
      </c>
      <c r="B9" s="43">
        <v>4.25</v>
      </c>
      <c r="C9" s="40"/>
      <c r="D9" s="40"/>
      <c r="E9" s="49"/>
      <c r="H9" s="3"/>
    </row>
    <row r="10" spans="1:11" x14ac:dyDescent="0.25">
      <c r="A10" s="39">
        <v>50414</v>
      </c>
      <c r="B10" s="43">
        <v>5</v>
      </c>
      <c r="C10" s="40"/>
      <c r="D10" s="40"/>
      <c r="H10" s="3"/>
    </row>
    <row r="11" spans="1:11" x14ac:dyDescent="0.25">
      <c r="A11" s="38" t="s">
        <v>8</v>
      </c>
      <c r="B11" s="40">
        <v>2</v>
      </c>
      <c r="C11" s="40"/>
      <c r="D11" s="40"/>
    </row>
    <row r="12" spans="1:11" x14ac:dyDescent="0.25">
      <c r="A12" s="38" t="s">
        <v>10</v>
      </c>
      <c r="B12" s="40">
        <v>22</v>
      </c>
      <c r="C12" s="40"/>
      <c r="D12" s="40"/>
    </row>
    <row r="13" spans="1:11" x14ac:dyDescent="0.25">
      <c r="A13" s="38" t="s">
        <v>12</v>
      </c>
      <c r="B13" s="41">
        <v>46577</v>
      </c>
      <c r="C13" s="40"/>
      <c r="D13" s="40"/>
    </row>
    <row r="14" spans="1:11" x14ac:dyDescent="0.25">
      <c r="A14" s="38" t="s">
        <v>13</v>
      </c>
      <c r="B14" s="40">
        <v>100</v>
      </c>
      <c r="C14" s="40"/>
      <c r="D14" s="40"/>
    </row>
    <row r="15" spans="1:11" x14ac:dyDescent="0.25">
      <c r="A15" s="38" t="s">
        <v>14</v>
      </c>
      <c r="B15" s="41">
        <v>44078</v>
      </c>
      <c r="C15" s="40"/>
      <c r="D15" s="40"/>
    </row>
    <row r="16" spans="1:11" x14ac:dyDescent="0.25">
      <c r="A16" s="38" t="s">
        <v>24</v>
      </c>
      <c r="B16" s="39">
        <v>44386</v>
      </c>
      <c r="C16" s="40"/>
      <c r="D16" s="40"/>
    </row>
    <row r="17" spans="1:15" x14ac:dyDescent="0.25">
      <c r="A17" s="38" t="s">
        <v>15</v>
      </c>
      <c r="B17" s="40">
        <v>0</v>
      </c>
      <c r="C17" s="40"/>
      <c r="D17" s="40"/>
    </row>
    <row r="18" spans="1:15" x14ac:dyDescent="0.25">
      <c r="A18" s="76"/>
      <c r="B18" s="83"/>
      <c r="C18" s="40"/>
      <c r="D18" s="40"/>
    </row>
    <row r="19" spans="1:15" x14ac:dyDescent="0.25">
      <c r="A19" s="78"/>
      <c r="B19" s="79"/>
      <c r="C19" s="40"/>
      <c r="D19" s="40"/>
    </row>
    <row r="21" spans="1:15" x14ac:dyDescent="0.25">
      <c r="A21" s="38"/>
      <c r="B21" s="40" t="s">
        <v>13</v>
      </c>
      <c r="C21" s="40" t="s">
        <v>16</v>
      </c>
      <c r="D21" s="40" t="s">
        <v>17</v>
      </c>
      <c r="E21" s="40" t="s">
        <v>18</v>
      </c>
      <c r="F21" s="40" t="s">
        <v>19</v>
      </c>
      <c r="G21" s="40" t="s">
        <v>20</v>
      </c>
      <c r="H21" s="40" t="s">
        <v>21</v>
      </c>
      <c r="I21" s="38" t="s">
        <v>22</v>
      </c>
      <c r="J21" s="38" t="s">
        <v>23</v>
      </c>
      <c r="K21" s="38" t="s">
        <v>7</v>
      </c>
      <c r="O21" s="38" t="s">
        <v>11</v>
      </c>
    </row>
    <row r="22" spans="1:15" x14ac:dyDescent="0.25">
      <c r="A22" s="39">
        <v>44078</v>
      </c>
      <c r="B22" s="38"/>
      <c r="C22" s="38"/>
      <c r="D22" s="38"/>
      <c r="E22" s="40"/>
      <c r="M22" s="45"/>
    </row>
    <row r="23" spans="1:15" x14ac:dyDescent="0.25">
      <c r="A23" s="39">
        <v>44205</v>
      </c>
      <c r="B23" s="48">
        <v>0</v>
      </c>
      <c r="C23" s="48"/>
      <c r="D23" s="48"/>
      <c r="E23" s="40"/>
      <c r="G23" s="11">
        <f t="shared" ref="G23:G42" si="0">EXP(-H$4*E23)</f>
        <v>1</v>
      </c>
      <c r="H23" s="11">
        <v>0</v>
      </c>
      <c r="M23" s="39">
        <f>+B4</f>
        <v>44779</v>
      </c>
      <c r="N23" s="22">
        <f>-H6</f>
        <v>-24.810488128409169</v>
      </c>
    </row>
    <row r="24" spans="1:15" x14ac:dyDescent="0.25">
      <c r="A24" s="39">
        <v>44386</v>
      </c>
      <c r="B24" s="48">
        <v>0</v>
      </c>
      <c r="C24" s="48">
        <v>0.10590277777777779</v>
      </c>
      <c r="D24" s="48">
        <v>0.10590277777777779</v>
      </c>
      <c r="E24" s="48">
        <f>IF(A24&lt;B$4,0,YEARFRAC(B$4,A24,1))</f>
        <v>0</v>
      </c>
      <c r="F24" s="50">
        <f t="shared" ref="F24:F42" si="1">EXP(-H$3*E24)</f>
        <v>1</v>
      </c>
      <c r="G24" s="11">
        <f t="shared" si="0"/>
        <v>1</v>
      </c>
      <c r="H24" s="11">
        <f t="shared" ref="H24:H42" si="2">1-G24</f>
        <v>0</v>
      </c>
      <c r="I24" s="50">
        <f t="shared" ref="I24:I42" si="3">H24-H23</f>
        <v>0</v>
      </c>
      <c r="J24" s="37">
        <f>B$14-SUM(B$22:B23)+C24</f>
        <v>100.10590277777777</v>
      </c>
      <c r="K24" s="44">
        <f t="shared" ref="K24:K42" si="4">H$5</f>
        <v>0.2</v>
      </c>
      <c r="M24" s="39">
        <f t="shared" ref="M24:M54" si="5">+A27</f>
        <v>44935</v>
      </c>
      <c r="N24" s="37">
        <f t="shared" ref="N24:N54" si="6">+D27</f>
        <v>1.9375</v>
      </c>
      <c r="O24" s="24">
        <f>N24/((1+H$7/2)^(2*E27))</f>
        <v>1.7331058310305014</v>
      </c>
    </row>
    <row r="25" spans="1:15" x14ac:dyDescent="0.25">
      <c r="A25" s="39">
        <v>44570</v>
      </c>
      <c r="B25" s="48">
        <v>0</v>
      </c>
      <c r="C25" s="48">
        <v>1</v>
      </c>
      <c r="D25" s="48">
        <v>1</v>
      </c>
      <c r="E25" s="48">
        <f t="shared" ref="E25:E57" si="7">IF(A25&lt;B$4,0,YEARFRAC(B$4,A25,1))</f>
        <v>0</v>
      </c>
      <c r="F25" s="50">
        <f t="shared" si="1"/>
        <v>1</v>
      </c>
      <c r="G25" s="11">
        <f t="shared" si="0"/>
        <v>1</v>
      </c>
      <c r="H25" s="11">
        <f t="shared" si="2"/>
        <v>0</v>
      </c>
      <c r="I25" s="50">
        <f t="shared" si="3"/>
        <v>0</v>
      </c>
      <c r="J25" s="37">
        <f>B$14-SUM(B$22:B24)+C25</f>
        <v>101</v>
      </c>
      <c r="K25" s="44">
        <f t="shared" si="4"/>
        <v>0.2</v>
      </c>
      <c r="M25" s="39">
        <f t="shared" si="5"/>
        <v>45116</v>
      </c>
      <c r="N25" s="37">
        <f t="shared" si="6"/>
        <v>1.9375</v>
      </c>
      <c r="O25" s="24">
        <f t="shared" ref="O25:O39" si="8">N25/((1+H$7/2)^(2*E28))</f>
        <v>1.5228228358514386</v>
      </c>
    </row>
    <row r="26" spans="1:15" x14ac:dyDescent="0.25">
      <c r="A26" s="39">
        <v>44751</v>
      </c>
      <c r="B26" s="48">
        <v>0</v>
      </c>
      <c r="C26" s="48">
        <v>1</v>
      </c>
      <c r="D26" s="48">
        <v>1</v>
      </c>
      <c r="E26" s="48">
        <f t="shared" si="7"/>
        <v>0</v>
      </c>
      <c r="F26" s="50">
        <f t="shared" si="1"/>
        <v>1</v>
      </c>
      <c r="G26" s="11">
        <f t="shared" si="0"/>
        <v>1</v>
      </c>
      <c r="H26" s="11">
        <f t="shared" si="2"/>
        <v>0</v>
      </c>
      <c r="I26" s="50">
        <f t="shared" si="3"/>
        <v>0</v>
      </c>
      <c r="J26" s="37">
        <f>B$14-SUM(B$22:B25)+C26</f>
        <v>101</v>
      </c>
      <c r="K26" s="44">
        <f t="shared" si="4"/>
        <v>0.2</v>
      </c>
      <c r="M26" s="39">
        <f t="shared" si="5"/>
        <v>45300</v>
      </c>
      <c r="N26" s="37">
        <f t="shared" si="6"/>
        <v>2.125</v>
      </c>
      <c r="O26" s="24">
        <f t="shared" si="8"/>
        <v>1.4648978715108323</v>
      </c>
    </row>
    <row r="27" spans="1:15" x14ac:dyDescent="0.25">
      <c r="A27" s="39">
        <v>44935</v>
      </c>
      <c r="B27" s="48">
        <v>0</v>
      </c>
      <c r="C27" s="48">
        <v>1.9375</v>
      </c>
      <c r="D27" s="48">
        <v>1.9375</v>
      </c>
      <c r="E27" s="48">
        <f t="shared" si="7"/>
        <v>0.42739726027397262</v>
      </c>
      <c r="F27" s="17">
        <f>EXP(-H$3*E27)</f>
        <v>0.98725993277928459</v>
      </c>
      <c r="G27" s="18">
        <f>EXP(-H$4*E27)</f>
        <v>0.74142736266798048</v>
      </c>
      <c r="H27" s="18">
        <f t="shared" si="2"/>
        <v>0.25857263733201952</v>
      </c>
      <c r="I27" s="17">
        <f t="shared" si="3"/>
        <v>0.25857263733201952</v>
      </c>
      <c r="J27" s="37">
        <f>B$14-SUM(B$22:B26)+C27</f>
        <v>101.9375</v>
      </c>
      <c r="K27" s="20">
        <f t="shared" si="4"/>
        <v>0.2</v>
      </c>
      <c r="M27" s="39">
        <f t="shared" si="5"/>
        <v>45482</v>
      </c>
      <c r="N27" s="37">
        <f t="shared" si="6"/>
        <v>2.125</v>
      </c>
      <c r="O27" s="24">
        <f t="shared" si="8"/>
        <v>1.286390489694786</v>
      </c>
    </row>
    <row r="28" spans="1:15" x14ac:dyDescent="0.25">
      <c r="A28" s="39">
        <v>45116</v>
      </c>
      <c r="B28" s="48">
        <v>0</v>
      </c>
      <c r="C28" s="48">
        <v>1.9375</v>
      </c>
      <c r="D28" s="48">
        <v>1.9375</v>
      </c>
      <c r="E28" s="48">
        <f t="shared" si="7"/>
        <v>0.92328767123287669</v>
      </c>
      <c r="F28" s="50">
        <f t="shared" si="1"/>
        <v>0.97268145951258267</v>
      </c>
      <c r="G28" s="11">
        <f t="shared" si="0"/>
        <v>0.52398020616805496</v>
      </c>
      <c r="H28" s="11">
        <f t="shared" si="2"/>
        <v>0.47601979383194504</v>
      </c>
      <c r="I28" s="50">
        <f t="shared" si="3"/>
        <v>0.21744715649992552</v>
      </c>
      <c r="J28" s="37">
        <f>B$14-SUM(B$22:B27)+C28</f>
        <v>101.9375</v>
      </c>
      <c r="K28" s="44">
        <f t="shared" si="4"/>
        <v>0.2</v>
      </c>
      <c r="M28" s="39">
        <f t="shared" si="5"/>
        <v>45666</v>
      </c>
      <c r="N28" s="37">
        <f t="shared" si="6"/>
        <v>2.5</v>
      </c>
      <c r="O28" s="24">
        <f t="shared" si="8"/>
        <v>1.3268946905007957</v>
      </c>
    </row>
    <row r="29" spans="1:15" x14ac:dyDescent="0.2">
      <c r="A29" s="39">
        <v>45300</v>
      </c>
      <c r="B29" s="48">
        <v>0</v>
      </c>
      <c r="C29" s="48">
        <v>2.125</v>
      </c>
      <c r="D29" s="48">
        <v>2.125</v>
      </c>
      <c r="E29" s="48">
        <f t="shared" si="7"/>
        <v>1.426094890510949</v>
      </c>
      <c r="F29" s="50">
        <f t="shared" si="1"/>
        <v>0.95811942625886171</v>
      </c>
      <c r="G29" s="11">
        <f>EXP(-H$4*E29)</f>
        <v>0.3685177414892572</v>
      </c>
      <c r="H29" s="11">
        <f t="shared" si="2"/>
        <v>0.6314822585107428</v>
      </c>
      <c r="I29" s="50">
        <f t="shared" si="3"/>
        <v>0.15546246467879776</v>
      </c>
      <c r="J29" s="37">
        <f>B$14-SUM(B$22:B28)+C29</f>
        <v>102.125</v>
      </c>
      <c r="K29" s="44">
        <f t="shared" si="4"/>
        <v>0.2</v>
      </c>
      <c r="M29" s="39">
        <f t="shared" si="5"/>
        <v>45847</v>
      </c>
      <c r="N29" s="37">
        <f t="shared" si="6"/>
        <v>2.5</v>
      </c>
      <c r="O29" s="24">
        <f t="shared" si="8"/>
        <v>1.1660017541169148</v>
      </c>
    </row>
    <row r="30" spans="1:15" x14ac:dyDescent="0.2">
      <c r="A30" s="39">
        <v>45482</v>
      </c>
      <c r="B30" s="48">
        <v>0</v>
      </c>
      <c r="C30" s="48">
        <v>2.125</v>
      </c>
      <c r="D30" s="48">
        <v>2.125</v>
      </c>
      <c r="E30" s="48">
        <f t="shared" si="7"/>
        <v>1.9242700729927009</v>
      </c>
      <c r="F30" s="50">
        <f t="shared" si="1"/>
        <v>0.94390655867555584</v>
      </c>
      <c r="G30" s="11">
        <f t="shared" si="0"/>
        <v>0.26002199611703514</v>
      </c>
      <c r="H30" s="11">
        <f t="shared" si="2"/>
        <v>0.73997800388296486</v>
      </c>
      <c r="I30" s="50">
        <f t="shared" si="3"/>
        <v>0.10849574537222206</v>
      </c>
      <c r="J30" s="37">
        <f>B$14-SUM(B$22:B29)+C30</f>
        <v>102.125</v>
      </c>
      <c r="K30" s="44">
        <f t="shared" si="4"/>
        <v>0.2</v>
      </c>
      <c r="M30" s="39">
        <f t="shared" si="5"/>
        <v>46031</v>
      </c>
      <c r="N30" s="37">
        <f t="shared" si="6"/>
        <v>2.5</v>
      </c>
      <c r="O30" s="24">
        <f t="shared" si="8"/>
        <v>1.0222999410213829</v>
      </c>
    </row>
    <row r="31" spans="1:15" x14ac:dyDescent="0.2">
      <c r="A31" s="39">
        <v>45666</v>
      </c>
      <c r="B31" s="48">
        <v>0</v>
      </c>
      <c r="C31" s="48">
        <v>2.5</v>
      </c>
      <c r="D31" s="48">
        <v>2.5</v>
      </c>
      <c r="E31" s="48">
        <f t="shared" si="7"/>
        <v>2.4284736481861739</v>
      </c>
      <c r="F31" s="50">
        <f t="shared" si="1"/>
        <v>0.92973636692594641</v>
      </c>
      <c r="G31" s="11">
        <f t="shared" si="0"/>
        <v>0.1826960284864238</v>
      </c>
      <c r="H31" s="11">
        <f t="shared" si="2"/>
        <v>0.81730397151357614</v>
      </c>
      <c r="I31" s="50">
        <f t="shared" si="3"/>
        <v>7.7325967630611281E-2</v>
      </c>
      <c r="J31" s="37">
        <f>B$14-SUM(B$22:B30)+C31</f>
        <v>102.5</v>
      </c>
      <c r="K31" s="44">
        <f t="shared" si="4"/>
        <v>0.2</v>
      </c>
      <c r="M31" s="39">
        <f t="shared" si="5"/>
        <v>46212</v>
      </c>
      <c r="N31" s="37">
        <f t="shared" si="6"/>
        <v>2.5</v>
      </c>
      <c r="O31" s="24">
        <f t="shared" si="8"/>
        <v>0.89832481657063257</v>
      </c>
    </row>
    <row r="32" spans="1:15" x14ac:dyDescent="0.2">
      <c r="A32" s="39">
        <v>45847</v>
      </c>
      <c r="B32" s="48">
        <v>0</v>
      </c>
      <c r="C32" s="48">
        <v>2.5</v>
      </c>
      <c r="D32" s="48">
        <v>2.5</v>
      </c>
      <c r="E32" s="48">
        <f t="shared" si="7"/>
        <v>2.924024640657084</v>
      </c>
      <c r="F32" s="50">
        <f t="shared" si="1"/>
        <v>0.91601664853217135</v>
      </c>
      <c r="G32" s="11">
        <f t="shared" si="0"/>
        <v>0.12914528752908672</v>
      </c>
      <c r="H32" s="11">
        <f t="shared" si="2"/>
        <v>0.87085471247091328</v>
      </c>
      <c r="I32" s="50">
        <f t="shared" si="3"/>
        <v>5.355074095733714E-2</v>
      </c>
      <c r="J32" s="37">
        <f>B$14-SUM(B$22:B31)+C32</f>
        <v>102.5</v>
      </c>
      <c r="K32" s="44">
        <f t="shared" si="4"/>
        <v>0.2</v>
      </c>
      <c r="M32" s="39">
        <f t="shared" si="5"/>
        <v>46396</v>
      </c>
      <c r="N32" s="37">
        <f t="shared" si="6"/>
        <v>2.5</v>
      </c>
      <c r="O32" s="24">
        <f t="shared" si="8"/>
        <v>0.78761158269561571</v>
      </c>
    </row>
    <row r="33" spans="1:15" x14ac:dyDescent="0.2">
      <c r="A33" s="39">
        <v>46031</v>
      </c>
      <c r="B33" s="48">
        <v>0</v>
      </c>
      <c r="C33" s="48">
        <v>2.5</v>
      </c>
      <c r="D33" s="48">
        <v>2.5</v>
      </c>
      <c r="E33" s="48">
        <f t="shared" si="7"/>
        <v>3.4282584884994525</v>
      </c>
      <c r="F33" s="50">
        <f t="shared" si="1"/>
        <v>0.90226432856941385</v>
      </c>
      <c r="G33" s="11">
        <f t="shared" si="0"/>
        <v>9.0737827964169113E-2</v>
      </c>
      <c r="H33" s="11">
        <f t="shared" si="2"/>
        <v>0.90926217203583093</v>
      </c>
      <c r="I33" s="50">
        <f t="shared" si="3"/>
        <v>3.8407459564917645E-2</v>
      </c>
      <c r="J33" s="37">
        <f>B$14-SUM(B$22:B32)+C33</f>
        <v>102.5</v>
      </c>
      <c r="K33" s="44">
        <f t="shared" si="4"/>
        <v>0.2</v>
      </c>
      <c r="M33" s="39">
        <f t="shared" si="5"/>
        <v>46577</v>
      </c>
      <c r="N33" s="37">
        <f t="shared" si="6"/>
        <v>7.0454545454545459</v>
      </c>
      <c r="O33" s="24">
        <f t="shared" si="8"/>
        <v>1.950433014699859</v>
      </c>
    </row>
    <row r="34" spans="1:15" x14ac:dyDescent="0.2">
      <c r="A34" s="39">
        <v>46212</v>
      </c>
      <c r="B34" s="48">
        <v>0</v>
      </c>
      <c r="C34" s="48">
        <v>2.5</v>
      </c>
      <c r="D34" s="48">
        <v>2.5</v>
      </c>
      <c r="E34" s="48">
        <f t="shared" si="7"/>
        <v>3.9238773274917853</v>
      </c>
      <c r="F34" s="50">
        <f t="shared" si="1"/>
        <v>0.8889481938286049</v>
      </c>
      <c r="G34" s="11">
        <f t="shared" si="0"/>
        <v>6.4138265387486446E-2</v>
      </c>
      <c r="H34" s="11">
        <f t="shared" si="2"/>
        <v>0.93586173461251354</v>
      </c>
      <c r="I34" s="50">
        <f t="shared" si="3"/>
        <v>2.6599562576682612E-2</v>
      </c>
      <c r="J34" s="37">
        <f>B$14-SUM(B$22:B33)+C34</f>
        <v>102.5</v>
      </c>
      <c r="K34" s="44">
        <f t="shared" si="4"/>
        <v>0.2</v>
      </c>
      <c r="M34" s="39">
        <f t="shared" si="5"/>
        <v>46761</v>
      </c>
      <c r="N34" s="37">
        <f t="shared" si="6"/>
        <v>6.9318181818181817</v>
      </c>
      <c r="O34" s="24">
        <f t="shared" si="8"/>
        <v>1.6834058877909968</v>
      </c>
    </row>
    <row r="35" spans="1:15" x14ac:dyDescent="0.2">
      <c r="A35" s="39">
        <v>46396</v>
      </c>
      <c r="B35" s="48">
        <v>0</v>
      </c>
      <c r="C35" s="48">
        <v>2.5</v>
      </c>
      <c r="D35" s="48">
        <v>2.5</v>
      </c>
      <c r="E35" s="48">
        <f t="shared" si="7"/>
        <v>4.4281150159744405</v>
      </c>
      <c r="F35" s="50">
        <f t="shared" si="1"/>
        <v>0.87560215647778949</v>
      </c>
      <c r="G35" s="11">
        <f t="shared" si="0"/>
        <v>4.5063597409378355E-2</v>
      </c>
      <c r="H35" s="11">
        <f t="shared" si="2"/>
        <v>0.95493640259062162</v>
      </c>
      <c r="I35" s="50">
        <f t="shared" si="3"/>
        <v>1.9074667978108084E-2</v>
      </c>
      <c r="J35" s="37">
        <f>B$14-SUM(B$22:B34)+C35</f>
        <v>102.5</v>
      </c>
      <c r="K35" s="44">
        <f t="shared" si="4"/>
        <v>0.2</v>
      </c>
      <c r="M35" s="39">
        <f t="shared" si="5"/>
        <v>46943</v>
      </c>
      <c r="N35" s="37">
        <f t="shared" si="6"/>
        <v>6.8181818181818183</v>
      </c>
      <c r="O35" s="24">
        <f t="shared" si="8"/>
        <v>1.4540132796864942</v>
      </c>
    </row>
    <row r="36" spans="1:15" x14ac:dyDescent="0.2">
      <c r="A36" s="39">
        <v>46577</v>
      </c>
      <c r="B36" s="48">
        <v>4.5454545454545459</v>
      </c>
      <c r="C36" s="48">
        <v>2.5</v>
      </c>
      <c r="D36" s="48">
        <v>7.0454545454545459</v>
      </c>
      <c r="E36" s="48">
        <f t="shared" si="7"/>
        <v>4.9237790963030577</v>
      </c>
      <c r="F36" s="50">
        <f t="shared" si="1"/>
        <v>0.8626783465108212</v>
      </c>
      <c r="G36" s="11">
        <f t="shared" si="0"/>
        <v>3.1852310150001673E-2</v>
      </c>
      <c r="H36" s="11">
        <f t="shared" si="2"/>
        <v>0.96814768984999833</v>
      </c>
      <c r="I36" s="50">
        <f t="shared" si="3"/>
        <v>1.3211287259376703E-2</v>
      </c>
      <c r="J36" s="37">
        <f>B$14-SUM(B$22:B35)+C36</f>
        <v>102.5</v>
      </c>
      <c r="K36" s="44">
        <f t="shared" si="4"/>
        <v>0.2</v>
      </c>
      <c r="M36" s="39">
        <f t="shared" si="5"/>
        <v>47127</v>
      </c>
      <c r="N36" s="37">
        <f t="shared" si="6"/>
        <v>6.704545454545455</v>
      </c>
      <c r="O36" s="24">
        <f t="shared" si="8"/>
        <v>1.2535331099973543</v>
      </c>
    </row>
    <row r="37" spans="1:15" x14ac:dyDescent="0.2">
      <c r="A37" s="39">
        <v>46761</v>
      </c>
      <c r="B37" s="48">
        <v>4.5454545454545459</v>
      </c>
      <c r="C37" s="48">
        <v>2.3863636363636362</v>
      </c>
      <c r="D37" s="48">
        <v>6.9318181818181817</v>
      </c>
      <c r="E37" s="48">
        <f t="shared" si="7"/>
        <v>5.4258897145091902</v>
      </c>
      <c r="F37" s="50">
        <f t="shared" si="1"/>
        <v>0.84978093058821524</v>
      </c>
      <c r="G37" s="11">
        <f t="shared" si="0"/>
        <v>2.241280570621932E-2</v>
      </c>
      <c r="H37" s="11">
        <f t="shared" si="2"/>
        <v>0.97758719429378071</v>
      </c>
      <c r="I37" s="50">
        <f t="shared" si="3"/>
        <v>9.4395044437823872E-3</v>
      </c>
      <c r="J37" s="37">
        <f>B$14-SUM(B$22:B36)+C37</f>
        <v>97.840909090909093</v>
      </c>
      <c r="K37" s="44">
        <f t="shared" si="4"/>
        <v>0.2</v>
      </c>
      <c r="M37" s="39">
        <f t="shared" si="5"/>
        <v>47308</v>
      </c>
      <c r="N37" s="37">
        <f t="shared" si="6"/>
        <v>6.5909090909090917</v>
      </c>
      <c r="O37" s="24">
        <f t="shared" si="8"/>
        <v>1.0828655540285148</v>
      </c>
    </row>
    <row r="38" spans="1:15" x14ac:dyDescent="0.2">
      <c r="A38" s="39">
        <v>46943</v>
      </c>
      <c r="B38" s="48">
        <v>4.5454545454545459</v>
      </c>
      <c r="C38" s="48">
        <v>2.2727272727272729</v>
      </c>
      <c r="D38" s="48">
        <v>6.8181818181818183</v>
      </c>
      <c r="E38" s="48">
        <f t="shared" si="7"/>
        <v>5.9241298396558468</v>
      </c>
      <c r="F38" s="50">
        <f t="shared" si="1"/>
        <v>0.83717353922247273</v>
      </c>
      <c r="G38" s="11">
        <f t="shared" si="0"/>
        <v>1.5813506098133038E-2</v>
      </c>
      <c r="H38" s="11">
        <f t="shared" si="2"/>
        <v>0.98418649390186697</v>
      </c>
      <c r="I38" s="50">
        <f t="shared" si="3"/>
        <v>6.5992996080862509E-3</v>
      </c>
      <c r="J38" s="37">
        <f>B$14-SUM(B$22:B37)+C38</f>
        <v>93.181818181818173</v>
      </c>
      <c r="K38" s="44">
        <f t="shared" si="4"/>
        <v>0.2</v>
      </c>
      <c r="M38" s="39">
        <f t="shared" si="5"/>
        <v>47492</v>
      </c>
      <c r="N38" s="37">
        <f t="shared" si="6"/>
        <v>6.4772727272727275</v>
      </c>
      <c r="O38" s="24">
        <f t="shared" si="8"/>
        <v>0.93301730634936697</v>
      </c>
    </row>
    <row r="39" spans="1:15" x14ac:dyDescent="0.2">
      <c r="A39" s="39">
        <v>47127</v>
      </c>
      <c r="B39" s="48">
        <v>4.5454545454545459</v>
      </c>
      <c r="C39" s="48">
        <v>2.1590909090909092</v>
      </c>
      <c r="D39" s="48">
        <v>6.704545454545455</v>
      </c>
      <c r="E39" s="48">
        <f t="shared" si="7"/>
        <v>6.4284736481861735</v>
      </c>
      <c r="F39" s="50">
        <f t="shared" si="1"/>
        <v>0.82460218458578383</v>
      </c>
      <c r="G39" s="11">
        <f t="shared" si="0"/>
        <v>1.110975693363804E-2</v>
      </c>
      <c r="H39" s="11">
        <f t="shared" si="2"/>
        <v>0.98889024306636197</v>
      </c>
      <c r="I39" s="50">
        <f t="shared" si="3"/>
        <v>4.703749164495008E-3</v>
      </c>
      <c r="J39" s="37">
        <f>B$14-SUM(B$22:B38)+C39</f>
        <v>88.522727272727266</v>
      </c>
      <c r="K39" s="44">
        <f t="shared" si="4"/>
        <v>0.2</v>
      </c>
      <c r="M39" s="39">
        <f t="shared" si="5"/>
        <v>47673</v>
      </c>
      <c r="N39" s="37">
        <f t="shared" si="6"/>
        <v>6.3636363636363642</v>
      </c>
      <c r="O39" s="24">
        <f t="shared" si="8"/>
        <v>0.8054922173622332</v>
      </c>
    </row>
    <row r="40" spans="1:15" x14ac:dyDescent="0.2">
      <c r="A40" s="39">
        <v>47308</v>
      </c>
      <c r="B40" s="48">
        <v>4.5454545454545459</v>
      </c>
      <c r="C40" s="48">
        <v>2.0454545454545454</v>
      </c>
      <c r="D40" s="48">
        <v>6.5909090909090917</v>
      </c>
      <c r="E40" s="48">
        <f t="shared" si="7"/>
        <v>6.924024640657084</v>
      </c>
      <c r="F40" s="50">
        <f t="shared" si="1"/>
        <v>0.81243388595634036</v>
      </c>
      <c r="G40" s="11">
        <f t="shared" si="0"/>
        <v>7.8533330223955495E-3</v>
      </c>
      <c r="H40" s="11">
        <f t="shared" si="2"/>
        <v>0.99214666697760445</v>
      </c>
      <c r="I40" s="50">
        <f t="shared" si="3"/>
        <v>3.2564239112424787E-3</v>
      </c>
      <c r="J40" s="37">
        <f>B$14-SUM(B$22:B39)+C40</f>
        <v>83.86363636363636</v>
      </c>
      <c r="K40" s="44">
        <f t="shared" si="4"/>
        <v>0.2</v>
      </c>
      <c r="M40" s="39">
        <f t="shared" si="5"/>
        <v>47857</v>
      </c>
      <c r="N40" s="37">
        <f t="shared" si="6"/>
        <v>6.25</v>
      </c>
      <c r="O40" s="24">
        <f t="shared" ref="O40:O54" si="9">N40/((1+H$7/2)^(2*E43))</f>
        <v>0.6935948703445981</v>
      </c>
    </row>
    <row r="41" spans="1:15" x14ac:dyDescent="0.2">
      <c r="A41" s="39">
        <v>47492</v>
      </c>
      <c r="B41" s="48">
        <v>4.5454545454545459</v>
      </c>
      <c r="C41" s="48">
        <v>1.9318181818181817</v>
      </c>
      <c r="D41" s="48">
        <v>6.4772727272727275</v>
      </c>
      <c r="E41" s="48">
        <f t="shared" si="7"/>
        <v>7.4283541222999698</v>
      </c>
      <c r="F41" s="50">
        <f t="shared" si="1"/>
        <v>0.80023437644216222</v>
      </c>
      <c r="G41" s="11">
        <f t="shared" si="0"/>
        <v>5.5174036334191944E-3</v>
      </c>
      <c r="H41" s="11">
        <f t="shared" si="2"/>
        <v>0.99448259636658076</v>
      </c>
      <c r="I41" s="50">
        <f t="shared" si="3"/>
        <v>2.33592938897631E-3</v>
      </c>
      <c r="J41" s="37">
        <f>B$14-SUM(B$22:B40)+C41</f>
        <v>79.204545454545453</v>
      </c>
      <c r="K41" s="44">
        <f t="shared" si="4"/>
        <v>0.2</v>
      </c>
      <c r="M41" s="39">
        <f t="shared" si="5"/>
        <v>48038</v>
      </c>
      <c r="N41" s="37">
        <f t="shared" si="6"/>
        <v>6.1363636363636367</v>
      </c>
      <c r="O41" s="24">
        <f t="shared" si="9"/>
        <v>0.5984005782619376</v>
      </c>
    </row>
    <row r="42" spans="1:15" x14ac:dyDescent="0.2">
      <c r="A42" s="39">
        <v>47673</v>
      </c>
      <c r="B42" s="48">
        <v>4.5454545454545459</v>
      </c>
      <c r="C42" s="48">
        <v>1.8181818181818181</v>
      </c>
      <c r="D42" s="48">
        <v>6.3636363636363642</v>
      </c>
      <c r="E42" s="48">
        <f t="shared" si="7"/>
        <v>7.9239428049893519</v>
      </c>
      <c r="F42" s="50">
        <f t="shared" si="1"/>
        <v>0.78842477156544166</v>
      </c>
      <c r="G42" s="11">
        <f t="shared" si="0"/>
        <v>3.9000731738670171E-3</v>
      </c>
      <c r="H42" s="11">
        <f t="shared" si="2"/>
        <v>0.99609992682613302</v>
      </c>
      <c r="I42" s="50">
        <f t="shared" si="3"/>
        <v>1.6173304595522575E-3</v>
      </c>
      <c r="J42" s="37">
        <f>B$14-SUM(B$22:B41)+C42</f>
        <v>74.545454545454533</v>
      </c>
      <c r="K42" s="44">
        <f t="shared" si="4"/>
        <v>0.2</v>
      </c>
      <c r="M42" s="39">
        <f t="shared" si="5"/>
        <v>48222</v>
      </c>
      <c r="N42" s="37">
        <f t="shared" si="6"/>
        <v>6.0227272727272734</v>
      </c>
      <c r="O42" s="24">
        <f t="shared" si="9"/>
        <v>0.51524197813020844</v>
      </c>
    </row>
    <row r="43" spans="1:15" x14ac:dyDescent="0.2">
      <c r="A43" s="39">
        <v>47857</v>
      </c>
      <c r="B43" s="48">
        <v>4.5454545454545459</v>
      </c>
      <c r="C43" s="48">
        <v>1.7045454545454544</v>
      </c>
      <c r="D43" s="48">
        <v>6.25</v>
      </c>
      <c r="E43" s="48">
        <f t="shared" si="7"/>
        <v>8.428258488499452</v>
      </c>
      <c r="F43" s="50">
        <f t="shared" ref="F43:F57" si="10">EXP(-H$3*E43)</f>
        <v>0.77658610444349374</v>
      </c>
      <c r="G43" s="11">
        <f t="shared" ref="G43:G57" si="11">EXP(-H$4*E43)</f>
        <v>2.7400449819423908E-3</v>
      </c>
      <c r="H43" s="11">
        <f t="shared" ref="H43:H57" si="12">1-G43</f>
        <v>0.99725995501805764</v>
      </c>
      <c r="I43" s="50">
        <f t="shared" ref="I43:I57" si="13">H43-H42</f>
        <v>1.1600281919246225E-3</v>
      </c>
      <c r="J43" s="37">
        <f>B$14-SUM(B$22:B42)+C43</f>
        <v>69.886363636363626</v>
      </c>
      <c r="K43" s="44">
        <f t="shared" ref="K43:K57" si="14">H$5</f>
        <v>0.2</v>
      </c>
      <c r="M43" s="39">
        <f t="shared" si="5"/>
        <v>48404</v>
      </c>
      <c r="N43" s="37">
        <f t="shared" si="6"/>
        <v>5.9090909090909092</v>
      </c>
      <c r="O43" s="24">
        <f t="shared" si="9"/>
        <v>0.44390989114181545</v>
      </c>
    </row>
    <row r="44" spans="1:15" x14ac:dyDescent="0.2">
      <c r="A44" s="39">
        <v>48038</v>
      </c>
      <c r="B44" s="48">
        <v>4.5454545454545459</v>
      </c>
      <c r="C44" s="48">
        <v>1.5909090909090908</v>
      </c>
      <c r="D44" s="48">
        <v>6.1363636363636367</v>
      </c>
      <c r="E44" s="48">
        <f t="shared" si="7"/>
        <v>8.9238773274917857</v>
      </c>
      <c r="F44" s="50">
        <f t="shared" si="10"/>
        <v>0.76512480105692859</v>
      </c>
      <c r="G44" s="11">
        <f t="shared" si="11"/>
        <v>1.9368077919483466E-3</v>
      </c>
      <c r="H44" s="11">
        <f t="shared" si="12"/>
        <v>0.99806319220805162</v>
      </c>
      <c r="I44" s="50">
        <f t="shared" si="13"/>
        <v>8.032371899939772E-4</v>
      </c>
      <c r="J44" s="37">
        <f>B$14-SUM(B$22:B43)+C44</f>
        <v>65.22727272727272</v>
      </c>
      <c r="K44" s="44">
        <f t="shared" si="14"/>
        <v>0.2</v>
      </c>
      <c r="M44" s="39">
        <f t="shared" si="5"/>
        <v>48588</v>
      </c>
      <c r="N44" s="37">
        <f t="shared" si="6"/>
        <v>5.7954545454545459</v>
      </c>
      <c r="O44" s="24">
        <f t="shared" si="9"/>
        <v>0.38170161421007975</v>
      </c>
    </row>
    <row r="45" spans="1:15" x14ac:dyDescent="0.2">
      <c r="A45" s="39">
        <v>48222</v>
      </c>
      <c r="B45" s="48">
        <v>4.5454545454545459</v>
      </c>
      <c r="C45" s="48">
        <v>1.4772727272727273</v>
      </c>
      <c r="D45" s="48">
        <v>6.0227272727272734</v>
      </c>
      <c r="E45" s="48">
        <f t="shared" si="7"/>
        <v>9.4258337481333996</v>
      </c>
      <c r="F45" s="50">
        <f t="shared" si="10"/>
        <v>0.75368933950797423</v>
      </c>
      <c r="G45" s="11">
        <f t="shared" si="11"/>
        <v>1.3629775141943349E-3</v>
      </c>
      <c r="H45" s="11">
        <f t="shared" si="12"/>
        <v>0.99863702248580566</v>
      </c>
      <c r="I45" s="50">
        <f t="shared" si="13"/>
        <v>5.7383027775403939E-4</v>
      </c>
      <c r="J45" s="37">
        <f>B$14-SUM(B$22:B44)+C45</f>
        <v>60.568181818181813</v>
      </c>
      <c r="K45" s="44">
        <f t="shared" si="14"/>
        <v>0.2</v>
      </c>
      <c r="M45" s="39">
        <f t="shared" si="5"/>
        <v>48769</v>
      </c>
      <c r="N45" s="37">
        <f t="shared" si="6"/>
        <v>5.6818181818181817</v>
      </c>
      <c r="O45" s="24">
        <f t="shared" si="9"/>
        <v>0.32884146345925636</v>
      </c>
    </row>
    <row r="46" spans="1:15" x14ac:dyDescent="0.2">
      <c r="A46" s="39">
        <v>48404</v>
      </c>
      <c r="B46" s="48">
        <v>4.5454545454545459</v>
      </c>
      <c r="C46" s="48">
        <v>1.3636363636363635</v>
      </c>
      <c r="D46" s="48">
        <v>5.9090909090909092</v>
      </c>
      <c r="E46" s="48">
        <f t="shared" si="7"/>
        <v>9.9240915878546545</v>
      </c>
      <c r="F46" s="50">
        <f t="shared" si="10"/>
        <v>0.7425071730818581</v>
      </c>
      <c r="G46" s="11">
        <f t="shared" si="11"/>
        <v>9.6164604509233929E-4</v>
      </c>
      <c r="H46" s="11">
        <f t="shared" si="12"/>
        <v>0.9990383539549077</v>
      </c>
      <c r="I46" s="50">
        <f t="shared" si="13"/>
        <v>4.0133146910203976E-4</v>
      </c>
      <c r="J46" s="37">
        <f>B$14-SUM(B$22:B45)+C46</f>
        <v>55.909090909090907</v>
      </c>
      <c r="K46" s="44">
        <f t="shared" si="14"/>
        <v>0.2</v>
      </c>
      <c r="M46" s="39">
        <f t="shared" si="5"/>
        <v>48953</v>
      </c>
      <c r="N46" s="37">
        <f t="shared" si="6"/>
        <v>5.5681818181818183</v>
      </c>
      <c r="O46" s="24">
        <f t="shared" si="9"/>
        <v>0.28253794359193962</v>
      </c>
    </row>
    <row r="47" spans="1:15" x14ac:dyDescent="0.2">
      <c r="A47" s="39">
        <v>48588</v>
      </c>
      <c r="B47" s="48">
        <v>4.5454545454545459</v>
      </c>
      <c r="C47" s="48">
        <v>1.25</v>
      </c>
      <c r="D47" s="48">
        <v>5.7954545454545459</v>
      </c>
      <c r="E47" s="48">
        <f t="shared" si="7"/>
        <v>10.428473648186174</v>
      </c>
      <c r="F47" s="50">
        <f t="shared" si="10"/>
        <v>0.7313565296707456</v>
      </c>
      <c r="G47" s="11">
        <f t="shared" si="11"/>
        <v>6.7558501488547884E-4</v>
      </c>
      <c r="H47" s="11">
        <f t="shared" si="12"/>
        <v>0.99932441498511448</v>
      </c>
      <c r="I47" s="50">
        <f t="shared" si="13"/>
        <v>2.8606103020678564E-4</v>
      </c>
      <c r="J47" s="37">
        <f>B$14-SUM(B$22:B46)+C47</f>
        <v>51.249999999999993</v>
      </c>
      <c r="K47" s="44">
        <f t="shared" si="14"/>
        <v>0.2</v>
      </c>
      <c r="M47" s="39">
        <f t="shared" si="5"/>
        <v>49134</v>
      </c>
      <c r="N47" s="37">
        <f t="shared" si="6"/>
        <v>5.454545454545455</v>
      </c>
      <c r="O47" s="24">
        <f t="shared" si="9"/>
        <v>0.24321016864806652</v>
      </c>
    </row>
    <row r="48" spans="1:15" x14ac:dyDescent="0.2">
      <c r="A48" s="39">
        <v>48769</v>
      </c>
      <c r="B48" s="48">
        <v>4.5454545454545459</v>
      </c>
      <c r="C48" s="48">
        <v>1.1363636363636362</v>
      </c>
      <c r="D48" s="48">
        <v>5.6818181818181817</v>
      </c>
      <c r="E48" s="48">
        <f t="shared" si="7"/>
        <v>10.924024640657084</v>
      </c>
      <c r="F48" s="50">
        <f t="shared" si="10"/>
        <v>0.72056421693621475</v>
      </c>
      <c r="G48" s="11">
        <f t="shared" si="11"/>
        <v>4.7756167290856566E-4</v>
      </c>
      <c r="H48" s="11">
        <f t="shared" si="12"/>
        <v>0.99952243832709142</v>
      </c>
      <c r="I48" s="50">
        <f t="shared" si="13"/>
        <v>1.9802334197693838E-4</v>
      </c>
      <c r="J48" s="37">
        <f>B$14-SUM(B$22:B47)+C48</f>
        <v>46.590909090909079</v>
      </c>
      <c r="K48" s="44">
        <f t="shared" si="14"/>
        <v>0.2</v>
      </c>
      <c r="M48" s="39">
        <f t="shared" si="5"/>
        <v>49318</v>
      </c>
      <c r="N48" s="37">
        <f t="shared" si="6"/>
        <v>5.3409090909090917</v>
      </c>
      <c r="O48" s="24">
        <f t="shared" si="9"/>
        <v>0.20878730997944514</v>
      </c>
    </row>
    <row r="49" spans="1:15" x14ac:dyDescent="0.2">
      <c r="A49" s="39">
        <v>48953</v>
      </c>
      <c r="B49" s="48">
        <v>4.5454545454545459</v>
      </c>
      <c r="C49" s="48">
        <v>1.0227272727272725</v>
      </c>
      <c r="D49" s="48">
        <v>5.5681818181818183</v>
      </c>
      <c r="E49" s="48">
        <f t="shared" si="7"/>
        <v>11.428390901432183</v>
      </c>
      <c r="F49" s="50">
        <f t="shared" si="10"/>
        <v>0.70974343951729879</v>
      </c>
      <c r="G49" s="11">
        <f t="shared" si="11"/>
        <v>3.3550502265712427E-4</v>
      </c>
      <c r="H49" s="11">
        <f t="shared" si="12"/>
        <v>0.99966449497734289</v>
      </c>
      <c r="I49" s="50">
        <f t="shared" si="13"/>
        <v>1.420566502514653E-4</v>
      </c>
      <c r="J49" s="37">
        <f>B$14-SUM(B$22:B48)+C49</f>
        <v>41.931818181818173</v>
      </c>
      <c r="K49" s="44">
        <f t="shared" si="14"/>
        <v>0.2</v>
      </c>
      <c r="M49" s="39">
        <f t="shared" si="5"/>
        <v>49499</v>
      </c>
      <c r="N49" s="37">
        <f t="shared" si="6"/>
        <v>5.2272727272727275</v>
      </c>
      <c r="O49" s="24">
        <f t="shared" si="9"/>
        <v>0.17956485139142306</v>
      </c>
    </row>
    <row r="50" spans="1:15" x14ac:dyDescent="0.2">
      <c r="A50" s="39">
        <v>49134</v>
      </c>
      <c r="B50" s="48">
        <v>4.5454545454545459</v>
      </c>
      <c r="C50" s="48">
        <v>0.90909090909090884</v>
      </c>
      <c r="D50" s="48">
        <v>5.454545454545455</v>
      </c>
      <c r="E50" s="48">
        <f t="shared" si="7"/>
        <v>11.92396798652064</v>
      </c>
      <c r="F50" s="50">
        <f t="shared" si="10"/>
        <v>0.69926951445493246</v>
      </c>
      <c r="G50" s="11">
        <f t="shared" si="11"/>
        <v>2.3715951348114486E-4</v>
      </c>
      <c r="H50" s="11">
        <f t="shared" si="12"/>
        <v>0.99976284048651887</v>
      </c>
      <c r="I50" s="50">
        <f t="shared" si="13"/>
        <v>9.834550917597884E-5</v>
      </c>
      <c r="J50" s="37">
        <f>B$14-SUM(B$22:B49)+C50</f>
        <v>37.272727272727259</v>
      </c>
      <c r="K50" s="44">
        <f t="shared" si="14"/>
        <v>0.2</v>
      </c>
      <c r="M50" s="39">
        <f t="shared" si="5"/>
        <v>49683</v>
      </c>
      <c r="N50" s="37">
        <f t="shared" si="6"/>
        <v>5.1136363636363642</v>
      </c>
      <c r="O50" s="24">
        <f t="shared" si="9"/>
        <v>0.15410646713314163</v>
      </c>
    </row>
    <row r="51" spans="1:15" x14ac:dyDescent="0.2">
      <c r="A51" s="39">
        <v>49318</v>
      </c>
      <c r="B51" s="48">
        <v>4.5454545454545459</v>
      </c>
      <c r="C51" s="48">
        <v>0.79545454545454541</v>
      </c>
      <c r="D51" s="48">
        <v>5.3409090909090917</v>
      </c>
      <c r="E51" s="48">
        <f t="shared" si="7"/>
        <v>12.428319968707216</v>
      </c>
      <c r="F51" s="50">
        <f t="shared" si="10"/>
        <v>0.68876881653082977</v>
      </c>
      <c r="G51" s="11">
        <f t="shared" si="11"/>
        <v>1.6661513632029574E-4</v>
      </c>
      <c r="H51" s="11">
        <f t="shared" si="12"/>
        <v>0.99983338486367968</v>
      </c>
      <c r="I51" s="50">
        <f t="shared" si="13"/>
        <v>7.0544377160808303E-5</v>
      </c>
      <c r="J51" s="37">
        <f>B$14-SUM(B$22:B50)+C51</f>
        <v>32.61363636363636</v>
      </c>
      <c r="K51" s="44">
        <f t="shared" si="14"/>
        <v>0.2</v>
      </c>
      <c r="M51" s="39">
        <f t="shared" si="5"/>
        <v>49865</v>
      </c>
      <c r="N51" s="37">
        <f t="shared" si="6"/>
        <v>5</v>
      </c>
      <c r="O51" s="24">
        <f t="shared" si="9"/>
        <v>0.1323171688001484</v>
      </c>
    </row>
    <row r="52" spans="1:15" x14ac:dyDescent="0.2">
      <c r="A52" s="39">
        <v>49499</v>
      </c>
      <c r="B52" s="48">
        <v>4.5454545454545459</v>
      </c>
      <c r="C52" s="48">
        <v>0.68181818181818166</v>
      </c>
      <c r="D52" s="48">
        <v>5.2272727272727275</v>
      </c>
      <c r="E52" s="48">
        <f t="shared" si="7"/>
        <v>12.923919421083513</v>
      </c>
      <c r="F52" s="50">
        <f t="shared" si="10"/>
        <v>0.67860396574964987</v>
      </c>
      <c r="G52" s="11">
        <f t="shared" si="11"/>
        <v>1.1777393280077157E-4</v>
      </c>
      <c r="H52" s="11">
        <f t="shared" si="12"/>
        <v>0.99988222606719923</v>
      </c>
      <c r="I52" s="50">
        <f t="shared" si="13"/>
        <v>4.8841203519556231E-5</v>
      </c>
      <c r="J52" s="37">
        <f>B$14-SUM(B$22:B51)+C52</f>
        <v>27.954545454545446</v>
      </c>
      <c r="K52" s="44">
        <f t="shared" si="14"/>
        <v>0.2</v>
      </c>
      <c r="M52" s="39">
        <f t="shared" si="5"/>
        <v>50049</v>
      </c>
      <c r="N52" s="37">
        <f t="shared" si="6"/>
        <v>4.8863636363636367</v>
      </c>
      <c r="O52" s="24">
        <f t="shared" si="9"/>
        <v>0.11336847340631967</v>
      </c>
    </row>
    <row r="53" spans="1:15" x14ac:dyDescent="0.2">
      <c r="A53" s="39">
        <v>49683</v>
      </c>
      <c r="B53" s="48">
        <v>4.5454545454545459</v>
      </c>
      <c r="C53" s="48">
        <v>0.56818181818181801</v>
      </c>
      <c r="D53" s="48">
        <v>5.1136363636363642</v>
      </c>
      <c r="E53" s="48">
        <f t="shared" si="7"/>
        <v>13.425807629129404</v>
      </c>
      <c r="F53" s="50">
        <f t="shared" si="10"/>
        <v>0.66846300193290786</v>
      </c>
      <c r="G53" s="11">
        <f t="shared" si="11"/>
        <v>8.2884263379152744E-5</v>
      </c>
      <c r="H53" s="11">
        <f t="shared" si="12"/>
        <v>0.9999171157366209</v>
      </c>
      <c r="I53" s="50">
        <f t="shared" si="13"/>
        <v>3.4889669421667158E-5</v>
      </c>
      <c r="J53" s="37">
        <f>B$14-SUM(B$22:B52)+C53</f>
        <v>23.295454545454536</v>
      </c>
      <c r="K53" s="44">
        <f t="shared" si="14"/>
        <v>0.2</v>
      </c>
      <c r="M53" s="39">
        <f t="shared" si="5"/>
        <v>50230</v>
      </c>
      <c r="N53" s="37">
        <f t="shared" si="6"/>
        <v>4.7727272727272725</v>
      </c>
      <c r="O53" s="24">
        <f t="shared" si="9"/>
        <v>9.7305162188348823E-2</v>
      </c>
    </row>
    <row r="54" spans="1:15" x14ac:dyDescent="0.2">
      <c r="A54" s="39">
        <v>49865</v>
      </c>
      <c r="B54" s="48">
        <v>4.5454545454545459</v>
      </c>
      <c r="C54" s="48">
        <v>0.45454545454545436</v>
      </c>
      <c r="D54" s="48">
        <v>5</v>
      </c>
      <c r="E54" s="48">
        <f t="shared" si="7"/>
        <v>13.924073736083228</v>
      </c>
      <c r="F54" s="50">
        <f t="shared" si="10"/>
        <v>0.65854513890120803</v>
      </c>
      <c r="G54" s="11">
        <f t="shared" si="11"/>
        <v>5.8478486982000486E-5</v>
      </c>
      <c r="H54" s="11">
        <f t="shared" si="12"/>
        <v>0.99994152151301796</v>
      </c>
      <c r="I54" s="50">
        <f t="shared" si="13"/>
        <v>2.4405776397062873E-5</v>
      </c>
      <c r="J54" s="37">
        <f>B$14-SUM(B$22:B53)+C54</f>
        <v>18.636363636363626</v>
      </c>
      <c r="K54" s="44">
        <f t="shared" si="14"/>
        <v>0.2</v>
      </c>
      <c r="M54" s="39">
        <f t="shared" si="5"/>
        <v>50414</v>
      </c>
      <c r="N54" s="37">
        <f t="shared" si="6"/>
        <v>4.6590909090909092</v>
      </c>
      <c r="O54" s="24">
        <f t="shared" si="9"/>
        <v>8.3278400150586324E-2</v>
      </c>
    </row>
    <row r="55" spans="1:15" x14ac:dyDescent="0.2">
      <c r="A55" s="39">
        <v>50049</v>
      </c>
      <c r="B55" s="48">
        <v>4.5454545454545459</v>
      </c>
      <c r="C55" s="48">
        <v>0.34090909090909066</v>
      </c>
      <c r="D55" s="48">
        <v>4.8863636363636367</v>
      </c>
      <c r="E55" s="48">
        <f t="shared" si="7"/>
        <v>14.428473648186174</v>
      </c>
      <c r="F55" s="50">
        <f t="shared" si="10"/>
        <v>0.64865505269152246</v>
      </c>
      <c r="G55" s="11">
        <f t="shared" si="11"/>
        <v>4.1082367063844825E-5</v>
      </c>
      <c r="H55" s="11">
        <f t="shared" si="12"/>
        <v>0.99995891763293621</v>
      </c>
      <c r="I55" s="50">
        <f t="shared" si="13"/>
        <v>1.7396119918244857E-5</v>
      </c>
      <c r="J55" s="37">
        <f>B$14-SUM(B$22:B54)+C55</f>
        <v>13.977272727272716</v>
      </c>
      <c r="K55" s="44">
        <f t="shared" si="14"/>
        <v>0.2</v>
      </c>
      <c r="M55" s="39"/>
      <c r="N55" s="37"/>
      <c r="O55" s="24"/>
    </row>
    <row r="56" spans="1:15" x14ac:dyDescent="0.2">
      <c r="A56" s="39">
        <v>50230</v>
      </c>
      <c r="B56" s="48">
        <v>4.5454545454545459</v>
      </c>
      <c r="C56" s="48">
        <v>0.22727272727272699</v>
      </c>
      <c r="D56" s="48">
        <v>4.7727272727272725</v>
      </c>
      <c r="E56" s="48">
        <f t="shared" si="7"/>
        <v>14.924024640657084</v>
      </c>
      <c r="F56" s="50">
        <f t="shared" si="10"/>
        <v>0.63908312996782424</v>
      </c>
      <c r="G56" s="11">
        <f t="shared" si="11"/>
        <v>2.9040555236973742E-5</v>
      </c>
      <c r="H56" s="11">
        <f t="shared" si="12"/>
        <v>0.999970959444763</v>
      </c>
      <c r="I56" s="50">
        <f t="shared" si="13"/>
        <v>1.2041811826790649E-5</v>
      </c>
      <c r="J56" s="37">
        <f>B$14-SUM(B$22:B55)+C56</f>
        <v>9.3181818181818059</v>
      </c>
      <c r="K56" s="44">
        <f t="shared" si="14"/>
        <v>0.2</v>
      </c>
      <c r="M56" s="39"/>
      <c r="N56" s="37"/>
      <c r="O56" s="24"/>
    </row>
    <row r="57" spans="1:15" x14ac:dyDescent="0.2">
      <c r="A57" s="39">
        <v>50414</v>
      </c>
      <c r="B57" s="48">
        <v>4.5454545454545459</v>
      </c>
      <c r="C57" s="48">
        <v>0.11363636363636331</v>
      </c>
      <c r="D57" s="48">
        <v>4.6590909090909092</v>
      </c>
      <c r="E57" s="48">
        <f t="shared" si="7"/>
        <v>15.428410372040586</v>
      </c>
      <c r="F57" s="50">
        <f t="shared" si="10"/>
        <v>0.62948559363968803</v>
      </c>
      <c r="G57" s="11">
        <f t="shared" si="11"/>
        <v>2.0401803372093039E-5</v>
      </c>
      <c r="H57" s="11">
        <f t="shared" si="12"/>
        <v>0.99997959819662796</v>
      </c>
      <c r="I57" s="50">
        <f t="shared" si="13"/>
        <v>8.6387518649644335E-6</v>
      </c>
      <c r="J57" s="37">
        <f>B$14-SUM(B$22:B56)+C57</f>
        <v>4.6590909090908958</v>
      </c>
      <c r="K57" s="44">
        <f t="shared" si="14"/>
        <v>0.2</v>
      </c>
      <c r="M57" s="39"/>
      <c r="N57" s="37"/>
      <c r="O57" s="24"/>
    </row>
    <row r="58" spans="1:15" x14ac:dyDescent="0.2">
      <c r="A58" s="39"/>
      <c r="B58" s="48"/>
      <c r="C58" s="48"/>
      <c r="D58" s="48"/>
    </row>
    <row r="59" spans="1:15" x14ac:dyDescent="0.2">
      <c r="A59" s="39"/>
      <c r="B59" s="38"/>
      <c r="C59" s="38"/>
      <c r="D59" s="38"/>
    </row>
    <row r="60" spans="1:15" x14ac:dyDescent="0.2">
      <c r="A60" s="39"/>
      <c r="B60" s="38"/>
      <c r="C60" s="38"/>
      <c r="D60" s="38"/>
      <c r="O60" s="22">
        <f>SUM(O24:O57)-H6</f>
        <v>1.6788395335865403E-2</v>
      </c>
    </row>
    <row r="61" spans="1:15" x14ac:dyDescent="0.2">
      <c r="A61" s="39"/>
      <c r="B61" s="38"/>
      <c r="C61" s="38"/>
      <c r="D61" s="38"/>
    </row>
    <row r="62" spans="1:15" x14ac:dyDescent="0.2">
      <c r="A62" s="39"/>
      <c r="B62" s="38"/>
      <c r="C62" s="38"/>
      <c r="D62" s="38"/>
    </row>
  </sheetData>
  <pageMargins left="0.7" right="0.7" top="0.75" bottom="0.75" header="0.3" footer="0.3"/>
  <ignoredErrors>
    <ignoredError sqref="J24:J26 J38:J57 J28:J37 H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" sqref="C2:C4"/>
    </sheetView>
  </sheetViews>
  <sheetFormatPr baseColWidth="10" defaultColWidth="11" defaultRowHeight="16" x14ac:dyDescent="0.2"/>
  <cols>
    <col min="3" max="3" width="13.33203125" bestFit="1" customWidth="1"/>
  </cols>
  <sheetData>
    <row r="1" spans="1:4" x14ac:dyDescent="0.25">
      <c r="B1" t="s">
        <v>25</v>
      </c>
      <c r="C1" t="s">
        <v>26</v>
      </c>
      <c r="D1" s="40" t="s">
        <v>27</v>
      </c>
    </row>
    <row r="2" spans="1:4" x14ac:dyDescent="0.25">
      <c r="A2">
        <v>2029</v>
      </c>
      <c r="B2" s="22">
        <f>+'2029'!H6</f>
        <v>24.646520268255674</v>
      </c>
      <c r="C2">
        <v>23.75</v>
      </c>
      <c r="D2" s="51">
        <f>+B2-C2</f>
        <v>0.89652026825567432</v>
      </c>
    </row>
    <row r="3" spans="1:4" x14ac:dyDescent="0.25">
      <c r="A3">
        <v>2030</v>
      </c>
      <c r="B3" s="22">
        <f>+'2030'!H6</f>
        <v>24.150174214817351</v>
      </c>
      <c r="C3">
        <v>24.25</v>
      </c>
      <c r="D3" s="51">
        <f t="shared" ref="D3:D4" si="0">+B3-C3</f>
        <v>-9.982578518264873E-2</v>
      </c>
    </row>
    <row r="4" spans="1:4" x14ac:dyDescent="0.25">
      <c r="A4">
        <v>2038</v>
      </c>
      <c r="B4" s="22">
        <f>+'2038'!H6</f>
        <v>24.810488128409169</v>
      </c>
      <c r="C4" s="52">
        <v>29</v>
      </c>
      <c r="D4" s="51">
        <f t="shared" si="0"/>
        <v>-4.189511871590831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A9" workbookViewId="0">
      <selection activeCell="O60" sqref="O60"/>
    </sheetView>
  </sheetViews>
  <sheetFormatPr baseColWidth="10" defaultColWidth="10.83203125" defaultRowHeight="16" x14ac:dyDescent="0.2"/>
  <cols>
    <col min="1" max="1" width="29.6640625" style="38" bestFit="1" customWidth="1"/>
    <col min="2" max="2" width="10.83203125" style="38"/>
    <col min="3" max="3" width="6.5" style="38" bestFit="1" customWidth="1"/>
    <col min="4" max="4" width="16.5" style="38" bestFit="1" customWidth="1"/>
    <col min="5" max="7" width="10.83203125" style="38"/>
    <col min="8" max="8" width="11.83203125" style="38" bestFit="1" customWidth="1"/>
    <col min="9" max="16384" width="10.83203125" style="38"/>
  </cols>
  <sheetData>
    <row r="1" spans="1:11" x14ac:dyDescent="0.25">
      <c r="A1" s="38" t="s">
        <v>0</v>
      </c>
    </row>
    <row r="2" spans="1:11" x14ac:dyDescent="0.25">
      <c r="A2" s="38" t="s">
        <v>1</v>
      </c>
      <c r="B2" s="41">
        <v>44078</v>
      </c>
    </row>
    <row r="3" spans="1:11" x14ac:dyDescent="0.25">
      <c r="A3" s="38" t="s">
        <v>2</v>
      </c>
      <c r="B3" s="41">
        <v>50652</v>
      </c>
      <c r="G3" s="38" t="s">
        <v>3</v>
      </c>
      <c r="H3" s="3">
        <v>0.03</v>
      </c>
    </row>
    <row r="4" spans="1:11" x14ac:dyDescent="0.25">
      <c r="A4" s="38" t="s">
        <v>4</v>
      </c>
      <c r="B4" s="41">
        <v>44779</v>
      </c>
      <c r="C4" s="40"/>
      <c r="D4" s="40"/>
      <c r="G4" s="38" t="s">
        <v>5</v>
      </c>
      <c r="H4" s="3">
        <f>+'2030'!H4</f>
        <v>0.7</v>
      </c>
    </row>
    <row r="5" spans="1:11" x14ac:dyDescent="0.25">
      <c r="A5" s="38" t="s">
        <v>6</v>
      </c>
      <c r="B5" s="42"/>
      <c r="G5" s="38" t="s">
        <v>7</v>
      </c>
      <c r="H5" s="3">
        <f>20%*1.173</f>
        <v>0.23460000000000003</v>
      </c>
    </row>
    <row r="6" spans="1:11" x14ac:dyDescent="0.25">
      <c r="A6" s="39">
        <v>44386</v>
      </c>
      <c r="B6" s="43">
        <v>0.125</v>
      </c>
      <c r="C6" s="40"/>
      <c r="D6" s="40"/>
      <c r="G6" s="5" t="s">
        <v>9</v>
      </c>
      <c r="H6" s="6">
        <f>SUMPRODUCT(F27:F57,G27:G57,D27:D57)+SUMPRODUCT(I27:I57,J27:J57,K27:K57,F27:F57)</f>
        <v>28.154775933900385</v>
      </c>
      <c r="K6" s="51"/>
    </row>
    <row r="7" spans="1:11" x14ac:dyDescent="0.25">
      <c r="A7" s="39">
        <v>44751</v>
      </c>
      <c r="B7" s="43">
        <v>2</v>
      </c>
      <c r="C7" s="40"/>
      <c r="D7" s="40"/>
      <c r="G7" s="5" t="s">
        <v>11</v>
      </c>
      <c r="H7" s="23">
        <v>0.25143112824142766</v>
      </c>
    </row>
    <row r="8" spans="1:11" x14ac:dyDescent="0.25">
      <c r="A8" s="39">
        <v>45116</v>
      </c>
      <c r="B8" s="43">
        <v>3.875</v>
      </c>
      <c r="C8" s="40"/>
      <c r="D8" s="40"/>
      <c r="E8" s="49"/>
    </row>
    <row r="9" spans="1:11" x14ac:dyDescent="0.25">
      <c r="A9" s="39">
        <v>45482</v>
      </c>
      <c r="B9" s="43">
        <v>4.25</v>
      </c>
      <c r="C9" s="40"/>
      <c r="D9" s="40"/>
      <c r="E9" s="49"/>
      <c r="H9" s="3"/>
    </row>
    <row r="10" spans="1:11" x14ac:dyDescent="0.25">
      <c r="A10" s="39">
        <v>50414</v>
      </c>
      <c r="B10" s="43">
        <v>5</v>
      </c>
      <c r="C10" s="40"/>
      <c r="D10" s="40"/>
      <c r="H10" s="3"/>
    </row>
    <row r="11" spans="1:11" x14ac:dyDescent="0.25">
      <c r="A11" s="38" t="s">
        <v>8</v>
      </c>
      <c r="B11" s="40">
        <v>2</v>
      </c>
      <c r="C11" s="40"/>
      <c r="D11" s="40"/>
    </row>
    <row r="12" spans="1:11" x14ac:dyDescent="0.25">
      <c r="A12" s="38" t="s">
        <v>10</v>
      </c>
      <c r="B12" s="40">
        <v>22</v>
      </c>
      <c r="C12" s="40"/>
      <c r="D12" s="40"/>
    </row>
    <row r="13" spans="1:11" x14ac:dyDescent="0.25">
      <c r="A13" s="38" t="s">
        <v>12</v>
      </c>
      <c r="B13" s="41">
        <v>46577</v>
      </c>
      <c r="C13" s="40"/>
      <c r="D13" s="40"/>
    </row>
    <row r="14" spans="1:11" x14ac:dyDescent="0.25">
      <c r="A14" s="38" t="s">
        <v>13</v>
      </c>
      <c r="B14" s="40">
        <v>100</v>
      </c>
      <c r="C14" s="40"/>
      <c r="D14" s="40"/>
    </row>
    <row r="15" spans="1:11" x14ac:dyDescent="0.25">
      <c r="A15" s="38" t="s">
        <v>14</v>
      </c>
      <c r="B15" s="41">
        <v>44078</v>
      </c>
      <c r="C15" s="40"/>
      <c r="D15" s="40"/>
    </row>
    <row r="16" spans="1:11" x14ac:dyDescent="0.25">
      <c r="A16" s="38" t="s">
        <v>24</v>
      </c>
      <c r="B16" s="39">
        <v>44386</v>
      </c>
      <c r="C16" s="40"/>
      <c r="D16" s="40"/>
    </row>
    <row r="17" spans="1:15" x14ac:dyDescent="0.25">
      <c r="A17" s="38" t="s">
        <v>15</v>
      </c>
      <c r="B17" s="40">
        <v>0</v>
      </c>
      <c r="C17" s="40"/>
      <c r="D17" s="40"/>
    </row>
    <row r="18" spans="1:15" x14ac:dyDescent="0.25">
      <c r="A18" s="76"/>
      <c r="B18" s="83"/>
      <c r="C18" s="40"/>
      <c r="D18" s="40"/>
    </row>
    <row r="19" spans="1:15" x14ac:dyDescent="0.25">
      <c r="A19" s="78"/>
      <c r="B19" s="79"/>
      <c r="C19" s="40"/>
      <c r="D19" s="40"/>
    </row>
    <row r="21" spans="1:15" x14ac:dyDescent="0.25">
      <c r="B21" s="40" t="s">
        <v>13</v>
      </c>
      <c r="C21" s="40" t="s">
        <v>16</v>
      </c>
      <c r="D21" s="40" t="s">
        <v>17</v>
      </c>
      <c r="E21" s="40" t="s">
        <v>18</v>
      </c>
      <c r="F21" s="40" t="s">
        <v>19</v>
      </c>
      <c r="G21" s="40" t="s">
        <v>20</v>
      </c>
      <c r="H21" s="40" t="s">
        <v>21</v>
      </c>
      <c r="I21" s="38" t="s">
        <v>22</v>
      </c>
      <c r="J21" s="38" t="s">
        <v>23</v>
      </c>
      <c r="K21" s="38" t="s">
        <v>7</v>
      </c>
      <c r="O21" s="38" t="s">
        <v>11</v>
      </c>
    </row>
    <row r="22" spans="1:15" x14ac:dyDescent="0.25">
      <c r="A22" s="39">
        <v>44078</v>
      </c>
      <c r="E22" s="40"/>
      <c r="M22" s="45"/>
    </row>
    <row r="23" spans="1:15" x14ac:dyDescent="0.25">
      <c r="A23" s="39">
        <v>44205</v>
      </c>
      <c r="B23" s="48">
        <v>0</v>
      </c>
      <c r="C23" s="48"/>
      <c r="D23" s="48"/>
      <c r="E23" s="40"/>
      <c r="G23" s="11">
        <f t="shared" ref="G23:G57" si="0">EXP(-H$4*E23)</f>
        <v>1</v>
      </c>
      <c r="H23" s="11">
        <v>0</v>
      </c>
      <c r="M23" s="39">
        <f>+B4</f>
        <v>44779</v>
      </c>
      <c r="N23" s="22">
        <f>-H6</f>
        <v>-28.154775933900385</v>
      </c>
    </row>
    <row r="24" spans="1:15" x14ac:dyDescent="0.25">
      <c r="A24" s="39">
        <v>44386</v>
      </c>
      <c r="B24" s="48">
        <v>0</v>
      </c>
      <c r="C24" s="48">
        <v>0.10590277777777779</v>
      </c>
      <c r="D24" s="48">
        <v>0.10590277777777779</v>
      </c>
      <c r="E24" s="48">
        <f t="shared" ref="E24:E57" si="1">IF(A24&lt;B$4,0,(A24-B$4)/365)</f>
        <v>0</v>
      </c>
      <c r="F24" s="50">
        <f t="shared" ref="F24:F57" si="2">EXP(-H$3*E24)</f>
        <v>1</v>
      </c>
      <c r="G24" s="11">
        <f t="shared" si="0"/>
        <v>1</v>
      </c>
      <c r="H24" s="11">
        <f t="shared" ref="H24:H57" si="3">1-G24</f>
        <v>0</v>
      </c>
      <c r="I24" s="50">
        <f t="shared" ref="I24:I57" si="4">H24-H23</f>
        <v>0</v>
      </c>
      <c r="J24" s="37">
        <f>B$14-SUM(B$22:B23)+C24</f>
        <v>100.10590277777777</v>
      </c>
      <c r="K24" s="44">
        <f t="shared" ref="K24:K57" si="5">H$5</f>
        <v>0.23460000000000003</v>
      </c>
      <c r="M24" s="39">
        <f t="shared" ref="M24:M54" si="6">+A27</f>
        <v>44935</v>
      </c>
      <c r="N24" s="37">
        <f t="shared" ref="N24:N54" si="7">+D27</f>
        <v>1.9375</v>
      </c>
      <c r="O24" s="24">
        <f>N24/((1+H$7/2)^(2*E27))</f>
        <v>1.7509783056859165</v>
      </c>
    </row>
    <row r="25" spans="1:15" x14ac:dyDescent="0.25">
      <c r="A25" s="39">
        <v>44570</v>
      </c>
      <c r="B25" s="48">
        <v>0</v>
      </c>
      <c r="C25" s="48">
        <v>1</v>
      </c>
      <c r="D25" s="48">
        <v>1</v>
      </c>
      <c r="E25" s="48">
        <f t="shared" si="1"/>
        <v>0</v>
      </c>
      <c r="F25" s="50">
        <f t="shared" si="2"/>
        <v>1</v>
      </c>
      <c r="G25" s="11">
        <f t="shared" si="0"/>
        <v>1</v>
      </c>
      <c r="H25" s="11">
        <f t="shared" si="3"/>
        <v>0</v>
      </c>
      <c r="I25" s="50">
        <f t="shared" si="4"/>
        <v>0</v>
      </c>
      <c r="J25" s="37">
        <f>B$14-SUM(B$22:B24)+C25</f>
        <v>101</v>
      </c>
      <c r="K25" s="44">
        <f t="shared" si="5"/>
        <v>0.23460000000000003</v>
      </c>
      <c r="M25" s="39">
        <f t="shared" si="6"/>
        <v>45116</v>
      </c>
      <c r="N25" s="37">
        <f t="shared" si="7"/>
        <v>1.9375</v>
      </c>
      <c r="O25" s="24">
        <f t="shared" ref="O25:O54" si="8">N25/((1+H$7/2)^(2*E28))</f>
        <v>1.5569504666995939</v>
      </c>
    </row>
    <row r="26" spans="1:15" x14ac:dyDescent="0.25">
      <c r="A26" s="39">
        <v>44751</v>
      </c>
      <c r="B26" s="48">
        <v>0</v>
      </c>
      <c r="C26" s="48">
        <v>1</v>
      </c>
      <c r="D26" s="48">
        <v>1</v>
      </c>
      <c r="E26" s="48">
        <f t="shared" si="1"/>
        <v>0</v>
      </c>
      <c r="F26" s="50">
        <f t="shared" si="2"/>
        <v>1</v>
      </c>
      <c r="G26" s="11">
        <f t="shared" si="0"/>
        <v>1</v>
      </c>
      <c r="H26" s="11">
        <f t="shared" si="3"/>
        <v>0</v>
      </c>
      <c r="I26" s="50">
        <f t="shared" si="4"/>
        <v>0</v>
      </c>
      <c r="J26" s="37">
        <f>B$14-SUM(B$22:B25)+C26</f>
        <v>101</v>
      </c>
      <c r="K26" s="44">
        <f t="shared" si="5"/>
        <v>0.23460000000000003</v>
      </c>
      <c r="M26" s="39">
        <f t="shared" si="6"/>
        <v>45300</v>
      </c>
      <c r="N26" s="37">
        <f t="shared" si="7"/>
        <v>2.125</v>
      </c>
      <c r="O26" s="24">
        <f t="shared" si="8"/>
        <v>1.5154466330058081</v>
      </c>
    </row>
    <row r="27" spans="1:15" x14ac:dyDescent="0.25">
      <c r="A27" s="39">
        <v>44935</v>
      </c>
      <c r="B27" s="48">
        <v>0</v>
      </c>
      <c r="C27" s="48">
        <v>1.9375</v>
      </c>
      <c r="D27" s="48">
        <v>1.9375</v>
      </c>
      <c r="E27" s="48">
        <f t="shared" si="1"/>
        <v>0.42739726027397262</v>
      </c>
      <c r="F27" s="17">
        <f>EXP(-H$3*E27)</f>
        <v>0.98725993277928459</v>
      </c>
      <c r="G27" s="18">
        <f>EXP(-H$4*E27)</f>
        <v>0.74142736266798048</v>
      </c>
      <c r="H27" s="18">
        <f t="shared" si="3"/>
        <v>0.25857263733201952</v>
      </c>
      <c r="I27" s="17">
        <f t="shared" si="4"/>
        <v>0.25857263733201952</v>
      </c>
      <c r="J27" s="37">
        <f>B$14-SUM(B$22:B26)+C27</f>
        <v>101.9375</v>
      </c>
      <c r="K27" s="20">
        <f t="shared" si="5"/>
        <v>0.23460000000000003</v>
      </c>
      <c r="M27" s="39">
        <f t="shared" si="6"/>
        <v>45482</v>
      </c>
      <c r="N27" s="37">
        <f t="shared" si="7"/>
        <v>2.125</v>
      </c>
      <c r="O27" s="24">
        <f t="shared" si="8"/>
        <v>1.3466442372260372</v>
      </c>
    </row>
    <row r="28" spans="1:15" x14ac:dyDescent="0.25">
      <c r="A28" s="39">
        <v>45116</v>
      </c>
      <c r="B28" s="48">
        <v>0</v>
      </c>
      <c r="C28" s="48">
        <v>1.9375</v>
      </c>
      <c r="D28" s="48">
        <v>1.9375</v>
      </c>
      <c r="E28" s="48">
        <f t="shared" si="1"/>
        <v>0.92328767123287669</v>
      </c>
      <c r="F28" s="50">
        <f t="shared" si="2"/>
        <v>0.97268145951258267</v>
      </c>
      <c r="G28" s="11">
        <f t="shared" si="0"/>
        <v>0.52398020616805496</v>
      </c>
      <c r="H28" s="11">
        <f t="shared" si="3"/>
        <v>0.47601979383194504</v>
      </c>
      <c r="I28" s="50">
        <f t="shared" si="4"/>
        <v>0.21744715649992552</v>
      </c>
      <c r="J28" s="37">
        <f>B$14-SUM(B$22:B27)+C28</f>
        <v>101.9375</v>
      </c>
      <c r="K28" s="44">
        <f t="shared" si="5"/>
        <v>0.23460000000000003</v>
      </c>
      <c r="M28" s="39">
        <f t="shared" si="6"/>
        <v>45666</v>
      </c>
      <c r="N28" s="37">
        <f t="shared" si="7"/>
        <v>2.5</v>
      </c>
      <c r="O28" s="24">
        <f t="shared" si="8"/>
        <v>1.4059911244383614</v>
      </c>
    </row>
    <row r="29" spans="1:15" x14ac:dyDescent="0.2">
      <c r="A29" s="39">
        <v>45300</v>
      </c>
      <c r="B29" s="48">
        <v>0</v>
      </c>
      <c r="C29" s="48">
        <v>2.125</v>
      </c>
      <c r="D29" s="48">
        <v>2.125</v>
      </c>
      <c r="E29" s="48">
        <f t="shared" si="1"/>
        <v>1.4273972602739726</v>
      </c>
      <c r="F29" s="50">
        <f t="shared" si="2"/>
        <v>0.95808199221705714</v>
      </c>
      <c r="G29" s="11">
        <f>EXP(-H$4*E29)</f>
        <v>0.36818193212974265</v>
      </c>
      <c r="H29" s="11">
        <f t="shared" si="3"/>
        <v>0.6318180678702574</v>
      </c>
      <c r="I29" s="50">
        <f t="shared" si="4"/>
        <v>0.15579827403831237</v>
      </c>
      <c r="J29" s="37">
        <f>B$14-SUM(B$22:B28)+C29</f>
        <v>102.125</v>
      </c>
      <c r="K29" s="44">
        <f t="shared" si="5"/>
        <v>0.23460000000000003</v>
      </c>
      <c r="M29" s="39">
        <f t="shared" si="6"/>
        <v>45847</v>
      </c>
      <c r="N29" s="37">
        <f t="shared" si="7"/>
        <v>2.5</v>
      </c>
      <c r="O29" s="24">
        <f t="shared" si="8"/>
        <v>1.2501916958430088</v>
      </c>
    </row>
    <row r="30" spans="1:15" x14ac:dyDescent="0.2">
      <c r="A30" s="39">
        <v>45482</v>
      </c>
      <c r="B30" s="48">
        <v>0</v>
      </c>
      <c r="C30" s="48">
        <v>2.125</v>
      </c>
      <c r="D30" s="48">
        <v>2.125</v>
      </c>
      <c r="E30" s="48">
        <f t="shared" si="1"/>
        <v>1.9260273972602739</v>
      </c>
      <c r="F30" s="50">
        <f t="shared" si="2"/>
        <v>0.94385679749020901</v>
      </c>
      <c r="G30" s="11">
        <f t="shared" si="0"/>
        <v>0.25970233269593007</v>
      </c>
      <c r="H30" s="11">
        <f t="shared" si="3"/>
        <v>0.74029766730406998</v>
      </c>
      <c r="I30" s="50">
        <f t="shared" si="4"/>
        <v>0.10847959943381258</v>
      </c>
      <c r="J30" s="37">
        <f>B$14-SUM(B$22:B29)+C30</f>
        <v>102.125</v>
      </c>
      <c r="K30" s="44">
        <f t="shared" si="5"/>
        <v>0.23460000000000003</v>
      </c>
      <c r="M30" s="39">
        <f t="shared" si="6"/>
        <v>46031</v>
      </c>
      <c r="N30" s="37">
        <f t="shared" si="7"/>
        <v>2.5</v>
      </c>
      <c r="O30" s="24">
        <f t="shared" si="8"/>
        <v>1.1094947148396366</v>
      </c>
    </row>
    <row r="31" spans="1:15" x14ac:dyDescent="0.2">
      <c r="A31" s="39">
        <v>45666</v>
      </c>
      <c r="B31" s="48">
        <v>0</v>
      </c>
      <c r="C31" s="48">
        <v>2.5</v>
      </c>
      <c r="D31" s="48">
        <v>2.5</v>
      </c>
      <c r="E31" s="48">
        <f t="shared" si="1"/>
        <v>2.43013698630137</v>
      </c>
      <c r="F31" s="50">
        <f t="shared" si="2"/>
        <v>0.92968997410537457</v>
      </c>
      <c r="G31" s="11">
        <f t="shared" si="0"/>
        <v>0.18248343258966832</v>
      </c>
      <c r="H31" s="11">
        <f t="shared" si="3"/>
        <v>0.81751656741033174</v>
      </c>
      <c r="I31" s="50">
        <f t="shared" si="4"/>
        <v>7.7218900106261756E-2</v>
      </c>
      <c r="J31" s="37">
        <f>B$14-SUM(B$22:B30)+C31</f>
        <v>102.5</v>
      </c>
      <c r="K31" s="44">
        <f t="shared" si="5"/>
        <v>0.23460000000000003</v>
      </c>
      <c r="M31" s="39">
        <f t="shared" si="6"/>
        <v>46212</v>
      </c>
      <c r="N31" s="37">
        <f t="shared" si="7"/>
        <v>2.5</v>
      </c>
      <c r="O31" s="24">
        <f t="shared" si="8"/>
        <v>0.98655038069909962</v>
      </c>
    </row>
    <row r="32" spans="1:15" x14ac:dyDescent="0.2">
      <c r="A32" s="39">
        <v>45847</v>
      </c>
      <c r="B32" s="48">
        <v>0</v>
      </c>
      <c r="C32" s="48">
        <v>2.5</v>
      </c>
      <c r="D32" s="48">
        <v>2.5</v>
      </c>
      <c r="E32" s="48">
        <f t="shared" si="1"/>
        <v>2.9260273972602739</v>
      </c>
      <c r="F32" s="50">
        <f t="shared" si="2"/>
        <v>0.91596161343377214</v>
      </c>
      <c r="G32" s="11">
        <f t="shared" si="0"/>
        <v>0.12896436177714615</v>
      </c>
      <c r="H32" s="11">
        <f t="shared" si="3"/>
        <v>0.8710356382228539</v>
      </c>
      <c r="I32" s="50">
        <f t="shared" si="4"/>
        <v>5.3519070812522163E-2</v>
      </c>
      <c r="J32" s="37">
        <f>B$14-SUM(B$22:B31)+C32</f>
        <v>102.5</v>
      </c>
      <c r="K32" s="44">
        <f t="shared" si="5"/>
        <v>0.23460000000000003</v>
      </c>
      <c r="M32" s="39">
        <f t="shared" si="6"/>
        <v>46396</v>
      </c>
      <c r="N32" s="37">
        <f t="shared" si="7"/>
        <v>2.5</v>
      </c>
      <c r="O32" s="24">
        <f t="shared" si="8"/>
        <v>0.87552367924713204</v>
      </c>
    </row>
    <row r="33" spans="1:15" x14ac:dyDescent="0.2">
      <c r="A33" s="39">
        <v>46031</v>
      </c>
      <c r="B33" s="48">
        <v>0</v>
      </c>
      <c r="C33" s="48">
        <v>2.5</v>
      </c>
      <c r="D33" s="48">
        <v>2.5</v>
      </c>
      <c r="E33" s="48">
        <f t="shared" si="1"/>
        <v>3.43013698630137</v>
      </c>
      <c r="F33" s="50">
        <f t="shared" si="2"/>
        <v>0.90221348295538895</v>
      </c>
      <c r="G33" s="11">
        <f t="shared" si="0"/>
        <v>9.0618590809439653E-2</v>
      </c>
      <c r="H33" s="11">
        <f t="shared" si="3"/>
        <v>0.90938140919056032</v>
      </c>
      <c r="I33" s="50">
        <f t="shared" si="4"/>
        <v>3.8345770967706416E-2</v>
      </c>
      <c r="J33" s="37">
        <f>B$14-SUM(B$22:B32)+C33</f>
        <v>102.5</v>
      </c>
      <c r="K33" s="44">
        <f t="shared" si="5"/>
        <v>0.23460000000000003</v>
      </c>
      <c r="M33" s="39">
        <f t="shared" si="6"/>
        <v>46577</v>
      </c>
      <c r="N33" s="37">
        <f t="shared" si="7"/>
        <v>7.0454545454545459</v>
      </c>
      <c r="O33" s="24">
        <f t="shared" si="8"/>
        <v>2.1939712681086645</v>
      </c>
    </row>
    <row r="34" spans="1:15" x14ac:dyDescent="0.2">
      <c r="A34" s="39">
        <v>46212</v>
      </c>
      <c r="B34" s="48">
        <v>0</v>
      </c>
      <c r="C34" s="48">
        <v>2.5</v>
      </c>
      <c r="D34" s="48">
        <v>2.5</v>
      </c>
      <c r="E34" s="48">
        <f t="shared" si="1"/>
        <v>3.9260273972602739</v>
      </c>
      <c r="F34" s="50">
        <f t="shared" si="2"/>
        <v>0.88889085665868939</v>
      </c>
      <c r="G34" s="11">
        <f t="shared" si="0"/>
        <v>6.4041806771369378E-2</v>
      </c>
      <c r="H34" s="11">
        <f t="shared" si="3"/>
        <v>0.93595819322863061</v>
      </c>
      <c r="I34" s="50">
        <f t="shared" si="4"/>
        <v>2.6576784038070289E-2</v>
      </c>
      <c r="J34" s="37">
        <f>B$14-SUM(B$22:B33)+C34</f>
        <v>102.5</v>
      </c>
      <c r="K34" s="44">
        <f t="shared" si="5"/>
        <v>0.23460000000000003</v>
      </c>
      <c r="M34" s="39">
        <f t="shared" si="6"/>
        <v>46761</v>
      </c>
      <c r="N34" s="37">
        <f t="shared" si="7"/>
        <v>6.9318181818181817</v>
      </c>
      <c r="O34" s="24">
        <f t="shared" si="8"/>
        <v>1.9156568162745291</v>
      </c>
    </row>
    <row r="35" spans="1:15" x14ac:dyDescent="0.2">
      <c r="A35" s="39">
        <v>46396</v>
      </c>
      <c r="B35" s="48">
        <v>0</v>
      </c>
      <c r="C35" s="48">
        <v>2.5</v>
      </c>
      <c r="D35" s="48">
        <v>2.5</v>
      </c>
      <c r="E35" s="48">
        <f t="shared" si="1"/>
        <v>4.4301369863013695</v>
      </c>
      <c r="F35" s="50">
        <f t="shared" si="2"/>
        <v>0.87554904484130036</v>
      </c>
      <c r="G35" s="11">
        <f t="shared" si="0"/>
        <v>4.4999860446255029E-2</v>
      </c>
      <c r="H35" s="11">
        <f t="shared" si="3"/>
        <v>0.95500013955374496</v>
      </c>
      <c r="I35" s="50">
        <f t="shared" si="4"/>
        <v>1.9041946325114356E-2</v>
      </c>
      <c r="J35" s="37">
        <f>B$14-SUM(B$22:B34)+C35</f>
        <v>102.5</v>
      </c>
      <c r="K35" s="44">
        <f t="shared" si="5"/>
        <v>0.23460000000000003</v>
      </c>
      <c r="M35" s="39">
        <f t="shared" si="6"/>
        <v>46943</v>
      </c>
      <c r="N35" s="37">
        <f t="shared" si="7"/>
        <v>6.8181818181818183</v>
      </c>
      <c r="O35" s="24">
        <f t="shared" si="8"/>
        <v>1.6743696929441747</v>
      </c>
    </row>
    <row r="36" spans="1:15" x14ac:dyDescent="0.2">
      <c r="A36" s="39">
        <v>46577</v>
      </c>
      <c r="B36" s="48">
        <v>4.5454545454545459</v>
      </c>
      <c r="C36" s="48">
        <v>2.5</v>
      </c>
      <c r="D36" s="48">
        <v>7.0454545454545459</v>
      </c>
      <c r="E36" s="48">
        <f t="shared" si="1"/>
        <v>4.9260273972602739</v>
      </c>
      <c r="F36" s="50">
        <f t="shared" si="2"/>
        <v>0.86262016165653232</v>
      </c>
      <c r="G36" s="11">
        <f t="shared" si="0"/>
        <v>3.1802220070911207E-2</v>
      </c>
      <c r="H36" s="11">
        <f t="shared" si="3"/>
        <v>0.96819777992908884</v>
      </c>
      <c r="I36" s="50">
        <f t="shared" si="4"/>
        <v>1.3197640375343878E-2</v>
      </c>
      <c r="J36" s="37">
        <f>B$14-SUM(B$22:B35)+C36</f>
        <v>102.5</v>
      </c>
      <c r="K36" s="44">
        <f t="shared" si="5"/>
        <v>0.23460000000000003</v>
      </c>
      <c r="M36" s="39">
        <f t="shared" si="6"/>
        <v>47127</v>
      </c>
      <c r="N36" s="37">
        <f t="shared" si="7"/>
        <v>6.704545454545455</v>
      </c>
      <c r="O36" s="24">
        <f t="shared" si="8"/>
        <v>1.4611699888370275</v>
      </c>
    </row>
    <row r="37" spans="1:15" x14ac:dyDescent="0.2">
      <c r="A37" s="39">
        <v>46761</v>
      </c>
      <c r="B37" s="48">
        <v>4.5454545454545459</v>
      </c>
      <c r="C37" s="48">
        <v>2.3863636363636362</v>
      </c>
      <c r="D37" s="48">
        <v>6.9318181818181817</v>
      </c>
      <c r="E37" s="48">
        <f t="shared" si="1"/>
        <v>5.4301369863013695</v>
      </c>
      <c r="F37" s="50">
        <f t="shared" si="2"/>
        <v>0.8496726599689024</v>
      </c>
      <c r="G37" s="11">
        <f t="shared" si="0"/>
        <v>2.2346269370274594E-2</v>
      </c>
      <c r="H37" s="11">
        <f t="shared" si="3"/>
        <v>0.97765373062972538</v>
      </c>
      <c r="I37" s="50">
        <f t="shared" si="4"/>
        <v>9.4559507006365395E-3</v>
      </c>
      <c r="J37" s="37">
        <f>B$14-SUM(B$22:B36)+C37</f>
        <v>97.840909090909093</v>
      </c>
      <c r="K37" s="44">
        <f t="shared" si="5"/>
        <v>0.23460000000000003</v>
      </c>
      <c r="M37" s="39">
        <f t="shared" si="6"/>
        <v>47308</v>
      </c>
      <c r="N37" s="37">
        <f t="shared" si="7"/>
        <v>6.5909090909090917</v>
      </c>
      <c r="O37" s="24">
        <f t="shared" si="8"/>
        <v>1.2772348390366006</v>
      </c>
    </row>
    <row r="38" spans="1:15" x14ac:dyDescent="0.2">
      <c r="A38" s="39">
        <v>46943</v>
      </c>
      <c r="B38" s="48">
        <v>4.5454545454545459</v>
      </c>
      <c r="C38" s="48">
        <v>2.2727272727272729</v>
      </c>
      <c r="D38" s="48">
        <v>6.8181818181818183</v>
      </c>
      <c r="E38" s="48">
        <f t="shared" si="1"/>
        <v>5.9287671232876713</v>
      </c>
      <c r="F38" s="50">
        <f t="shared" si="2"/>
        <v>0.83705708098889542</v>
      </c>
      <c r="G38" s="11">
        <f t="shared" si="0"/>
        <v>1.5762257123651816E-2</v>
      </c>
      <c r="H38" s="11">
        <f t="shared" si="3"/>
        <v>0.98423774287634813</v>
      </c>
      <c r="I38" s="50">
        <f t="shared" si="4"/>
        <v>6.5840122466227502E-3</v>
      </c>
      <c r="J38" s="37">
        <f>B$14-SUM(B$22:B37)+C38</f>
        <v>93.181818181818173</v>
      </c>
      <c r="K38" s="44">
        <f t="shared" si="5"/>
        <v>0.23460000000000003</v>
      </c>
      <c r="M38" s="39">
        <f t="shared" si="6"/>
        <v>47492</v>
      </c>
      <c r="N38" s="37">
        <f t="shared" si="7"/>
        <v>6.4772727272727275</v>
      </c>
      <c r="O38" s="24">
        <f t="shared" si="8"/>
        <v>1.1139514067464553</v>
      </c>
    </row>
    <row r="39" spans="1:15" x14ac:dyDescent="0.2">
      <c r="A39" s="39">
        <v>47127</v>
      </c>
      <c r="B39" s="48">
        <v>4.5454545454545459</v>
      </c>
      <c r="C39" s="48">
        <v>2.1590909090909092</v>
      </c>
      <c r="D39" s="48">
        <v>6.704545454545455</v>
      </c>
      <c r="E39" s="48">
        <f t="shared" si="1"/>
        <v>6.4328767123287669</v>
      </c>
      <c r="F39" s="50">
        <f t="shared" si="2"/>
        <v>0.82449326849008497</v>
      </c>
      <c r="G39" s="11">
        <f t="shared" si="0"/>
        <v>1.1075567768013403E-2</v>
      </c>
      <c r="H39" s="11">
        <f t="shared" si="3"/>
        <v>0.98892443223198656</v>
      </c>
      <c r="I39" s="50">
        <f t="shared" si="4"/>
        <v>4.6866893556384293E-3</v>
      </c>
      <c r="J39" s="37">
        <f>B$14-SUM(B$22:B38)+C39</f>
        <v>88.522727272727266</v>
      </c>
      <c r="K39" s="44">
        <f t="shared" si="5"/>
        <v>0.23460000000000003</v>
      </c>
      <c r="M39" s="39">
        <f t="shared" si="6"/>
        <v>47673</v>
      </c>
      <c r="N39" s="37">
        <f t="shared" si="7"/>
        <v>6.3636363636363642</v>
      </c>
      <c r="O39" s="24">
        <f t="shared" si="8"/>
        <v>0.97313579671457773</v>
      </c>
    </row>
    <row r="40" spans="1:15" x14ac:dyDescent="0.2">
      <c r="A40" s="39">
        <v>47308</v>
      </c>
      <c r="B40" s="48">
        <v>4.5454545454545459</v>
      </c>
      <c r="C40" s="48">
        <v>2.0454545454545454</v>
      </c>
      <c r="D40" s="48">
        <v>6.5909090909090917</v>
      </c>
      <c r="E40" s="48">
        <f t="shared" si="1"/>
        <v>6.9287671232876713</v>
      </c>
      <c r="F40" s="50">
        <f t="shared" si="2"/>
        <v>0.81231830557082552</v>
      </c>
      <c r="G40" s="11">
        <f t="shared" si="0"/>
        <v>7.8273052421869438E-3</v>
      </c>
      <c r="H40" s="11">
        <f t="shared" si="3"/>
        <v>0.99217269475781311</v>
      </c>
      <c r="I40" s="50">
        <f t="shared" si="4"/>
        <v>3.2482625258265507E-3</v>
      </c>
      <c r="J40" s="37">
        <f>B$14-SUM(B$22:B39)+C40</f>
        <v>83.86363636363636</v>
      </c>
      <c r="K40" s="44">
        <f t="shared" si="5"/>
        <v>0.23460000000000003</v>
      </c>
      <c r="M40" s="39">
        <f t="shared" si="6"/>
        <v>47857</v>
      </c>
      <c r="N40" s="37">
        <f t="shared" si="7"/>
        <v>6.25</v>
      </c>
      <c r="O40" s="24">
        <f t="shared" si="8"/>
        <v>0.84819701304375983</v>
      </c>
    </row>
    <row r="41" spans="1:15" x14ac:dyDescent="0.2">
      <c r="A41" s="39">
        <v>47492</v>
      </c>
      <c r="B41" s="48">
        <v>4.5454545454545459</v>
      </c>
      <c r="C41" s="48">
        <v>1.9318181818181817</v>
      </c>
      <c r="D41" s="48">
        <v>6.4772727272727275</v>
      </c>
      <c r="E41" s="48">
        <f t="shared" si="1"/>
        <v>7.4328767123287669</v>
      </c>
      <c r="F41" s="50">
        <f t="shared" si="2"/>
        <v>0.80012580984701387</v>
      </c>
      <c r="G41" s="11">
        <f t="shared" si="0"/>
        <v>5.4999641847412782E-3</v>
      </c>
      <c r="H41" s="11">
        <f t="shared" si="3"/>
        <v>0.9945000358152587</v>
      </c>
      <c r="I41" s="50">
        <f t="shared" si="4"/>
        <v>2.3273410574455866E-3</v>
      </c>
      <c r="J41" s="37">
        <f>B$14-SUM(B$22:B40)+C41</f>
        <v>79.204545454545453</v>
      </c>
      <c r="K41" s="44">
        <f t="shared" si="5"/>
        <v>0.23460000000000003</v>
      </c>
      <c r="M41" s="39">
        <f t="shared" si="6"/>
        <v>48038</v>
      </c>
      <c r="N41" s="37">
        <f t="shared" si="7"/>
        <v>6.1363636363636367</v>
      </c>
      <c r="O41" s="24">
        <f t="shared" si="8"/>
        <v>0.74049450449561915</v>
      </c>
    </row>
    <row r="42" spans="1:15" x14ac:dyDescent="0.2">
      <c r="A42" s="39">
        <v>47673</v>
      </c>
      <c r="B42" s="48">
        <v>4.5454545454545459</v>
      </c>
      <c r="C42" s="48">
        <v>1.8181818181818181</v>
      </c>
      <c r="D42" s="48">
        <v>6.3636363636363642</v>
      </c>
      <c r="E42" s="48">
        <f t="shared" si="1"/>
        <v>7.9287671232876713</v>
      </c>
      <c r="F42" s="50">
        <f t="shared" si="2"/>
        <v>0.78831067146089984</v>
      </c>
      <c r="G42" s="11">
        <f t="shared" si="0"/>
        <v>3.8869247515594951E-3</v>
      </c>
      <c r="H42" s="11">
        <f t="shared" si="3"/>
        <v>0.9961130752484405</v>
      </c>
      <c r="I42" s="50">
        <f t="shared" si="4"/>
        <v>1.6130394331818065E-3</v>
      </c>
      <c r="J42" s="37">
        <f>B$14-SUM(B$22:B41)+C42</f>
        <v>74.545454545454533</v>
      </c>
      <c r="K42" s="44">
        <f t="shared" si="5"/>
        <v>0.23460000000000003</v>
      </c>
      <c r="M42" s="39">
        <f t="shared" si="6"/>
        <v>48222</v>
      </c>
      <c r="N42" s="37">
        <f t="shared" si="7"/>
        <v>6.0227272727272734</v>
      </c>
      <c r="O42" s="24">
        <f t="shared" si="8"/>
        <v>0.64498940023871898</v>
      </c>
    </row>
    <row r="43" spans="1:15" x14ac:dyDescent="0.2">
      <c r="A43" s="39">
        <v>47857</v>
      </c>
      <c r="B43" s="48">
        <v>4.5454545454545459</v>
      </c>
      <c r="C43" s="48">
        <v>1.7045454545454544</v>
      </c>
      <c r="D43" s="48">
        <v>6.25</v>
      </c>
      <c r="E43" s="48">
        <f t="shared" si="1"/>
        <v>8.4328767123287669</v>
      </c>
      <c r="F43" s="50">
        <f t="shared" si="2"/>
        <v>0.7764785184429176</v>
      </c>
      <c r="G43" s="11">
        <f t="shared" si="0"/>
        <v>2.7312013855216189E-3</v>
      </c>
      <c r="H43" s="11">
        <f t="shared" si="3"/>
        <v>0.99726879861447837</v>
      </c>
      <c r="I43" s="50">
        <f t="shared" si="4"/>
        <v>1.1557233660378641E-3</v>
      </c>
      <c r="J43" s="37">
        <f>B$14-SUM(B$22:B42)+C43</f>
        <v>69.886363636363626</v>
      </c>
      <c r="K43" s="44">
        <f t="shared" si="5"/>
        <v>0.23460000000000003</v>
      </c>
      <c r="M43" s="39">
        <f t="shared" si="6"/>
        <v>48404</v>
      </c>
      <c r="N43" s="37">
        <f t="shared" si="7"/>
        <v>5.9090909090909092</v>
      </c>
      <c r="O43" s="24">
        <f t="shared" si="8"/>
        <v>0.56233133083191988</v>
      </c>
    </row>
    <row r="44" spans="1:15" x14ac:dyDescent="0.2">
      <c r="A44" s="39">
        <v>48038</v>
      </c>
      <c r="B44" s="48">
        <v>4.5454545454545459</v>
      </c>
      <c r="C44" s="48">
        <v>1.5909090909090908</v>
      </c>
      <c r="D44" s="48">
        <v>6.1363636363636367</v>
      </c>
      <c r="E44" s="48">
        <f t="shared" si="1"/>
        <v>8.9287671232876704</v>
      </c>
      <c r="F44" s="50">
        <f t="shared" si="2"/>
        <v>0.76501257016785573</v>
      </c>
      <c r="G44" s="11">
        <f t="shared" si="0"/>
        <v>1.9301897085675221E-3</v>
      </c>
      <c r="H44" s="11">
        <f t="shared" si="3"/>
        <v>0.99806981029143249</v>
      </c>
      <c r="I44" s="50">
        <f t="shared" si="4"/>
        <v>8.0101167695412201E-4</v>
      </c>
      <c r="J44" s="37">
        <f>B$14-SUM(B$22:B43)+C44</f>
        <v>65.22727272727272</v>
      </c>
      <c r="K44" s="44">
        <f t="shared" si="5"/>
        <v>0.23460000000000003</v>
      </c>
      <c r="M44" s="39">
        <f t="shared" si="6"/>
        <v>48588</v>
      </c>
      <c r="N44" s="37">
        <f t="shared" si="7"/>
        <v>5.7954545454545459</v>
      </c>
      <c r="O44" s="24">
        <f t="shared" si="8"/>
        <v>0.48944933378379507</v>
      </c>
    </row>
    <row r="45" spans="1:15" x14ac:dyDescent="0.2">
      <c r="A45" s="39">
        <v>48222</v>
      </c>
      <c r="B45" s="48">
        <v>4.5454545454545459</v>
      </c>
      <c r="C45" s="48">
        <v>1.4772727272727273</v>
      </c>
      <c r="D45" s="48">
        <v>6.0227272727272734</v>
      </c>
      <c r="E45" s="48">
        <f t="shared" si="1"/>
        <v>9.4328767123287669</v>
      </c>
      <c r="F45" s="50">
        <f t="shared" si="2"/>
        <v>0.75353011011929227</v>
      </c>
      <c r="G45" s="11">
        <f t="shared" si="0"/>
        <v>1.3562744697447715E-3</v>
      </c>
      <c r="H45" s="11">
        <f t="shared" si="3"/>
        <v>0.99864372553025527</v>
      </c>
      <c r="I45" s="50">
        <f t="shared" si="4"/>
        <v>5.7391523882277529E-4</v>
      </c>
      <c r="J45" s="37">
        <f>B$14-SUM(B$22:B44)+C45</f>
        <v>60.568181818181813</v>
      </c>
      <c r="K45" s="44">
        <f t="shared" si="5"/>
        <v>0.23460000000000003</v>
      </c>
      <c r="M45" s="39">
        <f t="shared" si="6"/>
        <v>48769</v>
      </c>
      <c r="N45" s="37">
        <f t="shared" si="7"/>
        <v>5.6818181818181817</v>
      </c>
      <c r="O45" s="24">
        <f t="shared" si="8"/>
        <v>0.42667932627076322</v>
      </c>
    </row>
    <row r="46" spans="1:15" x14ac:dyDescent="0.2">
      <c r="A46" s="39">
        <v>48404</v>
      </c>
      <c r="B46" s="48">
        <v>4.5454545454545459</v>
      </c>
      <c r="C46" s="48">
        <v>1.3636363636363635</v>
      </c>
      <c r="D46" s="48">
        <v>5.9090909090909092</v>
      </c>
      <c r="E46" s="48">
        <f t="shared" si="1"/>
        <v>9.9315068493150687</v>
      </c>
      <c r="F46" s="50">
        <f t="shared" si="2"/>
        <v>0.74234201490816576</v>
      </c>
      <c r="G46" s="11">
        <f t="shared" si="0"/>
        <v>9.5666737781291314E-4</v>
      </c>
      <c r="H46" s="11">
        <f t="shared" si="3"/>
        <v>0.99904333262218714</v>
      </c>
      <c r="I46" s="50">
        <f t="shared" si="4"/>
        <v>3.9960709193187505E-4</v>
      </c>
      <c r="J46" s="37">
        <f>B$14-SUM(B$22:B45)+C46</f>
        <v>55.909090909090907</v>
      </c>
      <c r="K46" s="44">
        <f t="shared" si="5"/>
        <v>0.23460000000000003</v>
      </c>
      <c r="M46" s="39">
        <f t="shared" si="6"/>
        <v>48953</v>
      </c>
      <c r="N46" s="37">
        <f t="shared" si="7"/>
        <v>5.5681818181818183</v>
      </c>
      <c r="O46" s="24">
        <f t="shared" si="8"/>
        <v>0.37108748188200341</v>
      </c>
    </row>
    <row r="47" spans="1:15" x14ac:dyDescent="0.2">
      <c r="A47" s="39">
        <v>48588</v>
      </c>
      <c r="B47" s="48">
        <v>4.5454545454545459</v>
      </c>
      <c r="C47" s="48">
        <v>1.25</v>
      </c>
      <c r="D47" s="48">
        <v>5.7954545454545459</v>
      </c>
      <c r="E47" s="48">
        <f t="shared" si="1"/>
        <v>10.435616438356165</v>
      </c>
      <c r="F47" s="50">
        <f t="shared" si="2"/>
        <v>0.73119982867365352</v>
      </c>
      <c r="G47" s="11">
        <f t="shared" si="0"/>
        <v>6.7221555208076596E-4</v>
      </c>
      <c r="H47" s="11">
        <f t="shared" si="3"/>
        <v>0.99932778444791925</v>
      </c>
      <c r="I47" s="50">
        <f t="shared" si="4"/>
        <v>2.844518257321127E-4</v>
      </c>
      <c r="J47" s="37">
        <f>B$14-SUM(B$22:B46)+C47</f>
        <v>51.249999999999993</v>
      </c>
      <c r="K47" s="44">
        <f t="shared" si="5"/>
        <v>0.23460000000000003</v>
      </c>
      <c r="M47" s="39">
        <f t="shared" si="6"/>
        <v>49134</v>
      </c>
      <c r="N47" s="37">
        <f t="shared" si="7"/>
        <v>5.454545454545455</v>
      </c>
      <c r="O47" s="24">
        <f t="shared" si="8"/>
        <v>0.32323285064344826</v>
      </c>
    </row>
    <row r="48" spans="1:15" x14ac:dyDescent="0.2">
      <c r="A48" s="39">
        <v>48769</v>
      </c>
      <c r="B48" s="48">
        <v>4.5454545454545459</v>
      </c>
      <c r="C48" s="48">
        <v>1.1363636363636362</v>
      </c>
      <c r="D48" s="48">
        <v>5.6818181818181817</v>
      </c>
      <c r="E48" s="48">
        <f t="shared" si="1"/>
        <v>10.931506849315069</v>
      </c>
      <c r="F48" s="50">
        <f t="shared" si="2"/>
        <v>0.72040249273302948</v>
      </c>
      <c r="G48" s="11">
        <f t="shared" si="0"/>
        <v>4.7506696043855649E-4</v>
      </c>
      <c r="H48" s="11">
        <f t="shared" si="3"/>
        <v>0.99952493303956147</v>
      </c>
      <c r="I48" s="50">
        <f t="shared" si="4"/>
        <v>1.9714859164221554E-4</v>
      </c>
      <c r="J48" s="37">
        <f>B$14-SUM(B$22:B47)+C48</f>
        <v>46.590909090909079</v>
      </c>
      <c r="K48" s="44">
        <f t="shared" si="5"/>
        <v>0.23460000000000003</v>
      </c>
      <c r="M48" s="39">
        <f t="shared" si="6"/>
        <v>49318</v>
      </c>
      <c r="N48" s="37">
        <f t="shared" si="7"/>
        <v>5.3409090909090917</v>
      </c>
      <c r="O48" s="24">
        <f t="shared" si="8"/>
        <v>0.28087995108843361</v>
      </c>
    </row>
    <row r="49" spans="1:15" x14ac:dyDescent="0.2">
      <c r="A49" s="39">
        <v>48953</v>
      </c>
      <c r="B49" s="48">
        <v>4.5454545454545459</v>
      </c>
      <c r="C49" s="48">
        <v>1.0227272727272725</v>
      </c>
      <c r="D49" s="48">
        <v>5.5681818181818183</v>
      </c>
      <c r="E49" s="48">
        <f t="shared" si="1"/>
        <v>11.435616438356165</v>
      </c>
      <c r="F49" s="50">
        <f t="shared" si="2"/>
        <v>0.70958960786778147</v>
      </c>
      <c r="G49" s="11">
        <f t="shared" si="0"/>
        <v>3.3381236414333718E-4</v>
      </c>
      <c r="H49" s="11">
        <f t="shared" si="3"/>
        <v>0.99966618763585668</v>
      </c>
      <c r="I49" s="50">
        <f t="shared" si="4"/>
        <v>1.4125459629521497E-4</v>
      </c>
      <c r="J49" s="37">
        <f>B$14-SUM(B$22:B48)+C49</f>
        <v>41.931818181818173</v>
      </c>
      <c r="K49" s="44">
        <f t="shared" si="5"/>
        <v>0.23460000000000003</v>
      </c>
      <c r="M49" s="39">
        <f t="shared" si="6"/>
        <v>49499</v>
      </c>
      <c r="N49" s="37">
        <f t="shared" si="7"/>
        <v>5.2272727272727275</v>
      </c>
      <c r="O49" s="24">
        <f t="shared" si="8"/>
        <v>0.24444139037145951</v>
      </c>
    </row>
    <row r="50" spans="1:15" x14ac:dyDescent="0.2">
      <c r="A50" s="39">
        <v>49134</v>
      </c>
      <c r="B50" s="48">
        <v>4.5454545454545459</v>
      </c>
      <c r="C50" s="48">
        <v>0.90909090909090884</v>
      </c>
      <c r="D50" s="48">
        <v>5.454545454545455</v>
      </c>
      <c r="E50" s="48">
        <f t="shared" si="1"/>
        <v>11.931506849315069</v>
      </c>
      <c r="F50" s="50">
        <f t="shared" si="2"/>
        <v>0.69911138142998008</v>
      </c>
      <c r="G50" s="11">
        <f t="shared" si="0"/>
        <v>2.3591127087064208E-4</v>
      </c>
      <c r="H50" s="11">
        <f t="shared" si="3"/>
        <v>0.99976408872912936</v>
      </c>
      <c r="I50" s="50">
        <f t="shared" si="4"/>
        <v>9.7901093272678708E-5</v>
      </c>
      <c r="J50" s="37">
        <f>B$14-SUM(B$22:B49)+C50</f>
        <v>37.272727272727259</v>
      </c>
      <c r="K50" s="44">
        <f t="shared" si="5"/>
        <v>0.23460000000000003</v>
      </c>
      <c r="M50" s="39">
        <f t="shared" si="6"/>
        <v>49683</v>
      </c>
      <c r="N50" s="37">
        <f t="shared" si="7"/>
        <v>5.1136363636363642</v>
      </c>
      <c r="O50" s="24">
        <f t="shared" si="8"/>
        <v>0.21221596625182743</v>
      </c>
    </row>
    <row r="51" spans="1:15" x14ac:dyDescent="0.2">
      <c r="A51" s="39">
        <v>49318</v>
      </c>
      <c r="B51" s="48">
        <v>4.5454545454545459</v>
      </c>
      <c r="C51" s="48">
        <v>0.79545454545454541</v>
      </c>
      <c r="D51" s="48">
        <v>5.3409090909090917</v>
      </c>
      <c r="E51" s="48">
        <f t="shared" si="1"/>
        <v>12.435616438356165</v>
      </c>
      <c r="F51" s="50">
        <f t="shared" si="2"/>
        <v>0.68861806560772587</v>
      </c>
      <c r="G51" s="11">
        <f t="shared" si="0"/>
        <v>1.6576631425744783E-4</v>
      </c>
      <c r="H51" s="11">
        <f t="shared" si="3"/>
        <v>0.99983423368574253</v>
      </c>
      <c r="I51" s="50">
        <f t="shared" si="4"/>
        <v>7.0144956613171772E-5</v>
      </c>
      <c r="J51" s="37">
        <f>B$14-SUM(B$22:B50)+C51</f>
        <v>32.61363636363636</v>
      </c>
      <c r="K51" s="44">
        <f t="shared" si="5"/>
        <v>0.23460000000000003</v>
      </c>
      <c r="M51" s="39">
        <f t="shared" si="6"/>
        <v>49865</v>
      </c>
      <c r="N51" s="37">
        <f t="shared" si="7"/>
        <v>5</v>
      </c>
      <c r="O51" s="24">
        <f t="shared" si="8"/>
        <v>0.18438706345932285</v>
      </c>
    </row>
    <row r="52" spans="1:15" x14ac:dyDescent="0.2">
      <c r="A52" s="39">
        <v>49499</v>
      </c>
      <c r="B52" s="48">
        <v>4.5454545454545459</v>
      </c>
      <c r="C52" s="48">
        <v>0.68181818181818166</v>
      </c>
      <c r="D52" s="48">
        <v>5.2272727272727275</v>
      </c>
      <c r="E52" s="48">
        <f t="shared" si="1"/>
        <v>12.931506849315069</v>
      </c>
      <c r="F52" s="50">
        <f t="shared" si="2"/>
        <v>0.67844951756165162</v>
      </c>
      <c r="G52" s="11">
        <f t="shared" si="0"/>
        <v>1.1715007011311537E-4</v>
      </c>
      <c r="H52" s="11">
        <f t="shared" si="3"/>
        <v>0.99988284992988685</v>
      </c>
      <c r="I52" s="50">
        <f t="shared" si="4"/>
        <v>4.86162441443172E-5</v>
      </c>
      <c r="J52" s="37">
        <f>B$14-SUM(B$22:B51)+C52</f>
        <v>27.954545454545446</v>
      </c>
      <c r="K52" s="44">
        <f t="shared" si="5"/>
        <v>0.23460000000000003</v>
      </c>
      <c r="M52" s="39">
        <f t="shared" si="6"/>
        <v>50049</v>
      </c>
      <c r="N52" s="37">
        <f t="shared" si="7"/>
        <v>4.8863636363636367</v>
      </c>
      <c r="O52" s="24">
        <f t="shared" si="8"/>
        <v>0.15991708133723492</v>
      </c>
    </row>
    <row r="53" spans="1:15" x14ac:dyDescent="0.2">
      <c r="A53" s="39">
        <v>49683</v>
      </c>
      <c r="B53" s="48">
        <v>4.5454545454545459</v>
      </c>
      <c r="C53" s="48">
        <v>0.56818181818181801</v>
      </c>
      <c r="D53" s="48">
        <v>5.1136363636363642</v>
      </c>
      <c r="E53" s="48">
        <f t="shared" si="1"/>
        <v>13.435616438356165</v>
      </c>
      <c r="F53" s="50">
        <f t="shared" si="2"/>
        <v>0.66826632608983116</v>
      </c>
      <c r="G53" s="11">
        <f t="shared" si="0"/>
        <v>8.2317115523916908E-5</v>
      </c>
      <c r="H53" s="11">
        <f t="shared" si="3"/>
        <v>0.99991768288447613</v>
      </c>
      <c r="I53" s="50">
        <f t="shared" si="4"/>
        <v>3.4832954589281151E-5</v>
      </c>
      <c r="J53" s="37">
        <f>B$14-SUM(B$22:B52)+C53</f>
        <v>23.295454545454536</v>
      </c>
      <c r="K53" s="44">
        <f t="shared" si="5"/>
        <v>0.23460000000000003</v>
      </c>
      <c r="M53" s="39">
        <f t="shared" si="6"/>
        <v>50230</v>
      </c>
      <c r="N53" s="37">
        <f t="shared" si="7"/>
        <v>4.7727272727272725</v>
      </c>
      <c r="O53" s="24">
        <f t="shared" si="8"/>
        <v>0.13888959783271079</v>
      </c>
    </row>
    <row r="54" spans="1:15" x14ac:dyDescent="0.2">
      <c r="A54" s="39">
        <v>49865</v>
      </c>
      <c r="B54" s="48">
        <v>4.5454545454545459</v>
      </c>
      <c r="C54" s="48">
        <v>0.45454545454545436</v>
      </c>
      <c r="D54" s="48">
        <v>5</v>
      </c>
      <c r="E54" s="48">
        <f t="shared" si="1"/>
        <v>13.934246575342465</v>
      </c>
      <c r="F54" s="50">
        <f t="shared" si="2"/>
        <v>0.65834419135058486</v>
      </c>
      <c r="G54" s="11">
        <f t="shared" si="0"/>
        <v>5.8063541572236312E-5</v>
      </c>
      <c r="H54" s="11">
        <f t="shared" si="3"/>
        <v>0.99994193645842777</v>
      </c>
      <c r="I54" s="50">
        <f t="shared" si="4"/>
        <v>2.4253573951638074E-5</v>
      </c>
      <c r="J54" s="37">
        <f>B$14-SUM(B$22:B53)+C54</f>
        <v>18.636363636363626</v>
      </c>
      <c r="K54" s="44">
        <f t="shared" si="5"/>
        <v>0.23460000000000003</v>
      </c>
      <c r="M54" s="39">
        <f t="shared" si="6"/>
        <v>50414</v>
      </c>
      <c r="N54" s="37">
        <f t="shared" si="7"/>
        <v>4.6590909090909092</v>
      </c>
      <c r="O54" s="24">
        <f t="shared" si="8"/>
        <v>0.12032418109145906</v>
      </c>
    </row>
    <row r="55" spans="1:15" x14ac:dyDescent="0.2">
      <c r="A55" s="39">
        <v>50049</v>
      </c>
      <c r="B55" s="48">
        <v>4.5454545454545459</v>
      </c>
      <c r="C55" s="48">
        <v>0.34090909090909066</v>
      </c>
      <c r="D55" s="48">
        <v>4.8863636363636367</v>
      </c>
      <c r="E55" s="48">
        <f t="shared" si="1"/>
        <v>14.438356164383562</v>
      </c>
      <c r="F55" s="50">
        <f t="shared" si="2"/>
        <v>0.64846277087441118</v>
      </c>
      <c r="G55" s="11">
        <f t="shared" si="0"/>
        <v>4.0799149797473661E-5</v>
      </c>
      <c r="H55" s="11">
        <f t="shared" si="3"/>
        <v>0.99995920085020251</v>
      </c>
      <c r="I55" s="50">
        <f t="shared" si="4"/>
        <v>1.7264391774740595E-5</v>
      </c>
      <c r="J55" s="37">
        <f>B$14-SUM(B$22:B54)+C55</f>
        <v>13.977272727272716</v>
      </c>
      <c r="K55" s="44">
        <f t="shared" si="5"/>
        <v>0.23460000000000003</v>
      </c>
      <c r="M55" s="39"/>
      <c r="N55" s="37"/>
      <c r="O55" s="24"/>
    </row>
    <row r="56" spans="1:15" x14ac:dyDescent="0.2">
      <c r="A56" s="39">
        <v>50230</v>
      </c>
      <c r="B56" s="48">
        <v>4.5454545454545459</v>
      </c>
      <c r="C56" s="48">
        <v>0.22727272727272699</v>
      </c>
      <c r="D56" s="48">
        <v>4.7727272727272725</v>
      </c>
      <c r="E56" s="48">
        <f t="shared" si="1"/>
        <v>14.934246575342465</v>
      </c>
      <c r="F56" s="50">
        <f t="shared" si="2"/>
        <v>0.63888718003377942</v>
      </c>
      <c r="G56" s="11">
        <f t="shared" si="0"/>
        <v>2.8833501430854124E-5</v>
      </c>
      <c r="H56" s="11">
        <f t="shared" si="3"/>
        <v>0.9999711664985691</v>
      </c>
      <c r="I56" s="50">
        <f t="shared" si="4"/>
        <v>1.1965648366585313E-5</v>
      </c>
      <c r="J56" s="37">
        <f>B$14-SUM(B$22:B55)+C56</f>
        <v>9.3181818181818059</v>
      </c>
      <c r="K56" s="44">
        <f t="shared" si="5"/>
        <v>0.23460000000000003</v>
      </c>
      <c r="M56" s="39"/>
      <c r="N56" s="37"/>
      <c r="O56" s="24"/>
    </row>
    <row r="57" spans="1:15" x14ac:dyDescent="0.2">
      <c r="A57" s="39">
        <v>50414</v>
      </c>
      <c r="B57" s="48">
        <v>4.5454545454545459</v>
      </c>
      <c r="C57" s="48">
        <v>0.11363636363636331</v>
      </c>
      <c r="D57" s="48">
        <v>4.6590909090909092</v>
      </c>
      <c r="E57" s="48">
        <f t="shared" si="1"/>
        <v>15.438356164383562</v>
      </c>
      <c r="F57" s="50">
        <f t="shared" si="2"/>
        <v>0.62929779966756194</v>
      </c>
      <c r="G57" s="11">
        <f t="shared" si="0"/>
        <v>2.0260258196609698E-5</v>
      </c>
      <c r="H57" s="11">
        <f t="shared" si="3"/>
        <v>0.99997973974180343</v>
      </c>
      <c r="I57" s="50">
        <f t="shared" si="4"/>
        <v>8.5732432343332832E-6</v>
      </c>
      <c r="J57" s="37">
        <f>B$14-SUM(B$22:B56)+C57</f>
        <v>4.6590909090908958</v>
      </c>
      <c r="K57" s="44">
        <f t="shared" si="5"/>
        <v>0.23460000000000003</v>
      </c>
      <c r="M57" s="39"/>
      <c r="N57" s="37"/>
      <c r="O57" s="24"/>
    </row>
    <row r="58" spans="1:15" x14ac:dyDescent="0.2">
      <c r="A58" s="39"/>
      <c r="B58" s="48"/>
      <c r="C58" s="48"/>
      <c r="D58" s="48"/>
    </row>
    <row r="59" spans="1:15" x14ac:dyDescent="0.2">
      <c r="A59" s="39"/>
    </row>
    <row r="60" spans="1:15" x14ac:dyDescent="0.2">
      <c r="A60" s="39"/>
      <c r="O60" s="22">
        <f>SUM(O24:O57)-H6</f>
        <v>1.5850687091756299E-6</v>
      </c>
    </row>
    <row r="61" spans="1:15" x14ac:dyDescent="0.2">
      <c r="A61" s="39"/>
    </row>
    <row r="62" spans="1:15" x14ac:dyDescent="0.2">
      <c r="A62" s="39"/>
    </row>
  </sheetData>
  <pageMargins left="0.7" right="0.7" top="0.75" bottom="0.75" header="0.3" footer="0.3"/>
  <ignoredErrors>
    <ignoredError sqref="H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11" sqref="F11"/>
    </sheetView>
  </sheetViews>
  <sheetFormatPr baseColWidth="10" defaultColWidth="10.83203125" defaultRowHeight="16" x14ac:dyDescent="0.2"/>
  <cols>
    <col min="1" max="2" width="10.83203125" style="38"/>
    <col min="3" max="3" width="13.33203125" style="38" bestFit="1" customWidth="1"/>
    <col min="4" max="16384" width="10.83203125" style="38"/>
  </cols>
  <sheetData>
    <row r="1" spans="1:4" x14ac:dyDescent="0.25">
      <c r="B1" s="38" t="s">
        <v>25</v>
      </c>
      <c r="C1" s="38" t="s">
        <v>26</v>
      </c>
      <c r="D1" s="40" t="s">
        <v>27</v>
      </c>
    </row>
    <row r="2" spans="1:4" x14ac:dyDescent="0.25">
      <c r="A2" s="38">
        <v>2029</v>
      </c>
      <c r="B2" s="22">
        <f>+'2029'!H6</f>
        <v>24.646520268255674</v>
      </c>
      <c r="C2" s="38">
        <v>23.75</v>
      </c>
      <c r="D2" s="51">
        <f>+B2-C2</f>
        <v>0.89652026825567432</v>
      </c>
    </row>
    <row r="3" spans="1:4" x14ac:dyDescent="0.25">
      <c r="A3" s="38">
        <v>2030</v>
      </c>
      <c r="B3" s="22">
        <f>+'2030'!H6</f>
        <v>24.150174214817351</v>
      </c>
      <c r="C3" s="38">
        <v>24.25</v>
      </c>
      <c r="D3" s="51">
        <f t="shared" ref="D3:D4" si="0">+B3-C3</f>
        <v>-9.982578518264873E-2</v>
      </c>
    </row>
    <row r="4" spans="1:4" x14ac:dyDescent="0.25">
      <c r="A4" s="38">
        <v>2038</v>
      </c>
      <c r="B4" s="22">
        <f>+'2038 23,4%'!H6</f>
        <v>28.154775933900385</v>
      </c>
      <c r="C4" s="52">
        <v>29</v>
      </c>
      <c r="D4" s="51">
        <f t="shared" si="0"/>
        <v>-0.84522406609961465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C17" sqref="C17"/>
    </sheetView>
  </sheetViews>
  <sheetFormatPr baseColWidth="10" defaultRowHeight="16" x14ac:dyDescent="0.2"/>
  <sheetData>
    <row r="2" spans="1:4" x14ac:dyDescent="0.2">
      <c r="A2" t="s">
        <v>50</v>
      </c>
      <c r="B2" s="85">
        <v>0.36180624888826729</v>
      </c>
    </row>
    <row r="4" spans="1:4" x14ac:dyDescent="0.2">
      <c r="B4" t="s">
        <v>52</v>
      </c>
      <c r="C4" t="s">
        <v>51</v>
      </c>
    </row>
    <row r="5" spans="1:4" x14ac:dyDescent="0.2">
      <c r="A5">
        <v>2029</v>
      </c>
      <c r="B5">
        <v>32</v>
      </c>
      <c r="C5" s="22">
        <f>'2029 Feb'!H6</f>
        <v>32.987245171054205</v>
      </c>
      <c r="D5">
        <f>(B5-C5)^2</f>
        <v>0.97465302776984686</v>
      </c>
    </row>
    <row r="6" spans="1:4" x14ac:dyDescent="0.2">
      <c r="A6">
        <v>2030</v>
      </c>
      <c r="B6">
        <v>29.5</v>
      </c>
      <c r="C6" s="22">
        <f>'2030 Feb'!H6</f>
        <v>31.556214965322937</v>
      </c>
      <c r="D6" s="38">
        <f t="shared" ref="D6:D7" si="0">(B6-C6)^2</f>
        <v>4.2280199836180063</v>
      </c>
    </row>
    <row r="7" spans="1:4" x14ac:dyDescent="0.2">
      <c r="A7">
        <v>2038</v>
      </c>
      <c r="B7">
        <v>37.5</v>
      </c>
      <c r="C7">
        <f>'2038 Feb'!H6</f>
        <v>33.54872592530549</v>
      </c>
      <c r="D7" s="38">
        <f t="shared" si="0"/>
        <v>15.612566813352956</v>
      </c>
    </row>
    <row r="9" spans="1:4" x14ac:dyDescent="0.2">
      <c r="D9">
        <f>SUM(D5:D7)</f>
        <v>20.815239824740807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E17" sqref="E17:E33"/>
    </sheetView>
  </sheetViews>
  <sheetFormatPr baseColWidth="10" defaultColWidth="10.83203125" defaultRowHeight="16" x14ac:dyDescent="0.2"/>
  <cols>
    <col min="1" max="1" width="29.6640625" style="38" bestFit="1" customWidth="1"/>
    <col min="2" max="3" width="10.83203125" style="40"/>
    <col min="4" max="4" width="16.33203125" style="40" bestFit="1" customWidth="1"/>
    <col min="5" max="5" width="10.83203125" style="40"/>
    <col min="6" max="6" width="15.6640625" style="40" customWidth="1"/>
    <col min="7" max="8" width="10.83203125" style="40"/>
    <col min="9" max="9" width="15.6640625" style="40" bestFit="1" customWidth="1"/>
    <col min="10" max="16384" width="10.83203125" style="38"/>
  </cols>
  <sheetData>
    <row r="1" spans="1:15" x14ac:dyDescent="0.25">
      <c r="A1" s="38" t="s">
        <v>0</v>
      </c>
    </row>
    <row r="2" spans="1:15" x14ac:dyDescent="0.25">
      <c r="A2" s="38" t="s">
        <v>1</v>
      </c>
      <c r="B2" s="41">
        <v>44078</v>
      </c>
    </row>
    <row r="3" spans="1:15" x14ac:dyDescent="0.25">
      <c r="A3" s="38" t="s">
        <v>2</v>
      </c>
      <c r="B3" s="41">
        <v>47365</v>
      </c>
      <c r="G3" s="38" t="s">
        <v>3</v>
      </c>
      <c r="H3" s="3">
        <v>0.03</v>
      </c>
    </row>
    <row r="4" spans="1:15" x14ac:dyDescent="0.25">
      <c r="A4" s="38" t="s">
        <v>4</v>
      </c>
      <c r="B4" s="41">
        <v>44598</v>
      </c>
      <c r="F4" s="38"/>
      <c r="G4" s="38" t="s">
        <v>5</v>
      </c>
      <c r="H4" s="3">
        <f>'HR implicita'!B2</f>
        <v>0.36180624888826729</v>
      </c>
      <c r="I4" s="38"/>
    </row>
    <row r="5" spans="1:15" x14ac:dyDescent="0.25">
      <c r="A5" s="38" t="s">
        <v>6</v>
      </c>
      <c r="B5" s="4">
        <v>1</v>
      </c>
      <c r="G5" s="38" t="s">
        <v>7</v>
      </c>
      <c r="H5" s="3">
        <v>0.2</v>
      </c>
    </row>
    <row r="6" spans="1:15" x14ac:dyDescent="0.25">
      <c r="A6" s="38" t="s">
        <v>8</v>
      </c>
      <c r="B6" s="40">
        <v>2</v>
      </c>
      <c r="G6" s="5" t="s">
        <v>9</v>
      </c>
      <c r="H6" s="6">
        <f>SUMPRODUCT(F17:F33,G17:G33,D17:D33)+SUMPRODUCT(I17:I33,J17:J33,K17:K33,F17:F33)</f>
        <v>32.987245171054205</v>
      </c>
      <c r="K6" s="51"/>
    </row>
    <row r="7" spans="1:15" x14ac:dyDescent="0.25">
      <c r="A7" s="38" t="s">
        <v>10</v>
      </c>
      <c r="B7" s="40">
        <v>10</v>
      </c>
      <c r="G7" s="5" t="s">
        <v>11</v>
      </c>
      <c r="H7" s="23">
        <v>0.39258653072302907</v>
      </c>
    </row>
    <row r="8" spans="1:15" x14ac:dyDescent="0.25">
      <c r="A8" s="38" t="s">
        <v>12</v>
      </c>
      <c r="B8" s="41">
        <v>45666</v>
      </c>
      <c r="F8" s="38"/>
      <c r="H8" s="7"/>
      <c r="I8" s="44"/>
    </row>
    <row r="9" spans="1:15" x14ac:dyDescent="0.25">
      <c r="A9" s="38" t="s">
        <v>13</v>
      </c>
      <c r="B9" s="40">
        <v>100</v>
      </c>
      <c r="F9" s="38"/>
      <c r="H9" s="7"/>
      <c r="I9" s="44"/>
    </row>
    <row r="10" spans="1:15" x14ac:dyDescent="0.25">
      <c r="A10" s="38" t="s">
        <v>14</v>
      </c>
      <c r="B10" s="41">
        <f>+B2</f>
        <v>44078</v>
      </c>
      <c r="F10" s="38"/>
      <c r="H10" s="7"/>
      <c r="I10" s="44"/>
    </row>
    <row r="11" spans="1:15" x14ac:dyDescent="0.25">
      <c r="A11" s="38" t="s">
        <v>15</v>
      </c>
      <c r="B11" s="40">
        <v>0</v>
      </c>
      <c r="F11" s="38"/>
      <c r="H11" s="7"/>
      <c r="I11" s="38"/>
    </row>
    <row r="12" spans="1:15" x14ac:dyDescent="0.25">
      <c r="F12" s="38"/>
      <c r="G12" s="38"/>
      <c r="H12" s="38"/>
      <c r="I12" s="38"/>
    </row>
    <row r="13" spans="1:15" x14ac:dyDescent="0.25">
      <c r="F13" s="38"/>
      <c r="G13" s="38"/>
      <c r="H13" s="38"/>
      <c r="I13" s="38"/>
    </row>
    <row r="14" spans="1:15" x14ac:dyDescent="0.25">
      <c r="B14" s="40" t="s">
        <v>13</v>
      </c>
      <c r="C14" s="40" t="s">
        <v>16</v>
      </c>
      <c r="D14" s="40" t="s">
        <v>17</v>
      </c>
      <c r="E14" s="40" t="s">
        <v>18</v>
      </c>
      <c r="F14" s="40" t="s">
        <v>19</v>
      </c>
      <c r="G14" s="40" t="s">
        <v>20</v>
      </c>
      <c r="H14" s="40" t="s">
        <v>21</v>
      </c>
      <c r="I14" s="38" t="s">
        <v>22</v>
      </c>
      <c r="J14" s="38" t="s">
        <v>23</v>
      </c>
      <c r="K14" s="38" t="s">
        <v>7</v>
      </c>
      <c r="O14" s="38" t="s">
        <v>11</v>
      </c>
    </row>
    <row r="15" spans="1:15" x14ac:dyDescent="0.25">
      <c r="A15" s="39">
        <v>44078</v>
      </c>
      <c r="F15" s="38"/>
      <c r="G15" s="38"/>
      <c r="H15" s="38"/>
      <c r="I15" s="38"/>
      <c r="M15" s="45"/>
    </row>
    <row r="16" spans="1:15" x14ac:dyDescent="0.25">
      <c r="A16" s="39">
        <v>44205</v>
      </c>
      <c r="F16" s="38"/>
      <c r="G16" s="11">
        <f t="shared" ref="G16:G33" si="0">EXP(-H$4*E16)</f>
        <v>1</v>
      </c>
      <c r="H16" s="11">
        <v>0</v>
      </c>
      <c r="I16" s="38"/>
      <c r="M16" s="39">
        <f>B4</f>
        <v>44598</v>
      </c>
      <c r="N16" s="38">
        <f>-H6</f>
        <v>-32.987245171054205</v>
      </c>
    </row>
    <row r="17" spans="1:15" x14ac:dyDescent="0.25">
      <c r="A17" s="39">
        <v>44386</v>
      </c>
      <c r="B17" s="40">
        <f t="shared" ref="B17:B33" si="1">IF(A17&lt;B$8,0,B$9/B$7)</f>
        <v>0</v>
      </c>
      <c r="C17" s="48">
        <f>B$5%*YEARFRAC(A15,A17,B$11)*(B$9-SUM(B$15:B16))</f>
        <v>0.84722222222222232</v>
      </c>
      <c r="D17" s="48">
        <f>IF(A17&lt;B$4,0,C17+B17)</f>
        <v>0</v>
      </c>
      <c r="E17" s="48">
        <f>IF(A17&lt;B$4,0,YEARFRAC(B$4,A17,1))</f>
        <v>0</v>
      </c>
      <c r="F17" s="50">
        <f t="shared" ref="F17:F33" si="2">EXP(-H$3*E17)</f>
        <v>1</v>
      </c>
      <c r="G17" s="11">
        <f t="shared" si="0"/>
        <v>1</v>
      </c>
      <c r="H17" s="11">
        <f t="shared" ref="H17:H33" si="3">1-G17</f>
        <v>0</v>
      </c>
      <c r="I17" s="50">
        <f t="shared" ref="I17:I33" si="4">H17-H16</f>
        <v>0</v>
      </c>
      <c r="J17" s="38">
        <f>B$9-SUM(B16:B$16)+C17</f>
        <v>100.84722222222223</v>
      </c>
      <c r="K17" s="44">
        <f t="shared" ref="K17:K33" si="5">H$5</f>
        <v>0.2</v>
      </c>
      <c r="L17" s="44"/>
      <c r="M17" s="39">
        <f t="shared" ref="M17:M33" si="6">A17</f>
        <v>44386</v>
      </c>
      <c r="N17" s="38">
        <f t="shared" ref="N17:N33" si="7">D17</f>
        <v>0</v>
      </c>
      <c r="O17" s="38">
        <f t="shared" ref="O17:O33" si="8">D17/((1+H$7/2)^(2*E17))</f>
        <v>0</v>
      </c>
    </row>
    <row r="18" spans="1:15" x14ac:dyDescent="0.25">
      <c r="A18" s="39">
        <v>44570</v>
      </c>
      <c r="B18" s="40">
        <f t="shared" si="1"/>
        <v>0</v>
      </c>
      <c r="C18" s="48">
        <f>B$5%*YEARFRAC(A17,A18,B$11)*(B$9-SUM(B$15:B17))</f>
        <v>0.5</v>
      </c>
      <c r="D18" s="48">
        <f t="shared" ref="D18:D33" si="9">IF(A18&lt;B$4,0,C18+B18)</f>
        <v>0</v>
      </c>
      <c r="E18" s="48">
        <f t="shared" ref="E18:E33" si="10">IF(A18&lt;B$4,0,YEARFRAC(B$4,A18,1))</f>
        <v>0</v>
      </c>
      <c r="F18" s="50">
        <f t="shared" si="2"/>
        <v>1</v>
      </c>
      <c r="G18" s="11">
        <f t="shared" si="0"/>
        <v>1</v>
      </c>
      <c r="H18" s="11">
        <f t="shared" si="3"/>
        <v>0</v>
      </c>
      <c r="I18" s="50">
        <f t="shared" si="4"/>
        <v>0</v>
      </c>
      <c r="J18" s="38">
        <f>B$9-SUM(B$16:B17)+C18</f>
        <v>100.5</v>
      </c>
      <c r="K18" s="44">
        <f t="shared" si="5"/>
        <v>0.2</v>
      </c>
      <c r="L18" s="44"/>
      <c r="M18" s="39">
        <f t="shared" si="6"/>
        <v>44570</v>
      </c>
      <c r="N18" s="38">
        <f t="shared" si="7"/>
        <v>0</v>
      </c>
      <c r="O18" s="38">
        <f t="shared" si="8"/>
        <v>0</v>
      </c>
    </row>
    <row r="19" spans="1:15" x14ac:dyDescent="0.25">
      <c r="A19" s="39">
        <v>44751</v>
      </c>
      <c r="B19" s="40">
        <f t="shared" si="1"/>
        <v>0</v>
      </c>
      <c r="C19" s="48">
        <f>B$5%*YEARFRAC(A18,A19,B$11)*(B$9-SUM(B$15:B18))</f>
        <v>0.5</v>
      </c>
      <c r="D19" s="48">
        <f t="shared" si="9"/>
        <v>0.5</v>
      </c>
      <c r="E19" s="48">
        <f t="shared" si="10"/>
        <v>0.41917808219178082</v>
      </c>
      <c r="F19" s="50">
        <f t="shared" si="2"/>
        <v>0.98750339675018484</v>
      </c>
      <c r="G19" s="11">
        <f t="shared" si="0"/>
        <v>0.85927931271235003</v>
      </c>
      <c r="H19" s="11">
        <f t="shared" si="3"/>
        <v>0.14072068728764997</v>
      </c>
      <c r="I19" s="50">
        <f t="shared" si="4"/>
        <v>0.14072068728764997</v>
      </c>
      <c r="J19" s="38">
        <f>B$9-SUM(B$16:B18)+C19</f>
        <v>100.5</v>
      </c>
      <c r="K19" s="44">
        <f t="shared" si="5"/>
        <v>0.2</v>
      </c>
      <c r="L19" s="44"/>
      <c r="M19" s="39">
        <f t="shared" si="6"/>
        <v>44751</v>
      </c>
      <c r="N19" s="38">
        <f t="shared" si="7"/>
        <v>0.5</v>
      </c>
      <c r="O19" s="38">
        <f t="shared" si="8"/>
        <v>0.43024350615634321</v>
      </c>
    </row>
    <row r="20" spans="1:15" x14ac:dyDescent="0.25">
      <c r="A20" s="14">
        <v>44935</v>
      </c>
      <c r="B20" s="15">
        <f t="shared" si="1"/>
        <v>0</v>
      </c>
      <c r="C20" s="16">
        <f>B$5%*YEARFRAC(A19,A20,B$11)*(B$9-SUM(B$15:B19))</f>
        <v>0.5</v>
      </c>
      <c r="D20" s="16">
        <f t="shared" si="9"/>
        <v>0.5</v>
      </c>
      <c r="E20" s="48">
        <f t="shared" si="10"/>
        <v>0.92328767123287669</v>
      </c>
      <c r="F20" s="17">
        <f t="shared" si="2"/>
        <v>0.97268145951258267</v>
      </c>
      <c r="G20" s="18">
        <f t="shared" si="0"/>
        <v>0.71601708614618842</v>
      </c>
      <c r="H20" s="18">
        <f t="shared" si="3"/>
        <v>0.28398291385381158</v>
      </c>
      <c r="I20" s="17">
        <f t="shared" si="4"/>
        <v>0.14326222656616161</v>
      </c>
      <c r="J20" s="19">
        <f>B$9-SUM(B$16:B19)+C20</f>
        <v>100.5</v>
      </c>
      <c r="K20" s="20">
        <f t="shared" si="5"/>
        <v>0.2</v>
      </c>
      <c r="L20" s="20"/>
      <c r="M20" s="14">
        <f t="shared" si="6"/>
        <v>44935</v>
      </c>
      <c r="N20" s="19">
        <f t="shared" si="7"/>
        <v>0.5</v>
      </c>
      <c r="O20" s="19">
        <f t="shared" si="8"/>
        <v>0.35911777749855178</v>
      </c>
    </row>
    <row r="21" spans="1:15" x14ac:dyDescent="0.25">
      <c r="A21" s="39">
        <v>45116</v>
      </c>
      <c r="B21" s="40">
        <f t="shared" si="1"/>
        <v>0</v>
      </c>
      <c r="C21" s="48">
        <f>B$5%*YEARFRAC(A20,A21,B$11)*(B$9-SUM(B$15:B20))</f>
        <v>0.5</v>
      </c>
      <c r="D21" s="48">
        <f t="shared" si="9"/>
        <v>0.5</v>
      </c>
      <c r="E21" s="48">
        <f t="shared" si="10"/>
        <v>1.4191780821917808</v>
      </c>
      <c r="F21" s="50">
        <f t="shared" si="2"/>
        <v>0.95831826074019733</v>
      </c>
      <c r="G21" s="11">
        <f t="shared" si="0"/>
        <v>0.59841696721407256</v>
      </c>
      <c r="H21" s="11">
        <f t="shared" si="3"/>
        <v>0.40158303278592744</v>
      </c>
      <c r="I21" s="50">
        <f t="shared" si="4"/>
        <v>0.11760011893211586</v>
      </c>
      <c r="J21" s="38">
        <f>B$9-SUM(B$16:B20)+C21</f>
        <v>100.5</v>
      </c>
      <c r="K21" s="44">
        <f t="shared" si="5"/>
        <v>0.2</v>
      </c>
      <c r="L21" s="44"/>
      <c r="M21" s="39">
        <f t="shared" si="6"/>
        <v>45116</v>
      </c>
      <c r="N21" s="38">
        <f t="shared" si="7"/>
        <v>0.5</v>
      </c>
      <c r="O21" s="38">
        <f t="shared" si="8"/>
        <v>0.30063463208495539</v>
      </c>
    </row>
    <row r="22" spans="1:15" x14ac:dyDescent="0.25">
      <c r="A22" s="39">
        <v>45300</v>
      </c>
      <c r="B22" s="40">
        <f t="shared" si="1"/>
        <v>0</v>
      </c>
      <c r="C22" s="48">
        <f>B$5%*YEARFRAC(A21,A22,B$11)*(B$9-SUM(B$15:B21))</f>
        <v>0.5</v>
      </c>
      <c r="D22" s="48">
        <f t="shared" si="9"/>
        <v>0.5</v>
      </c>
      <c r="E22" s="48">
        <f t="shared" si="10"/>
        <v>1.9215328467153285</v>
      </c>
      <c r="F22" s="50">
        <f t="shared" si="2"/>
        <v>0.9439840724331765</v>
      </c>
      <c r="G22" s="11">
        <f t="shared" si="0"/>
        <v>0.49896337067509283</v>
      </c>
      <c r="H22" s="11">
        <f t="shared" si="3"/>
        <v>0.50103662932490711</v>
      </c>
      <c r="I22" s="50">
        <f t="shared" si="4"/>
        <v>9.9453596538979672E-2</v>
      </c>
      <c r="J22" s="38">
        <f>B$9-SUM(B$16:B21)+C22</f>
        <v>100.5</v>
      </c>
      <c r="K22" s="44">
        <f t="shared" si="5"/>
        <v>0.2</v>
      </c>
      <c r="L22" s="44"/>
      <c r="M22" s="39">
        <f t="shared" si="6"/>
        <v>45300</v>
      </c>
      <c r="N22" s="38">
        <f t="shared" si="7"/>
        <v>0.5</v>
      </c>
      <c r="O22" s="38">
        <f t="shared" si="8"/>
        <v>0.25109309612199165</v>
      </c>
    </row>
    <row r="23" spans="1:15" x14ac:dyDescent="0.25">
      <c r="A23" s="39">
        <v>45482</v>
      </c>
      <c r="B23" s="40">
        <f t="shared" si="1"/>
        <v>0</v>
      </c>
      <c r="C23" s="48">
        <f>B$5%*YEARFRAC(A22,A23,B$11)*(B$9-SUM(B$15:B22))</f>
        <v>0.5</v>
      </c>
      <c r="D23" s="48">
        <f t="shared" si="9"/>
        <v>0.5</v>
      </c>
      <c r="E23" s="48">
        <f t="shared" si="10"/>
        <v>2.4197080291970803</v>
      </c>
      <c r="F23" s="50">
        <f t="shared" si="2"/>
        <v>0.92998089051813027</v>
      </c>
      <c r="G23" s="11">
        <f t="shared" si="0"/>
        <v>0.41666802162940408</v>
      </c>
      <c r="H23" s="11">
        <f t="shared" si="3"/>
        <v>0.58333197837059592</v>
      </c>
      <c r="I23" s="50">
        <f t="shared" si="4"/>
        <v>8.2295349045688804E-2</v>
      </c>
      <c r="J23" s="38">
        <f>B$9-SUM(B$16:B22)+C23</f>
        <v>100.5</v>
      </c>
      <c r="K23" s="44">
        <f t="shared" si="5"/>
        <v>0.2</v>
      </c>
      <c r="L23" s="44"/>
      <c r="M23" s="39">
        <f t="shared" si="6"/>
        <v>45482</v>
      </c>
      <c r="N23" s="38">
        <f t="shared" si="7"/>
        <v>0.5</v>
      </c>
      <c r="O23" s="38">
        <f t="shared" si="8"/>
        <v>0.21002993260980252</v>
      </c>
    </row>
    <row r="24" spans="1:15" x14ac:dyDescent="0.25">
      <c r="A24" s="39">
        <v>45666</v>
      </c>
      <c r="B24" s="40">
        <f t="shared" si="1"/>
        <v>10</v>
      </c>
      <c r="C24" s="48">
        <f>B$5%*YEARFRAC(A23,A24,B$11)*(B$9-SUM(B$15:B23))</f>
        <v>0.5</v>
      </c>
      <c r="D24" s="48">
        <f t="shared" si="9"/>
        <v>10.5</v>
      </c>
      <c r="E24" s="48">
        <f t="shared" si="10"/>
        <v>2.924024640657084</v>
      </c>
      <c r="F24" s="50">
        <f t="shared" si="2"/>
        <v>0.91601664853217135</v>
      </c>
      <c r="G24" s="11">
        <f t="shared" si="0"/>
        <v>0.34717358231506312</v>
      </c>
      <c r="H24" s="11">
        <f t="shared" si="3"/>
        <v>0.65282641768493688</v>
      </c>
      <c r="I24" s="50">
        <f t="shared" si="4"/>
        <v>6.9494439314340961E-2</v>
      </c>
      <c r="J24" s="38">
        <f>B$9-SUM(B$16:B23)+C24</f>
        <v>100.5</v>
      </c>
      <c r="K24" s="44">
        <f t="shared" si="5"/>
        <v>0.2</v>
      </c>
      <c r="L24" s="44"/>
      <c r="M24" s="39">
        <f t="shared" si="6"/>
        <v>45666</v>
      </c>
      <c r="N24" s="38">
        <f t="shared" si="7"/>
        <v>10.5</v>
      </c>
      <c r="O24" s="38">
        <f t="shared" si="8"/>
        <v>3.6812120931979027</v>
      </c>
    </row>
    <row r="25" spans="1:15" x14ac:dyDescent="0.25">
      <c r="A25" s="39">
        <v>45847</v>
      </c>
      <c r="B25" s="40">
        <f t="shared" si="1"/>
        <v>10</v>
      </c>
      <c r="C25" s="48">
        <f>B$5%*YEARFRAC(A24,A25,B$11)*(B$9-SUM(B$15:B24))</f>
        <v>0.45</v>
      </c>
      <c r="D25" s="48">
        <f t="shared" si="9"/>
        <v>10.45</v>
      </c>
      <c r="E25" s="48">
        <f t="shared" si="10"/>
        <v>3.4195756331279945</v>
      </c>
      <c r="F25" s="50">
        <f t="shared" si="2"/>
        <v>0.90249938610279701</v>
      </c>
      <c r="G25" s="11">
        <f t="shared" si="0"/>
        <v>0.29018871315756478</v>
      </c>
      <c r="H25" s="11">
        <f t="shared" si="3"/>
        <v>0.70981128684243522</v>
      </c>
      <c r="I25" s="50">
        <f t="shared" si="4"/>
        <v>5.6984869157498341E-2</v>
      </c>
      <c r="J25" s="38">
        <f>B$9-SUM(B$16:B24)+C25</f>
        <v>90.45</v>
      </c>
      <c r="K25" s="44">
        <f t="shared" si="5"/>
        <v>0.2</v>
      </c>
      <c r="L25" s="44"/>
      <c r="M25" s="39">
        <f t="shared" si="6"/>
        <v>45847</v>
      </c>
      <c r="N25" s="38">
        <f t="shared" si="7"/>
        <v>10.45</v>
      </c>
      <c r="O25" s="38">
        <f t="shared" si="8"/>
        <v>3.067416675742118</v>
      </c>
    </row>
    <row r="26" spans="1:15" x14ac:dyDescent="0.25">
      <c r="A26" s="39">
        <v>46031</v>
      </c>
      <c r="B26" s="40">
        <f t="shared" si="1"/>
        <v>10</v>
      </c>
      <c r="C26" s="48">
        <f>B$5%*YEARFRAC(A25,A26,B$11)*(B$9-SUM(B$15:B25))</f>
        <v>0.4</v>
      </c>
      <c r="D26" s="48">
        <f t="shared" si="9"/>
        <v>10.4</v>
      </c>
      <c r="E26" s="48">
        <f t="shared" si="10"/>
        <v>3.9238773274917853</v>
      </c>
      <c r="F26" s="50">
        <f t="shared" si="2"/>
        <v>0.8889481938286049</v>
      </c>
      <c r="G26" s="11">
        <f t="shared" si="0"/>
        <v>0.2417905709133108</v>
      </c>
      <c r="H26" s="11">
        <f t="shared" si="3"/>
        <v>0.7582094290866892</v>
      </c>
      <c r="I26" s="50">
        <f t="shared" si="4"/>
        <v>4.8398142244253983E-2</v>
      </c>
      <c r="J26" s="38">
        <f>B$9-SUM(B$16:B25)+C26</f>
        <v>80.400000000000006</v>
      </c>
      <c r="K26" s="44">
        <f t="shared" si="5"/>
        <v>0.2</v>
      </c>
      <c r="L26" s="44"/>
      <c r="M26" s="39">
        <f t="shared" si="6"/>
        <v>46031</v>
      </c>
      <c r="N26" s="38">
        <f t="shared" si="7"/>
        <v>10.4</v>
      </c>
      <c r="O26" s="38">
        <f t="shared" si="8"/>
        <v>2.5479006971216602</v>
      </c>
    </row>
    <row r="27" spans="1:15" x14ac:dyDescent="0.25">
      <c r="A27" s="39">
        <v>46212</v>
      </c>
      <c r="B27" s="40">
        <f t="shared" si="1"/>
        <v>10</v>
      </c>
      <c r="C27" s="48">
        <f>B$5%*YEARFRAC(A26,A27,B$11)*(B$9-SUM(B$15:B26))</f>
        <v>0.35000000000000003</v>
      </c>
      <c r="D27" s="48">
        <f t="shared" si="9"/>
        <v>10.35</v>
      </c>
      <c r="E27" s="48">
        <f t="shared" si="10"/>
        <v>4.4194961664841186</v>
      </c>
      <c r="F27" s="50">
        <f t="shared" si="2"/>
        <v>0.87582858624599191</v>
      </c>
      <c r="G27" s="11">
        <f t="shared" si="0"/>
        <v>0.20209824670944021</v>
      </c>
      <c r="H27" s="11">
        <f t="shared" si="3"/>
        <v>0.79790175329055979</v>
      </c>
      <c r="I27" s="50">
        <f t="shared" si="4"/>
        <v>3.9692324203870588E-2</v>
      </c>
      <c r="J27" s="38">
        <f>B$9-SUM(B$16:B26)+C27</f>
        <v>70.349999999999994</v>
      </c>
      <c r="K27" s="44">
        <f t="shared" si="5"/>
        <v>0.2</v>
      </c>
      <c r="L27" s="44"/>
      <c r="M27" s="39">
        <f t="shared" si="6"/>
        <v>46212</v>
      </c>
      <c r="N27" s="38">
        <f t="shared" si="7"/>
        <v>10.35</v>
      </c>
      <c r="O27" s="38">
        <f t="shared" si="8"/>
        <v>2.1229212726901032</v>
      </c>
    </row>
    <row r="28" spans="1:15" x14ac:dyDescent="0.25">
      <c r="A28" s="39">
        <v>46396</v>
      </c>
      <c r="B28" s="40">
        <f t="shared" si="1"/>
        <v>10</v>
      </c>
      <c r="C28" s="48">
        <f>B$5%*YEARFRAC(A27,A28,B$11)*(B$9-SUM(B$15:B27))</f>
        <v>0.3</v>
      </c>
      <c r="D28" s="48">
        <f t="shared" si="9"/>
        <v>10.3</v>
      </c>
      <c r="E28" s="48">
        <f t="shared" si="10"/>
        <v>4.9237790963030577</v>
      </c>
      <c r="F28" s="50">
        <f t="shared" si="2"/>
        <v>0.8626783465108212</v>
      </c>
      <c r="G28" s="11">
        <f t="shared" si="0"/>
        <v>0.1683931179670774</v>
      </c>
      <c r="H28" s="11">
        <f t="shared" si="3"/>
        <v>0.83160688203292255</v>
      </c>
      <c r="I28" s="50">
        <f t="shared" si="4"/>
        <v>3.3705128742362755E-2</v>
      </c>
      <c r="J28" s="38">
        <f>B$9-SUM(B$16:B27)+C28</f>
        <v>60.3</v>
      </c>
      <c r="K28" s="44">
        <f t="shared" si="5"/>
        <v>0.2</v>
      </c>
      <c r="L28" s="44"/>
      <c r="M28" s="39">
        <f t="shared" si="6"/>
        <v>46396</v>
      </c>
      <c r="N28" s="38">
        <f t="shared" si="7"/>
        <v>10.3</v>
      </c>
      <c r="O28" s="38">
        <f t="shared" si="8"/>
        <v>1.7633006171830048</v>
      </c>
    </row>
    <row r="29" spans="1:15" x14ac:dyDescent="0.2">
      <c r="A29" s="39">
        <v>46577</v>
      </c>
      <c r="B29" s="40">
        <f t="shared" si="1"/>
        <v>10</v>
      </c>
      <c r="C29" s="48">
        <f>B$5%*YEARFRAC(A28,A29,B$11)*(B$9-SUM(B$15:B28))</f>
        <v>0.25</v>
      </c>
      <c r="D29" s="48">
        <f t="shared" si="9"/>
        <v>10.25</v>
      </c>
      <c r="E29" s="48">
        <f t="shared" si="10"/>
        <v>5.4194431766316749</v>
      </c>
      <c r="F29" s="50">
        <f t="shared" si="2"/>
        <v>0.8499452908297197</v>
      </c>
      <c r="G29" s="11">
        <f t="shared" si="0"/>
        <v>0.1407474109503804</v>
      </c>
      <c r="H29" s="11">
        <f t="shared" si="3"/>
        <v>0.85925258904961965</v>
      </c>
      <c r="I29" s="50">
        <f t="shared" si="4"/>
        <v>2.7645707016697108E-2</v>
      </c>
      <c r="J29" s="38">
        <f>B$9-SUM(B$16:B28)+C29</f>
        <v>50.25</v>
      </c>
      <c r="K29" s="44">
        <f t="shared" si="5"/>
        <v>0.2</v>
      </c>
      <c r="L29" s="44"/>
      <c r="M29" s="39">
        <f t="shared" si="6"/>
        <v>46577</v>
      </c>
      <c r="N29" s="38">
        <f t="shared" si="7"/>
        <v>10.25</v>
      </c>
      <c r="O29" s="38">
        <f t="shared" si="8"/>
        <v>1.4690965472263897</v>
      </c>
    </row>
    <row r="30" spans="1:15" x14ac:dyDescent="0.2">
      <c r="A30" s="39">
        <v>46761</v>
      </c>
      <c r="B30" s="40">
        <f t="shared" si="1"/>
        <v>10</v>
      </c>
      <c r="C30" s="48">
        <f>B$5%*YEARFRAC(A29,A30,B$11)*(B$9-SUM(B$15:B29))</f>
        <v>0.2</v>
      </c>
      <c r="D30" s="48">
        <f t="shared" si="9"/>
        <v>10.199999999999999</v>
      </c>
      <c r="E30" s="48">
        <f t="shared" si="10"/>
        <v>5.9213922565506456</v>
      </c>
      <c r="F30" s="50">
        <f t="shared" si="2"/>
        <v>0.8372422970099993</v>
      </c>
      <c r="G30" s="11">
        <f t="shared" si="0"/>
        <v>0.11737319489378902</v>
      </c>
      <c r="H30" s="11">
        <f t="shared" si="3"/>
        <v>0.88262680510621094</v>
      </c>
      <c r="I30" s="50">
        <f t="shared" si="4"/>
        <v>2.337421605659129E-2</v>
      </c>
      <c r="J30" s="38">
        <f>B$9-SUM(B$16:B29)+C30</f>
        <v>40.200000000000003</v>
      </c>
      <c r="K30" s="44">
        <f t="shared" si="5"/>
        <v>0.2</v>
      </c>
      <c r="L30" s="44"/>
      <c r="M30" s="39">
        <f t="shared" si="6"/>
        <v>46761</v>
      </c>
      <c r="N30" s="38">
        <f t="shared" si="7"/>
        <v>10.199999999999999</v>
      </c>
      <c r="O30" s="38">
        <f t="shared" si="8"/>
        <v>1.2211965337516579</v>
      </c>
    </row>
    <row r="31" spans="1:15" x14ac:dyDescent="0.2">
      <c r="A31" s="39">
        <v>46943</v>
      </c>
      <c r="B31" s="40">
        <f t="shared" si="1"/>
        <v>10</v>
      </c>
      <c r="C31" s="48">
        <f>B$5%*YEARFRAC(A30,A31,B$11)*(B$9-SUM(B$15:B30))</f>
        <v>0.15</v>
      </c>
      <c r="D31" s="48">
        <f t="shared" si="9"/>
        <v>10.15</v>
      </c>
      <c r="E31" s="48">
        <f t="shared" si="10"/>
        <v>6.4196323816973013</v>
      </c>
      <c r="F31" s="50">
        <f t="shared" si="2"/>
        <v>0.82482092942405949</v>
      </c>
      <c r="G31" s="11">
        <f t="shared" si="0"/>
        <v>9.8012220288557342E-2</v>
      </c>
      <c r="H31" s="11">
        <f t="shared" si="3"/>
        <v>0.90198777971144262</v>
      </c>
      <c r="I31" s="50">
        <f t="shared" si="4"/>
        <v>1.9360974605231673E-2</v>
      </c>
      <c r="J31" s="38">
        <f>B$9-SUM(B$16:B30)+C31</f>
        <v>30.15</v>
      </c>
      <c r="K31" s="44">
        <f t="shared" si="5"/>
        <v>0.2</v>
      </c>
      <c r="L31" s="44"/>
      <c r="M31" s="39">
        <f t="shared" si="6"/>
        <v>46943</v>
      </c>
      <c r="N31" s="38">
        <f t="shared" si="7"/>
        <v>10.15</v>
      </c>
      <c r="O31" s="38">
        <f t="shared" si="8"/>
        <v>1.0164540359994136</v>
      </c>
    </row>
    <row r="32" spans="1:15" x14ac:dyDescent="0.2">
      <c r="A32" s="39">
        <v>47127</v>
      </c>
      <c r="B32" s="40">
        <f t="shared" si="1"/>
        <v>10</v>
      </c>
      <c r="C32" s="48">
        <f>B$5%*YEARFRAC(A31,A32,B$11)*(B$9-SUM(B$15:B31))</f>
        <v>0.1</v>
      </c>
      <c r="D32" s="48">
        <f t="shared" si="9"/>
        <v>10.1</v>
      </c>
      <c r="E32" s="48">
        <f t="shared" si="10"/>
        <v>6.924024640657084</v>
      </c>
      <c r="F32" s="50">
        <f t="shared" si="2"/>
        <v>0.81243388595634036</v>
      </c>
      <c r="G32" s="11">
        <f t="shared" si="0"/>
        <v>8.1662908017018768E-2</v>
      </c>
      <c r="H32" s="11">
        <f t="shared" si="3"/>
        <v>0.91833709198298119</v>
      </c>
      <c r="I32" s="50">
        <f t="shared" si="4"/>
        <v>1.6349312271538574E-2</v>
      </c>
      <c r="J32" s="38">
        <f>B$9-SUM(B$16:B31)+C32</f>
        <v>20.100000000000001</v>
      </c>
      <c r="K32" s="44">
        <f t="shared" si="5"/>
        <v>0.2</v>
      </c>
      <c r="L32" s="44"/>
      <c r="M32" s="39">
        <f t="shared" si="6"/>
        <v>47127</v>
      </c>
      <c r="N32" s="38">
        <f t="shared" si="7"/>
        <v>10.1</v>
      </c>
      <c r="O32" s="38">
        <f t="shared" si="8"/>
        <v>0.84415394038741887</v>
      </c>
    </row>
    <row r="33" spans="1:15" x14ac:dyDescent="0.2">
      <c r="A33" s="39">
        <v>47308</v>
      </c>
      <c r="B33" s="40">
        <f t="shared" si="1"/>
        <v>10</v>
      </c>
      <c r="C33" s="48">
        <f>B$5%*YEARFRAC(A32,A33,B$11)*(B$9-SUM(B$15:B32))</f>
        <v>0.05</v>
      </c>
      <c r="D33" s="48">
        <f t="shared" si="9"/>
        <v>10.050000000000001</v>
      </c>
      <c r="E33" s="48">
        <f t="shared" si="10"/>
        <v>7.4195756331279945</v>
      </c>
      <c r="F33" s="50">
        <f t="shared" si="2"/>
        <v>0.80044514965925928</v>
      </c>
      <c r="G33" s="11">
        <f t="shared" si="0"/>
        <v>6.8258805961386254E-2</v>
      </c>
      <c r="H33" s="11">
        <f t="shared" si="3"/>
        <v>0.93174119403861377</v>
      </c>
      <c r="I33" s="50">
        <f t="shared" si="4"/>
        <v>1.3404102055632583E-2</v>
      </c>
      <c r="J33" s="38">
        <f>B$9-SUM(B$16:B32)+C33</f>
        <v>10.050000000000001</v>
      </c>
      <c r="K33" s="44">
        <f t="shared" si="5"/>
        <v>0.2</v>
      </c>
      <c r="L33" s="44"/>
      <c r="M33" s="39">
        <f t="shared" si="6"/>
        <v>47308</v>
      </c>
      <c r="N33" s="38">
        <f t="shared" si="7"/>
        <v>10.050000000000001</v>
      </c>
      <c r="O33" s="38">
        <f t="shared" si="8"/>
        <v>0.70326869009425164</v>
      </c>
    </row>
    <row r="34" spans="1:15" x14ac:dyDescent="0.2">
      <c r="A34" s="39"/>
      <c r="C34" s="48"/>
      <c r="D34" s="48"/>
      <c r="E34" s="48"/>
      <c r="F34" s="50"/>
      <c r="G34" s="11"/>
      <c r="H34" s="11"/>
      <c r="I34" s="21"/>
      <c r="K34" s="44"/>
      <c r="L34" s="44"/>
      <c r="M34" s="39"/>
    </row>
    <row r="35" spans="1:15" x14ac:dyDescent="0.2">
      <c r="A35" s="39"/>
      <c r="F35" s="50"/>
      <c r="G35" s="50"/>
      <c r="H35" s="21"/>
      <c r="I35" s="21"/>
      <c r="K35" s="44"/>
      <c r="L35" s="44"/>
      <c r="M35" s="39"/>
      <c r="O35" s="22">
        <f>SUM(O17:O33)-H6</f>
        <v>-12.999205123188641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A21" workbookViewId="0">
      <selection activeCell="E24" sqref="E24:E42"/>
    </sheetView>
  </sheetViews>
  <sheetFormatPr baseColWidth="10" defaultColWidth="10.83203125" defaultRowHeight="16" x14ac:dyDescent="0.2"/>
  <cols>
    <col min="1" max="1" width="29.6640625" style="38" bestFit="1" customWidth="1"/>
    <col min="2" max="3" width="10.83203125" style="38"/>
    <col min="4" max="4" width="16.5" style="38" bestFit="1" customWidth="1"/>
    <col min="5" max="7" width="10.83203125" style="38"/>
    <col min="8" max="8" width="11.83203125" style="38" bestFit="1" customWidth="1"/>
    <col min="9" max="16384" width="10.83203125" style="38"/>
  </cols>
  <sheetData>
    <row r="1" spans="1:19" x14ac:dyDescent="0.25">
      <c r="A1" s="38" t="s">
        <v>0</v>
      </c>
    </row>
    <row r="2" spans="1:19" x14ac:dyDescent="0.25">
      <c r="A2" s="38" t="s">
        <v>1</v>
      </c>
      <c r="B2" s="41">
        <v>44078</v>
      </c>
    </row>
    <row r="3" spans="1:19" x14ac:dyDescent="0.25">
      <c r="A3" s="38" t="s">
        <v>2</v>
      </c>
      <c r="B3" s="41">
        <v>47730</v>
      </c>
      <c r="G3" s="38" t="s">
        <v>3</v>
      </c>
      <c r="H3" s="3">
        <v>0.03</v>
      </c>
    </row>
    <row r="4" spans="1:19" x14ac:dyDescent="0.25">
      <c r="A4" s="38" t="s">
        <v>4</v>
      </c>
      <c r="B4" s="41">
        <v>44598</v>
      </c>
      <c r="G4" s="38" t="s">
        <v>5</v>
      </c>
      <c r="H4" s="3">
        <f>'HR implicita'!B2</f>
        <v>0.36180624888826729</v>
      </c>
    </row>
    <row r="5" spans="1:19" x14ac:dyDescent="0.25">
      <c r="A5" s="38" t="s">
        <v>6</v>
      </c>
      <c r="B5" s="42"/>
      <c r="G5" s="38" t="s">
        <v>7</v>
      </c>
      <c r="H5" s="3">
        <v>0.2</v>
      </c>
    </row>
    <row r="6" spans="1:19" x14ac:dyDescent="0.25">
      <c r="A6" s="39">
        <v>44386</v>
      </c>
      <c r="B6" s="43">
        <v>0.125</v>
      </c>
      <c r="G6" s="5" t="s">
        <v>9</v>
      </c>
      <c r="H6" s="6">
        <f>SUMPRODUCT(F26:F42,G26:G42,D26:D42)+SUMPRODUCT(I26:I42,J26:J42,K26:K42,F26:F42)</f>
        <v>31.556214965322937</v>
      </c>
      <c r="K6" s="51"/>
    </row>
    <row r="7" spans="1:19" x14ac:dyDescent="0.25">
      <c r="A7" s="39">
        <v>45116</v>
      </c>
      <c r="B7" s="43">
        <v>0.5</v>
      </c>
      <c r="G7" s="5" t="s">
        <v>11</v>
      </c>
      <c r="H7" s="23">
        <v>0.40245666940035535</v>
      </c>
    </row>
    <row r="8" spans="1:19" x14ac:dyDescent="0.25">
      <c r="A8" s="39">
        <v>46577</v>
      </c>
      <c r="B8" s="43">
        <v>0.75</v>
      </c>
      <c r="E8" s="49"/>
    </row>
    <row r="9" spans="1:19" x14ac:dyDescent="0.25">
      <c r="A9" s="39">
        <v>47673</v>
      </c>
      <c r="B9" s="43">
        <v>1.75</v>
      </c>
      <c r="E9" s="49"/>
      <c r="H9" s="3"/>
      <c r="K9" s="53"/>
    </row>
    <row r="10" spans="1:19" x14ac:dyDescent="0.25">
      <c r="A10" s="38" t="s">
        <v>8</v>
      </c>
      <c r="B10" s="40">
        <v>2</v>
      </c>
      <c r="G10" s="76"/>
      <c r="H10" s="80"/>
    </row>
    <row r="11" spans="1:19" x14ac:dyDescent="0.25">
      <c r="A11" s="38" t="s">
        <v>10</v>
      </c>
      <c r="B11" s="40">
        <v>12.5</v>
      </c>
      <c r="G11" s="76"/>
      <c r="H11" s="80"/>
    </row>
    <row r="12" spans="1:19" x14ac:dyDescent="0.25">
      <c r="A12" s="38" t="s">
        <v>12</v>
      </c>
      <c r="B12" s="41">
        <v>45482</v>
      </c>
      <c r="G12" s="76"/>
      <c r="H12" s="81"/>
      <c r="Q12" s="45"/>
      <c r="R12" s="44"/>
      <c r="S12" s="44"/>
    </row>
    <row r="13" spans="1:19" x14ac:dyDescent="0.25">
      <c r="A13" s="38" t="s">
        <v>13</v>
      </c>
      <c r="B13" s="40">
        <v>100</v>
      </c>
      <c r="G13" s="76"/>
      <c r="H13" s="82"/>
      <c r="Q13" s="45"/>
      <c r="R13" s="44"/>
      <c r="S13" s="44"/>
    </row>
    <row r="14" spans="1:19" x14ac:dyDescent="0.25">
      <c r="A14" s="38" t="s">
        <v>14</v>
      </c>
      <c r="B14" s="41">
        <v>44078</v>
      </c>
      <c r="G14" s="76"/>
      <c r="H14" s="76"/>
      <c r="Q14" s="45"/>
      <c r="R14" s="44"/>
      <c r="S14" s="44"/>
    </row>
    <row r="15" spans="1:19" x14ac:dyDescent="0.25">
      <c r="A15" s="38" t="s">
        <v>15</v>
      </c>
      <c r="B15" s="40">
        <v>0</v>
      </c>
      <c r="Q15" s="45"/>
      <c r="R15" s="45"/>
    </row>
    <row r="16" spans="1:19" x14ac:dyDescent="0.25">
      <c r="A16" s="76"/>
      <c r="B16" s="77"/>
    </row>
    <row r="17" spans="1:24" x14ac:dyDescent="0.2">
      <c r="A17" s="76"/>
      <c r="B17" s="76"/>
    </row>
    <row r="18" spans="1:24" x14ac:dyDescent="0.25">
      <c r="A18" s="76"/>
      <c r="B18" s="77"/>
    </row>
    <row r="19" spans="1:24" x14ac:dyDescent="0.25">
      <c r="A19" s="78"/>
      <c r="B19" s="79"/>
    </row>
    <row r="21" spans="1:24" x14ac:dyDescent="0.25">
      <c r="B21" s="40" t="s">
        <v>13</v>
      </c>
      <c r="C21" s="40" t="s">
        <v>16</v>
      </c>
      <c r="D21" s="40" t="s">
        <v>17</v>
      </c>
      <c r="E21" s="40" t="s">
        <v>18</v>
      </c>
      <c r="F21" s="40" t="s">
        <v>19</v>
      </c>
      <c r="G21" s="40" t="s">
        <v>20</v>
      </c>
      <c r="H21" s="40" t="s">
        <v>21</v>
      </c>
      <c r="I21" s="38" t="s">
        <v>22</v>
      </c>
      <c r="J21" s="38" t="s">
        <v>23</v>
      </c>
      <c r="K21" s="38" t="s">
        <v>7</v>
      </c>
      <c r="O21" s="38" t="s">
        <v>11</v>
      </c>
    </row>
    <row r="22" spans="1:24" x14ac:dyDescent="0.25">
      <c r="A22" s="39">
        <v>44078</v>
      </c>
      <c r="C22" s="47"/>
      <c r="D22" s="47"/>
      <c r="E22" s="40"/>
      <c r="M22" s="45"/>
      <c r="W22" s="45"/>
      <c r="X22" s="46"/>
    </row>
    <row r="23" spans="1:24" x14ac:dyDescent="0.25">
      <c r="A23" s="39">
        <v>44205</v>
      </c>
      <c r="B23" s="48">
        <v>0</v>
      </c>
      <c r="C23" s="47"/>
      <c r="D23" s="47"/>
      <c r="E23" s="40"/>
      <c r="G23" s="50">
        <f t="shared" ref="G23:G42" si="0">EXP(-H$4*E23)</f>
        <v>1</v>
      </c>
      <c r="H23" s="50">
        <v>0</v>
      </c>
      <c r="M23" s="39">
        <f>+B4</f>
        <v>44598</v>
      </c>
      <c r="N23" s="22">
        <f>-H6</f>
        <v>-31.556214965322937</v>
      </c>
      <c r="W23" s="39"/>
    </row>
    <row r="24" spans="1:24" x14ac:dyDescent="0.25">
      <c r="A24" s="39">
        <v>44386</v>
      </c>
      <c r="B24" s="48">
        <v>0</v>
      </c>
      <c r="C24" s="48">
        <v>0.10590277777777779</v>
      </c>
      <c r="D24" s="48">
        <v>0.10590277777777779</v>
      </c>
      <c r="E24" s="48">
        <f>IF(A24&lt;B$4,0,YEARFRAC(B$4,A24,1))</f>
        <v>0</v>
      </c>
      <c r="F24" s="50">
        <f t="shared" ref="F24:F42" si="1">EXP(-H$3*E24)</f>
        <v>1</v>
      </c>
      <c r="G24" s="50">
        <f t="shared" si="0"/>
        <v>1</v>
      </c>
      <c r="H24" s="50">
        <f t="shared" ref="H24:H42" si="2">1-G24</f>
        <v>0</v>
      </c>
      <c r="I24" s="50">
        <f t="shared" ref="I24:I42" si="3">H24-H23</f>
        <v>0</v>
      </c>
      <c r="J24" s="37">
        <f>B$13-SUM(B$22:B23)+C24</f>
        <v>100.10590277777777</v>
      </c>
      <c r="K24" s="44">
        <f t="shared" ref="K24:K42" si="4">H$5</f>
        <v>0.2</v>
      </c>
      <c r="M24" s="39">
        <f>+A27</f>
        <v>44935</v>
      </c>
      <c r="N24" s="37">
        <f>+D27</f>
        <v>0.25</v>
      </c>
      <c r="O24" s="24">
        <f>N24/((1+H$7/2)^(2*E27))</f>
        <v>0.17819905576579734</v>
      </c>
      <c r="V24" s="44"/>
      <c r="W24" s="39"/>
    </row>
    <row r="25" spans="1:24" x14ac:dyDescent="0.25">
      <c r="A25" s="39">
        <v>44570</v>
      </c>
      <c r="B25" s="48">
        <v>0</v>
      </c>
      <c r="C25" s="48">
        <v>0.25</v>
      </c>
      <c r="D25" s="48">
        <v>0.25</v>
      </c>
      <c r="E25" s="48">
        <f t="shared" ref="E25:E42" si="5">IF(A25&lt;B$4,0,YEARFRAC(B$4,A25,1))</f>
        <v>0</v>
      </c>
      <c r="F25" s="55">
        <f t="shared" si="1"/>
        <v>1</v>
      </c>
      <c r="G25" s="55">
        <f t="shared" si="0"/>
        <v>1</v>
      </c>
      <c r="H25" s="55">
        <f t="shared" si="2"/>
        <v>0</v>
      </c>
      <c r="I25" s="55">
        <f t="shared" si="3"/>
        <v>0</v>
      </c>
      <c r="J25" s="37">
        <f>B$13-SUM(B$22:B24)+C25</f>
        <v>100.25</v>
      </c>
      <c r="K25" s="44">
        <f t="shared" si="4"/>
        <v>0.2</v>
      </c>
      <c r="M25" s="39">
        <f t="shared" ref="M25:M39" si="6">+A28</f>
        <v>45116</v>
      </c>
      <c r="N25" s="37">
        <f t="shared" ref="N25:N39" si="7">+D28</f>
        <v>0.25</v>
      </c>
      <c r="O25" s="24">
        <f t="shared" ref="O25:O39" si="8">N25/((1+H$7/2)^(2*E28))</f>
        <v>0.14857108239909811</v>
      </c>
      <c r="V25" s="44"/>
      <c r="W25" s="39"/>
    </row>
    <row r="26" spans="1:24" x14ac:dyDescent="0.25">
      <c r="A26" s="39">
        <v>44751</v>
      </c>
      <c r="B26" s="48">
        <v>0</v>
      </c>
      <c r="C26" s="48">
        <v>0.25</v>
      </c>
      <c r="D26" s="48">
        <v>0.25</v>
      </c>
      <c r="E26" s="48">
        <f t="shared" si="5"/>
        <v>0.41917808219178082</v>
      </c>
      <c r="F26" s="55">
        <f t="shared" si="1"/>
        <v>0.98750339675018484</v>
      </c>
      <c r="G26" s="55">
        <f>EXP(-H$4*E26)</f>
        <v>0.85927931271235003</v>
      </c>
      <c r="H26" s="55">
        <f t="shared" si="2"/>
        <v>0.14072068728764997</v>
      </c>
      <c r="I26" s="55">
        <f t="shared" si="3"/>
        <v>0.14072068728764997</v>
      </c>
      <c r="J26" s="37">
        <f>B$13-SUM(B$22:B25)+C26</f>
        <v>100.25</v>
      </c>
      <c r="K26" s="44">
        <f t="shared" si="4"/>
        <v>0.2</v>
      </c>
      <c r="M26" s="39">
        <f t="shared" si="6"/>
        <v>45300</v>
      </c>
      <c r="N26" s="37">
        <f t="shared" si="7"/>
        <v>0.375</v>
      </c>
      <c r="O26" s="24">
        <f t="shared" si="8"/>
        <v>0.18536382375884594</v>
      </c>
      <c r="V26" s="44"/>
      <c r="W26" s="39"/>
    </row>
    <row r="27" spans="1:24" x14ac:dyDescent="0.25">
      <c r="A27" s="39">
        <v>44935</v>
      </c>
      <c r="B27" s="48">
        <v>0</v>
      </c>
      <c r="C27" s="48">
        <v>0.25</v>
      </c>
      <c r="D27" s="48">
        <v>0.25</v>
      </c>
      <c r="E27" s="48">
        <f t="shared" si="5"/>
        <v>0.92328767123287669</v>
      </c>
      <c r="F27" s="55">
        <f>EXP(-H$3*E27)</f>
        <v>0.97268145951258267</v>
      </c>
      <c r="G27" s="55">
        <f>EXP(-H$4*E27)</f>
        <v>0.71601708614618842</v>
      </c>
      <c r="H27" s="55">
        <f t="shared" si="2"/>
        <v>0.28398291385381158</v>
      </c>
      <c r="I27" s="55">
        <f t="shared" si="3"/>
        <v>0.14326222656616161</v>
      </c>
      <c r="J27" s="37">
        <f>B$13-SUM(B$22:B26)+C27</f>
        <v>100.25</v>
      </c>
      <c r="K27" s="20">
        <f t="shared" si="4"/>
        <v>0.2</v>
      </c>
      <c r="M27" s="39">
        <f t="shared" si="6"/>
        <v>45482</v>
      </c>
      <c r="N27" s="37">
        <f t="shared" si="7"/>
        <v>4.375</v>
      </c>
      <c r="O27" s="24">
        <f t="shared" si="8"/>
        <v>1.8015105332217836</v>
      </c>
      <c r="V27" s="44"/>
      <c r="W27" s="39"/>
    </row>
    <row r="28" spans="1:24" x14ac:dyDescent="0.25">
      <c r="A28" s="39">
        <v>45116</v>
      </c>
      <c r="B28" s="48">
        <v>0</v>
      </c>
      <c r="C28" s="48">
        <v>0.25</v>
      </c>
      <c r="D28" s="48">
        <v>0.25</v>
      </c>
      <c r="E28" s="48">
        <f t="shared" si="5"/>
        <v>1.4191780821917808</v>
      </c>
      <c r="F28" s="50">
        <f t="shared" si="1"/>
        <v>0.95831826074019733</v>
      </c>
      <c r="G28" s="50">
        <f t="shared" si="0"/>
        <v>0.59841696721407256</v>
      </c>
      <c r="H28" s="50">
        <f t="shared" si="2"/>
        <v>0.40158303278592744</v>
      </c>
      <c r="I28" s="50">
        <f t="shared" si="3"/>
        <v>0.11760011893211586</v>
      </c>
      <c r="J28" s="37">
        <f>B$13-SUM(B$22:B27)+C28</f>
        <v>100.25</v>
      </c>
      <c r="K28" s="44">
        <f t="shared" si="4"/>
        <v>0.2</v>
      </c>
      <c r="M28" s="39">
        <f t="shared" si="6"/>
        <v>45666</v>
      </c>
      <c r="N28" s="37">
        <f t="shared" si="7"/>
        <v>8.36</v>
      </c>
      <c r="O28" s="24">
        <f t="shared" si="8"/>
        <v>2.8612251427198068</v>
      </c>
      <c r="V28" s="44"/>
      <c r="W28" s="39"/>
    </row>
    <row r="29" spans="1:24" x14ac:dyDescent="0.25">
      <c r="A29" s="39">
        <v>45300</v>
      </c>
      <c r="B29" s="48">
        <v>0</v>
      </c>
      <c r="C29" s="48">
        <v>0.375</v>
      </c>
      <c r="D29" s="48">
        <v>0.375</v>
      </c>
      <c r="E29" s="48">
        <f t="shared" si="5"/>
        <v>1.9215328467153285</v>
      </c>
      <c r="F29" s="50">
        <f t="shared" si="1"/>
        <v>0.9439840724331765</v>
      </c>
      <c r="G29" s="50">
        <f t="shared" si="0"/>
        <v>0.49896337067509283</v>
      </c>
      <c r="H29" s="50">
        <f t="shared" si="2"/>
        <v>0.50103662932490711</v>
      </c>
      <c r="I29" s="50">
        <f t="shared" si="3"/>
        <v>9.9453596538979672E-2</v>
      </c>
      <c r="J29" s="37">
        <f>B$13-SUM(B$22:B28)+C29</f>
        <v>100.375</v>
      </c>
      <c r="K29" s="44">
        <f t="shared" si="4"/>
        <v>0.2</v>
      </c>
      <c r="M29" s="39">
        <f t="shared" si="6"/>
        <v>45847</v>
      </c>
      <c r="N29" s="37">
        <f t="shared" si="7"/>
        <v>8.33</v>
      </c>
      <c r="O29" s="24">
        <f t="shared" si="8"/>
        <v>2.3772436628262001</v>
      </c>
      <c r="V29" s="44"/>
      <c r="W29" s="39"/>
    </row>
    <row r="30" spans="1:24" x14ac:dyDescent="0.25">
      <c r="A30" s="57">
        <v>45482</v>
      </c>
      <c r="B30" s="58">
        <v>4</v>
      </c>
      <c r="C30" s="58">
        <v>0.375</v>
      </c>
      <c r="D30" s="58">
        <v>4.375</v>
      </c>
      <c r="E30" s="48">
        <f t="shared" si="5"/>
        <v>2.4197080291970803</v>
      </c>
      <c r="F30" s="59">
        <f t="shared" si="1"/>
        <v>0.92998089051813027</v>
      </c>
      <c r="G30" s="59">
        <f t="shared" si="0"/>
        <v>0.41666802162940408</v>
      </c>
      <c r="H30" s="59">
        <f t="shared" si="2"/>
        <v>0.58333197837059592</v>
      </c>
      <c r="I30" s="59">
        <f t="shared" si="3"/>
        <v>8.2295349045688804E-2</v>
      </c>
      <c r="J30" s="61">
        <f>B$13-SUM(B$22:B29)+C30</f>
        <v>100.375</v>
      </c>
      <c r="K30" s="62">
        <f t="shared" si="4"/>
        <v>0.2</v>
      </c>
      <c r="M30" s="39">
        <f t="shared" si="6"/>
        <v>46031</v>
      </c>
      <c r="N30" s="37">
        <f t="shared" si="7"/>
        <v>8.3000000000000007</v>
      </c>
      <c r="O30" s="24">
        <f t="shared" si="8"/>
        <v>1.9687753890472475</v>
      </c>
      <c r="V30" s="44"/>
      <c r="W30" s="39"/>
    </row>
    <row r="31" spans="1:24" x14ac:dyDescent="0.2">
      <c r="A31" s="39">
        <v>45666</v>
      </c>
      <c r="B31" s="48">
        <v>8</v>
      </c>
      <c r="C31" s="48">
        <v>0.36</v>
      </c>
      <c r="D31" s="48">
        <v>8.36</v>
      </c>
      <c r="E31" s="48">
        <f t="shared" si="5"/>
        <v>2.924024640657084</v>
      </c>
      <c r="F31" s="50">
        <f t="shared" si="1"/>
        <v>0.91601664853217135</v>
      </c>
      <c r="G31" s="50">
        <f t="shared" si="0"/>
        <v>0.34717358231506312</v>
      </c>
      <c r="H31" s="50">
        <f t="shared" si="2"/>
        <v>0.65282641768493688</v>
      </c>
      <c r="I31" s="50">
        <f t="shared" si="3"/>
        <v>6.9494439314340961E-2</v>
      </c>
      <c r="J31" s="37">
        <f>B$13-SUM(B$22:B30)+C31</f>
        <v>96.36</v>
      </c>
      <c r="K31" s="44">
        <f t="shared" si="4"/>
        <v>0.2</v>
      </c>
      <c r="M31" s="39">
        <f t="shared" si="6"/>
        <v>46212</v>
      </c>
      <c r="N31" s="37">
        <f t="shared" si="7"/>
        <v>8.27</v>
      </c>
      <c r="O31" s="24">
        <f t="shared" si="8"/>
        <v>1.6356701418723256</v>
      </c>
      <c r="V31" s="44"/>
      <c r="W31" s="39"/>
    </row>
    <row r="32" spans="1:24" x14ac:dyDescent="0.2">
      <c r="A32" s="39">
        <v>45847</v>
      </c>
      <c r="B32" s="48">
        <v>8</v>
      </c>
      <c r="C32" s="48">
        <v>0.32999999999999996</v>
      </c>
      <c r="D32" s="48">
        <v>8.33</v>
      </c>
      <c r="E32" s="48">
        <f t="shared" si="5"/>
        <v>3.4195756331279945</v>
      </c>
      <c r="F32" s="50">
        <f t="shared" si="1"/>
        <v>0.90249938610279701</v>
      </c>
      <c r="G32" s="50">
        <f t="shared" si="0"/>
        <v>0.29018871315756478</v>
      </c>
      <c r="H32" s="50">
        <f t="shared" si="2"/>
        <v>0.70981128684243522</v>
      </c>
      <c r="I32" s="50">
        <f t="shared" si="3"/>
        <v>5.6984869157498341E-2</v>
      </c>
      <c r="J32" s="37">
        <f>B$13-SUM(B$22:B31)+C32</f>
        <v>88.33</v>
      </c>
      <c r="K32" s="44">
        <f t="shared" si="4"/>
        <v>0.2</v>
      </c>
      <c r="M32" s="39">
        <f t="shared" si="6"/>
        <v>46396</v>
      </c>
      <c r="N32" s="37">
        <f t="shared" si="7"/>
        <v>8.24</v>
      </c>
      <c r="O32" s="24">
        <f t="shared" si="8"/>
        <v>1.3545960312406633</v>
      </c>
      <c r="V32" s="44"/>
      <c r="W32" s="39"/>
    </row>
    <row r="33" spans="1:23" x14ac:dyDescent="0.2">
      <c r="A33" s="39">
        <v>46031</v>
      </c>
      <c r="B33" s="48">
        <v>8</v>
      </c>
      <c r="C33" s="48">
        <v>0.3</v>
      </c>
      <c r="D33" s="48">
        <v>8.3000000000000007</v>
      </c>
      <c r="E33" s="48">
        <f t="shared" si="5"/>
        <v>3.9238773274917853</v>
      </c>
      <c r="F33" s="50">
        <f t="shared" si="1"/>
        <v>0.8889481938286049</v>
      </c>
      <c r="G33" s="50">
        <f t="shared" si="0"/>
        <v>0.2417905709133108</v>
      </c>
      <c r="H33" s="50">
        <f t="shared" si="2"/>
        <v>0.7582094290866892</v>
      </c>
      <c r="I33" s="50">
        <f t="shared" si="3"/>
        <v>4.8398142244253983E-2</v>
      </c>
      <c r="J33" s="37">
        <f>B$13-SUM(B$22:B32)+C33</f>
        <v>80.3</v>
      </c>
      <c r="K33" s="44">
        <f t="shared" si="4"/>
        <v>0.2</v>
      </c>
      <c r="M33" s="39">
        <f t="shared" si="6"/>
        <v>46577</v>
      </c>
      <c r="N33" s="37">
        <f t="shared" si="7"/>
        <v>8.2100000000000009</v>
      </c>
      <c r="O33" s="24">
        <f t="shared" si="8"/>
        <v>1.125357932525793</v>
      </c>
      <c r="V33" s="44"/>
      <c r="W33" s="39"/>
    </row>
    <row r="34" spans="1:23" x14ac:dyDescent="0.2">
      <c r="A34" s="39">
        <v>46212</v>
      </c>
      <c r="B34" s="48">
        <v>8</v>
      </c>
      <c r="C34" s="48">
        <v>0.27</v>
      </c>
      <c r="D34" s="48">
        <v>8.27</v>
      </c>
      <c r="E34" s="48">
        <f t="shared" si="5"/>
        <v>4.4194961664841186</v>
      </c>
      <c r="F34" s="50">
        <f t="shared" si="1"/>
        <v>0.87582858624599191</v>
      </c>
      <c r="G34" s="50">
        <f t="shared" si="0"/>
        <v>0.20209824670944021</v>
      </c>
      <c r="H34" s="50">
        <f t="shared" si="2"/>
        <v>0.79790175329055979</v>
      </c>
      <c r="I34" s="50">
        <f t="shared" si="3"/>
        <v>3.9692324203870588E-2</v>
      </c>
      <c r="J34" s="37">
        <f>B$13-SUM(B$22:B33)+C34</f>
        <v>72.27</v>
      </c>
      <c r="K34" s="44">
        <f t="shared" si="4"/>
        <v>0.2</v>
      </c>
      <c r="M34" s="39">
        <f t="shared" si="6"/>
        <v>46761</v>
      </c>
      <c r="N34" s="37">
        <f t="shared" si="7"/>
        <v>8.42</v>
      </c>
      <c r="O34" s="24">
        <f t="shared" si="8"/>
        <v>0.9601158735827745</v>
      </c>
      <c r="V34" s="44"/>
      <c r="W34" s="39"/>
    </row>
    <row r="35" spans="1:23" x14ac:dyDescent="0.2">
      <c r="A35" s="39">
        <v>46396</v>
      </c>
      <c r="B35" s="48">
        <v>8</v>
      </c>
      <c r="C35" s="48">
        <v>0.24</v>
      </c>
      <c r="D35" s="48">
        <v>8.24</v>
      </c>
      <c r="E35" s="48">
        <f t="shared" si="5"/>
        <v>4.9237790963030577</v>
      </c>
      <c r="F35" s="50">
        <f t="shared" si="1"/>
        <v>0.8626783465108212</v>
      </c>
      <c r="G35" s="50">
        <f t="shared" si="0"/>
        <v>0.1683931179670774</v>
      </c>
      <c r="H35" s="50">
        <f t="shared" si="2"/>
        <v>0.83160688203292255</v>
      </c>
      <c r="I35" s="50">
        <f t="shared" si="3"/>
        <v>3.3705128742362755E-2</v>
      </c>
      <c r="J35" s="37">
        <f>B$13-SUM(B$22:B34)+C35</f>
        <v>64.239999999999995</v>
      </c>
      <c r="K35" s="44">
        <f t="shared" si="4"/>
        <v>0.2</v>
      </c>
      <c r="M35" s="39">
        <f t="shared" si="6"/>
        <v>46943</v>
      </c>
      <c r="N35" s="37">
        <f t="shared" si="7"/>
        <v>8.35</v>
      </c>
      <c r="O35" s="24">
        <f t="shared" si="8"/>
        <v>0.79314525089594112</v>
      </c>
      <c r="V35" s="44"/>
      <c r="W35" s="39"/>
    </row>
    <row r="36" spans="1:23" x14ac:dyDescent="0.2">
      <c r="A36" s="39">
        <v>46577</v>
      </c>
      <c r="B36" s="48">
        <v>8</v>
      </c>
      <c r="C36" s="48">
        <v>0.21</v>
      </c>
      <c r="D36" s="48">
        <v>8.2100000000000009</v>
      </c>
      <c r="E36" s="48">
        <f t="shared" si="5"/>
        <v>5.4194431766316749</v>
      </c>
      <c r="F36" s="50">
        <f t="shared" si="1"/>
        <v>0.8499452908297197</v>
      </c>
      <c r="G36" s="50">
        <f t="shared" si="0"/>
        <v>0.1407474109503804</v>
      </c>
      <c r="H36" s="50">
        <f t="shared" si="2"/>
        <v>0.85925258904961965</v>
      </c>
      <c r="I36" s="50">
        <f t="shared" si="3"/>
        <v>2.7645707016697108E-2</v>
      </c>
      <c r="J36" s="37">
        <f>B$13-SUM(B$22:B35)+C36</f>
        <v>56.21</v>
      </c>
      <c r="K36" s="44">
        <f t="shared" si="4"/>
        <v>0.2</v>
      </c>
      <c r="M36" s="39">
        <f t="shared" si="6"/>
        <v>47127</v>
      </c>
      <c r="N36" s="37">
        <f t="shared" si="7"/>
        <v>8.2799999999999994</v>
      </c>
      <c r="O36" s="24">
        <f t="shared" si="8"/>
        <v>0.65368956066999262</v>
      </c>
      <c r="V36" s="44"/>
      <c r="W36" s="39"/>
    </row>
    <row r="37" spans="1:23" x14ac:dyDescent="0.2">
      <c r="A37" s="39">
        <v>46761</v>
      </c>
      <c r="B37" s="48">
        <v>8</v>
      </c>
      <c r="C37" s="48">
        <v>0.42000000000000004</v>
      </c>
      <c r="D37" s="48">
        <v>8.42</v>
      </c>
      <c r="E37" s="48">
        <f t="shared" si="5"/>
        <v>5.9213922565506456</v>
      </c>
      <c r="F37" s="50">
        <f t="shared" si="1"/>
        <v>0.8372422970099993</v>
      </c>
      <c r="G37" s="50">
        <f t="shared" si="0"/>
        <v>0.11737319489378902</v>
      </c>
      <c r="H37" s="50">
        <f t="shared" si="2"/>
        <v>0.88262680510621094</v>
      </c>
      <c r="I37" s="50">
        <f t="shared" si="3"/>
        <v>2.337421605659129E-2</v>
      </c>
      <c r="J37" s="37">
        <f>B$13-SUM(B$22:B36)+C37</f>
        <v>48.42</v>
      </c>
      <c r="K37" s="44">
        <f t="shared" si="4"/>
        <v>0.2</v>
      </c>
      <c r="M37" s="39">
        <f t="shared" si="6"/>
        <v>47308</v>
      </c>
      <c r="N37" s="37">
        <f t="shared" si="7"/>
        <v>8.2100000000000009</v>
      </c>
      <c r="O37" s="24">
        <f t="shared" si="8"/>
        <v>0.54046467233499973</v>
      </c>
      <c r="V37" s="44"/>
      <c r="W37" s="39"/>
    </row>
    <row r="38" spans="1:23" x14ac:dyDescent="0.2">
      <c r="A38" s="39">
        <v>46943</v>
      </c>
      <c r="B38" s="48">
        <v>8</v>
      </c>
      <c r="C38" s="48">
        <v>0.35000000000000003</v>
      </c>
      <c r="D38" s="48">
        <v>8.35</v>
      </c>
      <c r="E38" s="48">
        <f t="shared" si="5"/>
        <v>6.4196323816973013</v>
      </c>
      <c r="F38" s="50">
        <f t="shared" si="1"/>
        <v>0.82482092942405949</v>
      </c>
      <c r="G38" s="50">
        <f t="shared" si="0"/>
        <v>9.8012220288557342E-2</v>
      </c>
      <c r="H38" s="50">
        <f t="shared" si="2"/>
        <v>0.90198777971144262</v>
      </c>
      <c r="I38" s="50">
        <f t="shared" si="3"/>
        <v>1.9360974605231673E-2</v>
      </c>
      <c r="J38" s="37">
        <f>B$13-SUM(B$22:B37)+C38</f>
        <v>40.35</v>
      </c>
      <c r="K38" s="44">
        <f t="shared" si="4"/>
        <v>0.2</v>
      </c>
      <c r="M38" s="39">
        <f t="shared" si="6"/>
        <v>47492</v>
      </c>
      <c r="N38" s="37">
        <f t="shared" si="7"/>
        <v>8.14</v>
      </c>
      <c r="O38" s="24">
        <f t="shared" si="8"/>
        <v>0.44537672174335191</v>
      </c>
      <c r="V38" s="44"/>
      <c r="W38" s="39"/>
    </row>
    <row r="39" spans="1:23" x14ac:dyDescent="0.2">
      <c r="A39" s="39">
        <v>47127</v>
      </c>
      <c r="B39" s="48">
        <v>8</v>
      </c>
      <c r="C39" s="48">
        <v>0.28000000000000003</v>
      </c>
      <c r="D39" s="48">
        <v>8.2799999999999994</v>
      </c>
      <c r="E39" s="48">
        <f t="shared" si="5"/>
        <v>6.924024640657084</v>
      </c>
      <c r="F39" s="50">
        <f t="shared" si="1"/>
        <v>0.81243388595634036</v>
      </c>
      <c r="G39" s="50">
        <f t="shared" si="0"/>
        <v>8.1662908017018768E-2</v>
      </c>
      <c r="H39" s="50">
        <f t="shared" si="2"/>
        <v>0.91833709198298119</v>
      </c>
      <c r="I39" s="50">
        <f t="shared" si="3"/>
        <v>1.6349312271538574E-2</v>
      </c>
      <c r="J39" s="37">
        <f>B$13-SUM(B$22:B38)+C39</f>
        <v>32.28</v>
      </c>
      <c r="K39" s="44">
        <f t="shared" si="4"/>
        <v>0.2</v>
      </c>
      <c r="M39" s="39">
        <f t="shared" si="6"/>
        <v>47673</v>
      </c>
      <c r="N39" s="37">
        <f t="shared" si="7"/>
        <v>8.07</v>
      </c>
      <c r="O39" s="24">
        <f t="shared" si="8"/>
        <v>0.36817439645451411</v>
      </c>
      <c r="V39" s="44"/>
      <c r="W39" s="39"/>
    </row>
    <row r="40" spans="1:23" x14ac:dyDescent="0.2">
      <c r="A40" s="39">
        <v>47308</v>
      </c>
      <c r="B40" s="48">
        <v>8</v>
      </c>
      <c r="C40" s="48">
        <v>0.21000000000000002</v>
      </c>
      <c r="D40" s="48">
        <v>8.2100000000000009</v>
      </c>
      <c r="E40" s="48">
        <f t="shared" si="5"/>
        <v>7.4195756331279945</v>
      </c>
      <c r="F40" s="50">
        <f t="shared" si="1"/>
        <v>0.80044514965925928</v>
      </c>
      <c r="G40" s="50">
        <f t="shared" si="0"/>
        <v>6.8258805961386254E-2</v>
      </c>
      <c r="H40" s="50">
        <f t="shared" si="2"/>
        <v>0.93174119403861377</v>
      </c>
      <c r="I40" s="50">
        <f t="shared" si="3"/>
        <v>1.3404102055632583E-2</v>
      </c>
      <c r="J40" s="37">
        <f>B$13-SUM(B$22:B39)+C40</f>
        <v>24.21</v>
      </c>
      <c r="K40" s="44">
        <f t="shared" si="4"/>
        <v>0.2</v>
      </c>
      <c r="M40" s="39"/>
      <c r="N40" s="37"/>
      <c r="V40" s="44"/>
      <c r="W40" s="39"/>
    </row>
    <row r="41" spans="1:23" x14ac:dyDescent="0.2">
      <c r="A41" s="39">
        <v>47492</v>
      </c>
      <c r="B41" s="48">
        <v>8</v>
      </c>
      <c r="C41" s="48">
        <v>0.14000000000000001</v>
      </c>
      <c r="D41" s="48">
        <v>8.14</v>
      </c>
      <c r="E41" s="48">
        <f t="shared" si="5"/>
        <v>7.9239428049893519</v>
      </c>
      <c r="F41" s="50">
        <f t="shared" si="1"/>
        <v>0.78842477156544166</v>
      </c>
      <c r="G41" s="50">
        <f t="shared" si="0"/>
        <v>5.6873144712742782E-2</v>
      </c>
      <c r="H41" s="50">
        <f t="shared" si="2"/>
        <v>0.94312685528725726</v>
      </c>
      <c r="I41" s="50">
        <f t="shared" si="3"/>
        <v>1.1385661248643486E-2</v>
      </c>
      <c r="J41" s="37">
        <f>B$13-SUM(B$22:B40)+C41</f>
        <v>16.14</v>
      </c>
      <c r="K41" s="44">
        <f t="shared" si="4"/>
        <v>0.2</v>
      </c>
      <c r="M41" s="39"/>
      <c r="V41" s="44"/>
      <c r="W41" s="39"/>
    </row>
    <row r="42" spans="1:23" x14ac:dyDescent="0.2">
      <c r="A42" s="39">
        <v>47673</v>
      </c>
      <c r="B42" s="48">
        <v>8</v>
      </c>
      <c r="C42" s="48">
        <v>7.0000000000000007E-2</v>
      </c>
      <c r="D42" s="48">
        <v>8.07</v>
      </c>
      <c r="E42" s="48">
        <f t="shared" si="5"/>
        <v>8.4195314876787339</v>
      </c>
      <c r="F42" s="50">
        <f t="shared" si="1"/>
        <v>0.77678944908829051</v>
      </c>
      <c r="G42" s="50">
        <f t="shared" si="0"/>
        <v>4.7537371685720219E-2</v>
      </c>
      <c r="H42" s="50">
        <f t="shared" si="2"/>
        <v>0.95246262831427975</v>
      </c>
      <c r="I42" s="50">
        <f t="shared" si="3"/>
        <v>9.335773027022487E-3</v>
      </c>
      <c r="J42" s="37">
        <f>B$13-SUM(B$22:B41)+C42</f>
        <v>8.07</v>
      </c>
      <c r="K42" s="44">
        <f t="shared" si="4"/>
        <v>0.2</v>
      </c>
      <c r="M42" s="39"/>
      <c r="V42" s="44"/>
      <c r="W42" s="39"/>
    </row>
    <row r="45" spans="1:23" x14ac:dyDescent="0.2">
      <c r="O45" s="22">
        <f>SUM(O24:O40)-H6</f>
        <v>-14.158735694263804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2029</vt:lpstr>
      <vt:lpstr>2030</vt:lpstr>
      <vt:lpstr>2038</vt:lpstr>
      <vt:lpstr>Valor</vt:lpstr>
      <vt:lpstr>2038 23,4%</vt:lpstr>
      <vt:lpstr>Valor (2)</vt:lpstr>
      <vt:lpstr>HR implicita</vt:lpstr>
      <vt:lpstr>2029 Feb</vt:lpstr>
      <vt:lpstr>2030 Feb</vt:lpstr>
      <vt:lpstr>2038 Feb</vt:lpstr>
      <vt:lpstr>5)</vt:lpstr>
      <vt:lpstr>CDS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Gialdi</dc:creator>
  <cp:lastModifiedBy>Microsoft Office User</cp:lastModifiedBy>
  <dcterms:created xsi:type="dcterms:W3CDTF">2022-08-11T18:11:19Z</dcterms:created>
  <dcterms:modified xsi:type="dcterms:W3CDTF">2022-08-21T00:02:25Z</dcterms:modified>
</cp:coreProperties>
</file>