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os 20 p\"/>
    </mc:Choice>
  </mc:AlternateContent>
  <xr:revisionPtr revIDLastSave="0" documentId="8_{F0C9E782-DB10-4BB9-9E2D-403D8767CC89}" xr6:coauthVersionLast="47" xr6:coauthVersionMax="47" xr10:uidLastSave="{00000000-0000-0000-0000-000000000000}"/>
  <bookViews>
    <workbookView xWindow="-110" yWindow="-110" windowWidth="19420" windowHeight="10420" activeTab="1" xr2:uid="{51DEBF64-AB0D-4E45-A062-4EAC15ADA942}"/>
  </bookViews>
  <sheets>
    <sheet name="Tabla CP" sheetId="1" r:id="rId1"/>
    <sheet name="Hoja4" sheetId="17" r:id="rId2"/>
    <sheet name="Hoja3" sheetId="16" r:id="rId3"/>
    <sheet name="Hoja2" sheetId="2" r:id="rId4"/>
    <sheet name=" survival end of interval" sheetId="6" r:id="rId5"/>
    <sheet name="survival Beiginning of interval" sheetId="7" r:id="rId6"/>
    <sheet name="survival during the interval" sheetId="8" r:id="rId7"/>
    <sheet name="Curvas " sheetId="3" r:id="rId8"/>
    <sheet name="envejecimientoFov20" sheetId="5" r:id="rId9"/>
    <sheet name="Var end interval" sheetId="9" r:id="rId10"/>
    <sheet name="Var Beigenning" sheetId="10" r:id="rId11"/>
    <sheet name="Var During Interval" sheetId="11" r:id="rId12"/>
    <sheet name="confianza end interval" sheetId="12" r:id="rId13"/>
    <sheet name="confianza Beigenning" sheetId="13" r:id="rId14"/>
    <sheet name="confianza during interval" sheetId="14" r:id="rId15"/>
    <sheet name="Hoja1" sheetId="15" r:id="rId16"/>
  </sheets>
  <externalReferences>
    <externalReference r:id="rId17"/>
  </externalReferences>
  <definedNames>
    <definedName name="_xlnm._FilterDatabase" localSheetId="8" hidden="1">envejecimientoFov20!$B$2:$B$29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2" l="1"/>
  <c r="J27" i="2" s="1"/>
  <c r="K27" i="2" s="1"/>
  <c r="I27" i="2"/>
  <c r="H28" i="2"/>
  <c r="J28" i="2" s="1"/>
  <c r="I28" i="2"/>
  <c r="H29" i="2"/>
  <c r="I29" i="2"/>
  <c r="J29" i="2" s="1"/>
  <c r="H30" i="2"/>
  <c r="I30" i="2"/>
  <c r="J30" i="2"/>
  <c r="H31" i="2"/>
  <c r="I31" i="2"/>
  <c r="J31" i="2" s="1"/>
  <c r="H32" i="2"/>
  <c r="I32" i="2"/>
  <c r="J32" i="2"/>
  <c r="H33" i="2"/>
  <c r="I33" i="2"/>
  <c r="J33" i="2"/>
  <c r="H34" i="2"/>
  <c r="J34" i="2" s="1"/>
  <c r="I34" i="2"/>
  <c r="H35" i="2"/>
  <c r="J35" i="2" s="1"/>
  <c r="I35" i="2"/>
  <c r="H36" i="2"/>
  <c r="J36" i="2" s="1"/>
  <c r="I36" i="2"/>
  <c r="H37" i="2"/>
  <c r="I37" i="2"/>
  <c r="J37" i="2" s="1"/>
  <c r="H38" i="2"/>
  <c r="I38" i="2"/>
  <c r="J38" i="2"/>
  <c r="H39" i="2"/>
  <c r="I39" i="2"/>
  <c r="J39" i="2" s="1"/>
  <c r="H40" i="2"/>
  <c r="I40" i="2"/>
  <c r="J40" i="2"/>
  <c r="H41" i="2"/>
  <c r="I41" i="2"/>
  <c r="J41" i="2"/>
  <c r="H42" i="2"/>
  <c r="J42" i="2" s="1"/>
  <c r="I42" i="2"/>
  <c r="H43" i="2"/>
  <c r="J43" i="2" s="1"/>
  <c r="I43" i="2"/>
  <c r="H44" i="2"/>
  <c r="J44" i="2" s="1"/>
  <c r="I44" i="2"/>
  <c r="H45" i="2"/>
  <c r="I45" i="2"/>
  <c r="J45" i="2" s="1"/>
  <c r="H46" i="2"/>
  <c r="I46" i="2"/>
  <c r="J46" i="2"/>
  <c r="H47" i="2"/>
  <c r="I47" i="2"/>
  <c r="J47" i="2" s="1"/>
  <c r="H48" i="2"/>
  <c r="I48" i="2"/>
  <c r="J48" i="2"/>
  <c r="N26" i="2"/>
  <c r="L26" i="2"/>
  <c r="K26" i="2"/>
  <c r="J26" i="2"/>
  <c r="I26" i="2"/>
  <c r="H26" i="2"/>
  <c r="I25" i="2"/>
  <c r="G26" i="2" a="1"/>
  <c r="K28" i="2" l="1"/>
  <c r="L27" i="2"/>
  <c r="G28" i="2"/>
  <c r="G36" i="2"/>
  <c r="G44" i="2"/>
  <c r="G29" i="2"/>
  <c r="G37" i="2"/>
  <c r="G45" i="2"/>
  <c r="G30" i="2"/>
  <c r="G38" i="2"/>
  <c r="G31" i="2"/>
  <c r="G39" i="2"/>
  <c r="G47" i="2"/>
  <c r="G32" i="2"/>
  <c r="G40" i="2"/>
  <c r="G48" i="2"/>
  <c r="G33" i="2"/>
  <c r="G26" i="2"/>
  <c r="G34" i="2"/>
  <c r="G42" i="2"/>
  <c r="G35" i="2"/>
  <c r="G46" i="2"/>
  <c r="G27" i="2"/>
  <c r="G43" i="2"/>
  <c r="G41" i="2"/>
  <c r="N27" i="2" l="1"/>
  <c r="K29" i="2"/>
  <c r="L28" i="2"/>
  <c r="N28" i="2" l="1"/>
  <c r="K30" i="2"/>
  <c r="L29" i="2"/>
  <c r="N29" i="2" l="1"/>
  <c r="L30" i="2"/>
  <c r="K31" i="2"/>
  <c r="L31" i="2" l="1"/>
  <c r="K32" i="2"/>
  <c r="N30" i="2"/>
  <c r="L32" i="2" l="1"/>
  <c r="K33" i="2"/>
  <c r="N31" i="2"/>
  <c r="K34" i="2" l="1"/>
  <c r="L33" i="2"/>
  <c r="N32" i="2"/>
  <c r="K35" i="2" l="1"/>
  <c r="L34" i="2"/>
  <c r="N33" i="2"/>
  <c r="N34" i="2" l="1"/>
  <c r="K36" i="2"/>
  <c r="L35" i="2"/>
  <c r="H15" i="9"/>
  <c r="H14" i="9"/>
  <c r="H13" i="9"/>
  <c r="H12" i="9"/>
  <c r="H11" i="9"/>
  <c r="H10" i="9"/>
  <c r="C4" i="16"/>
  <c r="J5" i="1"/>
  <c r="H6" i="1" a="1"/>
  <c r="A5" i="16" a="1"/>
  <c r="N35" i="2" l="1"/>
  <c r="K37" i="2"/>
  <c r="L36" i="2"/>
  <c r="A6" i="16"/>
  <c r="A14" i="16"/>
  <c r="A16" i="16"/>
  <c r="A13" i="16"/>
  <c r="A7" i="16"/>
  <c r="A15" i="16"/>
  <c r="A8" i="16"/>
  <c r="A9" i="16"/>
  <c r="A17" i="16"/>
  <c r="A10" i="16"/>
  <c r="A18" i="16"/>
  <c r="A12" i="16"/>
  <c r="A20" i="16"/>
  <c r="A5" i="16"/>
  <c r="A11" i="16"/>
  <c r="A19" i="16"/>
  <c r="H6" i="1"/>
  <c r="H14" i="1"/>
  <c r="H22" i="1"/>
  <c r="H30" i="1"/>
  <c r="H15" i="1"/>
  <c r="H23" i="1"/>
  <c r="H31" i="1"/>
  <c r="H16" i="1"/>
  <c r="H24" i="1"/>
  <c r="H32" i="1"/>
  <c r="H17" i="1"/>
  <c r="H25" i="1"/>
  <c r="H18" i="1"/>
  <c r="H26" i="1"/>
  <c r="H19" i="1"/>
  <c r="H27" i="1"/>
  <c r="H20" i="1"/>
  <c r="H28" i="1"/>
  <c r="H13" i="1"/>
  <c r="H21" i="1"/>
  <c r="H29" i="1"/>
  <c r="H7" i="1"/>
  <c r="H8" i="1"/>
  <c r="H9" i="1"/>
  <c r="H10" i="1"/>
  <c r="H11" i="1"/>
  <c r="H12" i="1"/>
  <c r="N36" i="2" l="1"/>
  <c r="K38" i="2"/>
  <c r="L37" i="2"/>
  <c r="B7" i="16"/>
  <c r="C7" i="16"/>
  <c r="I25" i="1"/>
  <c r="J25" i="1"/>
  <c r="I12" i="1"/>
  <c r="J12" i="1"/>
  <c r="B20" i="16"/>
  <c r="C20" i="16"/>
  <c r="B16" i="16"/>
  <c r="C16" i="16"/>
  <c r="C5" i="16"/>
  <c r="B5" i="16"/>
  <c r="J11" i="1"/>
  <c r="I11" i="1"/>
  <c r="J14" i="1"/>
  <c r="I14" i="1"/>
  <c r="I16" i="1"/>
  <c r="J16" i="1"/>
  <c r="B14" i="16"/>
  <c r="C14" i="16"/>
  <c r="B13" i="16"/>
  <c r="C13" i="16"/>
  <c r="B17" i="16"/>
  <c r="C17" i="16"/>
  <c r="B6" i="16"/>
  <c r="C6" i="16"/>
  <c r="I30" i="1"/>
  <c r="J30" i="1"/>
  <c r="I13" i="1"/>
  <c r="J13" i="1"/>
  <c r="J17" i="1"/>
  <c r="I17" i="1"/>
  <c r="K17" i="1" s="1"/>
  <c r="I22" i="1"/>
  <c r="J22" i="1"/>
  <c r="I28" i="1"/>
  <c r="J28" i="1"/>
  <c r="I32" i="1"/>
  <c r="J32" i="1"/>
  <c r="I20" i="1"/>
  <c r="J20" i="1"/>
  <c r="B18" i="16"/>
  <c r="C18" i="16"/>
  <c r="D18" i="16" s="1"/>
  <c r="I27" i="1"/>
  <c r="J27" i="1"/>
  <c r="C19" i="16"/>
  <c r="B19" i="16"/>
  <c r="D19" i="16" s="1"/>
  <c r="I21" i="1"/>
  <c r="J21" i="1"/>
  <c r="K21" i="1" s="1"/>
  <c r="B15" i="16"/>
  <c r="C15" i="16"/>
  <c r="C12" i="16"/>
  <c r="B12" i="16"/>
  <c r="I10" i="1"/>
  <c r="J10" i="1"/>
  <c r="J24" i="1"/>
  <c r="I24" i="1"/>
  <c r="J6" i="1"/>
  <c r="I6" i="1"/>
  <c r="I9" i="1"/>
  <c r="J9" i="1"/>
  <c r="B10" i="16"/>
  <c r="C10" i="16"/>
  <c r="D10" i="16" s="1"/>
  <c r="J8" i="1"/>
  <c r="I8" i="1"/>
  <c r="K8" i="1" s="1"/>
  <c r="I19" i="1"/>
  <c r="J19" i="1"/>
  <c r="I31" i="1"/>
  <c r="J31" i="1"/>
  <c r="I7" i="1"/>
  <c r="J7" i="1"/>
  <c r="I26" i="1"/>
  <c r="J26" i="1"/>
  <c r="I23" i="1"/>
  <c r="J23" i="1"/>
  <c r="C9" i="16"/>
  <c r="B9" i="16"/>
  <c r="I29" i="1"/>
  <c r="J29" i="1"/>
  <c r="I18" i="1"/>
  <c r="J18" i="1"/>
  <c r="I15" i="1"/>
  <c r="J15" i="1"/>
  <c r="B11" i="16"/>
  <c r="C11" i="16"/>
  <c r="B8" i="16"/>
  <c r="C8" i="16"/>
  <c r="D8" i="16" s="1"/>
  <c r="K16" i="1" l="1"/>
  <c r="K29" i="1"/>
  <c r="K32" i="1"/>
  <c r="K13" i="1"/>
  <c r="K14" i="1"/>
  <c r="N37" i="2"/>
  <c r="L38" i="2"/>
  <c r="K39" i="2"/>
  <c r="K11" i="1"/>
  <c r="D9" i="16"/>
  <c r="D12" i="16"/>
  <c r="D16" i="16"/>
  <c r="D5" i="16"/>
  <c r="E5" i="16" s="1"/>
  <c r="F5" i="16" s="1"/>
  <c r="K9" i="1"/>
  <c r="K28" i="1"/>
  <c r="D14" i="16"/>
  <c r="K6" i="1"/>
  <c r="L6" i="1" s="1"/>
  <c r="M6" i="1" s="1"/>
  <c r="K15" i="1"/>
  <c r="K23" i="1"/>
  <c r="K19" i="1"/>
  <c r="K18" i="1"/>
  <c r="K26" i="1"/>
  <c r="K24" i="1"/>
  <c r="K20" i="1"/>
  <c r="D17" i="16"/>
  <c r="D20" i="16"/>
  <c r="K27" i="1"/>
  <c r="D11" i="16"/>
  <c r="K31" i="1"/>
  <c r="K30" i="1"/>
  <c r="K7" i="1"/>
  <c r="K10" i="1"/>
  <c r="D13" i="16"/>
  <c r="K12" i="1"/>
  <c r="K25" i="1"/>
  <c r="D15" i="16"/>
  <c r="K22" i="1"/>
  <c r="D6" i="16"/>
  <c r="E6" i="16" s="1"/>
  <c r="D7" i="16"/>
  <c r="L39" i="2" l="1"/>
  <c r="K40" i="2"/>
  <c r="N38" i="2"/>
  <c r="O6" i="1"/>
  <c r="N6" i="1"/>
  <c r="L7" i="1"/>
  <c r="E7" i="16"/>
  <c r="F6" i="16"/>
  <c r="H5" i="16"/>
  <c r="G5" i="16"/>
  <c r="K41" i="2" l="1"/>
  <c r="L40" i="2"/>
  <c r="N39" i="2"/>
  <c r="G6" i="16"/>
  <c r="H6" i="16"/>
  <c r="E8" i="16"/>
  <c r="F7" i="16"/>
  <c r="M7" i="1"/>
  <c r="L8" i="1"/>
  <c r="N40" i="2" l="1"/>
  <c r="K42" i="2"/>
  <c r="L41" i="2"/>
  <c r="L9" i="1"/>
  <c r="M8" i="1"/>
  <c r="N7" i="1"/>
  <c r="O7" i="1"/>
  <c r="H7" i="16"/>
  <c r="G7" i="16"/>
  <c r="E9" i="16"/>
  <c r="F8" i="16"/>
  <c r="N41" i="2" l="1"/>
  <c r="K43" i="2"/>
  <c r="L42" i="2"/>
  <c r="H8" i="16"/>
  <c r="G8" i="16"/>
  <c r="F9" i="16"/>
  <c r="E10" i="16"/>
  <c r="O8" i="1"/>
  <c r="N8" i="1"/>
  <c r="L10" i="1"/>
  <c r="M9" i="1"/>
  <c r="N42" i="2" l="1"/>
  <c r="K44" i="2"/>
  <c r="L43" i="2"/>
  <c r="F10" i="16"/>
  <c r="E11" i="16"/>
  <c r="G9" i="16"/>
  <c r="H9" i="16"/>
  <c r="O9" i="1"/>
  <c r="N9" i="1"/>
  <c r="L11" i="1"/>
  <c r="M10" i="1"/>
  <c r="N43" i="2" l="1"/>
  <c r="K45" i="2"/>
  <c r="L44" i="2"/>
  <c r="O10" i="1"/>
  <c r="N10" i="1"/>
  <c r="F11" i="16"/>
  <c r="E12" i="16"/>
  <c r="L12" i="1"/>
  <c r="M11" i="1"/>
  <c r="G10" i="16"/>
  <c r="H10" i="16"/>
  <c r="C20" i="13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3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3" i="13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3" i="12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3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D4" i="12"/>
  <c r="E4" i="12" s="1"/>
  <c r="D5" i="12"/>
  <c r="E5" i="12" s="1"/>
  <c r="D6" i="12"/>
  <c r="D7" i="12"/>
  <c r="E7" i="12" s="1"/>
  <c r="D8" i="12"/>
  <c r="E8" i="12" s="1"/>
  <c r="D9" i="12"/>
  <c r="D10" i="12"/>
  <c r="D11" i="12"/>
  <c r="D12" i="12"/>
  <c r="E12" i="12" s="1"/>
  <c r="D13" i="12"/>
  <c r="E13" i="12" s="1"/>
  <c r="D14" i="12"/>
  <c r="D15" i="12"/>
  <c r="D16" i="12"/>
  <c r="D17" i="12"/>
  <c r="E17" i="12" s="1"/>
  <c r="D18" i="12"/>
  <c r="D19" i="12"/>
  <c r="D20" i="12"/>
  <c r="E20" i="12" s="1"/>
  <c r="D3" i="12"/>
  <c r="E10" i="12"/>
  <c r="E11" i="12"/>
  <c r="E14" i="12"/>
  <c r="E15" i="12"/>
  <c r="E16" i="12"/>
  <c r="E18" i="12"/>
  <c r="E19" i="12"/>
  <c r="E6" i="12"/>
  <c r="E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3" i="12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3" i="11"/>
  <c r="H14" i="11"/>
  <c r="H15" i="11"/>
  <c r="H16" i="11"/>
  <c r="H17" i="11"/>
  <c r="H18" i="11"/>
  <c r="H19" i="11"/>
  <c r="H20" i="11"/>
  <c r="H4" i="11"/>
  <c r="H5" i="11"/>
  <c r="H6" i="11"/>
  <c r="H7" i="11"/>
  <c r="H8" i="11"/>
  <c r="H9" i="11"/>
  <c r="H10" i="11"/>
  <c r="H11" i="11"/>
  <c r="H12" i="11"/>
  <c r="H13" i="11"/>
  <c r="H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3" i="11"/>
  <c r="F3" i="10"/>
  <c r="B20" i="11"/>
  <c r="B19" i="11"/>
  <c r="B18" i="11"/>
  <c r="B17" i="11"/>
  <c r="B16" i="11"/>
  <c r="B15" i="11"/>
  <c r="B14" i="11"/>
  <c r="B13" i="11"/>
  <c r="B12" i="11"/>
  <c r="B11" i="11"/>
  <c r="B10" i="11"/>
  <c r="B9" i="1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3" i="10"/>
  <c r="I3" i="10" s="1"/>
  <c r="J3" i="10" s="1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G3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H4" i="9"/>
  <c r="H5" i="9"/>
  <c r="H6" i="9"/>
  <c r="H7" i="9"/>
  <c r="H8" i="9"/>
  <c r="H9" i="9"/>
  <c r="H16" i="9"/>
  <c r="H17" i="9"/>
  <c r="H18" i="9"/>
  <c r="H19" i="9"/>
  <c r="H20" i="9"/>
  <c r="H3" i="9"/>
  <c r="G14" i="9"/>
  <c r="G15" i="9"/>
  <c r="G16" i="9"/>
  <c r="G17" i="9"/>
  <c r="G18" i="9"/>
  <c r="G19" i="9"/>
  <c r="G20" i="9"/>
  <c r="G11" i="9"/>
  <c r="G12" i="9"/>
  <c r="G13" i="9"/>
  <c r="G4" i="9"/>
  <c r="G5" i="9"/>
  <c r="G6" i="9"/>
  <c r="G7" i="9"/>
  <c r="G8" i="9"/>
  <c r="G9" i="9"/>
  <c r="G10" i="9"/>
  <c r="G3" i="9"/>
  <c r="F18" i="9"/>
  <c r="F19" i="9"/>
  <c r="F20" i="9"/>
  <c r="F13" i="9"/>
  <c r="F14" i="9"/>
  <c r="F15" i="9"/>
  <c r="F16" i="9"/>
  <c r="F17" i="9"/>
  <c r="F11" i="9"/>
  <c r="F12" i="9"/>
  <c r="F10" i="9"/>
  <c r="F9" i="9"/>
  <c r="F4" i="9"/>
  <c r="F5" i="9"/>
  <c r="F6" i="9"/>
  <c r="F7" i="9"/>
  <c r="F8" i="9"/>
  <c r="F3" i="9"/>
  <c r="B20" i="9"/>
  <c r="B19" i="9"/>
  <c r="B18" i="9"/>
  <c r="B17" i="9"/>
  <c r="B16" i="9"/>
  <c r="B15" i="9"/>
  <c r="B14" i="9"/>
  <c r="B13" i="9"/>
  <c r="B12" i="9"/>
  <c r="B11" i="9"/>
  <c r="B10" i="9"/>
  <c r="B9" i="9"/>
  <c r="H20" i="8"/>
  <c r="H19" i="8"/>
  <c r="G19" i="8"/>
  <c r="F19" i="8"/>
  <c r="H18" i="8"/>
  <c r="G18" i="8"/>
  <c r="F18" i="8"/>
  <c r="H17" i="8"/>
  <c r="G17" i="8"/>
  <c r="F17" i="8"/>
  <c r="H16" i="8"/>
  <c r="H15" i="8"/>
  <c r="G15" i="8"/>
  <c r="F15" i="8"/>
  <c r="H14" i="8"/>
  <c r="G14" i="8"/>
  <c r="F14" i="8"/>
  <c r="H13" i="8"/>
  <c r="G13" i="8"/>
  <c r="F13" i="8"/>
  <c r="H12" i="8"/>
  <c r="H11" i="8"/>
  <c r="G11" i="8"/>
  <c r="F11" i="8"/>
  <c r="F11" i="7"/>
  <c r="H10" i="8"/>
  <c r="H9" i="8"/>
  <c r="G9" i="8"/>
  <c r="G9" i="7"/>
  <c r="F9" i="8"/>
  <c r="F9" i="7"/>
  <c r="H9" i="7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G19" i="7"/>
  <c r="F19" i="7"/>
  <c r="G18" i="7"/>
  <c r="F18" i="7"/>
  <c r="G17" i="7"/>
  <c r="F17" i="7"/>
  <c r="G15" i="7"/>
  <c r="F15" i="7"/>
  <c r="G14" i="7"/>
  <c r="F14" i="7"/>
  <c r="G13" i="7"/>
  <c r="F13" i="7"/>
  <c r="G11" i="7"/>
  <c r="H11" i="6"/>
  <c r="H19" i="6"/>
  <c r="H20" i="6" s="1"/>
  <c r="G19" i="6"/>
  <c r="F19" i="6"/>
  <c r="H18" i="6"/>
  <c r="G18" i="6"/>
  <c r="F18" i="6"/>
  <c r="H17" i="6"/>
  <c r="G17" i="6"/>
  <c r="F17" i="6"/>
  <c r="G15" i="6"/>
  <c r="F15" i="6"/>
  <c r="G14" i="6"/>
  <c r="F14" i="6"/>
  <c r="H13" i="6"/>
  <c r="H14" i="6" s="1"/>
  <c r="H15" i="6" s="1"/>
  <c r="G13" i="6"/>
  <c r="F13" i="6"/>
  <c r="G11" i="6"/>
  <c r="F11" i="6"/>
  <c r="H9" i="6"/>
  <c r="G9" i="6"/>
  <c r="F9" i="6"/>
  <c r="E24" i="5"/>
  <c r="E21" i="5"/>
  <c r="E22" i="5"/>
  <c r="E23" i="5"/>
  <c r="E16" i="5"/>
  <c r="E17" i="5"/>
  <c r="E18" i="5"/>
  <c r="E19" i="5"/>
  <c r="E20" i="5"/>
  <c r="E15" i="5"/>
  <c r="E12" i="5"/>
  <c r="E13" i="5"/>
  <c r="E10" i="5"/>
  <c r="E8" i="5"/>
  <c r="E6" i="5"/>
  <c r="E5" i="5"/>
  <c r="E4" i="5"/>
  <c r="E3" i="5"/>
  <c r="E19" i="2"/>
  <c r="E18" i="2"/>
  <c r="E17" i="2"/>
  <c r="E16" i="2"/>
  <c r="E15" i="2"/>
  <c r="E14" i="2"/>
  <c r="E13" i="2"/>
  <c r="E12" i="2"/>
  <c r="E11" i="2"/>
  <c r="N44" i="2" l="1"/>
  <c r="K46" i="2"/>
  <c r="L45" i="2"/>
  <c r="O11" i="1"/>
  <c r="N11" i="1"/>
  <c r="M12" i="1"/>
  <c r="L13" i="1"/>
  <c r="E13" i="16"/>
  <c r="F12" i="16"/>
  <c r="H11" i="16"/>
  <c r="G11" i="16"/>
  <c r="N45" i="2" l="1"/>
  <c r="L46" i="2"/>
  <c r="K47" i="2"/>
  <c r="L14" i="1"/>
  <c r="M13" i="1"/>
  <c r="N12" i="1"/>
  <c r="O12" i="1"/>
  <c r="E14" i="16"/>
  <c r="F13" i="16"/>
  <c r="H12" i="16"/>
  <c r="G12" i="16"/>
  <c r="L47" i="2" l="1"/>
  <c r="K48" i="2"/>
  <c r="L48" i="2" s="1"/>
  <c r="N46" i="2"/>
  <c r="G13" i="16"/>
  <c r="H13" i="16"/>
  <c r="N13" i="1"/>
  <c r="O13" i="1"/>
  <c r="E15" i="16"/>
  <c r="F14" i="16"/>
  <c r="L15" i="1"/>
  <c r="M14" i="1"/>
  <c r="N48" i="2" l="1"/>
  <c r="N47" i="2"/>
  <c r="M15" i="1"/>
  <c r="L16" i="1"/>
  <c r="N14" i="1"/>
  <c r="O14" i="1"/>
  <c r="G14" i="16"/>
  <c r="H14" i="16"/>
  <c r="E16" i="16"/>
  <c r="F15" i="16"/>
  <c r="G15" i="16" l="1"/>
  <c r="H15" i="16"/>
  <c r="E17" i="16"/>
  <c r="F16" i="16"/>
  <c r="L17" i="1"/>
  <c r="M16" i="1"/>
  <c r="O15" i="1"/>
  <c r="N15" i="1"/>
  <c r="L18" i="1" l="1"/>
  <c r="M17" i="1"/>
  <c r="G16" i="16"/>
  <c r="H16" i="16"/>
  <c r="F17" i="16"/>
  <c r="E18" i="16"/>
  <c r="N16" i="1"/>
  <c r="O16" i="1"/>
  <c r="H17" i="16" l="1"/>
  <c r="G17" i="16"/>
  <c r="N17" i="1"/>
  <c r="O17" i="1"/>
  <c r="F18" i="16"/>
  <c r="E19" i="16"/>
  <c r="M18" i="1"/>
  <c r="L19" i="1"/>
  <c r="G18" i="16" l="1"/>
  <c r="H18" i="16"/>
  <c r="N18" i="1"/>
  <c r="O18" i="1"/>
  <c r="M19" i="1"/>
  <c r="L20" i="1"/>
  <c r="F19" i="16"/>
  <c r="E20" i="16"/>
  <c r="F20" i="16" s="1"/>
  <c r="G19" i="16" l="1"/>
  <c r="H19" i="16"/>
  <c r="H20" i="16"/>
  <c r="G20" i="16"/>
  <c r="O19" i="1"/>
  <c r="N19" i="1"/>
  <c r="L21" i="1"/>
  <c r="M20" i="1"/>
  <c r="L22" i="1" l="1"/>
  <c r="M21" i="1"/>
  <c r="N20" i="1"/>
  <c r="O20" i="1"/>
  <c r="O21" i="1" l="1"/>
  <c r="N21" i="1"/>
  <c r="L23" i="1"/>
  <c r="M22" i="1"/>
  <c r="L24" i="1" l="1"/>
  <c r="M23" i="1"/>
  <c r="N22" i="1"/>
  <c r="O22" i="1"/>
  <c r="N23" i="1" l="1"/>
  <c r="O23" i="1"/>
  <c r="L25" i="1"/>
  <c r="M24" i="1"/>
  <c r="M25" i="1" l="1"/>
  <c r="L26" i="1"/>
  <c r="N24" i="1"/>
  <c r="O24" i="1"/>
  <c r="L27" i="1" l="1"/>
  <c r="M26" i="1"/>
  <c r="O25" i="1"/>
  <c r="N25" i="1"/>
  <c r="N26" i="1" l="1"/>
  <c r="O26" i="1"/>
  <c r="M27" i="1"/>
  <c r="L28" i="1"/>
  <c r="N27" i="1" l="1"/>
  <c r="O27" i="1"/>
  <c r="L29" i="1"/>
  <c r="M28" i="1"/>
  <c r="O28" i="1" l="1"/>
  <c r="N28" i="1"/>
  <c r="M29" i="1"/>
  <c r="L30" i="1"/>
  <c r="M30" i="1" l="1"/>
  <c r="L31" i="1"/>
  <c r="O29" i="1"/>
  <c r="N29" i="1"/>
  <c r="L32" i="1" l="1"/>
  <c r="M32" i="1" s="1"/>
  <c r="M31" i="1"/>
  <c r="O30" i="1"/>
  <c r="N30" i="1"/>
  <c r="N31" i="1" l="1"/>
  <c r="O31" i="1"/>
  <c r="O32" i="1"/>
  <c r="N32" i="1"/>
</calcChain>
</file>

<file path=xl/sharedStrings.xml><?xml version="1.0" encoding="utf-8"?>
<sst xmlns="http://schemas.openxmlformats.org/spreadsheetml/2006/main" count="315" uniqueCount="119">
  <si>
    <t>Tabla CP en función del tiempo y generaciones</t>
  </si>
  <si>
    <t>Ni</t>
  </si>
  <si>
    <t>tc (h)</t>
  </si>
  <si>
    <t>Intervalo de censura</t>
  </si>
  <si>
    <t>N.º Gen</t>
  </si>
  <si>
    <t>X1 (motivo)</t>
  </si>
  <si>
    <t>Pérdida</t>
  </si>
  <si>
    <t>No viable</t>
  </si>
  <si>
    <t>34.5</t>
  </si>
  <si>
    <t>62.1</t>
  </si>
  <si>
    <t>35.1</t>
  </si>
  <si>
    <t>56.5</t>
  </si>
  <si>
    <t>56.3</t>
  </si>
  <si>
    <t>51.6</t>
  </si>
  <si>
    <t>41.3</t>
  </si>
  <si>
    <t>41.5</t>
  </si>
  <si>
    <t>69.3</t>
  </si>
  <si>
    <t>No ocurrio</t>
  </si>
  <si>
    <t>56.6</t>
  </si>
  <si>
    <t>67.5</t>
  </si>
  <si>
    <t>27.3</t>
  </si>
  <si>
    <t>39.8</t>
  </si>
  <si>
    <t>39.3</t>
  </si>
  <si>
    <t>35.5</t>
  </si>
  <si>
    <t>63.3</t>
  </si>
  <si>
    <t>64.1</t>
  </si>
  <si>
    <t>44.5</t>
  </si>
  <si>
    <t>64.6</t>
  </si>
  <si>
    <t>67.1</t>
  </si>
  <si>
    <t>63.1</t>
  </si>
  <si>
    <t>45.8</t>
  </si>
  <si>
    <t>FOV20</t>
  </si>
  <si>
    <t>tc(h)</t>
  </si>
  <si>
    <t>ni</t>
  </si>
  <si>
    <t>di</t>
  </si>
  <si>
    <t>wi</t>
  </si>
  <si>
    <t>Ŝ(t)</t>
  </si>
  <si>
    <t>0.8859259223</t>
  </si>
  <si>
    <t>0.639835388</t>
  </si>
  <si>
    <t>0.34124554</t>
  </si>
  <si>
    <t>0.18199762</t>
  </si>
  <si>
    <t>0.06499915</t>
  </si>
  <si>
    <t>0.00590901363</t>
  </si>
  <si>
    <t>mitad del intervalo</t>
  </si>
  <si>
    <t>0.65278752</t>
  </si>
  <si>
    <t>0.37584736</t>
  </si>
  <si>
    <t>0.175395434</t>
  </si>
  <si>
    <t>0.062641226</t>
  </si>
  <si>
    <t>0.75</t>
  </si>
  <si>
    <t>0.533333</t>
  </si>
  <si>
    <t>0.428571420</t>
  </si>
  <si>
    <t>0.3571428</t>
  </si>
  <si>
    <t>N generaciones</t>
  </si>
  <si>
    <t>4 generaciones=</t>
  </si>
  <si>
    <t>Fraccion de celulas viables(%)</t>
  </si>
  <si>
    <t># Celulas no viables</t>
  </si>
  <si>
    <t># Generaciones</t>
  </si>
  <si>
    <t>Duration[t</t>
  </si>
  <si>
    <t>[0,4)</t>
  </si>
  <si>
    <t>[4,8)</t>
  </si>
  <si>
    <t>[8,12)</t>
  </si>
  <si>
    <t>[12,16)</t>
  </si>
  <si>
    <t>[16,20)</t>
  </si>
  <si>
    <t>[20,24)</t>
  </si>
  <si>
    <t>[24,28)</t>
  </si>
  <si>
    <t>[28,32)</t>
  </si>
  <si>
    <t>[32,36)</t>
  </si>
  <si>
    <t>[36,40)</t>
  </si>
  <si>
    <t>[40,44)</t>
  </si>
  <si>
    <t>[44,48)</t>
  </si>
  <si>
    <t>[48,52)</t>
  </si>
  <si>
    <t>[52,56)</t>
  </si>
  <si>
    <t>[56,60)</t>
  </si>
  <si>
    <t>[60,64)</t>
  </si>
  <si>
    <t>[64,68)</t>
  </si>
  <si>
    <t>[68,72)</t>
  </si>
  <si>
    <r>
      <rPr>
        <sz val="11"/>
        <color theme="1"/>
        <rFont val="Calibri"/>
        <family val="2"/>
      </rPr>
      <t>ɛ</t>
    </r>
    <r>
      <rPr>
        <sz val="11"/>
        <color theme="1"/>
        <rFont val="Calibri"/>
        <family val="2"/>
        <scheme val="minor"/>
      </rPr>
      <t>i=di/ni</t>
    </r>
  </si>
  <si>
    <t>1-ɛi</t>
  </si>
  <si>
    <r>
      <t>Ŝ(t)=</t>
    </r>
    <r>
      <rPr>
        <sz val="11"/>
        <color theme="1"/>
        <rFont val="Calibri"/>
        <family val="2"/>
      </rPr>
      <t>∏(</t>
    </r>
    <r>
      <rPr>
        <sz val="11"/>
        <color theme="1"/>
        <rFont val="Calibri"/>
        <family val="2"/>
        <scheme val="minor"/>
      </rPr>
      <t>1-ɛi)</t>
    </r>
  </si>
  <si>
    <t>ɛi=di/(ni-wi)</t>
  </si>
  <si>
    <t>Ŝ(t)=∏(1-ɛi)</t>
  </si>
  <si>
    <t>ɛi=di/(ni-wi/2)</t>
  </si>
  <si>
    <t>time</t>
  </si>
  <si>
    <r>
      <t>Ŝ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(t)</t>
    </r>
  </si>
  <si>
    <t>(ni-di)*ni</t>
  </si>
  <si>
    <t>di/(ni-di)*ni</t>
  </si>
  <si>
    <t>Var(Ŝ)</t>
  </si>
  <si>
    <t>ni-wi-di</t>
  </si>
  <si>
    <t>(ni-wi)*(ni-wi-di)</t>
  </si>
  <si>
    <t>di/(ni-wi)*(ni-wi-di)</t>
  </si>
  <si>
    <t>(ni-wi)</t>
  </si>
  <si>
    <t>wi/2</t>
  </si>
  <si>
    <t>ni-wi/2-di</t>
  </si>
  <si>
    <t>(ni-wi/2)</t>
  </si>
  <si>
    <t>(ni-wi/2)*ni-wi/2-di</t>
  </si>
  <si>
    <t>di/((ni-wi/2)*ni-wi/2-di)</t>
  </si>
  <si>
    <t>Var (Ŝ)</t>
  </si>
  <si>
    <t>Ŝ²(t)</t>
  </si>
  <si>
    <t>Z</t>
  </si>
  <si>
    <t>\sqrt{Var Ŝ(t)}</t>
  </si>
  <si>
    <t>\sqrt{VarŜ(t)} * Z + Ŝ(t)</t>
  </si>
  <si>
    <t xml:space="preserve">Ŝ(t)-(\sqrt{VarŜ(t)} * Z) </t>
  </si>
  <si>
    <t>Ŝ(t)-(\sqrt{VarŜ(t)} * Z)</t>
  </si>
  <si>
    <t>superior</t>
  </si>
  <si>
    <t>inferior</t>
  </si>
  <si>
    <t>Censura</t>
  </si>
  <si>
    <t>Kaplan-Meier Method</t>
  </si>
  <si>
    <t>Alpha</t>
  </si>
  <si>
    <t>t</t>
  </si>
  <si>
    <t>d</t>
  </si>
  <si>
    <t>n</t>
  </si>
  <si>
    <t>1-d/n</t>
  </si>
  <si>
    <t>S(t)</t>
  </si>
  <si>
    <t>s.e.</t>
  </si>
  <si>
    <t>lower</t>
  </si>
  <si>
    <t>upper</t>
  </si>
  <si>
    <t>TIME</t>
  </si>
  <si>
    <t>Ocurrencia</t>
  </si>
  <si>
    <t>       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</si>
</sst>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0" fillId="2" borderId="11" applyNumberFormat="0" applyAlignment="0" applyProtection="0"/>
    <xf numFmtId="0" fontId="1" fillId="0" borderId="2" applyFont="0" applyBorder="0">
      <alignment horizontal="left" vertical="center" wrapText="1"/>
    </xf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indent="3"/>
    </xf>
    <xf numFmtId="0" fontId="3" fillId="0" borderId="6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0" fillId="0" borderId="9" xfId="0" applyBorder="1"/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3"/>
    </xf>
    <xf numFmtId="0" fontId="2" fillId="0" borderId="5" xfId="0" applyFont="1" applyBorder="1" applyAlignment="1">
      <alignment horizontal="left" vertical="center" wrapText="1" indent="3"/>
    </xf>
    <xf numFmtId="0" fontId="2" fillId="0" borderId="6" xfId="0" applyFont="1" applyBorder="1" applyAlignment="1">
      <alignment horizontal="left" vertical="center" wrapText="1" indent="3"/>
    </xf>
    <xf numFmtId="0" fontId="0" fillId="0" borderId="0" xfId="0" applyAlignment="1">
      <alignment horizontal="center"/>
    </xf>
    <xf numFmtId="0" fontId="10" fillId="2" borderId="11" xfId="1" applyAlignment="1">
      <alignment horizontal="left" vertical="center" wrapText="1"/>
    </xf>
    <xf numFmtId="0" fontId="10" fillId="2" borderId="11" xfId="1"/>
    <xf numFmtId="0" fontId="10" fillId="2" borderId="11" xfId="1" applyAlignment="1">
      <alignment horizontal="left" vertical="center" wrapText="1" indent="3"/>
    </xf>
    <xf numFmtId="0" fontId="10" fillId="2" borderId="11" xfId="1" applyAlignment="1">
      <alignment horizontal="center" vertical="center" wrapText="1"/>
    </xf>
    <xf numFmtId="0" fontId="10" fillId="2" borderId="11" xfId="1" applyAlignment="1">
      <alignment horizontal="center" vertical="center"/>
    </xf>
    <xf numFmtId="0" fontId="10" fillId="2" borderId="11" xfId="1" applyAlignment="1">
      <alignment horizontal="center"/>
    </xf>
  </cellXfs>
  <cellStyles count="3">
    <cellStyle name="Estilo 1" xfId="2" xr:uid="{63EE08E6-14C9-4F92-9112-D038BC36E84E}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Survival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Lit>
              <c:formatCode>General</c:formatCode>
              <c:ptCount val="33"/>
              <c:pt idx="0">
                <c:v>0</c:v>
              </c:pt>
              <c:pt idx="1">
                <c:v>8</c:v>
              </c:pt>
              <c:pt idx="2">
                <c:v>8</c:v>
              </c:pt>
              <c:pt idx="3">
                <c:v>12</c:v>
              </c:pt>
              <c:pt idx="4">
                <c:v>12</c:v>
              </c:pt>
              <c:pt idx="5">
                <c:v>16</c:v>
              </c:pt>
              <c:pt idx="6">
                <c:v>16</c:v>
              </c:pt>
              <c:pt idx="7">
                <c:v>20</c:v>
              </c:pt>
              <c:pt idx="8">
                <c:v>20</c:v>
              </c:pt>
              <c:pt idx="9">
                <c:v>24</c:v>
              </c:pt>
              <c:pt idx="10">
                <c:v>24</c:v>
              </c:pt>
              <c:pt idx="11">
                <c:v>28</c:v>
              </c:pt>
              <c:pt idx="12">
                <c:v>28</c:v>
              </c:pt>
              <c:pt idx="13">
                <c:v>32</c:v>
              </c:pt>
              <c:pt idx="14">
                <c:v>32</c:v>
              </c:pt>
              <c:pt idx="15">
                <c:v>36</c:v>
              </c:pt>
              <c:pt idx="16">
                <c:v>36</c:v>
              </c:pt>
              <c:pt idx="17">
                <c:v>40</c:v>
              </c:pt>
              <c:pt idx="18">
                <c:v>40</c:v>
              </c:pt>
              <c:pt idx="19">
                <c:v>44</c:v>
              </c:pt>
              <c:pt idx="20">
                <c:v>44</c:v>
              </c:pt>
              <c:pt idx="21">
                <c:v>48</c:v>
              </c:pt>
              <c:pt idx="22">
                <c:v>48</c:v>
              </c:pt>
              <c:pt idx="23">
                <c:v>52</c:v>
              </c:pt>
              <c:pt idx="24">
                <c:v>52</c:v>
              </c:pt>
              <c:pt idx="25">
                <c:v>56</c:v>
              </c:pt>
              <c:pt idx="26">
                <c:v>56</c:v>
              </c:pt>
              <c:pt idx="27">
                <c:v>60</c:v>
              </c:pt>
              <c:pt idx="28">
                <c:v>60</c:v>
              </c:pt>
              <c:pt idx="29">
                <c:v>64</c:v>
              </c:pt>
              <c:pt idx="30">
                <c:v>64</c:v>
              </c:pt>
              <c:pt idx="31">
                <c:v>68</c:v>
              </c:pt>
              <c:pt idx="32">
                <c:v>68</c:v>
              </c:pt>
            </c:numLit>
          </c:xVal>
          <c:yVal>
            <c:numLit>
              <c:formatCode>General</c:formatCode>
              <c:ptCount val="33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0.91666666666666663</c:v>
              </c:pt>
              <c:pt idx="13">
                <c:v>0.91666666666666663</c:v>
              </c:pt>
              <c:pt idx="14">
                <c:v>0.91666666666666663</c:v>
              </c:pt>
              <c:pt idx="15">
                <c:v>0.91666666666666663</c:v>
              </c:pt>
              <c:pt idx="16">
                <c:v>0.82499999999999996</c:v>
              </c:pt>
              <c:pt idx="17">
                <c:v>0.82499999999999996</c:v>
              </c:pt>
              <c:pt idx="18">
                <c:v>0.82499999999999996</c:v>
              </c:pt>
              <c:pt idx="19">
                <c:v>0.82499999999999996</c:v>
              </c:pt>
              <c:pt idx="20">
                <c:v>0.82499999999999996</c:v>
              </c:pt>
              <c:pt idx="21">
                <c:v>0.82499999999999996</c:v>
              </c:pt>
              <c:pt idx="22">
                <c:v>0.70714285714285718</c:v>
              </c:pt>
              <c:pt idx="23">
                <c:v>0.70714285714285718</c:v>
              </c:pt>
              <c:pt idx="24">
                <c:v>0.5892857142857143</c:v>
              </c:pt>
              <c:pt idx="25">
                <c:v>0.5892857142857143</c:v>
              </c:pt>
              <c:pt idx="26">
                <c:v>0.5892857142857143</c:v>
              </c:pt>
              <c:pt idx="27">
                <c:v>0.5892857142857143</c:v>
              </c:pt>
              <c:pt idx="28">
                <c:v>0.5892857142857143</c:v>
              </c:pt>
              <c:pt idx="29">
                <c:v>0.5892857142857143</c:v>
              </c:pt>
              <c:pt idx="30">
                <c:v>0.3928571428571429</c:v>
              </c:pt>
              <c:pt idx="31">
                <c:v>0.3928571428571429</c:v>
              </c:pt>
              <c:pt idx="32">
                <c:v>0.19642857142857145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E6A8-4CD3-8D9B-21667F81D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277424"/>
        <c:axId val="386267856"/>
      </c:scatterChart>
      <c:valAx>
        <c:axId val="38627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Time 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6267856"/>
        <c:crosses val="autoZero"/>
        <c:crossBetween val="midCat"/>
      </c:valAx>
      <c:valAx>
        <c:axId val="386267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S(t)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62774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Hoja2!$A$6:$A$19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</c:numCache>
            </c:numRef>
          </c:xVal>
          <c:yVal>
            <c:numRef>
              <c:f>Hoja2!$E$6:$E$19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0.96296296296296291</c:v>
                </c:pt>
                <c:pt idx="6">
                  <c:v>0.92592592592592582</c:v>
                </c:pt>
                <c:pt idx="7">
                  <c:v>0.81481481481481466</c:v>
                </c:pt>
                <c:pt idx="8">
                  <c:v>0.73333333333333317</c:v>
                </c:pt>
                <c:pt idx="9">
                  <c:v>0.6844444444444443</c:v>
                </c:pt>
                <c:pt idx="10">
                  <c:v>0.63555555555555543</c:v>
                </c:pt>
                <c:pt idx="11">
                  <c:v>0.58666666666666656</c:v>
                </c:pt>
                <c:pt idx="12">
                  <c:v>0.41066666666666657</c:v>
                </c:pt>
                <c:pt idx="13">
                  <c:v>0.24639999999999995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D9-41EC-B455-AAB2454D0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57440"/>
        <c:axId val="1082450368"/>
      </c:scatterChart>
      <c:valAx>
        <c:axId val="108245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82450368"/>
        <c:crosses val="autoZero"/>
        <c:crossBetween val="midCat"/>
      </c:valAx>
      <c:valAx>
        <c:axId val="108245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8245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Survival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Lit>
              <c:formatCode>General</c:formatCode>
              <c:ptCount val="47"/>
              <c:pt idx="0">
                <c:v>0</c:v>
              </c:pt>
              <c:pt idx="1">
                <c:v>27.3</c:v>
              </c:pt>
              <c:pt idx="2">
                <c:v>27.3</c:v>
              </c:pt>
              <c:pt idx="3">
                <c:v>34.5</c:v>
              </c:pt>
              <c:pt idx="4">
                <c:v>34.5</c:v>
              </c:pt>
              <c:pt idx="5">
                <c:v>35.1</c:v>
              </c:pt>
              <c:pt idx="6">
                <c:v>35.1</c:v>
              </c:pt>
              <c:pt idx="7">
                <c:v>35.5</c:v>
              </c:pt>
              <c:pt idx="8">
                <c:v>35.5</c:v>
              </c:pt>
              <c:pt idx="9">
                <c:v>36</c:v>
              </c:pt>
              <c:pt idx="10">
                <c:v>36</c:v>
              </c:pt>
              <c:pt idx="11">
                <c:v>39.299999999999997</c:v>
              </c:pt>
              <c:pt idx="12">
                <c:v>39.299999999999997</c:v>
              </c:pt>
              <c:pt idx="13">
                <c:v>39.799999999999997</c:v>
              </c:pt>
              <c:pt idx="14">
                <c:v>39.799999999999997</c:v>
              </c:pt>
              <c:pt idx="15">
                <c:v>41.3</c:v>
              </c:pt>
              <c:pt idx="16">
                <c:v>41.3</c:v>
              </c:pt>
              <c:pt idx="17">
                <c:v>41.5</c:v>
              </c:pt>
              <c:pt idx="18">
                <c:v>41.5</c:v>
              </c:pt>
              <c:pt idx="19">
                <c:v>44.5</c:v>
              </c:pt>
              <c:pt idx="20">
                <c:v>44.5</c:v>
              </c:pt>
              <c:pt idx="21">
                <c:v>45</c:v>
              </c:pt>
              <c:pt idx="22">
                <c:v>45</c:v>
              </c:pt>
              <c:pt idx="23">
                <c:v>45.8</c:v>
              </c:pt>
              <c:pt idx="24">
                <c:v>45.8</c:v>
              </c:pt>
              <c:pt idx="25">
                <c:v>51.6</c:v>
              </c:pt>
              <c:pt idx="26">
                <c:v>51.6</c:v>
              </c:pt>
              <c:pt idx="27">
                <c:v>56.3</c:v>
              </c:pt>
              <c:pt idx="28">
                <c:v>56.3</c:v>
              </c:pt>
              <c:pt idx="29">
                <c:v>56.5</c:v>
              </c:pt>
              <c:pt idx="30">
                <c:v>56.5</c:v>
              </c:pt>
              <c:pt idx="31">
                <c:v>56.6</c:v>
              </c:pt>
              <c:pt idx="32">
                <c:v>56.6</c:v>
              </c:pt>
              <c:pt idx="33">
                <c:v>62.1</c:v>
              </c:pt>
              <c:pt idx="34">
                <c:v>62.1</c:v>
              </c:pt>
              <c:pt idx="35">
                <c:v>63.1</c:v>
              </c:pt>
              <c:pt idx="36">
                <c:v>63.1</c:v>
              </c:pt>
              <c:pt idx="37">
                <c:v>63.3</c:v>
              </c:pt>
              <c:pt idx="38">
                <c:v>63.3</c:v>
              </c:pt>
              <c:pt idx="39">
                <c:v>64.099999999999994</c:v>
              </c:pt>
              <c:pt idx="40">
                <c:v>64.099999999999994</c:v>
              </c:pt>
              <c:pt idx="41">
                <c:v>64.599999999999994</c:v>
              </c:pt>
              <c:pt idx="42">
                <c:v>64.599999999999994</c:v>
              </c:pt>
              <c:pt idx="43">
                <c:v>67.099999999999994</c:v>
              </c:pt>
              <c:pt idx="44">
                <c:v>67.099999999999994</c:v>
              </c:pt>
              <c:pt idx="45">
                <c:v>67.5</c:v>
              </c:pt>
              <c:pt idx="46">
                <c:v>67.5</c:v>
              </c:pt>
            </c:numLit>
          </c:xVal>
          <c:yVal>
            <c:numLit>
              <c:formatCode>General</c:formatCode>
              <c:ptCount val="47"/>
              <c:pt idx="0">
                <c:v>1</c:v>
              </c:pt>
              <c:pt idx="1">
                <c:v>1</c:v>
              </c:pt>
              <c:pt idx="2">
                <c:v>0.96153846153846156</c:v>
              </c:pt>
              <c:pt idx="3">
                <c:v>0.96153846153846156</c:v>
              </c:pt>
              <c:pt idx="4">
                <c:v>0.92307692307692302</c:v>
              </c:pt>
              <c:pt idx="5">
                <c:v>0.92307692307692302</c:v>
              </c:pt>
              <c:pt idx="6">
                <c:v>0.88615384615384607</c:v>
              </c:pt>
              <c:pt idx="7">
                <c:v>0.88615384615384607</c:v>
              </c:pt>
              <c:pt idx="8">
                <c:v>0.84923076923076923</c:v>
              </c:pt>
              <c:pt idx="9">
                <c:v>0.84923076923076923</c:v>
              </c:pt>
              <c:pt idx="10">
                <c:v>0.81384615384615389</c:v>
              </c:pt>
              <c:pt idx="11">
                <c:v>0.81384615384615389</c:v>
              </c:pt>
              <c:pt idx="12">
                <c:v>0.81384615384615389</c:v>
              </c:pt>
              <c:pt idx="13">
                <c:v>0.81384615384615389</c:v>
              </c:pt>
              <c:pt idx="14">
                <c:v>0.81384615384615389</c:v>
              </c:pt>
              <c:pt idx="15">
                <c:v>0.81384615384615389</c:v>
              </c:pt>
              <c:pt idx="16">
                <c:v>0.77101214574898791</c:v>
              </c:pt>
              <c:pt idx="17">
                <c:v>0.77101214574898791</c:v>
              </c:pt>
              <c:pt idx="18">
                <c:v>0.77101214574898791</c:v>
              </c:pt>
              <c:pt idx="19">
                <c:v>0.77101214574898791</c:v>
              </c:pt>
              <c:pt idx="20">
                <c:v>0.72565849011669448</c:v>
              </c:pt>
              <c:pt idx="21">
                <c:v>0.72565849011669448</c:v>
              </c:pt>
              <c:pt idx="22">
                <c:v>0.72565849011669448</c:v>
              </c:pt>
              <c:pt idx="23">
                <c:v>0.72565849011669448</c:v>
              </c:pt>
              <c:pt idx="24">
                <c:v>0.68030483448440104</c:v>
              </c:pt>
              <c:pt idx="25">
                <c:v>0.68030483448440104</c:v>
              </c:pt>
              <c:pt idx="26">
                <c:v>0.6317116320212296</c:v>
              </c:pt>
              <c:pt idx="27">
                <c:v>0.6317116320212296</c:v>
              </c:pt>
              <c:pt idx="28">
                <c:v>0.6317116320212296</c:v>
              </c:pt>
              <c:pt idx="29">
                <c:v>0.6317116320212296</c:v>
              </c:pt>
              <c:pt idx="30">
                <c:v>0.58311842955805815</c:v>
              </c:pt>
              <c:pt idx="31">
                <c:v>0.58311842955805815</c:v>
              </c:pt>
              <c:pt idx="32">
                <c:v>0.58311842955805815</c:v>
              </c:pt>
              <c:pt idx="33">
                <c:v>0.58311842955805815</c:v>
              </c:pt>
              <c:pt idx="34">
                <c:v>0.58311842955805815</c:v>
              </c:pt>
              <c:pt idx="35">
                <c:v>0.58311842955805815</c:v>
              </c:pt>
              <c:pt idx="36">
                <c:v>0.51832749294049607</c:v>
              </c:pt>
              <c:pt idx="37">
                <c:v>0.51832749294049607</c:v>
              </c:pt>
              <c:pt idx="38">
                <c:v>0.46073554928044091</c:v>
              </c:pt>
              <c:pt idx="39">
                <c:v>0.46073554928044091</c:v>
              </c:pt>
              <c:pt idx="40">
                <c:v>0.46073554928044091</c:v>
              </c:pt>
              <c:pt idx="41">
                <c:v>0.46073554928044091</c:v>
              </c:pt>
              <c:pt idx="42">
                <c:v>0.3949161850975208</c:v>
              </c:pt>
              <c:pt idx="43">
                <c:v>0.3949161850975208</c:v>
              </c:pt>
              <c:pt idx="44">
                <c:v>0.31593294807801664</c:v>
              </c:pt>
              <c:pt idx="45">
                <c:v>0.31593294807801664</c:v>
              </c:pt>
              <c:pt idx="46">
                <c:v>0.25274635846241333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EB7C-44D3-A78D-E1A085C5B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362432"/>
        <c:axId val="188736284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xVal>
                  <c:numRef>
                    <c:extLst>
                      <c:ext uri="{02D57815-91ED-43cb-92C2-25804820EDAC}">
                        <c15:formulaRef>
                          <c15:sqref>Hoja2!$R$25:$R$71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27.3</c:v>
                      </c:pt>
                      <c:pt idx="1">
                        <c:v>34.5</c:v>
                      </c:pt>
                      <c:pt idx="2">
                        <c:v>35.1</c:v>
                      </c:pt>
                      <c:pt idx="3">
                        <c:v>35.5</c:v>
                      </c:pt>
                      <c:pt idx="4">
                        <c:v>36</c:v>
                      </c:pt>
                      <c:pt idx="5">
                        <c:v>39.299999999999997</c:v>
                      </c:pt>
                      <c:pt idx="6">
                        <c:v>39.799999999999997</c:v>
                      </c:pt>
                      <c:pt idx="7">
                        <c:v>41.3</c:v>
                      </c:pt>
                      <c:pt idx="8">
                        <c:v>41.5</c:v>
                      </c:pt>
                      <c:pt idx="9">
                        <c:v>44.5</c:v>
                      </c:pt>
                      <c:pt idx="10">
                        <c:v>45</c:v>
                      </c:pt>
                      <c:pt idx="11">
                        <c:v>45.8</c:v>
                      </c:pt>
                      <c:pt idx="12">
                        <c:v>51.6</c:v>
                      </c:pt>
                      <c:pt idx="13">
                        <c:v>56.3</c:v>
                      </c:pt>
                      <c:pt idx="14">
                        <c:v>56.5</c:v>
                      </c:pt>
                      <c:pt idx="15">
                        <c:v>56.6</c:v>
                      </c:pt>
                      <c:pt idx="16">
                        <c:v>62.1</c:v>
                      </c:pt>
                      <c:pt idx="17">
                        <c:v>63.1</c:v>
                      </c:pt>
                      <c:pt idx="18">
                        <c:v>63.3</c:v>
                      </c:pt>
                      <c:pt idx="19">
                        <c:v>64.099999999999994</c:v>
                      </c:pt>
                      <c:pt idx="20">
                        <c:v>64.599999999999994</c:v>
                      </c:pt>
                      <c:pt idx="21">
                        <c:v>67.099999999999994</c:v>
                      </c:pt>
                      <c:pt idx="22">
                        <c:v>67.5</c:v>
                      </c:pt>
                      <c:pt idx="23">
                        <c:v>0</c:v>
                      </c:pt>
                      <c:pt idx="24">
                        <c:v>27.3</c:v>
                      </c:pt>
                      <c:pt idx="25">
                        <c:v>34.5</c:v>
                      </c:pt>
                      <c:pt idx="26">
                        <c:v>35.1</c:v>
                      </c:pt>
                      <c:pt idx="27">
                        <c:v>35.5</c:v>
                      </c:pt>
                      <c:pt idx="28">
                        <c:v>36</c:v>
                      </c:pt>
                      <c:pt idx="29">
                        <c:v>39.299999999999997</c:v>
                      </c:pt>
                      <c:pt idx="30">
                        <c:v>39.799999999999997</c:v>
                      </c:pt>
                      <c:pt idx="31">
                        <c:v>41.3</c:v>
                      </c:pt>
                      <c:pt idx="32">
                        <c:v>41.5</c:v>
                      </c:pt>
                      <c:pt idx="33">
                        <c:v>44.5</c:v>
                      </c:pt>
                      <c:pt idx="34">
                        <c:v>45</c:v>
                      </c:pt>
                      <c:pt idx="35">
                        <c:v>45.8</c:v>
                      </c:pt>
                      <c:pt idx="36">
                        <c:v>51.6</c:v>
                      </c:pt>
                      <c:pt idx="37">
                        <c:v>56.3</c:v>
                      </c:pt>
                      <c:pt idx="38">
                        <c:v>56.5</c:v>
                      </c:pt>
                      <c:pt idx="39">
                        <c:v>56.6</c:v>
                      </c:pt>
                      <c:pt idx="40">
                        <c:v>62.1</c:v>
                      </c:pt>
                      <c:pt idx="41">
                        <c:v>63.1</c:v>
                      </c:pt>
                      <c:pt idx="42">
                        <c:v>63.3</c:v>
                      </c:pt>
                      <c:pt idx="43">
                        <c:v>64.099999999999994</c:v>
                      </c:pt>
                      <c:pt idx="44">
                        <c:v>64.599999999999994</c:v>
                      </c:pt>
                      <c:pt idx="45">
                        <c:v>67.099999999999994</c:v>
                      </c:pt>
                      <c:pt idx="46">
                        <c:v>67.5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Hoja2!$S$25:$S$71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0.99876666000000003</c:v>
                      </c:pt>
                      <c:pt idx="1">
                        <c:v>0.89172727299999999</c:v>
                      </c:pt>
                      <c:pt idx="2">
                        <c:v>0.82713998600000005</c:v>
                      </c:pt>
                      <c:pt idx="3">
                        <c:v>0.77034566599999998</c:v>
                      </c:pt>
                      <c:pt idx="4">
                        <c:v>0.71785205299999999</c:v>
                      </c:pt>
                      <c:pt idx="5">
                        <c:v>0.66829147099999997</c:v>
                      </c:pt>
                      <c:pt idx="6">
                        <c:v>0.66829147099999997</c:v>
                      </c:pt>
                      <c:pt idx="7">
                        <c:v>0.66829147099999997</c:v>
                      </c:pt>
                      <c:pt idx="8">
                        <c:v>0.61459569800000002</c:v>
                      </c:pt>
                      <c:pt idx="9">
                        <c:v>0.61459569800000002</c:v>
                      </c:pt>
                      <c:pt idx="10">
                        <c:v>0.55961823899999996</c:v>
                      </c:pt>
                      <c:pt idx="11">
                        <c:v>0.55961823899999996</c:v>
                      </c:pt>
                      <c:pt idx="12">
                        <c:v>0.55961823899999996</c:v>
                      </c:pt>
                      <c:pt idx="13">
                        <c:v>0.49760541699999999</c:v>
                      </c:pt>
                      <c:pt idx="14">
                        <c:v>0.43892333</c:v>
                      </c:pt>
                      <c:pt idx="15">
                        <c:v>0.43892333</c:v>
                      </c:pt>
                      <c:pt idx="16">
                        <c:v>0.37668467700000002</c:v>
                      </c:pt>
                      <c:pt idx="17">
                        <c:v>0.37668467700000002</c:v>
                      </c:pt>
                      <c:pt idx="18">
                        <c:v>0.37668467700000002</c:v>
                      </c:pt>
                      <c:pt idx="19">
                        <c:v>0.29914930200000001</c:v>
                      </c:pt>
                      <c:pt idx="20">
                        <c:v>0.22792475000000001</c:v>
                      </c:pt>
                      <c:pt idx="21">
                        <c:v>0.22792475000000001</c:v>
                      </c:pt>
                      <c:pt idx="22">
                        <c:v>0.14637626400000001</c:v>
                      </c:pt>
                      <c:pt idx="23">
                        <c:v>0.99876666000000003</c:v>
                      </c:pt>
                      <c:pt idx="24">
                        <c:v>0.89172727299999999</c:v>
                      </c:pt>
                      <c:pt idx="25">
                        <c:v>0.82713998600000005</c:v>
                      </c:pt>
                      <c:pt idx="26">
                        <c:v>0.77034566599999998</c:v>
                      </c:pt>
                      <c:pt idx="27">
                        <c:v>0.71785205299999999</c:v>
                      </c:pt>
                      <c:pt idx="28">
                        <c:v>0.66829147099999997</c:v>
                      </c:pt>
                      <c:pt idx="29">
                        <c:v>0.66829147099999997</c:v>
                      </c:pt>
                      <c:pt idx="30">
                        <c:v>0.66829147099999997</c:v>
                      </c:pt>
                      <c:pt idx="31">
                        <c:v>0.61459569800000002</c:v>
                      </c:pt>
                      <c:pt idx="32">
                        <c:v>0.61459569800000002</c:v>
                      </c:pt>
                      <c:pt idx="33">
                        <c:v>0.55961823899999996</c:v>
                      </c:pt>
                      <c:pt idx="34">
                        <c:v>0.55961823899999996</c:v>
                      </c:pt>
                      <c:pt idx="35">
                        <c:v>0.55961823899999996</c:v>
                      </c:pt>
                      <c:pt idx="36">
                        <c:v>0.49760541699999999</c:v>
                      </c:pt>
                      <c:pt idx="37">
                        <c:v>0.43892333</c:v>
                      </c:pt>
                      <c:pt idx="38">
                        <c:v>0.43892333</c:v>
                      </c:pt>
                      <c:pt idx="39">
                        <c:v>0.37668467700000002</c:v>
                      </c:pt>
                      <c:pt idx="40">
                        <c:v>0.37668467700000002</c:v>
                      </c:pt>
                      <c:pt idx="41">
                        <c:v>0.37668467700000002</c:v>
                      </c:pt>
                      <c:pt idx="42">
                        <c:v>0.29914930200000001</c:v>
                      </c:pt>
                      <c:pt idx="43">
                        <c:v>0.22792475000000001</c:v>
                      </c:pt>
                      <c:pt idx="44">
                        <c:v>0.22792475000000001</c:v>
                      </c:pt>
                      <c:pt idx="45">
                        <c:v>0.14637626400000001</c:v>
                      </c:pt>
                      <c:pt idx="46">
                        <c:v>7.4668011000000006E-2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EB7C-44D3-A78D-E1A085C5BB11}"/>
                  </c:ext>
                </c:extLst>
              </c15:ser>
            </c15:filteredScatterSeries>
          </c:ext>
        </c:extLst>
      </c:scatterChart>
      <c:valAx>
        <c:axId val="1887362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Time 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7362848"/>
        <c:crosses val="autoZero"/>
        <c:crossBetween val="midCat"/>
      </c:valAx>
      <c:valAx>
        <c:axId val="1887362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S(t)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73624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 survival end of interval'!$A$3:$A$20</c:f>
              <c:numCache>
                <c:formatCode>General</c:formatCode>
                <c:ptCount val="18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</c:numCache>
            </c:numRef>
          </c:cat>
          <c:val>
            <c:numRef>
              <c:f>' survival end of interval'!$H$3:$H$20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0.96296296296296302</c:v>
                </c:pt>
                <c:pt idx="7">
                  <c:v>0.96296296000000003</c:v>
                </c:pt>
                <c:pt idx="8">
                  <c:v>0.81481481230769237</c:v>
                </c:pt>
                <c:pt idx="9">
                  <c:v>0.81481481</c:v>
                </c:pt>
                <c:pt idx="10">
                  <c:v>0.77407406950000002</c:v>
                </c:pt>
                <c:pt idx="11">
                  <c:v>0.68806583955555556</c:v>
                </c:pt>
                <c:pt idx="12">
                  <c:v>0.63891827958730163</c:v>
                </c:pt>
                <c:pt idx="13">
                  <c:v>0.63891827999999995</c:v>
                </c:pt>
                <c:pt idx="14">
                  <c:v>0.58977071999999997</c:v>
                </c:pt>
                <c:pt idx="15">
                  <c:v>0.47181657599999999</c:v>
                </c:pt>
                <c:pt idx="16">
                  <c:v>0.26960947199999996</c:v>
                </c:pt>
                <c:pt idx="17">
                  <c:v>0.26960947199999996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8E-47EA-8B95-1C5E3220C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809680"/>
        <c:axId val="722810512"/>
      </c:lineChart>
      <c:catAx>
        <c:axId val="72280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2810512"/>
        <c:crosses val="autoZero"/>
        <c:auto val="1"/>
        <c:lblAlgn val="ctr"/>
        <c:lblOffset val="100"/>
        <c:noMultiLvlLbl val="1"/>
      </c:catAx>
      <c:valAx>
        <c:axId val="7228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280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'survival Beiginning of interval'!$A$3:$A$20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</c:numCache>
            </c:numRef>
          </c:cat>
          <c:val>
            <c:numRef>
              <c:f>'survival Beiginning of interval'!$H$3:$H$20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0.96296296296296302</c:v>
                </c:pt>
                <c:pt idx="7">
                  <c:v>0.96296296296296302</c:v>
                </c:pt>
                <c:pt idx="8">
                  <c:v>0.81481481481481488</c:v>
                </c:pt>
                <c:pt idx="9">
                  <c:v>0.81481481481481488</c:v>
                </c:pt>
                <c:pt idx="10">
                  <c:v>0.77192982456140358</c:v>
                </c:pt>
                <c:pt idx="11">
                  <c:v>0.67543859649122817</c:v>
                </c:pt>
                <c:pt idx="12">
                  <c:v>0.62719298245614041</c:v>
                </c:pt>
                <c:pt idx="13">
                  <c:v>0.62719298245614041</c:v>
                </c:pt>
                <c:pt idx="14">
                  <c:v>0.57017543859649122</c:v>
                </c:pt>
                <c:pt idx="15">
                  <c:v>0.44346978557504874</c:v>
                </c:pt>
                <c:pt idx="16">
                  <c:v>0.22173489278752437</c:v>
                </c:pt>
                <c:pt idx="17">
                  <c:v>0.22173489278752437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4-4D57-BCBA-358A1CFF7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795616"/>
        <c:axId val="944794784"/>
      </c:lineChart>
      <c:catAx>
        <c:axId val="9447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4794784"/>
        <c:crosses val="autoZero"/>
        <c:auto val="1"/>
        <c:lblAlgn val="ctr"/>
        <c:lblOffset val="100"/>
        <c:noMultiLvlLbl val="1"/>
      </c:catAx>
      <c:valAx>
        <c:axId val="94479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479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'survival during the interval'!$A$3:$A$20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</c:numCache>
            </c:numRef>
          </c:cat>
          <c:val>
            <c:numRef>
              <c:f>'survival during the interval'!$H$3:$H$20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0.96296296296296302</c:v>
                </c:pt>
                <c:pt idx="7">
                  <c:v>0.96296296296296302</c:v>
                </c:pt>
                <c:pt idx="8">
                  <c:v>0.81481481481481488</c:v>
                </c:pt>
                <c:pt idx="9">
                  <c:v>0.81481481481481488</c:v>
                </c:pt>
                <c:pt idx="10">
                  <c:v>0.77302943969610638</c:v>
                </c:pt>
                <c:pt idx="11">
                  <c:v>0.68208479973185854</c:v>
                </c:pt>
                <c:pt idx="12">
                  <c:v>0.63336445689386867</c:v>
                </c:pt>
                <c:pt idx="13">
                  <c:v>0.63336445689386867</c:v>
                </c:pt>
                <c:pt idx="14">
                  <c:v>0.58058408548604623</c:v>
                </c:pt>
                <c:pt idx="15">
                  <c:v>0.45835585696266806</c:v>
                </c:pt>
                <c:pt idx="16">
                  <c:v>0.24680699990297511</c:v>
                </c:pt>
                <c:pt idx="17">
                  <c:v>0.24680699990297511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F6-44FB-8BB6-ADEA3D7ED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278672"/>
        <c:axId val="737277840"/>
      </c:lineChart>
      <c:catAx>
        <c:axId val="73727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7277840"/>
        <c:crosses val="autoZero"/>
        <c:auto val="1"/>
        <c:lblAlgn val="ctr"/>
        <c:lblOffset val="100"/>
        <c:noMultiLvlLbl val="1"/>
      </c:catAx>
      <c:valAx>
        <c:axId val="73727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727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Curva</a:t>
            </a:r>
            <a:r>
              <a:rPr lang="es-CO" baseline="0"/>
              <a:t> de envejecimiento</a:t>
            </a:r>
          </a:p>
          <a:p>
            <a:pPr>
              <a:defRPr/>
            </a:pPr>
            <a:endParaRPr lang="es-CO"/>
          </a:p>
        </c:rich>
      </c:tx>
      <c:layout>
        <c:manualLayout>
          <c:xMode val="edge"/>
          <c:yMode val="edge"/>
          <c:x val="0.29648600174978129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envejecimientoFov20!$D$3:$D$24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envejecimientoFov20!$E$3:$E$24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0.96296296296296291</c:v>
                </c:pt>
                <c:pt idx="5">
                  <c:v>0.88888888888888884</c:v>
                </c:pt>
                <c:pt idx="7">
                  <c:v>0.81481481481481477</c:v>
                </c:pt>
                <c:pt idx="9">
                  <c:v>0.66666666666666663</c:v>
                </c:pt>
                <c:pt idx="10">
                  <c:v>0.62962962962962965</c:v>
                </c:pt>
                <c:pt idx="12">
                  <c:v>0.55555555555555558</c:v>
                </c:pt>
                <c:pt idx="13">
                  <c:v>0.44444444444444442</c:v>
                </c:pt>
                <c:pt idx="14">
                  <c:v>0.29629629629629628</c:v>
                </c:pt>
                <c:pt idx="15">
                  <c:v>0.25925925925925924</c:v>
                </c:pt>
                <c:pt idx="16">
                  <c:v>0.22222222222222221</c:v>
                </c:pt>
                <c:pt idx="17">
                  <c:v>0.14814814814814814</c:v>
                </c:pt>
                <c:pt idx="18">
                  <c:v>0.1111111111111111</c:v>
                </c:pt>
                <c:pt idx="19">
                  <c:v>7.407407407407407E-2</c:v>
                </c:pt>
                <c:pt idx="20">
                  <c:v>3.7037037037037035E-2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84-4A9E-A1A0-77F6DFAFC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00976"/>
        <c:axId val="824401808"/>
      </c:scatterChart>
      <c:valAx>
        <c:axId val="82440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24401808"/>
        <c:crosses val="autoZero"/>
        <c:crossBetween val="midCat"/>
      </c:valAx>
      <c:valAx>
        <c:axId val="82440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Fraccion de celulas viables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2440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'confianza end interval'!$G$3:$G$20</c:f>
              <c:numCache>
                <c:formatCode>General</c:formatCode>
                <c:ptCount val="18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</c:numCache>
            </c:numRef>
          </c:xVal>
          <c:yVal>
            <c:numRef>
              <c:f>'confianza end interval'!$C$3:$C$20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0.96296295878917382</c:v>
                </c:pt>
                <c:pt idx="7">
                  <c:v>0.96296295878917382</c:v>
                </c:pt>
                <c:pt idx="8">
                  <c:v>0.81481480718013466</c:v>
                </c:pt>
                <c:pt idx="9">
                  <c:v>0.81481480718013466</c:v>
                </c:pt>
                <c:pt idx="10">
                  <c:v>0.77407407268297013</c:v>
                </c:pt>
                <c:pt idx="11">
                  <c:v>0.68806583987290049</c:v>
                </c:pt>
                <c:pt idx="12">
                  <c:v>0.63891828115964877</c:v>
                </c:pt>
                <c:pt idx="13">
                  <c:v>0.63891828115964877</c:v>
                </c:pt>
                <c:pt idx="14">
                  <c:v>0.58977071816087989</c:v>
                </c:pt>
                <c:pt idx="15">
                  <c:v>0.47181658512604241</c:v>
                </c:pt>
                <c:pt idx="16">
                  <c:v>0.26960947683640502</c:v>
                </c:pt>
                <c:pt idx="17">
                  <c:v>0.26960947683640502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C55-40E2-B6D1-64629B07B90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'confianza end interval'!$G$3:$G$20</c:f>
              <c:numCache>
                <c:formatCode>General</c:formatCode>
                <c:ptCount val="18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</c:numCache>
            </c:numRef>
          </c:xVal>
          <c:yVal>
            <c:numRef>
              <c:f>'confianza end interval'!$E$3:$E$20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0.96296295878917382</c:v>
                </c:pt>
                <c:pt idx="8">
                  <c:v>0.94836576117148585</c:v>
                </c:pt>
                <c:pt idx="9">
                  <c:v>0.81481480718013466</c:v>
                </c:pt>
                <c:pt idx="10">
                  <c:v>0.85190409074798157</c:v>
                </c:pt>
                <c:pt idx="11">
                  <c:v>0.80044992230453316</c:v>
                </c:pt>
                <c:pt idx="12">
                  <c:v>0.73174347558443842</c:v>
                </c:pt>
                <c:pt idx="13">
                  <c:v>0.63891828115964877</c:v>
                </c:pt>
                <c:pt idx="14">
                  <c:v>0.68232091366580572</c:v>
                </c:pt>
                <c:pt idx="15">
                  <c:v>0.61803403015911629</c:v>
                </c:pt>
                <c:pt idx="16">
                  <c:v>0.44258033745749342</c:v>
                </c:pt>
                <c:pt idx="17">
                  <c:v>0.26960947683640502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C55-40E2-B6D1-64629B07B90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'confianza end interval'!$G$3:$G$20</c:f>
              <c:numCache>
                <c:formatCode>General</c:formatCode>
                <c:ptCount val="18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</c:numCache>
            </c:numRef>
          </c:xVal>
          <c:yVal>
            <c:numRef>
              <c:f>'confianza end interval'!$F$3:$F$20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0.89172727177767652</c:v>
                </c:pt>
                <c:pt idx="7">
                  <c:v>0.96296295878917382</c:v>
                </c:pt>
                <c:pt idx="8">
                  <c:v>0.68126385318878346</c:v>
                </c:pt>
                <c:pt idx="9">
                  <c:v>0.81481480718013466</c:v>
                </c:pt>
                <c:pt idx="10">
                  <c:v>0.69624405461795869</c:v>
                </c:pt>
                <c:pt idx="11">
                  <c:v>0.57568175744126782</c:v>
                </c:pt>
                <c:pt idx="12">
                  <c:v>0.54609308673485912</c:v>
                </c:pt>
                <c:pt idx="13">
                  <c:v>0.63891828115964877</c:v>
                </c:pt>
                <c:pt idx="14">
                  <c:v>0.49722052265595401</c:v>
                </c:pt>
                <c:pt idx="15">
                  <c:v>0.32559914009296848</c:v>
                </c:pt>
                <c:pt idx="16">
                  <c:v>9.6638616215316608E-2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C55-40E2-B6D1-64629B07B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608607"/>
        <c:axId val="1700083391"/>
      </c:scatterChart>
      <c:valAx>
        <c:axId val="170060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00083391"/>
        <c:crosses val="autoZero"/>
        <c:crossBetween val="midCat"/>
      </c:valAx>
      <c:valAx>
        <c:axId val="170008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0060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'confianza Beigenning'!$G$3:$G$20</c:f>
              <c:numCache>
                <c:formatCode>General</c:formatCode>
                <c:ptCount val="18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</c:numCache>
            </c:numRef>
          </c:cat>
          <c:val>
            <c:numRef>
              <c:f>'confianza Beigenning'!$C$3:$C$20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0.96296296000000003</c:v>
                </c:pt>
                <c:pt idx="7">
                  <c:v>0.96296296000000003</c:v>
                </c:pt>
                <c:pt idx="8">
                  <c:v>0.81481481</c:v>
                </c:pt>
                <c:pt idx="9">
                  <c:v>0.81481481</c:v>
                </c:pt>
                <c:pt idx="10">
                  <c:v>0.77407406999999995</c:v>
                </c:pt>
                <c:pt idx="11">
                  <c:v>0.68806584000000004</c:v>
                </c:pt>
                <c:pt idx="12">
                  <c:v>0.63891827999999995</c:v>
                </c:pt>
                <c:pt idx="13">
                  <c:v>0.63891827999999995</c:v>
                </c:pt>
                <c:pt idx="14">
                  <c:v>0.58977071999999997</c:v>
                </c:pt>
                <c:pt idx="15">
                  <c:v>0.47181657999999999</c:v>
                </c:pt>
                <c:pt idx="16">
                  <c:v>0.26960947000000002</c:v>
                </c:pt>
                <c:pt idx="17">
                  <c:v>0.26960947000000002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82-4B53-968C-D48BB317E1B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'confianza Beigenning'!$G$3:$G$20</c:f>
              <c:numCache>
                <c:formatCode>General</c:formatCode>
                <c:ptCount val="18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</c:numCache>
            </c:numRef>
          </c:cat>
          <c:val>
            <c:numRef>
              <c:f>'confianza Beigenning'!$E$3:$E$20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1.0341986470114972</c:v>
                </c:pt>
                <c:pt idx="7">
                  <c:v>0.96296296000000003</c:v>
                </c:pt>
                <c:pt idx="8">
                  <c:v>0.9483657639913512</c:v>
                </c:pt>
                <c:pt idx="9">
                  <c:v>0.81481481</c:v>
                </c:pt>
                <c:pt idx="10">
                  <c:v>0.85611406044368543</c:v>
                </c:pt>
                <c:pt idx="11">
                  <c:v>0.81549734687330044</c:v>
                </c:pt>
                <c:pt idx="12">
                  <c:v>0.7317434744247896</c:v>
                </c:pt>
                <c:pt idx="13">
                  <c:v>0.63891827999999995</c:v>
                </c:pt>
                <c:pt idx="14">
                  <c:v>0.69998634930909565</c:v>
                </c:pt>
                <c:pt idx="15">
                  <c:v>0.63658497993154028</c:v>
                </c:pt>
                <c:pt idx="16">
                  <c:v>0.48534199654154864</c:v>
                </c:pt>
                <c:pt idx="17">
                  <c:v>0.26960947000000002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82-4B53-968C-D48BB317E1B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'confianza Beigenning'!$G$3:$G$20</c:f>
              <c:numCache>
                <c:formatCode>General</c:formatCode>
                <c:ptCount val="18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</c:numCache>
            </c:numRef>
          </c:cat>
          <c:val>
            <c:numRef>
              <c:f>'confianza Beigenning'!$F$3:$F$20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0.89172727298850274</c:v>
                </c:pt>
                <c:pt idx="7">
                  <c:v>0.96296296000000003</c:v>
                </c:pt>
                <c:pt idx="8">
                  <c:v>0.6812638560086488</c:v>
                </c:pt>
                <c:pt idx="9">
                  <c:v>0.81481481</c:v>
                </c:pt>
                <c:pt idx="10">
                  <c:v>0.69203407955631446</c:v>
                </c:pt>
                <c:pt idx="11">
                  <c:v>0.56063433312669964</c:v>
                </c:pt>
                <c:pt idx="12">
                  <c:v>0.5460930855752103</c:v>
                </c:pt>
                <c:pt idx="13">
                  <c:v>0.63891827999999995</c:v>
                </c:pt>
                <c:pt idx="14">
                  <c:v>0.47955509069090424</c:v>
                </c:pt>
                <c:pt idx="15">
                  <c:v>0.30704818006845969</c:v>
                </c:pt>
                <c:pt idx="16">
                  <c:v>5.3876943458451371E-2</c:v>
                </c:pt>
                <c:pt idx="17">
                  <c:v>0.26960947000000002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82-4B53-968C-D48BB317E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845471"/>
        <c:axId val="1934849215"/>
      </c:lineChart>
      <c:catAx>
        <c:axId val="193484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34849215"/>
        <c:crosses val="autoZero"/>
        <c:auto val="1"/>
        <c:lblAlgn val="ctr"/>
        <c:lblOffset val="100"/>
        <c:noMultiLvlLbl val="0"/>
      </c:catAx>
      <c:valAx>
        <c:axId val="193484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3484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'confianza during interval'!$G$3:$G$20</c:f>
              <c:numCache>
                <c:formatCode>General</c:formatCode>
                <c:ptCount val="18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</c:numCache>
            </c:numRef>
          </c:cat>
          <c:val>
            <c:numRef>
              <c:f>'confianza during interval'!$C$3:$C$20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0.96296296000000003</c:v>
                </c:pt>
                <c:pt idx="7">
                  <c:v>0.96296296000000003</c:v>
                </c:pt>
                <c:pt idx="8">
                  <c:v>0.81481481</c:v>
                </c:pt>
                <c:pt idx="9">
                  <c:v>0.81481481</c:v>
                </c:pt>
                <c:pt idx="10">
                  <c:v>0.77407406999999995</c:v>
                </c:pt>
                <c:pt idx="11">
                  <c:v>0.68806584000000004</c:v>
                </c:pt>
                <c:pt idx="12">
                  <c:v>0.63891827999999995</c:v>
                </c:pt>
                <c:pt idx="13">
                  <c:v>0.63891827999999995</c:v>
                </c:pt>
                <c:pt idx="14">
                  <c:v>0.58977071999999997</c:v>
                </c:pt>
                <c:pt idx="15">
                  <c:v>0.47181657999999999</c:v>
                </c:pt>
                <c:pt idx="16">
                  <c:v>0.26960947000000002</c:v>
                </c:pt>
                <c:pt idx="17">
                  <c:v>0.26960947000000002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57-499F-896E-E782D783672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'confianza during interval'!$G$3:$G$20</c:f>
              <c:numCache>
                <c:formatCode>General</c:formatCode>
                <c:ptCount val="18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</c:numCache>
            </c:numRef>
          </c:cat>
          <c:val>
            <c:numRef>
              <c:f>'confianza during interval'!$E$3:$E$20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1.0341986470114972</c:v>
                </c:pt>
                <c:pt idx="7">
                  <c:v>0.96296296000000003</c:v>
                </c:pt>
                <c:pt idx="8">
                  <c:v>0.9483657639913512</c:v>
                </c:pt>
                <c:pt idx="9">
                  <c:v>0.81481481</c:v>
                </c:pt>
                <c:pt idx="10">
                  <c:v>0.85395362893718985</c:v>
                </c:pt>
                <c:pt idx="11">
                  <c:v>0.80750062361013597</c:v>
                </c:pt>
                <c:pt idx="12">
                  <c:v>0.7317434744247896</c:v>
                </c:pt>
                <c:pt idx="13">
                  <c:v>0.63891827999999995</c:v>
                </c:pt>
                <c:pt idx="14">
                  <c:v>0.69038326848178722</c:v>
                </c:pt>
                <c:pt idx="15">
                  <c:v>0.62675244146531728</c:v>
                </c:pt>
                <c:pt idx="16">
                  <c:v>0.46150337985646211</c:v>
                </c:pt>
                <c:pt idx="17">
                  <c:v>0.26960947000000002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57-499F-896E-E782D783672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'confianza during interval'!$G$3:$G$20</c:f>
              <c:numCache>
                <c:formatCode>General</c:formatCode>
                <c:ptCount val="18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</c:numCache>
            </c:numRef>
          </c:cat>
          <c:val>
            <c:numRef>
              <c:f>'confianza during interval'!$F$3:$F$20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0.89172727298850274</c:v>
                </c:pt>
                <c:pt idx="7">
                  <c:v>0.96296296000000003</c:v>
                </c:pt>
                <c:pt idx="8">
                  <c:v>0.6812638560086488</c:v>
                </c:pt>
                <c:pt idx="9">
                  <c:v>0.81481481</c:v>
                </c:pt>
                <c:pt idx="10">
                  <c:v>0.69419451106281005</c:v>
                </c:pt>
                <c:pt idx="11">
                  <c:v>0.56863105638986411</c:v>
                </c:pt>
                <c:pt idx="12">
                  <c:v>0.5460930855752103</c:v>
                </c:pt>
                <c:pt idx="13">
                  <c:v>0.63891827999999995</c:v>
                </c:pt>
                <c:pt idx="14">
                  <c:v>0.48915817151821267</c:v>
                </c:pt>
                <c:pt idx="15">
                  <c:v>0.31688071853468269</c:v>
                </c:pt>
                <c:pt idx="16">
                  <c:v>7.7715560143537921E-2</c:v>
                </c:pt>
                <c:pt idx="17">
                  <c:v>0.26960947000000002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57-499F-896E-E782D7836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687727"/>
        <c:axId val="1798684399"/>
      </c:lineChart>
      <c:catAx>
        <c:axId val="179868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8684399"/>
        <c:crosses val="autoZero"/>
        <c:auto val="1"/>
        <c:lblAlgn val="ctr"/>
        <c:lblOffset val="100"/>
        <c:noMultiLvlLbl val="0"/>
      </c:catAx>
      <c:valAx>
        <c:axId val="179868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868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53975</xdr:colOff>
      <xdr:row>3</xdr:row>
      <xdr:rowOff>3175</xdr:rowOff>
    </xdr:from>
    <xdr:to>
      <xdr:col>15</xdr:col>
      <xdr:colOff>53975</xdr:colOff>
      <xdr:row>17</xdr:row>
      <xdr:rowOff>168275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9D85803-9BFA-49C5-82DA-EB0766886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730249</xdr:colOff>
      <xdr:row>0</xdr:row>
      <xdr:rowOff>120650</xdr:rowOff>
    </xdr:from>
    <xdr:to>
      <xdr:col>13</xdr:col>
      <xdr:colOff>714374</xdr:colOff>
      <xdr:row>16</xdr:row>
      <xdr:rowOff>53975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57FCBB-8CE0-4728-9886-F9C326631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228600</xdr:colOff>
      <xdr:row>18</xdr:row>
      <xdr:rowOff>101600</xdr:rowOff>
    </xdr:from>
    <xdr:to>
      <xdr:col>14</xdr:col>
      <xdr:colOff>76200</xdr:colOff>
      <xdr:row>37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DD2DCB-8F04-4B3C-BC27-3685CF264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73025</xdr:colOff>
      <xdr:row>2</xdr:row>
      <xdr:rowOff>73025</xdr:rowOff>
    </xdr:from>
    <xdr:to>
      <xdr:col>15</xdr:col>
      <xdr:colOff>73025</xdr:colOff>
      <xdr:row>17</xdr:row>
      <xdr:rowOff>53975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0D75019-B144-4AE2-9626-C1CB47D3A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0</xdr:row>
      <xdr:rowOff>92075</xdr:rowOff>
    </xdr:from>
    <xdr:to>
      <xdr:col>14</xdr:col>
      <xdr:colOff>104775</xdr:colOff>
      <xdr:row>15</xdr:row>
      <xdr:rowOff>73025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736F5F-83E3-4E28-A75C-DD6712495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638175</xdr:colOff>
      <xdr:row>2</xdr:row>
      <xdr:rowOff>130175</xdr:rowOff>
    </xdr:from>
    <xdr:to>
      <xdr:col>15</xdr:col>
      <xdr:colOff>638175</xdr:colOff>
      <xdr:row>17</xdr:row>
      <xdr:rowOff>111125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BBA1DC-B403-46EB-8058-F39D78C36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606425</xdr:colOff>
      <xdr:row>1</xdr:row>
      <xdr:rowOff>22225</xdr:rowOff>
    </xdr:from>
    <xdr:to>
      <xdr:col>11</xdr:col>
      <xdr:colOff>606425</xdr:colOff>
      <xdr:row>13</xdr:row>
      <xdr:rowOff>3175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AF4A51-6569-4EB3-8033-37ACE88DE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536575</xdr:colOff>
      <xdr:row>1</xdr:row>
      <xdr:rowOff>161925</xdr:rowOff>
    </xdr:from>
    <xdr:to>
      <xdr:col>13</xdr:col>
      <xdr:colOff>536575</xdr:colOff>
      <xdr:row>16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BD0B31-B6AD-4873-950B-4A73DB14D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212725</xdr:colOff>
      <xdr:row>1</xdr:row>
      <xdr:rowOff>174625</xdr:rowOff>
    </xdr:from>
    <xdr:to>
      <xdr:col>13</xdr:col>
      <xdr:colOff>212725</xdr:colOff>
      <xdr:row>16</xdr:row>
      <xdr:rowOff>155575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ADC5A-6C41-45E6-A1F6-7AE6E04DF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285749</xdr:colOff>
      <xdr:row>1</xdr:row>
      <xdr:rowOff>107950</xdr:rowOff>
    </xdr:from>
    <xdr:to>
      <xdr:col>12</xdr:col>
      <xdr:colOff>447674</xdr:colOff>
      <xdr:row>16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8A9127-8667-468A-9D8A-01AD30465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wnloads/XRealStats%20(1)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XRealStats (1)"/>
    </sheetNames>
    <definedNames>
      <definedName name="SortUniqu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7090-5AEA-469C-9879-A45EE892181C}">
  <dimension ref="A1:O33"/>
  <sheetViews>
    <sheetView topLeftCell="A14" workbookViewId="0">
      <selection activeCell="G4" sqref="G4:G30"/>
    </sheetView>
  </sheetViews>
  <sheetFormatPr baseColWidth="10" defaultRowHeight="14.5" x14ac:dyDescent="0.35"/>
  <sheetData>
    <row r="1" spans="1:15" ht="20.5" x14ac:dyDescent="0.35">
      <c r="A1" s="21" t="s">
        <v>31</v>
      </c>
      <c r="B1" s="22"/>
      <c r="C1" s="22"/>
      <c r="D1" s="22"/>
      <c r="E1" s="23"/>
    </row>
    <row r="2" spans="1:15" ht="15.5" thickBot="1" x14ac:dyDescent="0.4">
      <c r="A2" s="24" t="s">
        <v>0</v>
      </c>
      <c r="B2" s="25"/>
      <c r="C2" s="25"/>
      <c r="D2" s="25"/>
      <c r="E2" s="26"/>
      <c r="M2" t="s">
        <v>107</v>
      </c>
      <c r="N2">
        <v>0.05</v>
      </c>
    </row>
    <row r="3" spans="1:15" ht="46" thickTop="1" thickBot="1" x14ac:dyDescent="0.4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1" t="s">
        <v>1</v>
      </c>
      <c r="G3" s="15" t="s">
        <v>105</v>
      </c>
    </row>
    <row r="4" spans="1:15" ht="16.5" thickTop="1" thickBot="1" x14ac:dyDescent="0.4">
      <c r="A4" s="4">
        <v>2011</v>
      </c>
      <c r="B4" s="5" t="s">
        <v>9</v>
      </c>
      <c r="C4" s="6"/>
      <c r="D4" s="5">
        <v>3</v>
      </c>
      <c r="E4" s="5" t="s">
        <v>6</v>
      </c>
      <c r="F4" s="4">
        <v>2011</v>
      </c>
      <c r="G4">
        <v>0</v>
      </c>
      <c r="H4" s="16"/>
      <c r="I4" s="16" t="s">
        <v>109</v>
      </c>
      <c r="J4" s="16" t="s">
        <v>110</v>
      </c>
      <c r="K4" s="16" t="s">
        <v>111</v>
      </c>
      <c r="L4" s="16" t="s">
        <v>112</v>
      </c>
      <c r="M4" s="16" t="s">
        <v>113</v>
      </c>
      <c r="N4" s="16" t="s">
        <v>114</v>
      </c>
      <c r="O4" s="16" t="s">
        <v>115</v>
      </c>
    </row>
    <row r="5" spans="1:15" ht="16.5" thickTop="1" thickBot="1" x14ac:dyDescent="0.4">
      <c r="A5" s="4">
        <v>2012</v>
      </c>
      <c r="B5" s="5" t="s">
        <v>10</v>
      </c>
      <c r="C5" s="6"/>
      <c r="D5" s="5">
        <v>12</v>
      </c>
      <c r="E5" s="5" t="s">
        <v>7</v>
      </c>
      <c r="F5" s="4">
        <v>2012</v>
      </c>
      <c r="G5">
        <v>1</v>
      </c>
      <c r="H5">
        <v>0</v>
      </c>
      <c r="I5">
        <v>2</v>
      </c>
      <c r="J5">
        <f>COUNT(F4:F30)</f>
        <v>27</v>
      </c>
      <c r="L5">
        <v>1</v>
      </c>
    </row>
    <row r="6" spans="1:15" ht="16.5" thickTop="1" thickBot="1" x14ac:dyDescent="0.4">
      <c r="A6" s="4">
        <v>2013</v>
      </c>
      <c r="B6" s="5" t="s">
        <v>11</v>
      </c>
      <c r="C6" s="6"/>
      <c r="D6" s="5">
        <v>13</v>
      </c>
      <c r="E6" s="5" t="s">
        <v>7</v>
      </c>
      <c r="F6" s="4">
        <v>2013</v>
      </c>
      <c r="G6">
        <v>1</v>
      </c>
      <c r="H6" t="e">
        <f t="array" aca="1" ref="H6:H32" ca="1">[1]!SortUnique(F4:F30)</f>
        <v>#NAME?</v>
      </c>
      <c r="I6">
        <f ca="1">COUNTIFS($F$4:$F$30,H6,$G$4:$G$30,1)</f>
        <v>0</v>
      </c>
      <c r="J6">
        <f ca="1">COUNTIF($F$4:$F$30,"&gt;"&amp;H6-1)</f>
        <v>0</v>
      </c>
      <c r="K6" t="e">
        <f ca="1">1-I6/J6</f>
        <v>#DIV/0!</v>
      </c>
      <c r="L6" t="e">
        <f ca="1">L5*K6</f>
        <v>#DIV/0!</v>
      </c>
      <c r="M6" t="e">
        <f ca="1">IF(L6&gt;0,SQRT(I6/(J6*(J6-I6))+(M5/L5)^2)*L6,0)</f>
        <v>#DIV/0!</v>
      </c>
      <c r="N6" t="e">
        <f ca="1">IF(M6&gt;0,L6^EXP(_xlfn.NORM.S.INV($N$2/2)/LN(L6)*M6/L6),"")</f>
        <v>#DIV/0!</v>
      </c>
      <c r="O6" t="e">
        <f ca="1">IF(M6&gt;0,L6^EXP(-_xlfn.NORM.S.INV($N$2/2)/LN(L6)*M6/L6),"")</f>
        <v>#DIV/0!</v>
      </c>
    </row>
    <row r="7" spans="1:15" ht="16.5" thickTop="1" thickBot="1" x14ac:dyDescent="0.4">
      <c r="A7" s="4">
        <v>2014</v>
      </c>
      <c r="B7" s="5" t="s">
        <v>12</v>
      </c>
      <c r="C7" s="6"/>
      <c r="D7" s="5">
        <v>13</v>
      </c>
      <c r="E7" s="5" t="s">
        <v>6</v>
      </c>
      <c r="F7" s="4">
        <v>2014</v>
      </c>
      <c r="G7">
        <v>0</v>
      </c>
      <c r="H7" t="e">
        <f ca="1"/>
        <v>#NAME?</v>
      </c>
      <c r="I7">
        <f t="shared" ref="I7:I32" ca="1" si="0">COUNTIFS($F$4:$F$30,H7,$G$4:$G$30,1)</f>
        <v>0</v>
      </c>
      <c r="J7">
        <f t="shared" ref="J7:J32" ca="1" si="1">COUNTIF($F$4:$F$30,"&gt;"&amp;H7-1)</f>
        <v>0</v>
      </c>
      <c r="K7" t="e">
        <f t="shared" ref="K7:K32" ca="1" si="2">1-I7/J7</f>
        <v>#DIV/0!</v>
      </c>
      <c r="L7" t="e">
        <f t="shared" ref="L7:L32" ca="1" si="3">L6*K7</f>
        <v>#DIV/0!</v>
      </c>
      <c r="M7" t="e">
        <f t="shared" ref="M7:M32" ca="1" si="4">IF(L7&gt;0,SQRT(I7/(J7*(J7-I7))+(M6/L6)^2)*L7,0)</f>
        <v>#DIV/0!</v>
      </c>
      <c r="N7" t="e">
        <f t="shared" ref="N7:N32" ca="1" si="5">IF(M7&gt;0,L7^EXP(_xlfn.NORM.S.INV($N$2/2)/LN(L7)*M7/L7),"")</f>
        <v>#DIV/0!</v>
      </c>
      <c r="O7" t="e">
        <f t="shared" ref="O7:O32" ca="1" si="6">IF(M7&gt;0,L7^EXP(-_xlfn.NORM.S.INV($N$2/2)/LN(L7)*M7/L7),"")</f>
        <v>#DIV/0!</v>
      </c>
    </row>
    <row r="8" spans="1:15" ht="16.5" thickTop="1" thickBot="1" x14ac:dyDescent="0.4">
      <c r="A8" s="4">
        <v>2021</v>
      </c>
      <c r="B8" s="5">
        <v>45</v>
      </c>
      <c r="C8" s="6"/>
      <c r="D8" s="5">
        <v>9</v>
      </c>
      <c r="E8" s="5" t="s">
        <v>6</v>
      </c>
      <c r="F8" s="4">
        <v>2021</v>
      </c>
      <c r="G8" s="9">
        <v>0</v>
      </c>
      <c r="H8" t="e">
        <f ca="1"/>
        <v>#NAME?</v>
      </c>
      <c r="I8">
        <f t="shared" ca="1" si="0"/>
        <v>0</v>
      </c>
      <c r="J8">
        <f t="shared" ca="1" si="1"/>
        <v>0</v>
      </c>
      <c r="K8" t="e">
        <f t="shared" ca="1" si="2"/>
        <v>#DIV/0!</v>
      </c>
      <c r="L8" t="e">
        <f t="shared" ca="1" si="3"/>
        <v>#DIV/0!</v>
      </c>
      <c r="M8" t="e">
        <f t="shared" ca="1" si="4"/>
        <v>#DIV/0!</v>
      </c>
      <c r="N8" t="e">
        <f t="shared" ca="1" si="5"/>
        <v>#DIV/0!</v>
      </c>
      <c r="O8" t="e">
        <f t="shared" ca="1" si="6"/>
        <v>#DIV/0!</v>
      </c>
    </row>
    <row r="9" spans="1:15" ht="16.5" thickTop="1" thickBot="1" x14ac:dyDescent="0.4">
      <c r="A9" s="4">
        <v>2022</v>
      </c>
      <c r="B9" s="5" t="s">
        <v>13</v>
      </c>
      <c r="C9" s="6"/>
      <c r="D9" s="5">
        <v>7</v>
      </c>
      <c r="E9" s="5" t="s">
        <v>7</v>
      </c>
      <c r="F9" s="4">
        <v>2022</v>
      </c>
      <c r="G9">
        <v>1</v>
      </c>
      <c r="H9" t="e">
        <f ca="1"/>
        <v>#NAME?</v>
      </c>
      <c r="I9">
        <f t="shared" ca="1" si="0"/>
        <v>0</v>
      </c>
      <c r="J9">
        <f t="shared" ca="1" si="1"/>
        <v>0</v>
      </c>
      <c r="K9" t="e">
        <f t="shared" ca="1" si="2"/>
        <v>#DIV/0!</v>
      </c>
      <c r="L9" t="e">
        <f t="shared" ca="1" si="3"/>
        <v>#DIV/0!</v>
      </c>
      <c r="M9" t="e">
        <f t="shared" ca="1" si="4"/>
        <v>#DIV/0!</v>
      </c>
      <c r="N9" t="e">
        <f t="shared" ca="1" si="5"/>
        <v>#DIV/0!</v>
      </c>
      <c r="O9" t="e">
        <f t="shared" ca="1" si="6"/>
        <v>#DIV/0!</v>
      </c>
    </row>
    <row r="10" spans="1:15" ht="16.5" thickTop="1" thickBot="1" x14ac:dyDescent="0.4">
      <c r="A10" s="4">
        <v>2023</v>
      </c>
      <c r="B10" s="5" t="s">
        <v>14</v>
      </c>
      <c r="C10" s="6"/>
      <c r="D10" s="5">
        <v>12</v>
      </c>
      <c r="E10" s="5" t="s">
        <v>7</v>
      </c>
      <c r="F10" s="4">
        <v>2023</v>
      </c>
      <c r="G10">
        <v>1</v>
      </c>
      <c r="H10" t="e">
        <f ca="1"/>
        <v>#NAME?</v>
      </c>
      <c r="I10">
        <f t="shared" ca="1" si="0"/>
        <v>0</v>
      </c>
      <c r="J10">
        <f t="shared" ca="1" si="1"/>
        <v>0</v>
      </c>
      <c r="K10" t="e">
        <f t="shared" ca="1" si="2"/>
        <v>#DIV/0!</v>
      </c>
      <c r="L10" t="e">
        <f t="shared" ca="1" si="3"/>
        <v>#DIV/0!</v>
      </c>
      <c r="M10" t="e">
        <f t="shared" ca="1" si="4"/>
        <v>#DIV/0!</v>
      </c>
      <c r="N10" t="e">
        <f t="shared" ca="1" si="5"/>
        <v>#DIV/0!</v>
      </c>
      <c r="O10" t="e">
        <f t="shared" ca="1" si="6"/>
        <v>#DIV/0!</v>
      </c>
    </row>
    <row r="11" spans="1:15" ht="16.5" thickTop="1" thickBot="1" x14ac:dyDescent="0.4">
      <c r="A11" s="4">
        <v>2024</v>
      </c>
      <c r="B11" s="5" t="s">
        <v>15</v>
      </c>
      <c r="C11" s="6"/>
      <c r="D11" s="5">
        <v>20</v>
      </c>
      <c r="E11" s="5" t="s">
        <v>6</v>
      </c>
      <c r="F11" s="4">
        <v>2024</v>
      </c>
      <c r="G11">
        <v>0</v>
      </c>
      <c r="H11" t="e">
        <f ca="1"/>
        <v>#NAME?</v>
      </c>
      <c r="I11">
        <f t="shared" ca="1" si="0"/>
        <v>0</v>
      </c>
      <c r="J11">
        <f t="shared" ca="1" si="1"/>
        <v>0</v>
      </c>
      <c r="K11" t="e">
        <f t="shared" ca="1" si="2"/>
        <v>#DIV/0!</v>
      </c>
      <c r="L11" t="e">
        <f t="shared" ca="1" si="3"/>
        <v>#DIV/0!</v>
      </c>
      <c r="M11" t="e">
        <f t="shared" ca="1" si="4"/>
        <v>#DIV/0!</v>
      </c>
      <c r="N11" t="e">
        <f t="shared" ca="1" si="5"/>
        <v>#DIV/0!</v>
      </c>
      <c r="O11" t="e">
        <f t="shared" ca="1" si="6"/>
        <v>#DIV/0!</v>
      </c>
    </row>
    <row r="12" spans="1:15" ht="16.5" thickTop="1" thickBot="1" x14ac:dyDescent="0.4">
      <c r="A12" s="4">
        <v>2031</v>
      </c>
      <c r="B12" s="5" t="s">
        <v>16</v>
      </c>
      <c r="C12" s="6"/>
      <c r="D12" s="5">
        <v>14</v>
      </c>
      <c r="E12" s="5" t="s">
        <v>17</v>
      </c>
      <c r="F12" s="4">
        <v>2031</v>
      </c>
      <c r="G12">
        <v>0</v>
      </c>
      <c r="H12" t="e">
        <f ca="1"/>
        <v>#NAME?</v>
      </c>
      <c r="I12">
        <f t="shared" ca="1" si="0"/>
        <v>0</v>
      </c>
      <c r="J12">
        <f t="shared" ca="1" si="1"/>
        <v>0</v>
      </c>
      <c r="K12" t="e">
        <f t="shared" ca="1" si="2"/>
        <v>#DIV/0!</v>
      </c>
      <c r="L12" t="e">
        <f t="shared" ca="1" si="3"/>
        <v>#DIV/0!</v>
      </c>
      <c r="M12" t="e">
        <f t="shared" ca="1" si="4"/>
        <v>#DIV/0!</v>
      </c>
      <c r="N12" t="e">
        <f t="shared" ca="1" si="5"/>
        <v>#DIV/0!</v>
      </c>
      <c r="O12" t="e">
        <f t="shared" ca="1" si="6"/>
        <v>#DIV/0!</v>
      </c>
    </row>
    <row r="13" spans="1:15" ht="16.5" thickTop="1" thickBot="1" x14ac:dyDescent="0.4">
      <c r="A13" s="4">
        <v>2032</v>
      </c>
      <c r="B13" s="5" t="s">
        <v>18</v>
      </c>
      <c r="C13" s="6"/>
      <c r="D13" s="5">
        <v>19</v>
      </c>
      <c r="E13" s="5" t="s">
        <v>6</v>
      </c>
      <c r="F13" s="4">
        <v>2032</v>
      </c>
      <c r="G13">
        <v>0</v>
      </c>
      <c r="H13" t="e">
        <f ca="1"/>
        <v>#NAME?</v>
      </c>
      <c r="I13">
        <f t="shared" ca="1" si="0"/>
        <v>0</v>
      </c>
      <c r="J13">
        <f t="shared" ca="1" si="1"/>
        <v>0</v>
      </c>
      <c r="K13" t="e">
        <f t="shared" ca="1" si="2"/>
        <v>#DIV/0!</v>
      </c>
      <c r="L13" t="e">
        <f t="shared" ca="1" si="3"/>
        <v>#DIV/0!</v>
      </c>
      <c r="M13" t="e">
        <f t="shared" ca="1" si="4"/>
        <v>#DIV/0!</v>
      </c>
      <c r="N13" t="e">
        <f t="shared" ca="1" si="5"/>
        <v>#DIV/0!</v>
      </c>
      <c r="O13" t="e">
        <f t="shared" ca="1" si="6"/>
        <v>#DIV/0!</v>
      </c>
    </row>
    <row r="14" spans="1:15" ht="16.5" thickTop="1" thickBot="1" x14ac:dyDescent="0.4">
      <c r="A14" s="4">
        <v>2033</v>
      </c>
      <c r="B14" s="5" t="s">
        <v>16</v>
      </c>
      <c r="C14" s="6"/>
      <c r="D14" s="5">
        <v>7</v>
      </c>
      <c r="E14" s="5" t="s">
        <v>17</v>
      </c>
      <c r="F14" s="4">
        <v>2033</v>
      </c>
      <c r="G14">
        <v>0</v>
      </c>
      <c r="H14" t="e">
        <f ca="1"/>
        <v>#NAME?</v>
      </c>
      <c r="I14">
        <f t="shared" ca="1" si="0"/>
        <v>0</v>
      </c>
      <c r="J14">
        <f t="shared" ca="1" si="1"/>
        <v>0</v>
      </c>
      <c r="K14" t="e">
        <f t="shared" ca="1" si="2"/>
        <v>#DIV/0!</v>
      </c>
      <c r="L14" t="e">
        <f t="shared" ca="1" si="3"/>
        <v>#DIV/0!</v>
      </c>
      <c r="M14" t="e">
        <f t="shared" ca="1" si="4"/>
        <v>#DIV/0!</v>
      </c>
      <c r="N14" t="e">
        <f t="shared" ca="1" si="5"/>
        <v>#DIV/0!</v>
      </c>
      <c r="O14" t="e">
        <f t="shared" ca="1" si="6"/>
        <v>#DIV/0!</v>
      </c>
    </row>
    <row r="15" spans="1:15" ht="16.5" thickTop="1" thickBot="1" x14ac:dyDescent="0.4">
      <c r="A15" s="4">
        <v>2034</v>
      </c>
      <c r="B15" s="5" t="s">
        <v>19</v>
      </c>
      <c r="C15" s="6"/>
      <c r="D15" s="5">
        <v>21</v>
      </c>
      <c r="E15" s="5" t="s">
        <v>7</v>
      </c>
      <c r="F15" s="4">
        <v>2034</v>
      </c>
      <c r="G15">
        <v>1</v>
      </c>
      <c r="H15" t="e">
        <f ca="1"/>
        <v>#NAME?</v>
      </c>
      <c r="I15">
        <f t="shared" ca="1" si="0"/>
        <v>0</v>
      </c>
      <c r="J15">
        <f t="shared" ca="1" si="1"/>
        <v>0</v>
      </c>
      <c r="K15" t="e">
        <f t="shared" ca="1" si="2"/>
        <v>#DIV/0!</v>
      </c>
      <c r="L15" t="e">
        <f t="shared" ca="1" si="3"/>
        <v>#DIV/0!</v>
      </c>
      <c r="M15" t="e">
        <f t="shared" ca="1" si="4"/>
        <v>#DIV/0!</v>
      </c>
      <c r="N15" t="e">
        <f t="shared" ca="1" si="5"/>
        <v>#DIV/0!</v>
      </c>
      <c r="O15" t="e">
        <f t="shared" ca="1" si="6"/>
        <v>#DIV/0!</v>
      </c>
    </row>
    <row r="16" spans="1:15" ht="16.5" thickTop="1" thickBot="1" x14ac:dyDescent="0.4">
      <c r="A16" s="4">
        <v>2041</v>
      </c>
      <c r="B16" s="5" t="s">
        <v>20</v>
      </c>
      <c r="C16" s="6"/>
      <c r="D16" s="5">
        <v>14</v>
      </c>
      <c r="E16" s="5" t="s">
        <v>7</v>
      </c>
      <c r="F16" s="4">
        <v>2041</v>
      </c>
      <c r="G16">
        <v>1</v>
      </c>
      <c r="H16" t="e">
        <f ca="1"/>
        <v>#NAME?</v>
      </c>
      <c r="I16">
        <f t="shared" ca="1" si="0"/>
        <v>0</v>
      </c>
      <c r="J16">
        <f t="shared" ca="1" si="1"/>
        <v>0</v>
      </c>
      <c r="K16" t="e">
        <f t="shared" ca="1" si="2"/>
        <v>#DIV/0!</v>
      </c>
      <c r="L16" t="e">
        <f t="shared" ca="1" si="3"/>
        <v>#DIV/0!</v>
      </c>
      <c r="M16" t="e">
        <f t="shared" ca="1" si="4"/>
        <v>#DIV/0!</v>
      </c>
      <c r="N16" t="e">
        <f t="shared" ca="1" si="5"/>
        <v>#DIV/0!</v>
      </c>
      <c r="O16" t="e">
        <f t="shared" ca="1" si="6"/>
        <v>#DIV/0!</v>
      </c>
    </row>
    <row r="17" spans="1:15" ht="16.5" thickTop="1" thickBot="1" x14ac:dyDescent="0.4">
      <c r="A17" s="4">
        <v>2042</v>
      </c>
      <c r="B17" s="5" t="s">
        <v>8</v>
      </c>
      <c r="C17" s="6"/>
      <c r="D17" s="5">
        <v>15</v>
      </c>
      <c r="E17" s="5" t="s">
        <v>7</v>
      </c>
      <c r="F17" s="4">
        <v>2042</v>
      </c>
      <c r="G17">
        <v>1</v>
      </c>
      <c r="H17" t="e">
        <f ca="1"/>
        <v>#NAME?</v>
      </c>
      <c r="I17">
        <f t="shared" ca="1" si="0"/>
        <v>0</v>
      </c>
      <c r="J17">
        <f t="shared" ca="1" si="1"/>
        <v>0</v>
      </c>
      <c r="K17" t="e">
        <f t="shared" ca="1" si="2"/>
        <v>#DIV/0!</v>
      </c>
      <c r="L17" t="e">
        <f t="shared" ca="1" si="3"/>
        <v>#DIV/0!</v>
      </c>
      <c r="M17" t="e">
        <f t="shared" ca="1" si="4"/>
        <v>#DIV/0!</v>
      </c>
      <c r="N17" t="e">
        <f t="shared" ca="1" si="5"/>
        <v>#DIV/0!</v>
      </c>
      <c r="O17" t="e">
        <f t="shared" ca="1" si="6"/>
        <v>#DIV/0!</v>
      </c>
    </row>
    <row r="18" spans="1:15" ht="16.5" thickTop="1" thickBot="1" x14ac:dyDescent="0.4">
      <c r="A18" s="4">
        <v>2043</v>
      </c>
      <c r="B18" s="5" t="s">
        <v>21</v>
      </c>
      <c r="C18" s="6"/>
      <c r="D18" s="5">
        <v>9</v>
      </c>
      <c r="E18" s="5" t="s">
        <v>6</v>
      </c>
      <c r="F18" s="4">
        <v>2043</v>
      </c>
      <c r="G18">
        <v>0</v>
      </c>
      <c r="H18" t="e">
        <f ca="1"/>
        <v>#NAME?</v>
      </c>
      <c r="I18">
        <f t="shared" ca="1" si="0"/>
        <v>0</v>
      </c>
      <c r="J18">
        <f t="shared" ca="1" si="1"/>
        <v>0</v>
      </c>
      <c r="K18" t="e">
        <f t="shared" ca="1" si="2"/>
        <v>#DIV/0!</v>
      </c>
      <c r="L18" t="e">
        <f t="shared" ca="1" si="3"/>
        <v>#DIV/0!</v>
      </c>
      <c r="M18" t="e">
        <f t="shared" ca="1" si="4"/>
        <v>#DIV/0!</v>
      </c>
      <c r="N18" t="e">
        <f t="shared" ca="1" si="5"/>
        <v>#DIV/0!</v>
      </c>
      <c r="O18" t="e">
        <f t="shared" ca="1" si="6"/>
        <v>#DIV/0!</v>
      </c>
    </row>
    <row r="19" spans="1:15" ht="16.5" thickTop="1" thickBot="1" x14ac:dyDescent="0.4">
      <c r="A19" s="4">
        <v>2044</v>
      </c>
      <c r="B19" s="5" t="s">
        <v>22</v>
      </c>
      <c r="C19" s="6"/>
      <c r="D19" s="5">
        <v>14</v>
      </c>
      <c r="E19" s="5" t="s">
        <v>6</v>
      </c>
      <c r="F19" s="4">
        <v>2044</v>
      </c>
      <c r="G19">
        <v>0</v>
      </c>
      <c r="H19" t="e">
        <f ca="1"/>
        <v>#NAME?</v>
      </c>
      <c r="I19">
        <f t="shared" ca="1" si="0"/>
        <v>0</v>
      </c>
      <c r="J19">
        <f t="shared" ca="1" si="1"/>
        <v>0</v>
      </c>
      <c r="K19" t="e">
        <f t="shared" ca="1" si="2"/>
        <v>#DIV/0!</v>
      </c>
      <c r="L19" t="e">
        <f t="shared" ca="1" si="3"/>
        <v>#DIV/0!</v>
      </c>
      <c r="M19" t="e">
        <f t="shared" ca="1" si="4"/>
        <v>#DIV/0!</v>
      </c>
      <c r="N19" t="e">
        <f t="shared" ca="1" si="5"/>
        <v>#DIV/0!</v>
      </c>
      <c r="O19" t="e">
        <f t="shared" ca="1" si="6"/>
        <v>#DIV/0!</v>
      </c>
    </row>
    <row r="20" spans="1:15" ht="16.5" thickTop="1" thickBot="1" x14ac:dyDescent="0.4">
      <c r="A20" s="4">
        <v>2051</v>
      </c>
      <c r="B20" s="5" t="s">
        <v>23</v>
      </c>
      <c r="C20" s="6"/>
      <c r="D20" s="5">
        <v>5</v>
      </c>
      <c r="E20" s="5" t="s">
        <v>7</v>
      </c>
      <c r="F20" s="4">
        <v>2051</v>
      </c>
      <c r="G20">
        <v>1</v>
      </c>
      <c r="H20" t="e">
        <f ca="1"/>
        <v>#NAME?</v>
      </c>
      <c r="I20">
        <f t="shared" ca="1" si="0"/>
        <v>0</v>
      </c>
      <c r="J20">
        <f t="shared" ca="1" si="1"/>
        <v>0</v>
      </c>
      <c r="K20" t="e">
        <f t="shared" ca="1" si="2"/>
        <v>#DIV/0!</v>
      </c>
      <c r="L20" t="e">
        <f t="shared" ca="1" si="3"/>
        <v>#DIV/0!</v>
      </c>
      <c r="M20" t="e">
        <f t="shared" ca="1" si="4"/>
        <v>#DIV/0!</v>
      </c>
      <c r="N20" t="e">
        <f t="shared" ca="1" si="5"/>
        <v>#DIV/0!</v>
      </c>
      <c r="O20" t="e">
        <f t="shared" ca="1" si="6"/>
        <v>#DIV/0!</v>
      </c>
    </row>
    <row r="21" spans="1:15" ht="16.5" thickTop="1" thickBot="1" x14ac:dyDescent="0.4">
      <c r="A21" s="4">
        <v>2052</v>
      </c>
      <c r="B21" s="5" t="s">
        <v>16</v>
      </c>
      <c r="C21" s="6"/>
      <c r="D21" s="5">
        <v>14</v>
      </c>
      <c r="E21" s="5" t="s">
        <v>17</v>
      </c>
      <c r="F21" s="4">
        <v>2052</v>
      </c>
      <c r="G21">
        <v>0</v>
      </c>
      <c r="H21" t="e">
        <f ca="1"/>
        <v>#NAME?</v>
      </c>
      <c r="I21">
        <f t="shared" ca="1" si="0"/>
        <v>0</v>
      </c>
      <c r="J21">
        <f t="shared" ca="1" si="1"/>
        <v>0</v>
      </c>
      <c r="K21" t="e">
        <f t="shared" ca="1" si="2"/>
        <v>#DIV/0!</v>
      </c>
      <c r="L21" t="e">
        <f t="shared" ca="1" si="3"/>
        <v>#DIV/0!</v>
      </c>
      <c r="M21" t="e">
        <f t="shared" ca="1" si="4"/>
        <v>#DIV/0!</v>
      </c>
      <c r="N21" t="e">
        <f t="shared" ca="1" si="5"/>
        <v>#DIV/0!</v>
      </c>
      <c r="O21" t="e">
        <f t="shared" ca="1" si="6"/>
        <v>#DIV/0!</v>
      </c>
    </row>
    <row r="22" spans="1:15" ht="16.5" thickTop="1" thickBot="1" x14ac:dyDescent="0.4">
      <c r="A22" s="4">
        <v>2053</v>
      </c>
      <c r="B22" s="5" t="s">
        <v>24</v>
      </c>
      <c r="C22" s="7"/>
      <c r="D22" s="5">
        <v>9</v>
      </c>
      <c r="E22" s="5" t="s">
        <v>7</v>
      </c>
      <c r="F22" s="4">
        <v>2053</v>
      </c>
      <c r="G22">
        <v>1</v>
      </c>
      <c r="H22" t="e">
        <f ca="1"/>
        <v>#NAME?</v>
      </c>
      <c r="I22">
        <f t="shared" ca="1" si="0"/>
        <v>0</v>
      </c>
      <c r="J22">
        <f t="shared" ca="1" si="1"/>
        <v>0</v>
      </c>
      <c r="K22" t="e">
        <f t="shared" ca="1" si="2"/>
        <v>#DIV/0!</v>
      </c>
      <c r="L22" t="e">
        <f t="shared" ca="1" si="3"/>
        <v>#DIV/0!</v>
      </c>
      <c r="M22" t="e">
        <f t="shared" ca="1" si="4"/>
        <v>#DIV/0!</v>
      </c>
      <c r="N22" t="e">
        <f t="shared" ca="1" si="5"/>
        <v>#DIV/0!</v>
      </c>
      <c r="O22" t="e">
        <f t="shared" ca="1" si="6"/>
        <v>#DIV/0!</v>
      </c>
    </row>
    <row r="23" spans="1:15" ht="16" thickTop="1" x14ac:dyDescent="0.35">
      <c r="A23" s="8">
        <v>2054</v>
      </c>
      <c r="B23" s="9" t="s">
        <v>25</v>
      </c>
      <c r="D23" s="9">
        <v>18</v>
      </c>
      <c r="E23" s="9" t="s">
        <v>6</v>
      </c>
      <c r="F23" s="8">
        <v>2054</v>
      </c>
      <c r="G23">
        <v>0</v>
      </c>
      <c r="H23" t="e">
        <f ca="1"/>
        <v>#NAME?</v>
      </c>
      <c r="I23">
        <f t="shared" ca="1" si="0"/>
        <v>0</v>
      </c>
      <c r="J23">
        <f t="shared" ca="1" si="1"/>
        <v>0</v>
      </c>
      <c r="K23" t="e">
        <f t="shared" ca="1" si="2"/>
        <v>#DIV/0!</v>
      </c>
      <c r="L23" t="e">
        <f t="shared" ca="1" si="3"/>
        <v>#DIV/0!</v>
      </c>
      <c r="M23" t="e">
        <f t="shared" ca="1" si="4"/>
        <v>#DIV/0!</v>
      </c>
      <c r="N23" t="e">
        <f t="shared" ca="1" si="5"/>
        <v>#DIV/0!</v>
      </c>
      <c r="O23" t="e">
        <f t="shared" ca="1" si="6"/>
        <v>#DIV/0!</v>
      </c>
    </row>
    <row r="24" spans="1:15" ht="15.5" x14ac:dyDescent="0.35">
      <c r="A24" s="8">
        <v>2061</v>
      </c>
      <c r="B24" s="9" t="s">
        <v>26</v>
      </c>
      <c r="D24" s="9">
        <v>13</v>
      </c>
      <c r="E24" s="9" t="s">
        <v>7</v>
      </c>
      <c r="F24" s="8">
        <v>2061</v>
      </c>
      <c r="G24">
        <v>1</v>
      </c>
      <c r="H24" t="e">
        <f ca="1"/>
        <v>#NAME?</v>
      </c>
      <c r="I24">
        <f t="shared" ca="1" si="0"/>
        <v>0</v>
      </c>
      <c r="J24">
        <f t="shared" ca="1" si="1"/>
        <v>0</v>
      </c>
      <c r="K24" t="e">
        <f t="shared" ca="1" si="2"/>
        <v>#DIV/0!</v>
      </c>
      <c r="L24" t="e">
        <f t="shared" ca="1" si="3"/>
        <v>#DIV/0!</v>
      </c>
      <c r="M24" t="e">
        <f t="shared" ca="1" si="4"/>
        <v>#DIV/0!</v>
      </c>
      <c r="N24" t="e">
        <f t="shared" ca="1" si="5"/>
        <v>#DIV/0!</v>
      </c>
      <c r="O24" t="e">
        <f t="shared" ca="1" si="6"/>
        <v>#DIV/0!</v>
      </c>
    </row>
    <row r="25" spans="1:15" ht="15.5" x14ac:dyDescent="0.35">
      <c r="A25" s="8">
        <v>2062</v>
      </c>
      <c r="B25" s="9">
        <v>36</v>
      </c>
      <c r="D25" s="9">
        <v>9</v>
      </c>
      <c r="E25" s="9" t="s">
        <v>7</v>
      </c>
      <c r="F25" s="8">
        <v>2062</v>
      </c>
      <c r="G25" s="11">
        <v>1</v>
      </c>
      <c r="H25" t="e">
        <f ca="1"/>
        <v>#NAME?</v>
      </c>
      <c r="I25">
        <f t="shared" ca="1" si="0"/>
        <v>0</v>
      </c>
      <c r="J25">
        <f t="shared" ca="1" si="1"/>
        <v>0</v>
      </c>
      <c r="K25" t="e">
        <f t="shared" ca="1" si="2"/>
        <v>#DIV/0!</v>
      </c>
      <c r="L25" t="e">
        <f t="shared" ca="1" si="3"/>
        <v>#DIV/0!</v>
      </c>
      <c r="M25" t="e">
        <f t="shared" ca="1" si="4"/>
        <v>#DIV/0!</v>
      </c>
      <c r="N25" t="e">
        <f t="shared" ca="1" si="5"/>
        <v>#DIV/0!</v>
      </c>
      <c r="O25" t="e">
        <f t="shared" ca="1" si="6"/>
        <v>#DIV/0!</v>
      </c>
    </row>
    <row r="26" spans="1:15" ht="15.5" x14ac:dyDescent="0.35">
      <c r="A26" s="8">
        <v>2063</v>
      </c>
      <c r="B26" s="9" t="s">
        <v>27</v>
      </c>
      <c r="D26" s="9">
        <v>17</v>
      </c>
      <c r="E26" s="9" t="s">
        <v>7</v>
      </c>
      <c r="F26" s="8">
        <v>2063</v>
      </c>
      <c r="G26">
        <v>1</v>
      </c>
      <c r="H26" t="e">
        <f ca="1"/>
        <v>#NAME?</v>
      </c>
      <c r="I26">
        <f t="shared" ca="1" si="0"/>
        <v>0</v>
      </c>
      <c r="J26">
        <f t="shared" ca="1" si="1"/>
        <v>0</v>
      </c>
      <c r="K26" t="e">
        <f t="shared" ca="1" si="2"/>
        <v>#DIV/0!</v>
      </c>
      <c r="L26" t="e">
        <f t="shared" ca="1" si="3"/>
        <v>#DIV/0!</v>
      </c>
      <c r="M26" t="e">
        <f t="shared" ca="1" si="4"/>
        <v>#DIV/0!</v>
      </c>
      <c r="N26" t="e">
        <f t="shared" ca="1" si="5"/>
        <v>#DIV/0!</v>
      </c>
      <c r="O26" t="e">
        <f t="shared" ca="1" si="6"/>
        <v>#DIV/0!</v>
      </c>
    </row>
    <row r="27" spans="1:15" ht="15.5" x14ac:dyDescent="0.35">
      <c r="A27" s="8">
        <v>2071</v>
      </c>
      <c r="B27" s="9" t="s">
        <v>28</v>
      </c>
      <c r="D27" s="9">
        <v>17</v>
      </c>
      <c r="E27" s="9" t="s">
        <v>7</v>
      </c>
      <c r="F27" s="8">
        <v>2071</v>
      </c>
      <c r="G27">
        <v>1</v>
      </c>
      <c r="H27" t="e">
        <f ca="1"/>
        <v>#NAME?</v>
      </c>
      <c r="I27">
        <f t="shared" ca="1" si="0"/>
        <v>0</v>
      </c>
      <c r="J27">
        <f t="shared" ca="1" si="1"/>
        <v>0</v>
      </c>
      <c r="K27" t="e">
        <f t="shared" ca="1" si="2"/>
        <v>#DIV/0!</v>
      </c>
      <c r="L27" t="e">
        <f t="shared" ca="1" si="3"/>
        <v>#DIV/0!</v>
      </c>
      <c r="M27" t="e">
        <f t="shared" ca="1" si="4"/>
        <v>#DIV/0!</v>
      </c>
      <c r="N27" t="e">
        <f t="shared" ca="1" si="5"/>
        <v>#DIV/0!</v>
      </c>
      <c r="O27" t="e">
        <f t="shared" ca="1" si="6"/>
        <v>#DIV/0!</v>
      </c>
    </row>
    <row r="28" spans="1:15" ht="16" thickBot="1" x14ac:dyDescent="0.4">
      <c r="A28" s="8">
        <v>2072</v>
      </c>
      <c r="B28" s="9">
        <v>45</v>
      </c>
      <c r="D28" s="9">
        <v>10</v>
      </c>
      <c r="E28" s="5" t="s">
        <v>6</v>
      </c>
      <c r="F28" s="8">
        <v>2072</v>
      </c>
      <c r="G28" s="11">
        <v>0</v>
      </c>
      <c r="H28" t="e">
        <f ca="1"/>
        <v>#NAME?</v>
      </c>
      <c r="I28">
        <f t="shared" ca="1" si="0"/>
        <v>0</v>
      </c>
      <c r="J28">
        <f t="shared" ca="1" si="1"/>
        <v>0</v>
      </c>
      <c r="K28" t="e">
        <f t="shared" ca="1" si="2"/>
        <v>#DIV/0!</v>
      </c>
      <c r="L28" t="e">
        <f t="shared" ca="1" si="3"/>
        <v>#DIV/0!</v>
      </c>
      <c r="M28" t="e">
        <f t="shared" ca="1" si="4"/>
        <v>#DIV/0!</v>
      </c>
      <c r="N28" t="e">
        <f t="shared" ca="1" si="5"/>
        <v>#DIV/0!</v>
      </c>
      <c r="O28" t="e">
        <f t="shared" ca="1" si="6"/>
        <v>#DIV/0!</v>
      </c>
    </row>
    <row r="29" spans="1:15" ht="16" thickTop="1" x14ac:dyDescent="0.35">
      <c r="A29" s="8">
        <v>2073</v>
      </c>
      <c r="B29" s="9" t="s">
        <v>29</v>
      </c>
      <c r="D29" s="9">
        <v>16</v>
      </c>
      <c r="E29" s="9" t="s">
        <v>7</v>
      </c>
      <c r="F29" s="8">
        <v>2073</v>
      </c>
      <c r="G29">
        <v>1</v>
      </c>
      <c r="H29" t="e">
        <f ca="1"/>
        <v>#NAME?</v>
      </c>
      <c r="I29">
        <f t="shared" ca="1" si="0"/>
        <v>0</v>
      </c>
      <c r="J29">
        <f t="shared" ca="1" si="1"/>
        <v>0</v>
      </c>
      <c r="K29" t="e">
        <f t="shared" ca="1" si="2"/>
        <v>#DIV/0!</v>
      </c>
      <c r="L29" t="e">
        <f t="shared" ca="1" si="3"/>
        <v>#DIV/0!</v>
      </c>
      <c r="M29" t="e">
        <f t="shared" ca="1" si="4"/>
        <v>#DIV/0!</v>
      </c>
      <c r="N29" t="e">
        <f t="shared" ca="1" si="5"/>
        <v>#DIV/0!</v>
      </c>
      <c r="O29" t="e">
        <f t="shared" ca="1" si="6"/>
        <v>#DIV/0!</v>
      </c>
    </row>
    <row r="30" spans="1:15" ht="15.5" x14ac:dyDescent="0.35">
      <c r="A30" s="8">
        <v>2074</v>
      </c>
      <c r="B30" s="9" t="s">
        <v>30</v>
      </c>
      <c r="D30" s="9">
        <v>5</v>
      </c>
      <c r="E30" s="9" t="s">
        <v>7</v>
      </c>
      <c r="F30" s="8">
        <v>2074</v>
      </c>
      <c r="G30">
        <v>1</v>
      </c>
      <c r="H30" t="e">
        <f ca="1"/>
        <v>#NAME?</v>
      </c>
      <c r="I30">
        <f t="shared" ca="1" si="0"/>
        <v>0</v>
      </c>
      <c r="J30">
        <f t="shared" ca="1" si="1"/>
        <v>0</v>
      </c>
      <c r="K30" t="e">
        <f t="shared" ca="1" si="2"/>
        <v>#DIV/0!</v>
      </c>
      <c r="L30" t="e">
        <f t="shared" ca="1" si="3"/>
        <v>#DIV/0!</v>
      </c>
      <c r="M30" t="e">
        <f t="shared" ca="1" si="4"/>
        <v>#DIV/0!</v>
      </c>
      <c r="N30" t="e">
        <f t="shared" ca="1" si="5"/>
        <v>#DIV/0!</v>
      </c>
      <c r="O30" t="e">
        <f t="shared" ca="1" si="6"/>
        <v>#DIV/0!</v>
      </c>
    </row>
    <row r="31" spans="1:15" x14ac:dyDescent="0.35">
      <c r="H31" t="e">
        <f ca="1"/>
        <v>#NAME?</v>
      </c>
      <c r="I31">
        <f t="shared" ca="1" si="0"/>
        <v>0</v>
      </c>
      <c r="J31">
        <f t="shared" ca="1" si="1"/>
        <v>0</v>
      </c>
      <c r="K31" t="e">
        <f t="shared" ca="1" si="2"/>
        <v>#DIV/0!</v>
      </c>
      <c r="L31" t="e">
        <f t="shared" ca="1" si="3"/>
        <v>#DIV/0!</v>
      </c>
      <c r="M31" t="e">
        <f t="shared" ca="1" si="4"/>
        <v>#DIV/0!</v>
      </c>
      <c r="N31" t="e">
        <f t="shared" ca="1" si="5"/>
        <v>#DIV/0!</v>
      </c>
      <c r="O31" t="e">
        <f t="shared" ca="1" si="6"/>
        <v>#DIV/0!</v>
      </c>
    </row>
    <row r="32" spans="1:15" x14ac:dyDescent="0.35">
      <c r="H32" t="e">
        <f ca="1"/>
        <v>#NAME?</v>
      </c>
      <c r="I32">
        <f t="shared" ca="1" si="0"/>
        <v>0</v>
      </c>
      <c r="J32">
        <f t="shared" ca="1" si="1"/>
        <v>0</v>
      </c>
      <c r="K32" t="e">
        <f t="shared" ca="1" si="2"/>
        <v>#DIV/0!</v>
      </c>
      <c r="L32" t="e">
        <f t="shared" ca="1" si="3"/>
        <v>#DIV/0!</v>
      </c>
      <c r="M32" t="e">
        <f t="shared" ca="1" si="4"/>
        <v>#DIV/0!</v>
      </c>
      <c r="N32" t="e">
        <f t="shared" ca="1" si="5"/>
        <v>#DIV/0!</v>
      </c>
      <c r="O32" t="e">
        <f t="shared" ca="1" si="6"/>
        <v>#DIV/0!</v>
      </c>
    </row>
    <row r="33" spans="8:15" x14ac:dyDescent="0.35">
      <c r="H33" s="17"/>
      <c r="I33" s="17"/>
      <c r="J33" s="17"/>
      <c r="K33" s="17"/>
      <c r="L33" s="17"/>
      <c r="M33" s="17"/>
      <c r="N33" s="17"/>
      <c r="O33" s="17"/>
    </row>
  </sheetData>
  <mergeCells count="2">
    <mergeCell ref="A1:E1"/>
    <mergeCell ref="A2:E2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D563-7F88-4540-A9CA-1671C5E026F2}">
  <dimension ref="A2:E31"/>
  <sheetViews>
    <sheetView tabSelected="1" zoomScale="70" zoomScaleNormal="70" workbookViewId="0">
      <selection activeCell="B35" sqref="B35"/>
    </sheetView>
  </sheetViews>
  <sheetFormatPr baseColWidth="10" defaultRowHeight="14.5" x14ac:dyDescent="0.35"/>
  <sheetData>
    <row r="2" spans="1:5" x14ac:dyDescent="0.35">
      <c r="A2" s="28" t="s">
        <v>31</v>
      </c>
      <c r="B2" s="28"/>
      <c r="C2" s="28"/>
      <c r="D2" s="28"/>
      <c r="E2" s="29"/>
    </row>
    <row r="3" spans="1:5" x14ac:dyDescent="0.35">
      <c r="A3" s="30" t="s">
        <v>0</v>
      </c>
      <c r="B3" s="30"/>
      <c r="C3" s="30"/>
      <c r="D3" s="30"/>
      <c r="E3" s="29"/>
    </row>
    <row r="4" spans="1:5" x14ac:dyDescent="0.35">
      <c r="A4" s="31" t="s">
        <v>1</v>
      </c>
      <c r="B4" s="31" t="s">
        <v>2</v>
      </c>
      <c r="C4" s="31" t="s">
        <v>4</v>
      </c>
      <c r="D4" s="31" t="s">
        <v>5</v>
      </c>
      <c r="E4" s="32" t="s">
        <v>105</v>
      </c>
    </row>
    <row r="5" spans="1:5" x14ac:dyDescent="0.35">
      <c r="A5" s="31">
        <v>2011</v>
      </c>
      <c r="B5" s="31" t="s">
        <v>9</v>
      </c>
      <c r="C5" s="31">
        <v>3</v>
      </c>
      <c r="D5" s="31" t="s">
        <v>6</v>
      </c>
      <c r="E5" s="33">
        <v>0</v>
      </c>
    </row>
    <row r="6" spans="1:5" x14ac:dyDescent="0.35">
      <c r="A6" s="31">
        <v>2012</v>
      </c>
      <c r="B6" s="31" t="s">
        <v>10</v>
      </c>
      <c r="C6" s="31">
        <v>12</v>
      </c>
      <c r="D6" s="31" t="s">
        <v>7</v>
      </c>
      <c r="E6" s="33">
        <v>1</v>
      </c>
    </row>
    <row r="7" spans="1:5" x14ac:dyDescent="0.35">
      <c r="A7" s="31">
        <v>2013</v>
      </c>
      <c r="B7" s="31" t="s">
        <v>11</v>
      </c>
      <c r="C7" s="31">
        <v>13</v>
      </c>
      <c r="D7" s="31" t="s">
        <v>7</v>
      </c>
      <c r="E7" s="33">
        <v>1</v>
      </c>
    </row>
    <row r="8" spans="1:5" x14ac:dyDescent="0.35">
      <c r="A8" s="31">
        <v>2014</v>
      </c>
      <c r="B8" s="31" t="s">
        <v>12</v>
      </c>
      <c r="C8" s="31">
        <v>13</v>
      </c>
      <c r="D8" s="31" t="s">
        <v>6</v>
      </c>
      <c r="E8" s="33">
        <v>0</v>
      </c>
    </row>
    <row r="9" spans="1:5" x14ac:dyDescent="0.35">
      <c r="A9" s="31">
        <v>2021</v>
      </c>
      <c r="B9" s="31">
        <v>45</v>
      </c>
      <c r="C9" s="31">
        <v>9</v>
      </c>
      <c r="D9" s="31" t="s">
        <v>6</v>
      </c>
      <c r="E9" s="31">
        <v>0</v>
      </c>
    </row>
    <row r="10" spans="1:5" x14ac:dyDescent="0.35">
      <c r="A10" s="31">
        <v>2022</v>
      </c>
      <c r="B10" s="31" t="s">
        <v>13</v>
      </c>
      <c r="C10" s="31">
        <v>7</v>
      </c>
      <c r="D10" s="31" t="s">
        <v>7</v>
      </c>
      <c r="E10" s="33">
        <v>1</v>
      </c>
    </row>
    <row r="11" spans="1:5" x14ac:dyDescent="0.35">
      <c r="A11" s="31">
        <v>2023</v>
      </c>
      <c r="B11" s="31" t="s">
        <v>14</v>
      </c>
      <c r="C11" s="31">
        <v>12</v>
      </c>
      <c r="D11" s="31" t="s">
        <v>7</v>
      </c>
      <c r="E11" s="33">
        <v>1</v>
      </c>
    </row>
    <row r="12" spans="1:5" x14ac:dyDescent="0.35">
      <c r="A12" s="31">
        <v>2024</v>
      </c>
      <c r="B12" s="31" t="s">
        <v>15</v>
      </c>
      <c r="C12" s="31">
        <v>20</v>
      </c>
      <c r="D12" s="31" t="s">
        <v>6</v>
      </c>
      <c r="E12" s="33">
        <v>0</v>
      </c>
    </row>
    <row r="13" spans="1:5" x14ac:dyDescent="0.35">
      <c r="A13" s="31">
        <v>2031</v>
      </c>
      <c r="B13" s="31" t="s">
        <v>16</v>
      </c>
      <c r="C13" s="31">
        <v>14</v>
      </c>
      <c r="D13" s="31" t="s">
        <v>17</v>
      </c>
      <c r="E13" s="33">
        <v>0</v>
      </c>
    </row>
    <row r="14" spans="1:5" x14ac:dyDescent="0.35">
      <c r="A14" s="31">
        <v>2032</v>
      </c>
      <c r="B14" s="31" t="s">
        <v>18</v>
      </c>
      <c r="C14" s="31">
        <v>19</v>
      </c>
      <c r="D14" s="31" t="s">
        <v>6</v>
      </c>
      <c r="E14" s="33">
        <v>0</v>
      </c>
    </row>
    <row r="15" spans="1:5" x14ac:dyDescent="0.35">
      <c r="A15" s="31">
        <v>2033</v>
      </c>
      <c r="B15" s="31" t="s">
        <v>16</v>
      </c>
      <c r="C15" s="31">
        <v>7</v>
      </c>
      <c r="D15" s="31" t="s">
        <v>17</v>
      </c>
      <c r="E15" s="33">
        <v>0</v>
      </c>
    </row>
    <row r="16" spans="1:5" x14ac:dyDescent="0.35">
      <c r="A16" s="31">
        <v>2034</v>
      </c>
      <c r="B16" s="31" t="s">
        <v>19</v>
      </c>
      <c r="C16" s="31">
        <v>21</v>
      </c>
      <c r="D16" s="31" t="s">
        <v>7</v>
      </c>
      <c r="E16" s="33">
        <v>1</v>
      </c>
    </row>
    <row r="17" spans="1:5" x14ac:dyDescent="0.35">
      <c r="A17" s="31">
        <v>2041</v>
      </c>
      <c r="B17" s="31" t="s">
        <v>20</v>
      </c>
      <c r="C17" s="31">
        <v>14</v>
      </c>
      <c r="D17" s="31" t="s">
        <v>7</v>
      </c>
      <c r="E17" s="33">
        <v>1</v>
      </c>
    </row>
    <row r="18" spans="1:5" x14ac:dyDescent="0.35">
      <c r="A18" s="31">
        <v>2042</v>
      </c>
      <c r="B18" s="31" t="s">
        <v>8</v>
      </c>
      <c r="C18" s="31">
        <v>15</v>
      </c>
      <c r="D18" s="31" t="s">
        <v>7</v>
      </c>
      <c r="E18" s="33">
        <v>1</v>
      </c>
    </row>
    <row r="19" spans="1:5" x14ac:dyDescent="0.35">
      <c r="A19" s="31">
        <v>2043</v>
      </c>
      <c r="B19" s="31" t="s">
        <v>21</v>
      </c>
      <c r="C19" s="31">
        <v>9</v>
      </c>
      <c r="D19" s="31" t="s">
        <v>6</v>
      </c>
      <c r="E19" s="33">
        <v>0</v>
      </c>
    </row>
    <row r="20" spans="1:5" x14ac:dyDescent="0.35">
      <c r="A20" s="31">
        <v>2044</v>
      </c>
      <c r="B20" s="31" t="s">
        <v>22</v>
      </c>
      <c r="C20" s="31">
        <v>14</v>
      </c>
      <c r="D20" s="31" t="s">
        <v>6</v>
      </c>
      <c r="E20" s="33">
        <v>0</v>
      </c>
    </row>
    <row r="21" spans="1:5" x14ac:dyDescent="0.35">
      <c r="A21" s="31">
        <v>2051</v>
      </c>
      <c r="B21" s="31" t="s">
        <v>23</v>
      </c>
      <c r="C21" s="31">
        <v>5</v>
      </c>
      <c r="D21" s="31" t="s">
        <v>7</v>
      </c>
      <c r="E21" s="33">
        <v>1</v>
      </c>
    </row>
    <row r="22" spans="1:5" x14ac:dyDescent="0.35">
      <c r="A22" s="31">
        <v>2052</v>
      </c>
      <c r="B22" s="31" t="s">
        <v>16</v>
      </c>
      <c r="C22" s="31">
        <v>14</v>
      </c>
      <c r="D22" s="31" t="s">
        <v>17</v>
      </c>
      <c r="E22" s="33">
        <v>0</v>
      </c>
    </row>
    <row r="23" spans="1:5" x14ac:dyDescent="0.35">
      <c r="A23" s="31">
        <v>2053</v>
      </c>
      <c r="B23" s="31" t="s">
        <v>24</v>
      </c>
      <c r="C23" s="31">
        <v>9</v>
      </c>
      <c r="D23" s="31" t="s">
        <v>7</v>
      </c>
      <c r="E23" s="33">
        <v>1</v>
      </c>
    </row>
    <row r="24" spans="1:5" x14ac:dyDescent="0.35">
      <c r="A24" s="31">
        <v>2054</v>
      </c>
      <c r="B24" s="31" t="s">
        <v>25</v>
      </c>
      <c r="C24" s="31">
        <v>18</v>
      </c>
      <c r="D24" s="31" t="s">
        <v>6</v>
      </c>
      <c r="E24" s="33">
        <v>0</v>
      </c>
    </row>
    <row r="25" spans="1:5" x14ac:dyDescent="0.35">
      <c r="A25" s="31">
        <v>2061</v>
      </c>
      <c r="B25" s="31" t="s">
        <v>26</v>
      </c>
      <c r="C25" s="31">
        <v>13</v>
      </c>
      <c r="D25" s="31" t="s">
        <v>7</v>
      </c>
      <c r="E25" s="33">
        <v>1</v>
      </c>
    </row>
    <row r="26" spans="1:5" x14ac:dyDescent="0.35">
      <c r="A26" s="31">
        <v>2062</v>
      </c>
      <c r="B26" s="31">
        <v>36</v>
      </c>
      <c r="C26" s="31">
        <v>9</v>
      </c>
      <c r="D26" s="31" t="s">
        <v>7</v>
      </c>
      <c r="E26" s="31">
        <v>1</v>
      </c>
    </row>
    <row r="27" spans="1:5" x14ac:dyDescent="0.35">
      <c r="A27" s="31">
        <v>2063</v>
      </c>
      <c r="B27" s="31" t="s">
        <v>27</v>
      </c>
      <c r="C27" s="31">
        <v>17</v>
      </c>
      <c r="D27" s="31" t="s">
        <v>7</v>
      </c>
      <c r="E27" s="33">
        <v>1</v>
      </c>
    </row>
    <row r="28" spans="1:5" x14ac:dyDescent="0.35">
      <c r="A28" s="31">
        <v>2071</v>
      </c>
      <c r="B28" s="31" t="s">
        <v>28</v>
      </c>
      <c r="C28" s="31">
        <v>17</v>
      </c>
      <c r="D28" s="31" t="s">
        <v>7</v>
      </c>
      <c r="E28" s="33">
        <v>1</v>
      </c>
    </row>
    <row r="29" spans="1:5" x14ac:dyDescent="0.35">
      <c r="A29" s="31">
        <v>2072</v>
      </c>
      <c r="B29" s="31">
        <v>45</v>
      </c>
      <c r="C29" s="31">
        <v>10</v>
      </c>
      <c r="D29" s="31" t="s">
        <v>6</v>
      </c>
      <c r="E29" s="31">
        <v>0</v>
      </c>
    </row>
    <row r="30" spans="1:5" x14ac:dyDescent="0.35">
      <c r="A30" s="31">
        <v>2073</v>
      </c>
      <c r="B30" s="31" t="s">
        <v>29</v>
      </c>
      <c r="C30" s="31">
        <v>16</v>
      </c>
      <c r="D30" s="31" t="s">
        <v>7</v>
      </c>
      <c r="E30" s="33">
        <v>1</v>
      </c>
    </row>
    <row r="31" spans="1:5" x14ac:dyDescent="0.35">
      <c r="A31" s="31">
        <v>2074</v>
      </c>
      <c r="B31" s="31" t="s">
        <v>30</v>
      </c>
      <c r="C31" s="31">
        <v>5</v>
      </c>
      <c r="D31" s="31" t="s">
        <v>7</v>
      </c>
      <c r="E31" s="33">
        <v>1</v>
      </c>
    </row>
  </sheetData>
  <mergeCells count="2">
    <mergeCell ref="A2:D2"/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46BC-5278-4A32-A8DD-AE001508AE2D}">
  <dimension ref="A1:I21"/>
  <sheetViews>
    <sheetView workbookViewId="0">
      <selection activeCell="B5" sqref="B5:B9"/>
    </sheetView>
  </sheetViews>
  <sheetFormatPr baseColWidth="10" defaultRowHeight="14.5" x14ac:dyDescent="0.35"/>
  <sheetData>
    <row r="1" spans="1:9" x14ac:dyDescent="0.35">
      <c r="A1" t="s">
        <v>106</v>
      </c>
      <c r="F1" t="s">
        <v>107</v>
      </c>
      <c r="G1">
        <v>0.05</v>
      </c>
    </row>
    <row r="2" spans="1:9" ht="15" thickBot="1" x14ac:dyDescent="0.4"/>
    <row r="3" spans="1:9" ht="15" thickTop="1" x14ac:dyDescent="0.35">
      <c r="A3" s="16" t="s">
        <v>108</v>
      </c>
      <c r="B3" s="16" t="s">
        <v>109</v>
      </c>
      <c r="C3" s="16" t="s">
        <v>110</v>
      </c>
      <c r="D3" s="16" t="s">
        <v>111</v>
      </c>
      <c r="E3" s="16" t="s">
        <v>112</v>
      </c>
      <c r="F3" s="16" t="s">
        <v>113</v>
      </c>
      <c r="G3" s="16" t="s">
        <v>114</v>
      </c>
      <c r="H3" s="16" t="s">
        <v>115</v>
      </c>
    </row>
    <row r="4" spans="1:9" x14ac:dyDescent="0.35">
      <c r="A4">
        <v>0</v>
      </c>
      <c r="C4">
        <f>COUNT(Hoja2!A23:A39)</f>
        <v>17</v>
      </c>
      <c r="E4">
        <v>1</v>
      </c>
    </row>
    <row r="5" spans="1:9" x14ac:dyDescent="0.35">
      <c r="A5">
        <f t="array" ref="A5:A20">[1]!SortUnique(Hoja2!A23:A39)</f>
        <v>8</v>
      </c>
      <c r="B5">
        <f>COUNTIFS(Hoja2!$A$23:$A$39,A5,Hoja2!$B$23:$B$39,1)</f>
        <v>0</v>
      </c>
      <c r="C5">
        <f>COUNTIF(Hoja2!$A$23:$A$39,"&gt;"&amp;A5-1)</f>
        <v>17</v>
      </c>
      <c r="D5">
        <f>1-B5/C5</f>
        <v>1</v>
      </c>
      <c r="E5">
        <f>E4*D5</f>
        <v>1</v>
      </c>
      <c r="F5">
        <f>IF(E5&gt;0,SQRT(B5/(C5*(C5-B5))+(F4/E4)^2)*E5,0)</f>
        <v>0</v>
      </c>
      <c r="G5" t="str">
        <f>IF(F5&gt;0,E5^EXP(_xlfn.NORM.S.INV($G$1/2)/LN(E5)*F5/E5),"")</f>
        <v/>
      </c>
      <c r="H5" t="str">
        <f>IF(F5&gt;0,E5^EXP(-_xlfn.NORM.S.INV($G$1/2)/LN(E5)*F5/E5),"")</f>
        <v/>
      </c>
    </row>
    <row r="6" spans="1:9" x14ac:dyDescent="0.35">
      <c r="A6">
        <v>12</v>
      </c>
      <c r="B6">
        <f>COUNTIFS(Hoja2!$A$23:$A$39,A6,Hoja2!$B$23:$B$39,1)</f>
        <v>0</v>
      </c>
      <c r="C6">
        <f>COUNTIF(Hoja2!$A$23:$A$39,"&gt;"&amp;A6-1)</f>
        <v>16</v>
      </c>
      <c r="D6">
        <f t="shared" ref="D6:D20" si="0">1-B6/C6</f>
        <v>1</v>
      </c>
      <c r="E6">
        <f t="shared" ref="E6:E20" si="1">E5*D6</f>
        <v>1</v>
      </c>
      <c r="F6">
        <f t="shared" ref="F6:F20" si="2">IF(E6&gt;0,SQRT(B6/(C6*(C6-B6))+(F5/E5)^2)*E6,0)</f>
        <v>0</v>
      </c>
      <c r="G6" t="str">
        <f t="shared" ref="G6:G20" si="3">IF(F6&gt;0,E6^EXP(_xlfn.NORM.S.INV($G$1/2)/LN(E6)*F6/E6),"")</f>
        <v/>
      </c>
      <c r="H6" t="str">
        <f t="shared" ref="H6:H20" si="4">IF(F6&gt;0,E6^EXP(-_xlfn.NORM.S.INV($G$1/2)/LN(E6)*F6/E6),"")</f>
        <v/>
      </c>
    </row>
    <row r="7" spans="1:9" x14ac:dyDescent="0.35">
      <c r="A7">
        <v>16</v>
      </c>
      <c r="B7">
        <f>COUNTIFS(Hoja2!$A$23:$A$39,A7,Hoja2!$B$23:$B$39,1)</f>
        <v>0</v>
      </c>
      <c r="C7">
        <f>COUNTIF(Hoja2!$A$23:$A$39,"&gt;"&amp;A7-1)</f>
        <v>15</v>
      </c>
      <c r="D7">
        <f t="shared" si="0"/>
        <v>1</v>
      </c>
      <c r="E7">
        <f t="shared" si="1"/>
        <v>1</v>
      </c>
      <c r="F7">
        <f t="shared" si="2"/>
        <v>0</v>
      </c>
      <c r="G7" t="str">
        <f t="shared" si="3"/>
        <v/>
      </c>
      <c r="H7" t="str">
        <f t="shared" si="4"/>
        <v/>
      </c>
    </row>
    <row r="8" spans="1:9" x14ac:dyDescent="0.35">
      <c r="A8">
        <v>20</v>
      </c>
      <c r="B8">
        <f>COUNTIFS(Hoja2!$A$23:$A$39,A8,Hoja2!$B$23:$B$39,1)</f>
        <v>0</v>
      </c>
      <c r="C8">
        <f>COUNTIF(Hoja2!$A$23:$A$39,"&gt;"&amp;A8-1)</f>
        <v>14</v>
      </c>
      <c r="D8">
        <f t="shared" si="0"/>
        <v>1</v>
      </c>
      <c r="E8">
        <f t="shared" si="1"/>
        <v>1</v>
      </c>
      <c r="F8">
        <f t="shared" si="2"/>
        <v>0</v>
      </c>
      <c r="G8" t="str">
        <f t="shared" si="3"/>
        <v/>
      </c>
      <c r="H8" t="str">
        <f t="shared" si="4"/>
        <v/>
      </c>
    </row>
    <row r="9" spans="1:9" x14ac:dyDescent="0.35">
      <c r="A9">
        <v>24</v>
      </c>
      <c r="B9">
        <f>COUNTIFS(Hoja2!$A$23:$A$39,A9,Hoja2!$B$23:$B$39,1)</f>
        <v>0</v>
      </c>
      <c r="C9">
        <f>COUNTIF(Hoja2!$A$23:$A$39,"&gt;"&amp;A9-1)</f>
        <v>13</v>
      </c>
      <c r="D9">
        <f t="shared" si="0"/>
        <v>1</v>
      </c>
      <c r="E9">
        <f t="shared" si="1"/>
        <v>1</v>
      </c>
      <c r="F9">
        <f t="shared" si="2"/>
        <v>0</v>
      </c>
      <c r="G9" t="str">
        <f t="shared" si="3"/>
        <v/>
      </c>
      <c r="H9" t="str">
        <f t="shared" si="4"/>
        <v/>
      </c>
    </row>
    <row r="10" spans="1:9" x14ac:dyDescent="0.35">
      <c r="A10">
        <v>28</v>
      </c>
      <c r="B10">
        <f>COUNTIFS(Hoja2!$A$23:$A$39,A10,Hoja2!$B$23:$B$39,1)</f>
        <v>1</v>
      </c>
      <c r="C10">
        <f>COUNTIF(Hoja2!$A$23:$A$39,"&gt;"&amp;A10-1)</f>
        <v>12</v>
      </c>
      <c r="D10">
        <f t="shared" si="0"/>
        <v>0.91666666666666663</v>
      </c>
      <c r="E10">
        <f t="shared" si="1"/>
        <v>0.91666666666666663</v>
      </c>
      <c r="F10">
        <f t="shared" si="2"/>
        <v>7.9785592313028175E-2</v>
      </c>
      <c r="G10">
        <f t="shared" si="3"/>
        <v>0.53897718057074118</v>
      </c>
      <c r="H10">
        <f t="shared" si="4"/>
        <v>0.98782556540045796</v>
      </c>
      <c r="I10">
        <v>28</v>
      </c>
    </row>
    <row r="11" spans="1:9" x14ac:dyDescent="0.35">
      <c r="A11">
        <v>32</v>
      </c>
      <c r="B11">
        <f>COUNTIFS(Hoja2!$A$23:$A$39,A11,Hoja2!$B$23:$B$39,1)</f>
        <v>0</v>
      </c>
      <c r="C11">
        <f>COUNTIF(Hoja2!$A$23:$A$39,"&gt;"&amp;A11-1)</f>
        <v>11</v>
      </c>
      <c r="D11">
        <f t="shared" si="0"/>
        <v>1</v>
      </c>
      <c r="E11">
        <f t="shared" si="1"/>
        <v>0.91666666666666663</v>
      </c>
      <c r="F11">
        <f t="shared" si="2"/>
        <v>7.9785592313028175E-2</v>
      </c>
      <c r="G11">
        <f t="shared" si="3"/>
        <v>0.53897718057074118</v>
      </c>
      <c r="H11">
        <f t="shared" si="4"/>
        <v>0.98782556540045796</v>
      </c>
      <c r="I11">
        <v>32</v>
      </c>
    </row>
    <row r="12" spans="1:9" x14ac:dyDescent="0.35">
      <c r="A12">
        <v>36</v>
      </c>
      <c r="B12">
        <f>COUNTIFS(Hoja2!$A$23:$A$39,A12,Hoja2!$B$23:$B$39,1)</f>
        <v>1</v>
      </c>
      <c r="C12">
        <f>COUNTIF(Hoja2!$A$23:$A$39,"&gt;"&amp;A12-1)</f>
        <v>10</v>
      </c>
      <c r="D12">
        <f t="shared" si="0"/>
        <v>0.9</v>
      </c>
      <c r="E12">
        <f t="shared" si="1"/>
        <v>0.82499999999999996</v>
      </c>
      <c r="F12">
        <f t="shared" si="2"/>
        <v>0.1127774356863996</v>
      </c>
      <c r="G12">
        <f t="shared" si="3"/>
        <v>0.46094567705283451</v>
      </c>
      <c r="H12">
        <f t="shared" si="4"/>
        <v>0.95334039049723285</v>
      </c>
      <c r="I12">
        <v>36</v>
      </c>
    </row>
    <row r="13" spans="1:9" x14ac:dyDescent="0.35">
      <c r="A13">
        <v>40</v>
      </c>
      <c r="B13">
        <f>COUNTIFS(Hoja2!$A$23:$A$39,A13,Hoja2!$B$23:$B$39,1)</f>
        <v>0</v>
      </c>
      <c r="C13">
        <f>COUNTIF(Hoja2!$A$23:$A$39,"&gt;"&amp;A13-1)</f>
        <v>9</v>
      </c>
      <c r="D13">
        <f t="shared" si="0"/>
        <v>1</v>
      </c>
      <c r="E13">
        <f t="shared" si="1"/>
        <v>0.82499999999999996</v>
      </c>
      <c r="F13">
        <f t="shared" si="2"/>
        <v>0.1127774356863996</v>
      </c>
      <c r="G13">
        <f t="shared" si="3"/>
        <v>0.46094567705283451</v>
      </c>
      <c r="H13">
        <f t="shared" si="4"/>
        <v>0.95334039049723285</v>
      </c>
      <c r="I13">
        <v>40</v>
      </c>
    </row>
    <row r="14" spans="1:9" x14ac:dyDescent="0.35">
      <c r="A14">
        <v>44</v>
      </c>
      <c r="B14">
        <f>COUNTIFS(Hoja2!$A$23:$A$39,A14,Hoja2!$B$23:$B$39,1)</f>
        <v>0</v>
      </c>
      <c r="C14">
        <f>COUNTIF(Hoja2!$A$23:$A$39,"&gt;"&amp;A14-1)</f>
        <v>8</v>
      </c>
      <c r="D14">
        <f t="shared" si="0"/>
        <v>1</v>
      </c>
      <c r="E14">
        <f t="shared" si="1"/>
        <v>0.82499999999999996</v>
      </c>
      <c r="F14">
        <f t="shared" si="2"/>
        <v>0.1127774356863996</v>
      </c>
      <c r="G14">
        <f t="shared" si="3"/>
        <v>0.46094567705283451</v>
      </c>
      <c r="H14">
        <f t="shared" si="4"/>
        <v>0.95334039049723285</v>
      </c>
      <c r="I14">
        <v>44</v>
      </c>
    </row>
    <row r="15" spans="1:9" x14ac:dyDescent="0.35">
      <c r="A15">
        <v>48</v>
      </c>
      <c r="B15">
        <f>COUNTIFS(Hoja2!$A$23:$A$39,A15,Hoja2!$B$23:$B$39,1)</f>
        <v>1</v>
      </c>
      <c r="C15">
        <f>COUNTIF(Hoja2!$A$23:$A$39,"&gt;"&amp;A15-1)</f>
        <v>7</v>
      </c>
      <c r="D15">
        <f t="shared" si="0"/>
        <v>0.85714285714285721</v>
      </c>
      <c r="E15">
        <f t="shared" si="1"/>
        <v>0.70714285714285718</v>
      </c>
      <c r="F15">
        <f t="shared" si="2"/>
        <v>0.14577504735546093</v>
      </c>
      <c r="G15">
        <f t="shared" si="3"/>
        <v>0.32889446983158199</v>
      </c>
      <c r="H15">
        <f t="shared" si="4"/>
        <v>0.89764381131603888</v>
      </c>
      <c r="I15">
        <v>48</v>
      </c>
    </row>
    <row r="16" spans="1:9" x14ac:dyDescent="0.35">
      <c r="A16">
        <v>52</v>
      </c>
      <c r="B16">
        <f>COUNTIFS(Hoja2!$A$23:$A$39,A16,Hoja2!$B$23:$B$39,1)</f>
        <v>1</v>
      </c>
      <c r="C16">
        <f>COUNTIF(Hoja2!$A$23:$A$39,"&gt;"&amp;A16-1)</f>
        <v>6</v>
      </c>
      <c r="D16">
        <f t="shared" si="0"/>
        <v>0.83333333333333337</v>
      </c>
      <c r="E16">
        <f t="shared" si="1"/>
        <v>0.5892857142857143</v>
      </c>
      <c r="F16">
        <f t="shared" si="2"/>
        <v>0.1622727722814481</v>
      </c>
      <c r="G16">
        <f t="shared" si="3"/>
        <v>0.23052065298055133</v>
      </c>
      <c r="H16">
        <f t="shared" si="4"/>
        <v>0.82647051442823827</v>
      </c>
      <c r="I16">
        <v>52</v>
      </c>
    </row>
    <row r="17" spans="1:9" x14ac:dyDescent="0.35">
      <c r="A17">
        <v>56</v>
      </c>
      <c r="B17">
        <f>COUNTIFS(Hoja2!$A$23:$A$39,A17,Hoja2!$B$23:$B$39,1)</f>
        <v>0</v>
      </c>
      <c r="C17">
        <f>COUNTIF(Hoja2!$A$23:$A$39,"&gt;"&amp;A17-1)</f>
        <v>5</v>
      </c>
      <c r="D17">
        <f t="shared" si="0"/>
        <v>1</v>
      </c>
      <c r="E17">
        <f t="shared" si="1"/>
        <v>0.5892857142857143</v>
      </c>
      <c r="F17">
        <f t="shared" si="2"/>
        <v>0.1622727722814481</v>
      </c>
      <c r="G17">
        <f t="shared" si="3"/>
        <v>0.23052065298055133</v>
      </c>
      <c r="H17">
        <f t="shared" si="4"/>
        <v>0.82647051442823827</v>
      </c>
      <c r="I17">
        <v>56</v>
      </c>
    </row>
    <row r="18" spans="1:9" x14ac:dyDescent="0.35">
      <c r="A18">
        <v>60</v>
      </c>
      <c r="B18">
        <f>COUNTIFS(Hoja2!$A$23:$A$39,A18,Hoja2!$B$23:$B$39,1)</f>
        <v>0</v>
      </c>
      <c r="C18">
        <f>COUNTIF(Hoja2!$A$23:$A$39,"&gt;"&amp;A18-1)</f>
        <v>4</v>
      </c>
      <c r="D18">
        <f t="shared" si="0"/>
        <v>1</v>
      </c>
      <c r="E18">
        <f t="shared" si="1"/>
        <v>0.5892857142857143</v>
      </c>
      <c r="F18">
        <f t="shared" si="2"/>
        <v>0.1622727722814481</v>
      </c>
      <c r="G18">
        <f t="shared" si="3"/>
        <v>0.23052065298055133</v>
      </c>
      <c r="H18">
        <f t="shared" si="4"/>
        <v>0.82647051442823827</v>
      </c>
      <c r="I18">
        <v>60</v>
      </c>
    </row>
    <row r="19" spans="1:9" x14ac:dyDescent="0.35">
      <c r="A19">
        <v>64</v>
      </c>
      <c r="B19">
        <f>COUNTIFS(Hoja2!$A$23:$A$39,A19,Hoja2!$B$23:$B$39,1)</f>
        <v>1</v>
      </c>
      <c r="C19">
        <f>COUNTIF(Hoja2!$A$23:$A$39,"&gt;"&amp;A19-1)</f>
        <v>3</v>
      </c>
      <c r="D19">
        <f t="shared" si="0"/>
        <v>0.66666666666666674</v>
      </c>
      <c r="E19">
        <f t="shared" si="1"/>
        <v>0.3928571428571429</v>
      </c>
      <c r="F19">
        <f t="shared" si="2"/>
        <v>0.19345826783298287</v>
      </c>
      <c r="G19">
        <f t="shared" si="3"/>
        <v>7.2440796873585844E-2</v>
      </c>
      <c r="H19">
        <f t="shared" si="4"/>
        <v>0.71709424079738959</v>
      </c>
      <c r="I19">
        <v>64</v>
      </c>
    </row>
    <row r="20" spans="1:9" x14ac:dyDescent="0.35">
      <c r="A20">
        <v>68</v>
      </c>
      <c r="B20">
        <f>COUNTIFS(Hoja2!$A$23:$A$39,A20,Hoja2!$B$23:$B$39,1)</f>
        <v>1</v>
      </c>
      <c r="C20">
        <f>COUNTIF(Hoja2!$A$23:$A$39,"&gt;"&amp;A20-1)</f>
        <v>2</v>
      </c>
      <c r="D20">
        <f t="shared" si="0"/>
        <v>0.5</v>
      </c>
      <c r="E20">
        <f t="shared" si="1"/>
        <v>0.19642857142857145</v>
      </c>
      <c r="F20">
        <f t="shared" si="2"/>
        <v>0.16925902393955022</v>
      </c>
      <c r="G20">
        <f t="shared" si="3"/>
        <v>1.0112288224860518E-2</v>
      </c>
      <c r="H20">
        <f t="shared" si="4"/>
        <v>0.56184051589812345</v>
      </c>
      <c r="I20">
        <v>68</v>
      </c>
    </row>
    <row r="21" spans="1:9" x14ac:dyDescent="0.35">
      <c r="A21" s="17"/>
      <c r="B21" s="17"/>
      <c r="C21" s="17"/>
      <c r="D21" s="17"/>
      <c r="E21" s="17"/>
      <c r="F21" s="17"/>
      <c r="G21" s="17"/>
      <c r="H21" s="1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671-6797-4854-9795-30B21BAE2F65}">
  <dimension ref="A1:S71"/>
  <sheetViews>
    <sheetView workbookViewId="0">
      <selection activeCell="B37" sqref="B37"/>
    </sheetView>
  </sheetViews>
  <sheetFormatPr baseColWidth="10" defaultRowHeight="14.5" x14ac:dyDescent="0.35"/>
  <sheetData>
    <row r="1" spans="1:8" x14ac:dyDescent="0.35">
      <c r="A1" t="s">
        <v>31</v>
      </c>
      <c r="G1" t="s">
        <v>43</v>
      </c>
    </row>
    <row r="5" spans="1:8" x14ac:dyDescent="0.35">
      <c r="A5" t="s">
        <v>32</v>
      </c>
      <c r="B5" t="s">
        <v>33</v>
      </c>
      <c r="C5" t="s">
        <v>34</v>
      </c>
      <c r="D5" t="s">
        <v>35</v>
      </c>
      <c r="E5" s="10" t="s">
        <v>36</v>
      </c>
    </row>
    <row r="6" spans="1:8" x14ac:dyDescent="0.35">
      <c r="A6">
        <v>5</v>
      </c>
      <c r="B6">
        <v>27</v>
      </c>
      <c r="C6">
        <v>0</v>
      </c>
      <c r="D6">
        <v>0</v>
      </c>
      <c r="E6">
        <v>1</v>
      </c>
    </row>
    <row r="7" spans="1:8" x14ac:dyDescent="0.35">
      <c r="A7">
        <v>10</v>
      </c>
      <c r="B7">
        <v>27</v>
      </c>
      <c r="C7">
        <v>0</v>
      </c>
      <c r="D7">
        <v>0</v>
      </c>
      <c r="E7">
        <v>1</v>
      </c>
    </row>
    <row r="8" spans="1:8" x14ac:dyDescent="0.35">
      <c r="A8">
        <v>15</v>
      </c>
      <c r="B8">
        <v>27</v>
      </c>
      <c r="C8">
        <v>0</v>
      </c>
      <c r="D8">
        <v>0</v>
      </c>
      <c r="E8">
        <v>1</v>
      </c>
    </row>
    <row r="9" spans="1:8" x14ac:dyDescent="0.35">
      <c r="A9">
        <v>20</v>
      </c>
      <c r="B9">
        <v>27</v>
      </c>
      <c r="C9">
        <v>0</v>
      </c>
      <c r="D9">
        <v>0</v>
      </c>
      <c r="E9">
        <v>1</v>
      </c>
    </row>
    <row r="10" spans="1:8" x14ac:dyDescent="0.35">
      <c r="A10">
        <v>25</v>
      </c>
      <c r="B10">
        <v>27</v>
      </c>
      <c r="C10">
        <v>0</v>
      </c>
      <c r="D10">
        <v>0</v>
      </c>
      <c r="E10">
        <v>1</v>
      </c>
    </row>
    <row r="11" spans="1:8" x14ac:dyDescent="0.35">
      <c r="A11">
        <v>30</v>
      </c>
      <c r="B11">
        <v>27</v>
      </c>
      <c r="C11">
        <v>1</v>
      </c>
      <c r="D11">
        <v>0</v>
      </c>
      <c r="E11">
        <f>1*26/27</f>
        <v>0.96296296296296291</v>
      </c>
    </row>
    <row r="12" spans="1:8" x14ac:dyDescent="0.35">
      <c r="A12">
        <v>35</v>
      </c>
      <c r="B12">
        <v>26</v>
      </c>
      <c r="C12">
        <v>1</v>
      </c>
      <c r="D12">
        <v>0</v>
      </c>
      <c r="E12">
        <f>E11*25/26</f>
        <v>0.92592592592592582</v>
      </c>
      <c r="F12" t="s">
        <v>37</v>
      </c>
    </row>
    <row r="13" spans="1:8" x14ac:dyDescent="0.35">
      <c r="A13">
        <v>40</v>
      </c>
      <c r="B13">
        <v>25</v>
      </c>
      <c r="C13">
        <v>3</v>
      </c>
      <c r="D13">
        <v>2</v>
      </c>
      <c r="E13">
        <f>E12*22/25</f>
        <v>0.81481481481481466</v>
      </c>
      <c r="F13" t="s">
        <v>38</v>
      </c>
      <c r="G13" t="s">
        <v>44</v>
      </c>
      <c r="H13" t="s">
        <v>48</v>
      </c>
    </row>
    <row r="14" spans="1:8" x14ac:dyDescent="0.35">
      <c r="A14">
        <v>45</v>
      </c>
      <c r="B14">
        <v>20</v>
      </c>
      <c r="C14">
        <v>2</v>
      </c>
      <c r="D14">
        <v>3</v>
      </c>
      <c r="E14">
        <f>E13*18/20</f>
        <v>0.73333333333333317</v>
      </c>
      <c r="F14" t="s">
        <v>39</v>
      </c>
      <c r="G14" t="s">
        <v>45</v>
      </c>
      <c r="H14" t="s">
        <v>49</v>
      </c>
    </row>
    <row r="15" spans="1:8" x14ac:dyDescent="0.35">
      <c r="A15">
        <v>50</v>
      </c>
      <c r="B15">
        <v>15</v>
      </c>
      <c r="C15">
        <v>1</v>
      </c>
      <c r="D15">
        <v>0</v>
      </c>
      <c r="E15">
        <f>E14*14/15</f>
        <v>0.6844444444444443</v>
      </c>
      <c r="F15" t="s">
        <v>40</v>
      </c>
      <c r="G15" t="s">
        <v>46</v>
      </c>
      <c r="H15" t="s">
        <v>50</v>
      </c>
    </row>
    <row r="16" spans="1:8" x14ac:dyDescent="0.35">
      <c r="A16">
        <v>55</v>
      </c>
      <c r="B16">
        <v>14</v>
      </c>
      <c r="C16">
        <v>1</v>
      </c>
      <c r="D16">
        <v>0</v>
      </c>
      <c r="E16">
        <f>E15*13/14</f>
        <v>0.63555555555555543</v>
      </c>
      <c r="F16" t="s">
        <v>41</v>
      </c>
      <c r="G16" t="s">
        <v>47</v>
      </c>
      <c r="H16" t="s">
        <v>51</v>
      </c>
    </row>
    <row r="17" spans="1:19" x14ac:dyDescent="0.35">
      <c r="A17">
        <v>60</v>
      </c>
      <c r="B17">
        <v>13</v>
      </c>
      <c r="C17">
        <v>1</v>
      </c>
      <c r="D17">
        <v>2</v>
      </c>
      <c r="E17">
        <f>E16*12/13</f>
        <v>0.58666666666666656</v>
      </c>
      <c r="F17" t="s">
        <v>42</v>
      </c>
    </row>
    <row r="18" spans="1:19" x14ac:dyDescent="0.35">
      <c r="A18">
        <v>65</v>
      </c>
      <c r="B18">
        <v>10</v>
      </c>
      <c r="C18">
        <v>3</v>
      </c>
      <c r="D18">
        <v>2</v>
      </c>
      <c r="E18">
        <f>E17*7/10</f>
        <v>0.41066666666666657</v>
      </c>
    </row>
    <row r="19" spans="1:19" x14ac:dyDescent="0.35">
      <c r="A19">
        <v>70</v>
      </c>
      <c r="B19">
        <v>5</v>
      </c>
      <c r="C19">
        <v>2</v>
      </c>
      <c r="D19">
        <v>3</v>
      </c>
      <c r="E19">
        <f>E18*3/5</f>
        <v>0.24639999999999995</v>
      </c>
    </row>
    <row r="20" spans="1:19" x14ac:dyDescent="0.35">
      <c r="D20" t="s">
        <v>82</v>
      </c>
      <c r="E20" t="s">
        <v>117</v>
      </c>
    </row>
    <row r="21" spans="1:19" x14ac:dyDescent="0.35">
      <c r="A21" t="s">
        <v>116</v>
      </c>
      <c r="B21" t="s">
        <v>117</v>
      </c>
      <c r="D21" s="12">
        <v>0</v>
      </c>
      <c r="E21" s="12">
        <v>0</v>
      </c>
    </row>
    <row r="22" spans="1:19" x14ac:dyDescent="0.35">
      <c r="A22">
        <v>0</v>
      </c>
      <c r="B22">
        <v>0</v>
      </c>
      <c r="D22" s="12">
        <v>27.3</v>
      </c>
      <c r="E22" s="12">
        <v>1</v>
      </c>
      <c r="G22" t="s">
        <v>106</v>
      </c>
      <c r="L22" t="s">
        <v>107</v>
      </c>
      <c r="M22">
        <v>0.05</v>
      </c>
    </row>
    <row r="23" spans="1:19" ht="15" thickBot="1" x14ac:dyDescent="0.4">
      <c r="A23">
        <v>8</v>
      </c>
      <c r="B23">
        <v>0</v>
      </c>
      <c r="D23" s="12">
        <v>34.5</v>
      </c>
      <c r="E23" s="12">
        <v>1</v>
      </c>
    </row>
    <row r="24" spans="1:19" ht="15" thickTop="1" x14ac:dyDescent="0.35">
      <c r="A24">
        <v>12</v>
      </c>
      <c r="B24">
        <v>0</v>
      </c>
      <c r="D24" s="12">
        <v>35.1</v>
      </c>
      <c r="E24" s="12">
        <v>1</v>
      </c>
      <c r="G24" s="16" t="s">
        <v>108</v>
      </c>
      <c r="H24" s="16" t="s">
        <v>109</v>
      </c>
      <c r="I24" s="16" t="s">
        <v>110</v>
      </c>
      <c r="J24" s="16" t="s">
        <v>111</v>
      </c>
      <c r="K24" s="16" t="s">
        <v>112</v>
      </c>
      <c r="L24" s="16" t="s">
        <v>113</v>
      </c>
      <c r="M24" s="16" t="s">
        <v>114</v>
      </c>
      <c r="N24" s="16" t="s">
        <v>115</v>
      </c>
      <c r="R24" t="s">
        <v>82</v>
      </c>
      <c r="S24" t="s">
        <v>114</v>
      </c>
    </row>
    <row r="25" spans="1:19" x14ac:dyDescent="0.35">
      <c r="A25">
        <v>16</v>
      </c>
      <c r="B25">
        <v>0</v>
      </c>
      <c r="D25" s="12">
        <v>35.5</v>
      </c>
      <c r="E25" s="12">
        <v>1</v>
      </c>
      <c r="G25">
        <v>0</v>
      </c>
      <c r="I25">
        <f>COUNT(D22:D47)</f>
        <v>26</v>
      </c>
      <c r="K25">
        <v>1</v>
      </c>
      <c r="M25" s="12">
        <v>0.99876666000000003</v>
      </c>
      <c r="N25">
        <v>1</v>
      </c>
      <c r="R25" s="12">
        <v>27.3</v>
      </c>
      <c r="S25" s="12">
        <v>0.99876666000000003</v>
      </c>
    </row>
    <row r="26" spans="1:19" x14ac:dyDescent="0.35">
      <c r="A26">
        <v>20</v>
      </c>
      <c r="B26">
        <v>0</v>
      </c>
      <c r="D26" s="12">
        <v>36</v>
      </c>
      <c r="E26" s="12">
        <v>1</v>
      </c>
      <c r="G26">
        <f t="array" ref="G26:G48">[1]!SortUnique(D22:D47)</f>
        <v>27.3</v>
      </c>
      <c r="H26">
        <f>COUNTIFS($D$22:$D$47,G26,$E$22:$E$47,1)</f>
        <v>1</v>
      </c>
      <c r="I26">
        <f>COUNTIF($D$22:$D$47,"&gt;"&amp;G26-1)</f>
        <v>26</v>
      </c>
      <c r="J26">
        <f>1-H26/I26</f>
        <v>0.96153846153846156</v>
      </c>
      <c r="K26">
        <f>K25*J26</f>
        <v>0.96153846153846156</v>
      </c>
      <c r="L26">
        <f>IF(K26&gt;0,SQRT(H26/(I26*(I26-H26))+(L25/K25)^2)*K26,0)</f>
        <v>3.7714641372727703E-2</v>
      </c>
      <c r="M26" s="12">
        <v>0.89172727299999999</v>
      </c>
      <c r="N26">
        <f>IF(L26&gt;0,K26^EXP(-_xlfn.NORM.S.INV($M$22/2)/LN(K26)*L26/K26),"")</f>
        <v>0.99449115694321821</v>
      </c>
      <c r="R26" s="12">
        <v>34.5</v>
      </c>
      <c r="S26" s="12">
        <v>0.89172727299999999</v>
      </c>
    </row>
    <row r="27" spans="1:19" x14ac:dyDescent="0.35">
      <c r="A27">
        <v>24</v>
      </c>
      <c r="B27">
        <v>0</v>
      </c>
      <c r="D27" s="12">
        <v>39.299999999999997</v>
      </c>
      <c r="E27" s="12">
        <v>0</v>
      </c>
      <c r="G27">
        <v>34.5</v>
      </c>
      <c r="H27">
        <f t="shared" ref="H27:H48" si="0">COUNTIFS($D$22:$D$47,G27,$E$22:$E$47,1)</f>
        <v>1</v>
      </c>
      <c r="I27">
        <f t="shared" ref="I27:I48" si="1">COUNTIF($D$22:$D$47,"&gt;"&amp;G27-1)</f>
        <v>25</v>
      </c>
      <c r="J27">
        <f t="shared" ref="J27:J48" si="2">1-H27/I27</f>
        <v>0.96</v>
      </c>
      <c r="K27">
        <f t="shared" ref="K27:K48" si="3">K26*J27</f>
        <v>0.92307692307692302</v>
      </c>
      <c r="L27">
        <f t="shared" ref="L27:L48" si="4">IF(K27&gt;0,SQRT(H27/(I27*(I27-H27))+(L26/K26)^2)*K27,0)</f>
        <v>5.2258940037442879E-2</v>
      </c>
      <c r="M27" s="12">
        <v>0.82713998600000005</v>
      </c>
      <c r="N27">
        <f t="shared" ref="N27:N48" si="5">IF(L27&gt;0,K27^EXP(-_xlfn.NORM.S.INV($M$22/2)/LN(K27)*L27/K27),"")</f>
        <v>0.98018780501852498</v>
      </c>
      <c r="R27" s="12">
        <v>35.1</v>
      </c>
      <c r="S27" s="12">
        <v>0.82713998600000005</v>
      </c>
    </row>
    <row r="28" spans="1:19" x14ac:dyDescent="0.35">
      <c r="A28">
        <v>28</v>
      </c>
      <c r="B28">
        <v>1</v>
      </c>
      <c r="D28" s="12">
        <v>39.799999999999997</v>
      </c>
      <c r="E28" s="12">
        <v>0</v>
      </c>
      <c r="G28">
        <v>35.1</v>
      </c>
      <c r="H28">
        <f t="shared" si="0"/>
        <v>1</v>
      </c>
      <c r="I28">
        <f t="shared" si="1"/>
        <v>25</v>
      </c>
      <c r="J28">
        <f t="shared" si="2"/>
        <v>0.96</v>
      </c>
      <c r="K28">
        <f t="shared" si="3"/>
        <v>0.88615384615384607</v>
      </c>
      <c r="L28">
        <f t="shared" si="4"/>
        <v>6.1851982415448752E-2</v>
      </c>
      <c r="M28" s="12">
        <v>0.77034566599999998</v>
      </c>
      <c r="N28">
        <f t="shared" si="5"/>
        <v>0.96177886413648483</v>
      </c>
      <c r="R28" s="12">
        <v>35.5</v>
      </c>
      <c r="S28" s="12">
        <v>0.77034566599999998</v>
      </c>
    </row>
    <row r="29" spans="1:19" x14ac:dyDescent="0.35">
      <c r="A29">
        <v>32</v>
      </c>
      <c r="B29">
        <v>0</v>
      </c>
      <c r="D29" s="12">
        <v>41.3</v>
      </c>
      <c r="E29" s="12">
        <v>1</v>
      </c>
      <c r="G29">
        <v>35.5</v>
      </c>
      <c r="H29">
        <f t="shared" si="0"/>
        <v>1</v>
      </c>
      <c r="I29">
        <f t="shared" si="1"/>
        <v>24</v>
      </c>
      <c r="J29">
        <f t="shared" si="2"/>
        <v>0.95833333333333337</v>
      </c>
      <c r="K29">
        <f t="shared" si="3"/>
        <v>0.84923076923076923</v>
      </c>
      <c r="L29">
        <f t="shared" si="4"/>
        <v>6.9426311616359093E-2</v>
      </c>
      <c r="M29" s="12">
        <v>0.71785205299999999</v>
      </c>
      <c r="N29">
        <f t="shared" si="5"/>
        <v>0.94053467205596353</v>
      </c>
      <c r="R29" s="12">
        <v>36</v>
      </c>
      <c r="S29" s="12">
        <v>0.71785205299999999</v>
      </c>
    </row>
    <row r="30" spans="1:19" x14ac:dyDescent="0.35">
      <c r="A30">
        <v>36</v>
      </c>
      <c r="B30">
        <v>1</v>
      </c>
      <c r="D30" s="12">
        <v>41.5</v>
      </c>
      <c r="E30" s="12">
        <v>0</v>
      </c>
      <c r="G30">
        <v>36</v>
      </c>
      <c r="H30">
        <f t="shared" si="0"/>
        <v>1</v>
      </c>
      <c r="I30">
        <f t="shared" si="1"/>
        <v>24</v>
      </c>
      <c r="J30">
        <f t="shared" si="2"/>
        <v>0.95833333333333337</v>
      </c>
      <c r="K30">
        <f t="shared" si="3"/>
        <v>0.81384615384615389</v>
      </c>
      <c r="L30">
        <f t="shared" si="4"/>
        <v>7.5010762389693883E-2</v>
      </c>
      <c r="M30" s="12">
        <v>0.66829147099999997</v>
      </c>
      <c r="N30">
        <f t="shared" si="5"/>
        <v>0.91787328199173424</v>
      </c>
      <c r="R30" s="12">
        <v>39.299999999999997</v>
      </c>
      <c r="S30" s="12">
        <v>0.66829147099999997</v>
      </c>
    </row>
    <row r="31" spans="1:19" x14ac:dyDescent="0.35">
      <c r="A31">
        <v>40</v>
      </c>
      <c r="B31">
        <v>0</v>
      </c>
      <c r="D31" s="12">
        <v>44.5</v>
      </c>
      <c r="E31" s="12">
        <v>1</v>
      </c>
      <c r="G31">
        <v>39.299999999999997</v>
      </c>
      <c r="H31">
        <f t="shared" si="0"/>
        <v>0</v>
      </c>
      <c r="I31">
        <f t="shared" si="1"/>
        <v>21</v>
      </c>
      <c r="J31">
        <f t="shared" si="2"/>
        <v>1</v>
      </c>
      <c r="K31">
        <f t="shared" si="3"/>
        <v>0.81384615384615389</v>
      </c>
      <c r="L31">
        <f t="shared" si="4"/>
        <v>7.5010762389693883E-2</v>
      </c>
      <c r="M31" s="12">
        <v>0.66829147099999997</v>
      </c>
      <c r="N31">
        <f t="shared" si="5"/>
        <v>0.91787328199173424</v>
      </c>
      <c r="R31" s="12">
        <v>39.799999999999997</v>
      </c>
      <c r="S31" s="12">
        <v>0.66829147099999997</v>
      </c>
    </row>
    <row r="32" spans="1:19" x14ac:dyDescent="0.35">
      <c r="A32">
        <v>44</v>
      </c>
      <c r="B32">
        <v>0</v>
      </c>
      <c r="D32" s="12">
        <v>45</v>
      </c>
      <c r="E32" s="12">
        <v>0</v>
      </c>
      <c r="G32">
        <v>39.799999999999997</v>
      </c>
      <c r="H32">
        <f t="shared" si="0"/>
        <v>0</v>
      </c>
      <c r="I32">
        <f t="shared" si="1"/>
        <v>21</v>
      </c>
      <c r="J32">
        <f t="shared" si="2"/>
        <v>1</v>
      </c>
      <c r="K32">
        <f t="shared" si="3"/>
        <v>0.81384615384615389</v>
      </c>
      <c r="L32">
        <f t="shared" si="4"/>
        <v>7.5010762389693883E-2</v>
      </c>
      <c r="M32" s="12">
        <v>0.66829147099999997</v>
      </c>
      <c r="N32">
        <f t="shared" si="5"/>
        <v>0.91787328199173424</v>
      </c>
      <c r="R32" s="12">
        <v>41.3</v>
      </c>
      <c r="S32" s="12">
        <v>0.66829147099999997</v>
      </c>
    </row>
    <row r="33" spans="1:19" x14ac:dyDescent="0.35">
      <c r="A33">
        <v>48</v>
      </c>
      <c r="B33">
        <v>1</v>
      </c>
      <c r="D33" s="12">
        <v>45.8</v>
      </c>
      <c r="E33" s="12">
        <v>1</v>
      </c>
      <c r="G33">
        <v>41.3</v>
      </c>
      <c r="H33">
        <f t="shared" si="0"/>
        <v>1</v>
      </c>
      <c r="I33">
        <f t="shared" si="1"/>
        <v>19</v>
      </c>
      <c r="J33">
        <f t="shared" si="2"/>
        <v>0.94736842105263164</v>
      </c>
      <c r="K33">
        <f t="shared" si="3"/>
        <v>0.77101214574898791</v>
      </c>
      <c r="L33">
        <f t="shared" si="4"/>
        <v>8.2389998166853412E-2</v>
      </c>
      <c r="M33" s="12">
        <v>0.61459569800000002</v>
      </c>
      <c r="N33">
        <f t="shared" si="5"/>
        <v>0.89027828751133053</v>
      </c>
      <c r="R33" s="12">
        <v>41.5</v>
      </c>
      <c r="S33" s="12">
        <v>0.61459569800000002</v>
      </c>
    </row>
    <row r="34" spans="1:19" x14ac:dyDescent="0.35">
      <c r="A34">
        <v>52</v>
      </c>
      <c r="B34">
        <v>1</v>
      </c>
      <c r="D34" s="12">
        <v>51.6</v>
      </c>
      <c r="E34" s="12">
        <v>1</v>
      </c>
      <c r="G34">
        <v>41.5</v>
      </c>
      <c r="H34">
        <f t="shared" si="0"/>
        <v>0</v>
      </c>
      <c r="I34">
        <f t="shared" si="1"/>
        <v>19</v>
      </c>
      <c r="J34">
        <f t="shared" si="2"/>
        <v>1</v>
      </c>
      <c r="K34">
        <f t="shared" si="3"/>
        <v>0.77101214574898791</v>
      </c>
      <c r="L34">
        <f t="shared" si="4"/>
        <v>8.2389998166853412E-2</v>
      </c>
      <c r="M34" s="12">
        <v>0.61459569800000002</v>
      </c>
      <c r="N34">
        <f t="shared" si="5"/>
        <v>0.89027828751133053</v>
      </c>
      <c r="R34" s="12">
        <v>44.5</v>
      </c>
      <c r="S34" s="12">
        <v>0.61459569800000002</v>
      </c>
    </row>
    <row r="35" spans="1:19" x14ac:dyDescent="0.35">
      <c r="A35">
        <v>56</v>
      </c>
      <c r="B35">
        <v>0</v>
      </c>
      <c r="D35" s="12">
        <v>56.3</v>
      </c>
      <c r="E35" s="12">
        <v>0</v>
      </c>
      <c r="G35">
        <v>44.5</v>
      </c>
      <c r="H35">
        <f t="shared" si="0"/>
        <v>1</v>
      </c>
      <c r="I35">
        <f t="shared" si="1"/>
        <v>17</v>
      </c>
      <c r="J35">
        <f t="shared" si="2"/>
        <v>0.94117647058823528</v>
      </c>
      <c r="K35">
        <f t="shared" si="3"/>
        <v>0.72565849011669448</v>
      </c>
      <c r="L35">
        <f t="shared" si="4"/>
        <v>8.9156914855185079E-2</v>
      </c>
      <c r="M35" s="12">
        <v>0.55961823899999996</v>
      </c>
      <c r="N35">
        <f t="shared" si="5"/>
        <v>0.85956027181398664</v>
      </c>
      <c r="R35" s="12">
        <v>45</v>
      </c>
      <c r="S35" s="12">
        <v>0.55961823899999996</v>
      </c>
    </row>
    <row r="36" spans="1:19" x14ac:dyDescent="0.35">
      <c r="A36">
        <v>60</v>
      </c>
      <c r="B36">
        <v>0</v>
      </c>
      <c r="D36" s="12">
        <v>56.5</v>
      </c>
      <c r="E36" s="12">
        <v>1</v>
      </c>
      <c r="G36">
        <v>45</v>
      </c>
      <c r="H36">
        <f t="shared" si="0"/>
        <v>0</v>
      </c>
      <c r="I36">
        <f t="shared" si="1"/>
        <v>17</v>
      </c>
      <c r="J36">
        <f t="shared" si="2"/>
        <v>1</v>
      </c>
      <c r="K36">
        <f t="shared" si="3"/>
        <v>0.72565849011669448</v>
      </c>
      <c r="L36">
        <f t="shared" si="4"/>
        <v>8.9156914855185079E-2</v>
      </c>
      <c r="M36" s="12">
        <v>0.55961823899999996</v>
      </c>
      <c r="N36">
        <f t="shared" si="5"/>
        <v>0.85956027181398664</v>
      </c>
      <c r="R36" s="12">
        <v>45.8</v>
      </c>
      <c r="S36" s="12">
        <v>0.55961823899999996</v>
      </c>
    </row>
    <row r="37" spans="1:19" x14ac:dyDescent="0.35">
      <c r="A37">
        <v>64</v>
      </c>
      <c r="B37">
        <v>1</v>
      </c>
      <c r="D37" s="12">
        <v>56.6</v>
      </c>
      <c r="E37" s="12">
        <v>0</v>
      </c>
      <c r="G37">
        <v>45.8</v>
      </c>
      <c r="H37">
        <f t="shared" si="0"/>
        <v>1</v>
      </c>
      <c r="I37">
        <f t="shared" si="1"/>
        <v>16</v>
      </c>
      <c r="J37">
        <f t="shared" si="2"/>
        <v>0.9375</v>
      </c>
      <c r="K37">
        <f t="shared" si="3"/>
        <v>0.68030483448440104</v>
      </c>
      <c r="L37">
        <f t="shared" si="4"/>
        <v>9.4418118439925217E-2</v>
      </c>
      <c r="M37" s="12">
        <v>0.55961823899999996</v>
      </c>
      <c r="N37">
        <f t="shared" si="5"/>
        <v>0.82686092679972745</v>
      </c>
      <c r="R37" s="12">
        <v>51.6</v>
      </c>
      <c r="S37" s="12">
        <v>0.55961823899999996</v>
      </c>
    </row>
    <row r="38" spans="1:19" x14ac:dyDescent="0.35">
      <c r="A38">
        <v>68</v>
      </c>
      <c r="B38">
        <v>1</v>
      </c>
      <c r="D38" s="12">
        <v>62.1</v>
      </c>
      <c r="E38" s="12">
        <v>0</v>
      </c>
      <c r="G38">
        <v>51.6</v>
      </c>
      <c r="H38">
        <f t="shared" si="0"/>
        <v>1</v>
      </c>
      <c r="I38">
        <f t="shared" si="1"/>
        <v>14</v>
      </c>
      <c r="J38">
        <f t="shared" si="2"/>
        <v>0.9285714285714286</v>
      </c>
      <c r="K38">
        <f t="shared" si="3"/>
        <v>0.6317116320212296</v>
      </c>
      <c r="L38">
        <f t="shared" si="4"/>
        <v>9.9394967675077328E-2</v>
      </c>
      <c r="M38" s="12">
        <v>0.49760541699999999</v>
      </c>
      <c r="N38">
        <f t="shared" si="5"/>
        <v>0.79079839697226773</v>
      </c>
      <c r="R38" s="12">
        <v>56.3</v>
      </c>
      <c r="S38" s="12">
        <v>0.49760541699999999</v>
      </c>
    </row>
    <row r="39" spans="1:19" x14ac:dyDescent="0.35">
      <c r="A39">
        <v>72</v>
      </c>
      <c r="B39">
        <v>0</v>
      </c>
      <c r="D39" s="12">
        <v>63.1</v>
      </c>
      <c r="E39" s="12">
        <v>1</v>
      </c>
      <c r="G39">
        <v>56.3</v>
      </c>
      <c r="H39">
        <f t="shared" si="0"/>
        <v>0</v>
      </c>
      <c r="I39">
        <f t="shared" si="1"/>
        <v>13</v>
      </c>
      <c r="J39">
        <f t="shared" si="2"/>
        <v>1</v>
      </c>
      <c r="K39">
        <f t="shared" si="3"/>
        <v>0.6317116320212296</v>
      </c>
      <c r="L39">
        <f t="shared" si="4"/>
        <v>9.9394967675077328E-2</v>
      </c>
      <c r="M39" s="12">
        <v>0.43892333</v>
      </c>
      <c r="N39">
        <f t="shared" si="5"/>
        <v>0.79079839697226773</v>
      </c>
      <c r="R39" s="12">
        <v>56.5</v>
      </c>
      <c r="S39" s="12">
        <v>0.43892333</v>
      </c>
    </row>
    <row r="40" spans="1:19" x14ac:dyDescent="0.35">
      <c r="D40" s="12">
        <v>63.3</v>
      </c>
      <c r="E40" s="12">
        <v>1</v>
      </c>
      <c r="G40">
        <v>56.5</v>
      </c>
      <c r="H40">
        <f t="shared" si="0"/>
        <v>1</v>
      </c>
      <c r="I40">
        <f t="shared" si="1"/>
        <v>13</v>
      </c>
      <c r="J40">
        <f t="shared" si="2"/>
        <v>0.92307692307692313</v>
      </c>
      <c r="K40">
        <f t="shared" si="3"/>
        <v>0.58311842955805815</v>
      </c>
      <c r="L40">
        <f t="shared" si="4"/>
        <v>0.10294453257658195</v>
      </c>
      <c r="M40" s="12">
        <v>0.43892333</v>
      </c>
      <c r="N40">
        <f t="shared" si="5"/>
        <v>0.7527889259866829</v>
      </c>
      <c r="R40" s="12">
        <v>56.6</v>
      </c>
      <c r="S40" s="12">
        <v>0.43892333</v>
      </c>
    </row>
    <row r="41" spans="1:19" x14ac:dyDescent="0.35">
      <c r="D41" s="12">
        <v>64.099999999999994</v>
      </c>
      <c r="E41" s="12">
        <v>0</v>
      </c>
      <c r="G41">
        <v>56.6</v>
      </c>
      <c r="H41">
        <f t="shared" si="0"/>
        <v>0</v>
      </c>
      <c r="I41">
        <f t="shared" si="1"/>
        <v>13</v>
      </c>
      <c r="J41">
        <f t="shared" si="2"/>
        <v>1</v>
      </c>
      <c r="K41">
        <f t="shared" si="3"/>
        <v>0.58311842955805815</v>
      </c>
      <c r="L41">
        <f t="shared" si="4"/>
        <v>0.10294453257658195</v>
      </c>
      <c r="M41" s="12">
        <v>0.37668467700000002</v>
      </c>
      <c r="N41">
        <f t="shared" si="5"/>
        <v>0.7527889259866829</v>
      </c>
      <c r="R41" s="12">
        <v>62.1</v>
      </c>
      <c r="S41" s="12">
        <v>0.37668467700000002</v>
      </c>
    </row>
    <row r="42" spans="1:19" x14ac:dyDescent="0.35">
      <c r="D42" s="12">
        <v>64.599999999999994</v>
      </c>
      <c r="E42" s="12">
        <v>1</v>
      </c>
      <c r="G42">
        <v>62.1</v>
      </c>
      <c r="H42">
        <f t="shared" si="0"/>
        <v>0</v>
      </c>
      <c r="I42">
        <f t="shared" si="1"/>
        <v>10</v>
      </c>
      <c r="J42">
        <f t="shared" si="2"/>
        <v>1</v>
      </c>
      <c r="K42">
        <f t="shared" si="3"/>
        <v>0.58311842955805815</v>
      </c>
      <c r="L42">
        <f t="shared" si="4"/>
        <v>0.10294453257658195</v>
      </c>
      <c r="M42" s="12">
        <v>0.37668467700000002</v>
      </c>
      <c r="N42">
        <f t="shared" si="5"/>
        <v>0.7527889259866829</v>
      </c>
      <c r="R42" s="12">
        <v>63.1</v>
      </c>
      <c r="S42" s="12">
        <v>0.37668467700000002</v>
      </c>
    </row>
    <row r="43" spans="1:19" x14ac:dyDescent="0.35">
      <c r="D43" s="12">
        <v>67.099999999999994</v>
      </c>
      <c r="E43" s="12">
        <v>1</v>
      </c>
      <c r="G43">
        <v>63.1</v>
      </c>
      <c r="H43">
        <f t="shared" si="0"/>
        <v>1</v>
      </c>
      <c r="I43">
        <f t="shared" si="1"/>
        <v>9</v>
      </c>
      <c r="J43">
        <f t="shared" si="2"/>
        <v>0.88888888888888884</v>
      </c>
      <c r="K43">
        <f t="shared" si="3"/>
        <v>0.51832749294049607</v>
      </c>
      <c r="L43">
        <f t="shared" si="4"/>
        <v>0.11002195224694361</v>
      </c>
      <c r="M43" s="12">
        <v>0.37668467700000002</v>
      </c>
      <c r="N43">
        <f t="shared" si="5"/>
        <v>0.70545336363741074</v>
      </c>
      <c r="R43" s="12">
        <v>63.3</v>
      </c>
      <c r="S43" s="12">
        <v>0.37668467700000002</v>
      </c>
    </row>
    <row r="44" spans="1:19" ht="15" thickBot="1" x14ac:dyDescent="0.4">
      <c r="D44" s="12">
        <v>67.5</v>
      </c>
      <c r="E44" s="12">
        <v>1</v>
      </c>
      <c r="G44">
        <v>63.3</v>
      </c>
      <c r="H44">
        <f t="shared" si="0"/>
        <v>1</v>
      </c>
      <c r="I44">
        <f t="shared" si="1"/>
        <v>9</v>
      </c>
      <c r="J44">
        <f t="shared" si="2"/>
        <v>0.88888888888888884</v>
      </c>
      <c r="K44">
        <f t="shared" si="3"/>
        <v>0.46073554928044091</v>
      </c>
      <c r="L44">
        <f t="shared" si="4"/>
        <v>0.11185975680805493</v>
      </c>
      <c r="M44" s="12">
        <v>0.29914930200000001</v>
      </c>
      <c r="N44">
        <f t="shared" si="5"/>
        <v>0.65747037439094125</v>
      </c>
      <c r="R44" s="12">
        <v>64.099999999999994</v>
      </c>
      <c r="S44" s="12">
        <v>0.29914930200000001</v>
      </c>
    </row>
    <row r="45" spans="1:19" ht="15.5" x14ac:dyDescent="0.35">
      <c r="D45" s="18">
        <v>69.3</v>
      </c>
      <c r="E45" s="19" t="s">
        <v>118</v>
      </c>
      <c r="G45">
        <v>64.099999999999994</v>
      </c>
      <c r="H45">
        <f t="shared" si="0"/>
        <v>0</v>
      </c>
      <c r="I45">
        <f t="shared" si="1"/>
        <v>8</v>
      </c>
      <c r="J45">
        <f t="shared" si="2"/>
        <v>1</v>
      </c>
      <c r="K45">
        <f t="shared" si="3"/>
        <v>0.46073554928044091</v>
      </c>
      <c r="L45">
        <f t="shared" si="4"/>
        <v>0.11185975680805493</v>
      </c>
      <c r="M45" s="12">
        <v>0.22792475000000001</v>
      </c>
      <c r="N45">
        <f t="shared" si="5"/>
        <v>0.65747037439094125</v>
      </c>
      <c r="R45" s="12">
        <v>64.599999999999994</v>
      </c>
      <c r="S45" s="12">
        <v>0.22792475000000001</v>
      </c>
    </row>
    <row r="46" spans="1:19" ht="15.5" x14ac:dyDescent="0.35">
      <c r="D46" s="18">
        <v>69.3</v>
      </c>
      <c r="E46" s="20">
        <v>0</v>
      </c>
      <c r="G46">
        <v>64.599999999999994</v>
      </c>
      <c r="H46">
        <f t="shared" si="0"/>
        <v>1</v>
      </c>
      <c r="I46">
        <f t="shared" si="1"/>
        <v>7</v>
      </c>
      <c r="J46">
        <f t="shared" si="2"/>
        <v>0.85714285714285721</v>
      </c>
      <c r="K46">
        <f t="shared" si="3"/>
        <v>0.3949161850975208</v>
      </c>
      <c r="L46">
        <f t="shared" si="4"/>
        <v>0.11360562938896689</v>
      </c>
      <c r="M46" s="12">
        <v>0.22792475000000001</v>
      </c>
      <c r="N46">
        <f t="shared" si="5"/>
        <v>0.6026585037970702</v>
      </c>
      <c r="R46" s="12">
        <v>67.099999999999994</v>
      </c>
      <c r="S46" s="12">
        <v>0.22792475000000001</v>
      </c>
    </row>
    <row r="47" spans="1:19" ht="15.5" x14ac:dyDescent="0.35">
      <c r="D47" s="18">
        <v>69.3</v>
      </c>
      <c r="E47" s="20">
        <v>0</v>
      </c>
      <c r="G47">
        <v>67.099999999999994</v>
      </c>
      <c r="H47">
        <f t="shared" si="0"/>
        <v>1</v>
      </c>
      <c r="I47">
        <f t="shared" si="1"/>
        <v>5</v>
      </c>
      <c r="J47">
        <f t="shared" si="2"/>
        <v>0.8</v>
      </c>
      <c r="K47">
        <f t="shared" si="3"/>
        <v>0.31593294807801664</v>
      </c>
      <c r="L47">
        <f t="shared" si="4"/>
        <v>0.11511157353861448</v>
      </c>
      <c r="M47" s="12">
        <v>0.14637626400000001</v>
      </c>
      <c r="N47">
        <f t="shared" si="5"/>
        <v>0.53795948423837836</v>
      </c>
      <c r="R47" s="12">
        <v>67.5</v>
      </c>
      <c r="S47" s="12">
        <v>0.14637626400000001</v>
      </c>
    </row>
    <row r="48" spans="1:19" x14ac:dyDescent="0.35">
      <c r="G48">
        <v>67.5</v>
      </c>
      <c r="H48">
        <f t="shared" si="0"/>
        <v>1</v>
      </c>
      <c r="I48">
        <f t="shared" si="1"/>
        <v>5</v>
      </c>
      <c r="J48">
        <f t="shared" si="2"/>
        <v>0.8</v>
      </c>
      <c r="K48">
        <f t="shared" si="3"/>
        <v>0.25274635846241333</v>
      </c>
      <c r="L48">
        <f t="shared" si="4"/>
        <v>0.10804845060353009</v>
      </c>
      <c r="M48" s="12">
        <v>7.4668011000000006E-2</v>
      </c>
      <c r="N48">
        <f t="shared" si="5"/>
        <v>0.47335807467519614</v>
      </c>
      <c r="R48" s="12">
        <v>0</v>
      </c>
      <c r="S48" s="12">
        <v>0.99876666000000003</v>
      </c>
    </row>
    <row r="49" spans="7:19" x14ac:dyDescent="0.35">
      <c r="G49" s="17"/>
      <c r="H49" s="17"/>
      <c r="I49" s="17"/>
      <c r="J49" s="17"/>
      <c r="K49" s="17"/>
      <c r="L49" s="17"/>
      <c r="M49" s="12">
        <v>1.3296488E-2</v>
      </c>
      <c r="N49" s="17"/>
      <c r="R49" s="12">
        <v>27.3</v>
      </c>
      <c r="S49" s="12">
        <v>0.89172727299999999</v>
      </c>
    </row>
    <row r="50" spans="7:19" x14ac:dyDescent="0.35">
      <c r="R50" s="12">
        <v>34.5</v>
      </c>
      <c r="S50" s="12">
        <v>0.82713998600000005</v>
      </c>
    </row>
    <row r="51" spans="7:19" x14ac:dyDescent="0.35">
      <c r="R51" s="12">
        <v>35.1</v>
      </c>
      <c r="S51" s="12">
        <v>0.77034566599999998</v>
      </c>
    </row>
    <row r="52" spans="7:19" x14ac:dyDescent="0.35">
      <c r="R52" s="12">
        <v>35.5</v>
      </c>
      <c r="S52" s="12">
        <v>0.71785205299999999</v>
      </c>
    </row>
    <row r="53" spans="7:19" x14ac:dyDescent="0.35">
      <c r="R53" s="12">
        <v>36</v>
      </c>
      <c r="S53" s="12">
        <v>0.66829147099999997</v>
      </c>
    </row>
    <row r="54" spans="7:19" x14ac:dyDescent="0.35">
      <c r="R54" s="12">
        <v>39.299999999999997</v>
      </c>
      <c r="S54" s="12">
        <v>0.66829147099999997</v>
      </c>
    </row>
    <row r="55" spans="7:19" x14ac:dyDescent="0.35">
      <c r="R55" s="12">
        <v>39.799999999999997</v>
      </c>
      <c r="S55" s="12">
        <v>0.66829147099999997</v>
      </c>
    </row>
    <row r="56" spans="7:19" x14ac:dyDescent="0.35">
      <c r="R56" s="12">
        <v>41.3</v>
      </c>
      <c r="S56" s="12">
        <v>0.61459569800000002</v>
      </c>
    </row>
    <row r="57" spans="7:19" x14ac:dyDescent="0.35">
      <c r="R57" s="12">
        <v>41.5</v>
      </c>
      <c r="S57" s="12">
        <v>0.61459569800000002</v>
      </c>
    </row>
    <row r="58" spans="7:19" x14ac:dyDescent="0.35">
      <c r="R58" s="12">
        <v>44.5</v>
      </c>
      <c r="S58" s="12">
        <v>0.55961823899999996</v>
      </c>
    </row>
    <row r="59" spans="7:19" x14ac:dyDescent="0.35">
      <c r="R59" s="12">
        <v>45</v>
      </c>
      <c r="S59" s="12">
        <v>0.55961823899999996</v>
      </c>
    </row>
    <row r="60" spans="7:19" x14ac:dyDescent="0.35">
      <c r="R60" s="12">
        <v>45.8</v>
      </c>
      <c r="S60" s="12">
        <v>0.55961823899999996</v>
      </c>
    </row>
    <row r="61" spans="7:19" x14ac:dyDescent="0.35">
      <c r="R61" s="12">
        <v>51.6</v>
      </c>
      <c r="S61" s="12">
        <v>0.49760541699999999</v>
      </c>
    </row>
    <row r="62" spans="7:19" x14ac:dyDescent="0.35">
      <c r="R62" s="12">
        <v>56.3</v>
      </c>
      <c r="S62" s="12">
        <v>0.43892333</v>
      </c>
    </row>
    <row r="63" spans="7:19" x14ac:dyDescent="0.35">
      <c r="R63" s="12">
        <v>56.5</v>
      </c>
      <c r="S63" s="12">
        <v>0.43892333</v>
      </c>
    </row>
    <row r="64" spans="7:19" x14ac:dyDescent="0.35">
      <c r="R64" s="12">
        <v>56.6</v>
      </c>
      <c r="S64" s="12">
        <v>0.37668467700000002</v>
      </c>
    </row>
    <row r="65" spans="18:19" x14ac:dyDescent="0.35">
      <c r="R65" s="12">
        <v>62.1</v>
      </c>
      <c r="S65" s="12">
        <v>0.37668467700000002</v>
      </c>
    </row>
    <row r="66" spans="18:19" x14ac:dyDescent="0.35">
      <c r="R66" s="12">
        <v>63.1</v>
      </c>
      <c r="S66" s="12">
        <v>0.37668467700000002</v>
      </c>
    </row>
    <row r="67" spans="18:19" x14ac:dyDescent="0.35">
      <c r="R67" s="12">
        <v>63.3</v>
      </c>
      <c r="S67" s="12">
        <v>0.29914930200000001</v>
      </c>
    </row>
    <row r="68" spans="18:19" x14ac:dyDescent="0.35">
      <c r="R68" s="12">
        <v>64.099999999999994</v>
      </c>
      <c r="S68" s="12">
        <v>0.22792475000000001</v>
      </c>
    </row>
    <row r="69" spans="18:19" x14ac:dyDescent="0.35">
      <c r="R69" s="12">
        <v>64.599999999999994</v>
      </c>
      <c r="S69" s="12">
        <v>0.22792475000000001</v>
      </c>
    </row>
    <row r="70" spans="18:19" x14ac:dyDescent="0.35">
      <c r="R70" s="12">
        <v>67.099999999999994</v>
      </c>
      <c r="S70" s="12">
        <v>0.14637626400000001</v>
      </c>
    </row>
    <row r="71" spans="18:19" x14ac:dyDescent="0.35">
      <c r="R71" s="12">
        <v>67.5</v>
      </c>
      <c r="S71" s="12">
        <v>7.4668011000000006E-2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3A65-3CA6-45B5-85E1-FBD473C48C37}">
  <dimension ref="A2:I20"/>
  <sheetViews>
    <sheetView topLeftCell="A2" workbookViewId="0">
      <selection activeCell="F11" sqref="F11"/>
    </sheetView>
  </sheetViews>
  <sheetFormatPr baseColWidth="10" defaultRowHeight="14.5" x14ac:dyDescent="0.35"/>
  <cols>
    <col min="2" max="2" width="13.90625" customWidth="1"/>
  </cols>
  <sheetData>
    <row r="2" spans="1:9" x14ac:dyDescent="0.35">
      <c r="B2" t="s">
        <v>57</v>
      </c>
      <c r="C2" t="s">
        <v>33</v>
      </c>
      <c r="D2" t="s">
        <v>34</v>
      </c>
      <c r="E2" t="s">
        <v>35</v>
      </c>
      <c r="F2" t="s">
        <v>76</v>
      </c>
      <c r="G2" t="s">
        <v>77</v>
      </c>
      <c r="H2" t="s">
        <v>78</v>
      </c>
    </row>
    <row r="3" spans="1:9" x14ac:dyDescent="0.35">
      <c r="A3">
        <v>0</v>
      </c>
      <c r="B3" t="s">
        <v>58</v>
      </c>
      <c r="C3">
        <v>27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 x14ac:dyDescent="0.35">
      <c r="A4">
        <v>8</v>
      </c>
      <c r="B4" t="s">
        <v>59</v>
      </c>
      <c r="C4">
        <v>27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</row>
    <row r="5" spans="1:9" x14ac:dyDescent="0.35">
      <c r="A5">
        <v>12</v>
      </c>
      <c r="B5" t="s">
        <v>60</v>
      </c>
      <c r="C5">
        <v>27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</row>
    <row r="6" spans="1:9" x14ac:dyDescent="0.35">
      <c r="A6">
        <v>16</v>
      </c>
      <c r="B6" t="s">
        <v>61</v>
      </c>
      <c r="C6">
        <v>27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 x14ac:dyDescent="0.35">
      <c r="A7">
        <v>20</v>
      </c>
      <c r="B7" t="s">
        <v>62</v>
      </c>
      <c r="C7">
        <v>27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 x14ac:dyDescent="0.35">
      <c r="A8">
        <v>24</v>
      </c>
      <c r="B8" t="s">
        <v>63</v>
      </c>
      <c r="C8">
        <v>27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</row>
    <row r="9" spans="1:9" x14ac:dyDescent="0.35">
      <c r="A9">
        <v>28</v>
      </c>
      <c r="B9" t="s">
        <v>64</v>
      </c>
      <c r="C9">
        <v>27</v>
      </c>
      <c r="D9">
        <v>1</v>
      </c>
      <c r="E9">
        <v>0</v>
      </c>
      <c r="F9">
        <f>D9/C9</f>
        <v>3.7037037037037035E-2</v>
      </c>
      <c r="G9">
        <f>1-F9</f>
        <v>0.96296296296296302</v>
      </c>
      <c r="H9">
        <f>1-F9</f>
        <v>0.96296296296296302</v>
      </c>
      <c r="I9">
        <v>1</v>
      </c>
    </row>
    <row r="10" spans="1:9" x14ac:dyDescent="0.35">
      <c r="A10">
        <v>32</v>
      </c>
      <c r="B10" t="s">
        <v>65</v>
      </c>
      <c r="C10">
        <v>26</v>
      </c>
      <c r="D10">
        <v>0</v>
      </c>
      <c r="E10">
        <v>0</v>
      </c>
      <c r="F10">
        <v>0</v>
      </c>
      <c r="G10">
        <v>1</v>
      </c>
      <c r="H10">
        <v>0.96296296000000003</v>
      </c>
      <c r="I10">
        <v>0</v>
      </c>
    </row>
    <row r="11" spans="1:9" x14ac:dyDescent="0.35">
      <c r="A11">
        <v>36</v>
      </c>
      <c r="B11" t="s">
        <v>66</v>
      </c>
      <c r="C11">
        <v>26</v>
      </c>
      <c r="D11">
        <v>4</v>
      </c>
      <c r="E11">
        <v>0</v>
      </c>
      <c r="F11">
        <f>D11/C11</f>
        <v>0.15384615384615385</v>
      </c>
      <c r="G11">
        <f>1-F11</f>
        <v>0.84615384615384615</v>
      </c>
      <c r="H11">
        <f>G11*H10</f>
        <v>0.81481481230769237</v>
      </c>
      <c r="I11">
        <v>1</v>
      </c>
    </row>
    <row r="12" spans="1:9" x14ac:dyDescent="0.35">
      <c r="A12">
        <v>40</v>
      </c>
      <c r="B12" t="s">
        <v>67</v>
      </c>
      <c r="C12">
        <v>22</v>
      </c>
      <c r="D12">
        <v>0</v>
      </c>
      <c r="E12">
        <v>2</v>
      </c>
      <c r="F12">
        <v>0</v>
      </c>
      <c r="G12">
        <v>1</v>
      </c>
      <c r="H12">
        <v>0.81481481</v>
      </c>
      <c r="I12">
        <v>0</v>
      </c>
    </row>
    <row r="13" spans="1:9" x14ac:dyDescent="0.35">
      <c r="A13">
        <v>44</v>
      </c>
      <c r="B13" t="s">
        <v>68</v>
      </c>
      <c r="C13">
        <v>20</v>
      </c>
      <c r="D13">
        <v>1</v>
      </c>
      <c r="E13">
        <v>1</v>
      </c>
      <c r="F13">
        <f>1/20</f>
        <v>0.05</v>
      </c>
      <c r="G13">
        <f>1-F13</f>
        <v>0.95</v>
      </c>
      <c r="H13">
        <f>G13*H12</f>
        <v>0.77407406950000002</v>
      </c>
      <c r="I13">
        <v>0</v>
      </c>
    </row>
    <row r="14" spans="1:9" x14ac:dyDescent="0.35">
      <c r="A14">
        <v>48</v>
      </c>
      <c r="B14" t="s">
        <v>69</v>
      </c>
      <c r="C14">
        <v>18</v>
      </c>
      <c r="D14">
        <v>2</v>
      </c>
      <c r="E14">
        <v>2</v>
      </c>
      <c r="F14">
        <f>2/C14</f>
        <v>0.1111111111111111</v>
      </c>
      <c r="G14">
        <f>1-F14</f>
        <v>0.88888888888888884</v>
      </c>
      <c r="H14">
        <f>G14*H13</f>
        <v>0.68806583955555556</v>
      </c>
      <c r="I14">
        <v>1</v>
      </c>
    </row>
    <row r="15" spans="1:9" x14ac:dyDescent="0.35">
      <c r="A15">
        <v>52</v>
      </c>
      <c r="B15" t="s">
        <v>70</v>
      </c>
      <c r="C15">
        <v>14</v>
      </c>
      <c r="D15">
        <v>1</v>
      </c>
      <c r="E15">
        <v>0</v>
      </c>
      <c r="F15">
        <f>1/C15</f>
        <v>7.1428571428571425E-2</v>
      </c>
      <c r="G15">
        <f>1-F15</f>
        <v>0.9285714285714286</v>
      </c>
      <c r="H15">
        <f>G15*H14</f>
        <v>0.63891827958730163</v>
      </c>
      <c r="I15">
        <v>1</v>
      </c>
    </row>
    <row r="16" spans="1:9" x14ac:dyDescent="0.35">
      <c r="A16">
        <v>56</v>
      </c>
      <c r="B16" t="s">
        <v>71</v>
      </c>
      <c r="C16">
        <v>13</v>
      </c>
      <c r="D16">
        <v>0</v>
      </c>
      <c r="E16">
        <v>0</v>
      </c>
      <c r="F16">
        <v>0</v>
      </c>
      <c r="G16">
        <v>1</v>
      </c>
      <c r="H16">
        <v>0.63891827999999995</v>
      </c>
      <c r="I16">
        <v>0</v>
      </c>
    </row>
    <row r="17" spans="1:9" x14ac:dyDescent="0.35">
      <c r="A17">
        <v>60</v>
      </c>
      <c r="B17" t="s">
        <v>72</v>
      </c>
      <c r="C17">
        <v>13</v>
      </c>
      <c r="D17">
        <v>1</v>
      </c>
      <c r="E17">
        <v>2</v>
      </c>
      <c r="F17">
        <f>1/13</f>
        <v>7.6923076923076927E-2</v>
      </c>
      <c r="G17">
        <f>1-F17</f>
        <v>0.92307692307692313</v>
      </c>
      <c r="H17">
        <f>G17*H16</f>
        <v>0.58977071999999997</v>
      </c>
      <c r="I17">
        <v>0</v>
      </c>
    </row>
    <row r="18" spans="1:9" x14ac:dyDescent="0.35">
      <c r="A18">
        <v>64</v>
      </c>
      <c r="B18" t="s">
        <v>73</v>
      </c>
      <c r="C18">
        <v>10</v>
      </c>
      <c r="D18">
        <v>2</v>
      </c>
      <c r="E18">
        <v>1</v>
      </c>
      <c r="F18">
        <f>D18/C18</f>
        <v>0.2</v>
      </c>
      <c r="G18">
        <f>1-F18</f>
        <v>0.8</v>
      </c>
      <c r="H18">
        <f>G18*H17</f>
        <v>0.47181657599999999</v>
      </c>
      <c r="I18">
        <v>1</v>
      </c>
    </row>
    <row r="19" spans="1:9" x14ac:dyDescent="0.35">
      <c r="A19">
        <v>68</v>
      </c>
      <c r="B19" t="s">
        <v>74</v>
      </c>
      <c r="C19">
        <v>7</v>
      </c>
      <c r="D19">
        <v>3</v>
      </c>
      <c r="E19">
        <v>1</v>
      </c>
      <c r="F19">
        <f>D19/C19</f>
        <v>0.42857142857142855</v>
      </c>
      <c r="G19">
        <f>1-F19</f>
        <v>0.5714285714285714</v>
      </c>
      <c r="H19">
        <f>G19*H18</f>
        <v>0.26960947199999996</v>
      </c>
      <c r="I19">
        <v>1</v>
      </c>
    </row>
    <row r="20" spans="1:9" x14ac:dyDescent="0.35">
      <c r="A20">
        <v>72</v>
      </c>
      <c r="B20" t="s">
        <v>75</v>
      </c>
      <c r="C20">
        <v>3</v>
      </c>
      <c r="D20">
        <v>0</v>
      </c>
      <c r="E20">
        <v>3</v>
      </c>
      <c r="F20">
        <v>0</v>
      </c>
      <c r="G20">
        <v>1</v>
      </c>
      <c r="H20">
        <f>G20*H19</f>
        <v>0.26960947199999996</v>
      </c>
      <c r="I20"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2122-2F69-4C98-90DB-B768B2E4628D}">
  <dimension ref="A2:H20"/>
  <sheetViews>
    <sheetView workbookViewId="0">
      <selection activeCell="F2" sqref="F2:H2"/>
    </sheetView>
  </sheetViews>
  <sheetFormatPr baseColWidth="10" defaultRowHeight="14.5" x14ac:dyDescent="0.35"/>
  <sheetData>
    <row r="2" spans="1:8" x14ac:dyDescent="0.35">
      <c r="B2" t="s">
        <v>57</v>
      </c>
      <c r="C2" t="s">
        <v>33</v>
      </c>
      <c r="D2" t="s">
        <v>34</v>
      </c>
      <c r="E2" t="s">
        <v>35</v>
      </c>
      <c r="F2" t="s">
        <v>79</v>
      </c>
      <c r="G2" t="s">
        <v>77</v>
      </c>
      <c r="H2" t="s">
        <v>80</v>
      </c>
    </row>
    <row r="3" spans="1:8" x14ac:dyDescent="0.35">
      <c r="A3">
        <v>4</v>
      </c>
      <c r="B3" t="s">
        <v>58</v>
      </c>
      <c r="C3">
        <v>27</v>
      </c>
      <c r="D3">
        <v>0</v>
      </c>
      <c r="E3">
        <v>0</v>
      </c>
      <c r="F3">
        <v>0</v>
      </c>
      <c r="G3">
        <v>1</v>
      </c>
      <c r="H3">
        <v>1</v>
      </c>
    </row>
    <row r="4" spans="1:8" x14ac:dyDescent="0.35">
      <c r="A4">
        <v>8</v>
      </c>
      <c r="B4" t="s">
        <v>59</v>
      </c>
      <c r="C4">
        <v>27</v>
      </c>
      <c r="D4">
        <v>0</v>
      </c>
      <c r="E4">
        <v>0</v>
      </c>
      <c r="F4">
        <v>0</v>
      </c>
      <c r="G4">
        <v>1</v>
      </c>
      <c r="H4">
        <v>1</v>
      </c>
    </row>
    <row r="5" spans="1:8" x14ac:dyDescent="0.35">
      <c r="A5">
        <v>12</v>
      </c>
      <c r="B5" t="s">
        <v>60</v>
      </c>
      <c r="C5">
        <v>27</v>
      </c>
      <c r="D5">
        <v>0</v>
      </c>
      <c r="E5">
        <v>0</v>
      </c>
      <c r="F5">
        <v>0</v>
      </c>
      <c r="G5">
        <v>1</v>
      </c>
      <c r="H5">
        <v>1</v>
      </c>
    </row>
    <row r="6" spans="1:8" x14ac:dyDescent="0.35">
      <c r="A6">
        <v>16</v>
      </c>
      <c r="B6" t="s">
        <v>61</v>
      </c>
      <c r="C6">
        <v>27</v>
      </c>
      <c r="D6">
        <v>0</v>
      </c>
      <c r="E6">
        <v>0</v>
      </c>
      <c r="F6">
        <v>0</v>
      </c>
      <c r="G6">
        <v>1</v>
      </c>
      <c r="H6">
        <v>1</v>
      </c>
    </row>
    <row r="7" spans="1:8" x14ac:dyDescent="0.35">
      <c r="A7">
        <v>20</v>
      </c>
      <c r="B7" t="s">
        <v>62</v>
      </c>
      <c r="C7">
        <v>27</v>
      </c>
      <c r="D7">
        <v>0</v>
      </c>
      <c r="E7">
        <v>0</v>
      </c>
      <c r="F7">
        <v>0</v>
      </c>
      <c r="G7">
        <v>1</v>
      </c>
      <c r="H7">
        <v>1</v>
      </c>
    </row>
    <row r="8" spans="1:8" x14ac:dyDescent="0.35">
      <c r="A8">
        <v>24</v>
      </c>
      <c r="B8" t="s">
        <v>63</v>
      </c>
      <c r="C8">
        <v>27</v>
      </c>
      <c r="D8">
        <v>0</v>
      </c>
      <c r="E8">
        <v>0</v>
      </c>
      <c r="F8">
        <v>0</v>
      </c>
      <c r="G8">
        <v>1</v>
      </c>
      <c r="H8">
        <v>1</v>
      </c>
    </row>
    <row r="9" spans="1:8" x14ac:dyDescent="0.35">
      <c r="A9">
        <v>28</v>
      </c>
      <c r="B9" t="s">
        <v>64</v>
      </c>
      <c r="C9">
        <v>27</v>
      </c>
      <c r="D9">
        <v>1</v>
      </c>
      <c r="E9">
        <v>0</v>
      </c>
      <c r="F9">
        <f>D9/C9</f>
        <v>3.7037037037037035E-2</v>
      </c>
      <c r="G9">
        <f>1-F9</f>
        <v>0.96296296296296302</v>
      </c>
      <c r="H9">
        <f t="shared" ref="H9:H20" si="0">G9*H8</f>
        <v>0.96296296296296302</v>
      </c>
    </row>
    <row r="10" spans="1:8" x14ac:dyDescent="0.35">
      <c r="A10">
        <v>32</v>
      </c>
      <c r="B10" t="s">
        <v>65</v>
      </c>
      <c r="C10">
        <v>26</v>
      </c>
      <c r="D10">
        <v>0</v>
      </c>
      <c r="E10">
        <v>0</v>
      </c>
      <c r="F10">
        <v>0</v>
      </c>
      <c r="G10">
        <v>1</v>
      </c>
      <c r="H10">
        <f t="shared" si="0"/>
        <v>0.96296296296296302</v>
      </c>
    </row>
    <row r="11" spans="1:8" x14ac:dyDescent="0.35">
      <c r="A11">
        <v>36</v>
      </c>
      <c r="B11" t="s">
        <v>66</v>
      </c>
      <c r="C11">
        <v>26</v>
      </c>
      <c r="D11">
        <v>4</v>
      </c>
      <c r="E11">
        <v>0</v>
      </c>
      <c r="F11">
        <f>D11/C11</f>
        <v>0.15384615384615385</v>
      </c>
      <c r="G11">
        <f>1-F11</f>
        <v>0.84615384615384615</v>
      </c>
      <c r="H11">
        <f t="shared" si="0"/>
        <v>0.81481481481481488</v>
      </c>
    </row>
    <row r="12" spans="1:8" x14ac:dyDescent="0.35">
      <c r="A12">
        <v>40</v>
      </c>
      <c r="B12" t="s">
        <v>67</v>
      </c>
      <c r="C12">
        <v>22</v>
      </c>
      <c r="D12">
        <v>0</v>
      </c>
      <c r="E12">
        <v>2</v>
      </c>
      <c r="F12">
        <v>0</v>
      </c>
      <c r="G12">
        <v>1</v>
      </c>
      <c r="H12">
        <f t="shared" si="0"/>
        <v>0.81481481481481488</v>
      </c>
    </row>
    <row r="13" spans="1:8" x14ac:dyDescent="0.35">
      <c r="A13">
        <v>44</v>
      </c>
      <c r="B13" t="s">
        <v>68</v>
      </c>
      <c r="C13">
        <v>20</v>
      </c>
      <c r="D13">
        <v>1</v>
      </c>
      <c r="E13">
        <v>1</v>
      </c>
      <c r="F13">
        <f>D13/(C13-E13)</f>
        <v>5.2631578947368418E-2</v>
      </c>
      <c r="G13">
        <f>1-F13</f>
        <v>0.94736842105263164</v>
      </c>
      <c r="H13">
        <f t="shared" si="0"/>
        <v>0.77192982456140358</v>
      </c>
    </row>
    <row r="14" spans="1:8" x14ac:dyDescent="0.35">
      <c r="A14">
        <v>48</v>
      </c>
      <c r="B14" t="s">
        <v>69</v>
      </c>
      <c r="C14">
        <v>18</v>
      </c>
      <c r="D14">
        <v>2</v>
      </c>
      <c r="E14">
        <v>2</v>
      </c>
      <c r="F14">
        <f>D14/(C14-E14)</f>
        <v>0.125</v>
      </c>
      <c r="G14">
        <f>1-F14</f>
        <v>0.875</v>
      </c>
      <c r="H14">
        <f t="shared" si="0"/>
        <v>0.67543859649122817</v>
      </c>
    </row>
    <row r="15" spans="1:8" x14ac:dyDescent="0.35">
      <c r="A15">
        <v>52</v>
      </c>
      <c r="B15" t="s">
        <v>70</v>
      </c>
      <c r="C15">
        <v>14</v>
      </c>
      <c r="D15">
        <v>1</v>
      </c>
      <c r="E15">
        <v>0</v>
      </c>
      <c r="F15">
        <f>D15/C15</f>
        <v>7.1428571428571425E-2</v>
      </c>
      <c r="G15">
        <f>1-F15</f>
        <v>0.9285714285714286</v>
      </c>
      <c r="H15">
        <f t="shared" si="0"/>
        <v>0.62719298245614041</v>
      </c>
    </row>
    <row r="16" spans="1:8" x14ac:dyDescent="0.35">
      <c r="A16">
        <v>56</v>
      </c>
      <c r="B16" t="s">
        <v>71</v>
      </c>
      <c r="C16">
        <v>13</v>
      </c>
      <c r="D16">
        <v>0</v>
      </c>
      <c r="E16">
        <v>0</v>
      </c>
      <c r="F16">
        <v>0</v>
      </c>
      <c r="G16">
        <v>1</v>
      </c>
      <c r="H16">
        <f t="shared" si="0"/>
        <v>0.62719298245614041</v>
      </c>
    </row>
    <row r="17" spans="1:8" x14ac:dyDescent="0.35">
      <c r="A17">
        <v>60</v>
      </c>
      <c r="B17" t="s">
        <v>72</v>
      </c>
      <c r="C17">
        <v>13</v>
      </c>
      <c r="D17">
        <v>1</v>
      </c>
      <c r="E17">
        <v>2</v>
      </c>
      <c r="F17">
        <f>D17/(C17-E17)</f>
        <v>9.0909090909090912E-2</v>
      </c>
      <c r="G17">
        <f>1-F17</f>
        <v>0.90909090909090906</v>
      </c>
      <c r="H17">
        <f t="shared" si="0"/>
        <v>0.57017543859649122</v>
      </c>
    </row>
    <row r="18" spans="1:8" x14ac:dyDescent="0.35">
      <c r="A18">
        <v>64</v>
      </c>
      <c r="B18" t="s">
        <v>73</v>
      </c>
      <c r="C18">
        <v>10</v>
      </c>
      <c r="D18">
        <v>2</v>
      </c>
      <c r="E18">
        <v>1</v>
      </c>
      <c r="F18">
        <f>D18/(C18-E18)</f>
        <v>0.22222222222222221</v>
      </c>
      <c r="G18">
        <f>1-F18</f>
        <v>0.77777777777777779</v>
      </c>
      <c r="H18">
        <f t="shared" si="0"/>
        <v>0.44346978557504874</v>
      </c>
    </row>
    <row r="19" spans="1:8" x14ac:dyDescent="0.35">
      <c r="A19">
        <v>68</v>
      </c>
      <c r="B19" t="s">
        <v>74</v>
      </c>
      <c r="C19">
        <v>7</v>
      </c>
      <c r="D19">
        <v>3</v>
      </c>
      <c r="E19">
        <v>1</v>
      </c>
      <c r="F19">
        <f>D19/(C19-E19)</f>
        <v>0.5</v>
      </c>
      <c r="G19">
        <f>1-F19</f>
        <v>0.5</v>
      </c>
      <c r="H19">
        <f t="shared" si="0"/>
        <v>0.22173489278752437</v>
      </c>
    </row>
    <row r="20" spans="1:8" x14ac:dyDescent="0.35">
      <c r="A20">
        <v>72</v>
      </c>
      <c r="B20" t="s">
        <v>75</v>
      </c>
      <c r="C20">
        <v>3</v>
      </c>
      <c r="D20">
        <v>0</v>
      </c>
      <c r="E20">
        <v>3</v>
      </c>
      <c r="F20">
        <v>0</v>
      </c>
      <c r="G20">
        <v>1</v>
      </c>
      <c r="H20">
        <f t="shared" si="0"/>
        <v>0.22173489278752437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74DA-C4C2-40D2-B8D1-18951ACD55BA}">
  <dimension ref="A2:H20"/>
  <sheetViews>
    <sheetView workbookViewId="0">
      <selection activeCell="F2" sqref="F2:H2"/>
    </sheetView>
  </sheetViews>
  <sheetFormatPr baseColWidth="10" defaultRowHeight="14.5" x14ac:dyDescent="0.35"/>
  <cols>
    <col min="6" max="6" width="13.54296875" customWidth="1"/>
  </cols>
  <sheetData>
    <row r="2" spans="1:8" x14ac:dyDescent="0.35">
      <c r="B2" t="s">
        <v>57</v>
      </c>
      <c r="C2" t="s">
        <v>33</v>
      </c>
      <c r="D2" t="s">
        <v>34</v>
      </c>
      <c r="E2" t="s">
        <v>35</v>
      </c>
      <c r="F2" t="s">
        <v>81</v>
      </c>
      <c r="G2" t="s">
        <v>77</v>
      </c>
      <c r="H2" t="s">
        <v>80</v>
      </c>
    </row>
    <row r="3" spans="1:8" x14ac:dyDescent="0.35">
      <c r="A3">
        <v>4</v>
      </c>
      <c r="B3" t="s">
        <v>58</v>
      </c>
      <c r="C3">
        <v>27</v>
      </c>
      <c r="D3">
        <v>0</v>
      </c>
      <c r="E3">
        <v>0</v>
      </c>
      <c r="F3">
        <v>0</v>
      </c>
      <c r="G3">
        <v>1</v>
      </c>
      <c r="H3">
        <v>1</v>
      </c>
    </row>
    <row r="4" spans="1:8" x14ac:dyDescent="0.35">
      <c r="A4">
        <v>8</v>
      </c>
      <c r="B4" t="s">
        <v>59</v>
      </c>
      <c r="C4">
        <v>27</v>
      </c>
      <c r="D4">
        <v>0</v>
      </c>
      <c r="E4">
        <v>0</v>
      </c>
      <c r="F4">
        <v>0</v>
      </c>
      <c r="G4">
        <v>1</v>
      </c>
      <c r="H4">
        <v>1</v>
      </c>
    </row>
    <row r="5" spans="1:8" x14ac:dyDescent="0.35">
      <c r="A5">
        <v>12</v>
      </c>
      <c r="B5" t="s">
        <v>60</v>
      </c>
      <c r="C5">
        <v>27</v>
      </c>
      <c r="D5">
        <v>0</v>
      </c>
      <c r="E5">
        <v>0</v>
      </c>
      <c r="F5">
        <v>0</v>
      </c>
      <c r="G5">
        <v>1</v>
      </c>
      <c r="H5">
        <v>1</v>
      </c>
    </row>
    <row r="6" spans="1:8" x14ac:dyDescent="0.35">
      <c r="A6">
        <v>16</v>
      </c>
      <c r="B6" t="s">
        <v>61</v>
      </c>
      <c r="C6">
        <v>27</v>
      </c>
      <c r="D6">
        <v>0</v>
      </c>
      <c r="E6">
        <v>0</v>
      </c>
      <c r="F6">
        <v>0</v>
      </c>
      <c r="G6">
        <v>1</v>
      </c>
      <c r="H6">
        <v>1</v>
      </c>
    </row>
    <row r="7" spans="1:8" x14ac:dyDescent="0.35">
      <c r="A7">
        <v>20</v>
      </c>
      <c r="B7" t="s">
        <v>62</v>
      </c>
      <c r="C7">
        <v>27</v>
      </c>
      <c r="D7">
        <v>0</v>
      </c>
      <c r="E7">
        <v>0</v>
      </c>
      <c r="F7">
        <v>0</v>
      </c>
      <c r="G7">
        <v>1</v>
      </c>
      <c r="H7">
        <v>1</v>
      </c>
    </row>
    <row r="8" spans="1:8" x14ac:dyDescent="0.35">
      <c r="A8">
        <v>24</v>
      </c>
      <c r="B8" t="s">
        <v>63</v>
      </c>
      <c r="C8">
        <v>27</v>
      </c>
      <c r="D8">
        <v>0</v>
      </c>
      <c r="E8">
        <v>0</v>
      </c>
      <c r="F8">
        <v>0</v>
      </c>
      <c r="G8">
        <v>1</v>
      </c>
      <c r="H8">
        <v>1</v>
      </c>
    </row>
    <row r="9" spans="1:8" x14ac:dyDescent="0.35">
      <c r="A9">
        <v>28</v>
      </c>
      <c r="B9" t="s">
        <v>64</v>
      </c>
      <c r="C9">
        <v>27</v>
      </c>
      <c r="D9">
        <v>1</v>
      </c>
      <c r="E9">
        <v>0</v>
      </c>
      <c r="F9">
        <f>D9/C9</f>
        <v>3.7037037037037035E-2</v>
      </c>
      <c r="G9">
        <f>1-F9</f>
        <v>0.96296296296296302</v>
      </c>
      <c r="H9">
        <f t="shared" ref="H9:H20" si="0">G9*H8</f>
        <v>0.96296296296296302</v>
      </c>
    </row>
    <row r="10" spans="1:8" x14ac:dyDescent="0.35">
      <c r="A10">
        <v>32</v>
      </c>
      <c r="B10" t="s">
        <v>65</v>
      </c>
      <c r="C10">
        <v>26</v>
      </c>
      <c r="D10">
        <v>0</v>
      </c>
      <c r="E10">
        <v>0</v>
      </c>
      <c r="F10">
        <v>0</v>
      </c>
      <c r="G10">
        <v>1</v>
      </c>
      <c r="H10">
        <f t="shared" si="0"/>
        <v>0.96296296296296302</v>
      </c>
    </row>
    <row r="11" spans="1:8" x14ac:dyDescent="0.35">
      <c r="A11">
        <v>36</v>
      </c>
      <c r="B11" t="s">
        <v>66</v>
      </c>
      <c r="C11">
        <v>26</v>
      </c>
      <c r="D11">
        <v>4</v>
      </c>
      <c r="E11">
        <v>0</v>
      </c>
      <c r="F11">
        <f>D11/C11</f>
        <v>0.15384615384615385</v>
      </c>
      <c r="G11">
        <f>1-F11</f>
        <v>0.84615384615384615</v>
      </c>
      <c r="H11">
        <f t="shared" si="0"/>
        <v>0.81481481481481488</v>
      </c>
    </row>
    <row r="12" spans="1:8" x14ac:dyDescent="0.35">
      <c r="A12">
        <v>40</v>
      </c>
      <c r="B12" t="s">
        <v>67</v>
      </c>
      <c r="C12">
        <v>22</v>
      </c>
      <c r="D12">
        <v>0</v>
      </c>
      <c r="E12">
        <v>2</v>
      </c>
      <c r="F12">
        <v>0</v>
      </c>
      <c r="G12">
        <v>1</v>
      </c>
      <c r="H12">
        <f t="shared" si="0"/>
        <v>0.81481481481481488</v>
      </c>
    </row>
    <row r="13" spans="1:8" x14ac:dyDescent="0.35">
      <c r="A13">
        <v>44</v>
      </c>
      <c r="B13" t="s">
        <v>68</v>
      </c>
      <c r="C13">
        <v>20</v>
      </c>
      <c r="D13">
        <v>1</v>
      </c>
      <c r="E13">
        <v>1</v>
      </c>
      <c r="F13">
        <f>D13/(C13-(E13/2))</f>
        <v>5.128205128205128E-2</v>
      </c>
      <c r="G13">
        <f>1-F13</f>
        <v>0.94871794871794868</v>
      </c>
      <c r="H13">
        <f t="shared" si="0"/>
        <v>0.77302943969610638</v>
      </c>
    </row>
    <row r="14" spans="1:8" x14ac:dyDescent="0.35">
      <c r="A14">
        <v>48</v>
      </c>
      <c r="B14" t="s">
        <v>69</v>
      </c>
      <c r="C14">
        <v>18</v>
      </c>
      <c r="D14">
        <v>2</v>
      </c>
      <c r="E14">
        <v>2</v>
      </c>
      <c r="F14">
        <f>D14/(C14-(E14/2))</f>
        <v>0.11764705882352941</v>
      </c>
      <c r="G14">
        <f>1-F14</f>
        <v>0.88235294117647056</v>
      </c>
      <c r="H14">
        <f t="shared" si="0"/>
        <v>0.68208479973185854</v>
      </c>
    </row>
    <row r="15" spans="1:8" x14ac:dyDescent="0.35">
      <c r="A15">
        <v>52</v>
      </c>
      <c r="B15" t="s">
        <v>70</v>
      </c>
      <c r="C15">
        <v>14</v>
      </c>
      <c r="D15">
        <v>1</v>
      </c>
      <c r="E15">
        <v>0</v>
      </c>
      <c r="F15">
        <f>D15/C15</f>
        <v>7.1428571428571425E-2</v>
      </c>
      <c r="G15">
        <f>1-F15</f>
        <v>0.9285714285714286</v>
      </c>
      <c r="H15">
        <f t="shared" si="0"/>
        <v>0.63336445689386867</v>
      </c>
    </row>
    <row r="16" spans="1:8" x14ac:dyDescent="0.35">
      <c r="A16">
        <v>56</v>
      </c>
      <c r="B16" t="s">
        <v>71</v>
      </c>
      <c r="C16">
        <v>13</v>
      </c>
      <c r="D16">
        <v>0</v>
      </c>
      <c r="E16">
        <v>0</v>
      </c>
      <c r="F16">
        <v>0</v>
      </c>
      <c r="G16">
        <v>1</v>
      </c>
      <c r="H16">
        <f t="shared" si="0"/>
        <v>0.63336445689386867</v>
      </c>
    </row>
    <row r="17" spans="1:8" x14ac:dyDescent="0.35">
      <c r="A17">
        <v>60</v>
      </c>
      <c r="B17" t="s">
        <v>72</v>
      </c>
      <c r="C17">
        <v>13</v>
      </c>
      <c r="D17">
        <v>1</v>
      </c>
      <c r="E17">
        <v>2</v>
      </c>
      <c r="F17">
        <f>D17/(C17-(E17/2))</f>
        <v>8.3333333333333329E-2</v>
      </c>
      <c r="G17">
        <f>1-F17</f>
        <v>0.91666666666666663</v>
      </c>
      <c r="H17">
        <f t="shared" si="0"/>
        <v>0.58058408548604623</v>
      </c>
    </row>
    <row r="18" spans="1:8" x14ac:dyDescent="0.35">
      <c r="A18">
        <v>64</v>
      </c>
      <c r="B18" t="s">
        <v>73</v>
      </c>
      <c r="C18">
        <v>10</v>
      </c>
      <c r="D18">
        <v>2</v>
      </c>
      <c r="E18">
        <v>1</v>
      </c>
      <c r="F18">
        <f>D18/(C18-(E18/2))</f>
        <v>0.21052631578947367</v>
      </c>
      <c r="G18">
        <f>1-F18</f>
        <v>0.78947368421052633</v>
      </c>
      <c r="H18">
        <f t="shared" si="0"/>
        <v>0.45835585696266806</v>
      </c>
    </row>
    <row r="19" spans="1:8" x14ac:dyDescent="0.35">
      <c r="A19">
        <v>68</v>
      </c>
      <c r="B19" t="s">
        <v>74</v>
      </c>
      <c r="C19">
        <v>7</v>
      </c>
      <c r="D19">
        <v>3</v>
      </c>
      <c r="E19">
        <v>1</v>
      </c>
      <c r="F19">
        <f>D19/(C19-(E19/2))</f>
        <v>0.46153846153846156</v>
      </c>
      <c r="G19">
        <f>1-F19</f>
        <v>0.53846153846153844</v>
      </c>
      <c r="H19">
        <f t="shared" si="0"/>
        <v>0.24680699990297511</v>
      </c>
    </row>
    <row r="20" spans="1:8" x14ac:dyDescent="0.35">
      <c r="A20">
        <v>72</v>
      </c>
      <c r="B20" t="s">
        <v>75</v>
      </c>
      <c r="C20">
        <v>3</v>
      </c>
      <c r="D20">
        <v>0</v>
      </c>
      <c r="E20">
        <v>3</v>
      </c>
      <c r="F20">
        <v>0</v>
      </c>
      <c r="G20">
        <v>1</v>
      </c>
      <c r="H20">
        <f t="shared" si="0"/>
        <v>0.24680699990297511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D065-D466-4B70-B673-36CF4D4AABF5}">
  <dimension ref="A1:H21"/>
  <sheetViews>
    <sheetView workbookViewId="0">
      <selection activeCell="A4" sqref="A4:A20"/>
    </sheetView>
  </sheetViews>
  <sheetFormatPr baseColWidth="10" defaultRowHeight="14.5" x14ac:dyDescent="0.35"/>
  <sheetData>
    <row r="1" spans="1:8" x14ac:dyDescent="0.35">
      <c r="A1" s="10"/>
      <c r="B1" s="10" t="s">
        <v>36</v>
      </c>
    </row>
    <row r="3" spans="1:8" x14ac:dyDescent="0.35">
      <c r="A3" t="s">
        <v>82</v>
      </c>
      <c r="B3" t="s">
        <v>36</v>
      </c>
    </row>
    <row r="4" spans="1:8" x14ac:dyDescent="0.35">
      <c r="A4">
        <v>4</v>
      </c>
      <c r="B4" s="12">
        <v>1</v>
      </c>
      <c r="C4">
        <v>1</v>
      </c>
      <c r="H4" t="s">
        <v>53</v>
      </c>
    </row>
    <row r="5" spans="1:8" x14ac:dyDescent="0.35">
      <c r="A5">
        <v>8</v>
      </c>
      <c r="B5" s="12">
        <v>1</v>
      </c>
      <c r="C5">
        <v>2</v>
      </c>
    </row>
    <row r="6" spans="1:8" x14ac:dyDescent="0.35">
      <c r="A6">
        <v>12</v>
      </c>
      <c r="B6" s="12">
        <v>1</v>
      </c>
      <c r="C6">
        <v>3</v>
      </c>
    </row>
    <row r="7" spans="1:8" x14ac:dyDescent="0.35">
      <c r="A7">
        <v>16</v>
      </c>
      <c r="B7" s="12">
        <v>1</v>
      </c>
      <c r="C7">
        <v>4</v>
      </c>
    </row>
    <row r="8" spans="1:8" x14ac:dyDescent="0.35">
      <c r="A8">
        <v>20</v>
      </c>
      <c r="B8" s="12">
        <v>1</v>
      </c>
      <c r="C8">
        <v>5</v>
      </c>
    </row>
    <row r="9" spans="1:8" x14ac:dyDescent="0.35">
      <c r="A9">
        <v>24</v>
      </c>
      <c r="B9" s="12">
        <v>1</v>
      </c>
      <c r="C9">
        <v>6</v>
      </c>
    </row>
    <row r="10" spans="1:8" x14ac:dyDescent="0.35">
      <c r="A10">
        <v>28</v>
      </c>
      <c r="B10" s="12">
        <v>0.96296296000000003</v>
      </c>
      <c r="C10">
        <v>7</v>
      </c>
    </row>
    <row r="11" spans="1:8" x14ac:dyDescent="0.35">
      <c r="A11">
        <v>32</v>
      </c>
      <c r="B11" s="12">
        <v>0.96296296000000003</v>
      </c>
      <c r="C11">
        <v>8</v>
      </c>
    </row>
    <row r="12" spans="1:8" x14ac:dyDescent="0.35">
      <c r="A12">
        <v>36</v>
      </c>
      <c r="B12" s="12">
        <v>0.81481481</v>
      </c>
      <c r="C12">
        <v>9</v>
      </c>
    </row>
    <row r="13" spans="1:8" x14ac:dyDescent="0.35">
      <c r="A13">
        <v>40</v>
      </c>
      <c r="B13" s="12">
        <v>0.81481481</v>
      </c>
      <c r="C13">
        <v>10</v>
      </c>
    </row>
    <row r="14" spans="1:8" x14ac:dyDescent="0.35">
      <c r="A14">
        <v>44</v>
      </c>
      <c r="B14" s="12">
        <v>0.77407406999999995</v>
      </c>
      <c r="C14">
        <v>11</v>
      </c>
    </row>
    <row r="15" spans="1:8" x14ac:dyDescent="0.35">
      <c r="A15">
        <v>48</v>
      </c>
      <c r="B15" s="12">
        <v>0.68806584000000004</v>
      </c>
      <c r="C15">
        <v>12</v>
      </c>
    </row>
    <row r="16" spans="1:8" x14ac:dyDescent="0.35">
      <c r="A16">
        <v>52</v>
      </c>
      <c r="B16" s="12">
        <v>0.63891827999999995</v>
      </c>
      <c r="C16">
        <v>13</v>
      </c>
    </row>
    <row r="17" spans="1:3" x14ac:dyDescent="0.35">
      <c r="A17">
        <v>56</v>
      </c>
      <c r="B17" s="12">
        <v>0.63891827999999995</v>
      </c>
      <c r="C17">
        <v>14</v>
      </c>
    </row>
    <row r="18" spans="1:3" x14ac:dyDescent="0.35">
      <c r="A18">
        <v>60</v>
      </c>
      <c r="B18" s="12">
        <v>0.58977071999999997</v>
      </c>
      <c r="C18">
        <v>15</v>
      </c>
    </row>
    <row r="19" spans="1:3" x14ac:dyDescent="0.35">
      <c r="A19">
        <v>64</v>
      </c>
      <c r="B19" s="12">
        <v>0.47181657999999999</v>
      </c>
      <c r="C19">
        <v>16</v>
      </c>
    </row>
    <row r="20" spans="1:3" x14ac:dyDescent="0.35">
      <c r="A20">
        <v>68</v>
      </c>
      <c r="B20" s="12">
        <v>0.26960947000000002</v>
      </c>
      <c r="C20">
        <v>17</v>
      </c>
    </row>
    <row r="21" spans="1:3" x14ac:dyDescent="0.35">
      <c r="A21">
        <v>72</v>
      </c>
      <c r="B21" s="12">
        <v>0.26960947000000002</v>
      </c>
      <c r="C2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29AB-C698-4ADB-8E3E-4194C09FEA3F}">
  <dimension ref="A1:E29"/>
  <sheetViews>
    <sheetView topLeftCell="A12" workbookViewId="0">
      <selection activeCell="D3" sqref="D3:D25"/>
    </sheetView>
  </sheetViews>
  <sheetFormatPr baseColWidth="10" defaultRowHeight="14.5" x14ac:dyDescent="0.35"/>
  <cols>
    <col min="1" max="1" width="20.453125" customWidth="1"/>
    <col min="2" max="2" width="12.90625" customWidth="1"/>
    <col min="3" max="3" width="15.90625" customWidth="1"/>
    <col min="4" max="4" width="15.54296875" customWidth="1"/>
    <col min="5" max="5" width="26.36328125" customWidth="1"/>
  </cols>
  <sheetData>
    <row r="1" spans="1:5" x14ac:dyDescent="0.35">
      <c r="A1">
        <v>27</v>
      </c>
    </row>
    <row r="2" spans="1:5" x14ac:dyDescent="0.35">
      <c r="A2" t="s">
        <v>55</v>
      </c>
      <c r="B2" t="s">
        <v>52</v>
      </c>
      <c r="C2" t="s">
        <v>55</v>
      </c>
      <c r="D2" t="s">
        <v>56</v>
      </c>
      <c r="E2" t="s">
        <v>54</v>
      </c>
    </row>
    <row r="3" spans="1:5" ht="16" thickBot="1" x14ac:dyDescent="0.4">
      <c r="A3">
        <v>1</v>
      </c>
      <c r="B3" s="5">
        <v>3</v>
      </c>
      <c r="C3" s="27">
        <v>0</v>
      </c>
      <c r="D3">
        <v>1</v>
      </c>
      <c r="E3">
        <f>(A$1-C3)/A$1</f>
        <v>1</v>
      </c>
    </row>
    <row r="4" spans="1:5" ht="16.5" thickTop="1" thickBot="1" x14ac:dyDescent="0.4">
      <c r="A4" s="27">
        <v>3</v>
      </c>
      <c r="B4" s="5">
        <v>5</v>
      </c>
      <c r="C4" s="27"/>
      <c r="D4">
        <v>2</v>
      </c>
      <c r="E4">
        <f>(A$1-C4)/A$1</f>
        <v>1</v>
      </c>
    </row>
    <row r="5" spans="1:5" ht="16.5" thickTop="1" thickBot="1" x14ac:dyDescent="0.4">
      <c r="A5" s="27"/>
      <c r="B5" s="5">
        <v>5</v>
      </c>
      <c r="C5" s="27"/>
      <c r="D5">
        <v>3</v>
      </c>
      <c r="E5">
        <f>(A$1-C5)/A$1</f>
        <v>1</v>
      </c>
    </row>
    <row r="6" spans="1:5" ht="16.5" thickTop="1" thickBot="1" x14ac:dyDescent="0.4">
      <c r="A6" s="27">
        <v>5</v>
      </c>
      <c r="B6" s="5">
        <v>7</v>
      </c>
      <c r="C6" s="27">
        <v>1</v>
      </c>
      <c r="D6">
        <v>4</v>
      </c>
      <c r="E6" s="27">
        <f>(A$1-C6)/A$1</f>
        <v>0.96296296296296291</v>
      </c>
    </row>
    <row r="7" spans="1:5" ht="16.5" thickTop="1" thickBot="1" x14ac:dyDescent="0.4">
      <c r="A7" s="27"/>
      <c r="B7" s="5">
        <v>7</v>
      </c>
      <c r="C7" s="27"/>
      <c r="D7">
        <v>5</v>
      </c>
      <c r="E7" s="27"/>
    </row>
    <row r="8" spans="1:5" ht="16.5" thickTop="1" thickBot="1" x14ac:dyDescent="0.4">
      <c r="A8" s="27">
        <v>9</v>
      </c>
      <c r="B8" s="5">
        <v>9</v>
      </c>
      <c r="C8" s="27">
        <v>3</v>
      </c>
      <c r="D8">
        <v>6</v>
      </c>
      <c r="E8" s="27">
        <f>(A$1-C8)/A$1</f>
        <v>0.88888888888888884</v>
      </c>
    </row>
    <row r="9" spans="1:5" ht="16.5" thickTop="1" thickBot="1" x14ac:dyDescent="0.4">
      <c r="A9" s="27"/>
      <c r="B9" s="5">
        <v>9</v>
      </c>
      <c r="C9" s="27"/>
      <c r="D9">
        <v>7</v>
      </c>
      <c r="E9" s="27"/>
    </row>
    <row r="10" spans="1:5" ht="16.5" thickTop="1" thickBot="1" x14ac:dyDescent="0.4">
      <c r="A10" s="27"/>
      <c r="B10" s="5">
        <v>9</v>
      </c>
      <c r="C10" s="27">
        <v>5</v>
      </c>
      <c r="D10">
        <v>8</v>
      </c>
      <c r="E10" s="27">
        <f>(A$1-C10)/A$1</f>
        <v>0.81481481481481477</v>
      </c>
    </row>
    <row r="11" spans="1:5" ht="16.5" thickTop="1" thickBot="1" x14ac:dyDescent="0.4">
      <c r="A11" s="27"/>
      <c r="B11" s="5">
        <v>9</v>
      </c>
      <c r="C11" s="27"/>
      <c r="D11">
        <v>9</v>
      </c>
      <c r="E11" s="27"/>
    </row>
    <row r="12" spans="1:5" ht="38.5" customHeight="1" thickTop="1" thickBot="1" x14ac:dyDescent="0.4">
      <c r="A12">
        <v>10</v>
      </c>
      <c r="B12" s="5">
        <v>10</v>
      </c>
      <c r="C12">
        <v>9</v>
      </c>
      <c r="D12">
        <v>10</v>
      </c>
      <c r="E12">
        <f>(A$1-C12)/A$1</f>
        <v>0.66666666666666663</v>
      </c>
    </row>
    <row r="13" spans="1:5" ht="16.5" thickTop="1" thickBot="1" x14ac:dyDescent="0.4">
      <c r="A13" s="27">
        <v>12</v>
      </c>
      <c r="B13" s="5">
        <v>12</v>
      </c>
      <c r="C13" s="27">
        <v>10</v>
      </c>
      <c r="D13">
        <v>11</v>
      </c>
      <c r="E13" s="27">
        <f>(A$1-C13)/A$1</f>
        <v>0.62962962962962965</v>
      </c>
    </row>
    <row r="14" spans="1:5" ht="16.5" thickTop="1" thickBot="1" x14ac:dyDescent="0.4">
      <c r="A14" s="27"/>
      <c r="B14" s="5">
        <v>12</v>
      </c>
      <c r="C14" s="27"/>
      <c r="D14">
        <v>12</v>
      </c>
      <c r="E14" s="27"/>
    </row>
    <row r="15" spans="1:5" ht="16.5" thickTop="1" thickBot="1" x14ac:dyDescent="0.4">
      <c r="A15" s="27">
        <v>15</v>
      </c>
      <c r="B15" s="5">
        <v>13</v>
      </c>
      <c r="C15">
        <v>12</v>
      </c>
      <c r="D15">
        <v>13</v>
      </c>
      <c r="E15">
        <f t="shared" ref="E15:E24" si="0">(A$1-C15)/A$1</f>
        <v>0.55555555555555558</v>
      </c>
    </row>
    <row r="16" spans="1:5" ht="16.5" thickTop="1" thickBot="1" x14ac:dyDescent="0.4">
      <c r="A16" s="27"/>
      <c r="B16" s="5">
        <v>13</v>
      </c>
      <c r="C16">
        <v>15</v>
      </c>
      <c r="D16">
        <v>14</v>
      </c>
      <c r="E16">
        <f t="shared" si="0"/>
        <v>0.44444444444444442</v>
      </c>
    </row>
    <row r="17" spans="1:5" ht="16.5" thickTop="1" thickBot="1" x14ac:dyDescent="0.4">
      <c r="A17" s="27"/>
      <c r="B17" s="5">
        <v>13</v>
      </c>
      <c r="C17">
        <v>19</v>
      </c>
      <c r="D17">
        <v>15</v>
      </c>
      <c r="E17">
        <f t="shared" si="0"/>
        <v>0.29629629629629628</v>
      </c>
    </row>
    <row r="18" spans="1:5" ht="16.5" thickTop="1" thickBot="1" x14ac:dyDescent="0.4">
      <c r="A18" s="27">
        <v>19</v>
      </c>
      <c r="B18" s="5">
        <v>14</v>
      </c>
      <c r="C18">
        <v>20</v>
      </c>
      <c r="D18">
        <v>16</v>
      </c>
      <c r="E18">
        <f t="shared" si="0"/>
        <v>0.25925925925925924</v>
      </c>
    </row>
    <row r="19" spans="1:5" ht="16.5" thickTop="1" thickBot="1" x14ac:dyDescent="0.4">
      <c r="A19" s="27"/>
      <c r="B19" s="5">
        <v>14</v>
      </c>
      <c r="C19">
        <v>21</v>
      </c>
      <c r="D19">
        <v>17</v>
      </c>
      <c r="E19">
        <f t="shared" si="0"/>
        <v>0.22222222222222221</v>
      </c>
    </row>
    <row r="20" spans="1:5" ht="16.5" thickTop="1" thickBot="1" x14ac:dyDescent="0.4">
      <c r="A20" s="27"/>
      <c r="B20" s="5">
        <v>14</v>
      </c>
      <c r="C20">
        <v>23</v>
      </c>
      <c r="D20">
        <v>18</v>
      </c>
      <c r="E20">
        <f t="shared" si="0"/>
        <v>0.14814814814814814</v>
      </c>
    </row>
    <row r="21" spans="1:5" ht="16.5" thickTop="1" thickBot="1" x14ac:dyDescent="0.4">
      <c r="A21" s="27"/>
      <c r="B21" s="5">
        <v>14</v>
      </c>
      <c r="C21">
        <v>24</v>
      </c>
      <c r="D21">
        <v>19</v>
      </c>
      <c r="E21">
        <f t="shared" si="0"/>
        <v>0.1111111111111111</v>
      </c>
    </row>
    <row r="22" spans="1:5" ht="16" thickTop="1" x14ac:dyDescent="0.35">
      <c r="A22">
        <v>20</v>
      </c>
      <c r="B22" s="9">
        <v>15</v>
      </c>
      <c r="C22">
        <v>25</v>
      </c>
      <c r="D22">
        <v>20</v>
      </c>
      <c r="E22">
        <f t="shared" si="0"/>
        <v>7.407407407407407E-2</v>
      </c>
    </row>
    <row r="23" spans="1:5" ht="15.5" x14ac:dyDescent="0.35">
      <c r="A23">
        <v>21</v>
      </c>
      <c r="B23" s="9">
        <v>16</v>
      </c>
      <c r="C23">
        <v>26</v>
      </c>
      <c r="D23">
        <v>21</v>
      </c>
      <c r="E23">
        <f t="shared" si="0"/>
        <v>3.7037037037037035E-2</v>
      </c>
    </row>
    <row r="24" spans="1:5" ht="15.5" x14ac:dyDescent="0.35">
      <c r="A24" s="27">
        <v>23</v>
      </c>
      <c r="B24" s="9">
        <v>17</v>
      </c>
      <c r="C24">
        <v>27</v>
      </c>
      <c r="D24">
        <v>22</v>
      </c>
      <c r="E24">
        <f t="shared" si="0"/>
        <v>0</v>
      </c>
    </row>
    <row r="25" spans="1:5" ht="15.5" x14ac:dyDescent="0.35">
      <c r="A25" s="27"/>
      <c r="B25" s="9">
        <v>17</v>
      </c>
      <c r="D25">
        <v>23</v>
      </c>
    </row>
    <row r="26" spans="1:5" ht="15.5" x14ac:dyDescent="0.35">
      <c r="A26">
        <v>24</v>
      </c>
      <c r="B26" s="9">
        <v>18</v>
      </c>
    </row>
    <row r="27" spans="1:5" ht="15.5" x14ac:dyDescent="0.35">
      <c r="A27">
        <v>25</v>
      </c>
      <c r="B27" s="9">
        <v>19</v>
      </c>
    </row>
    <row r="28" spans="1:5" ht="15.5" x14ac:dyDescent="0.35">
      <c r="A28">
        <v>26</v>
      </c>
      <c r="B28" s="9">
        <v>20</v>
      </c>
    </row>
    <row r="29" spans="1:5" ht="15.5" x14ac:dyDescent="0.35">
      <c r="A29">
        <v>27</v>
      </c>
      <c r="B29" s="9">
        <v>21</v>
      </c>
    </row>
  </sheetData>
  <autoFilter ref="B2:B29" xr:uid="{B10E29AB-C698-4ADB-8E3E-4194C09FEA3F}">
    <sortState xmlns:xlrd2="http://schemas.microsoft.com/office/spreadsheetml/2017/richdata2" ref="B3:C29">
      <sortCondition ref="B2:B29"/>
    </sortState>
  </autoFilter>
  <mergeCells count="16">
    <mergeCell ref="A4:A5"/>
    <mergeCell ref="A6:A7"/>
    <mergeCell ref="A8:A11"/>
    <mergeCell ref="A13:A14"/>
    <mergeCell ref="A15:A17"/>
    <mergeCell ref="C3:C5"/>
    <mergeCell ref="C6:C7"/>
    <mergeCell ref="C8:C9"/>
    <mergeCell ref="C10:C11"/>
    <mergeCell ref="C13:C14"/>
    <mergeCell ref="E6:E7"/>
    <mergeCell ref="E8:E9"/>
    <mergeCell ref="E10:E11"/>
    <mergeCell ref="E13:E14"/>
    <mergeCell ref="A24:A25"/>
    <mergeCell ref="A18:A2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B2EE-C666-4C82-924C-44935205295B}">
  <dimension ref="B2:H20"/>
  <sheetViews>
    <sheetView workbookViewId="0">
      <selection activeCell="H10" sqref="H10"/>
    </sheetView>
  </sheetViews>
  <sheetFormatPr baseColWidth="10" defaultRowHeight="14.5" x14ac:dyDescent="0.35"/>
  <sheetData>
    <row r="2" spans="2:8" x14ac:dyDescent="0.35">
      <c r="B2" t="s">
        <v>83</v>
      </c>
      <c r="C2" t="s">
        <v>33</v>
      </c>
      <c r="D2" t="s">
        <v>34</v>
      </c>
      <c r="E2" t="s">
        <v>35</v>
      </c>
      <c r="F2" t="s">
        <v>84</v>
      </c>
      <c r="G2" t="s">
        <v>85</v>
      </c>
      <c r="H2" t="s">
        <v>86</v>
      </c>
    </row>
    <row r="3" spans="2:8" x14ac:dyDescent="0.35">
      <c r="B3" s="12">
        <v>1</v>
      </c>
      <c r="C3">
        <v>27</v>
      </c>
      <c r="D3">
        <v>0</v>
      </c>
      <c r="E3">
        <v>0</v>
      </c>
      <c r="F3">
        <f>(C3-D3)*C3</f>
        <v>729</v>
      </c>
      <c r="G3">
        <f>D3/F3</f>
        <v>0</v>
      </c>
      <c r="H3">
        <f>B3*G3</f>
        <v>0</v>
      </c>
    </row>
    <row r="4" spans="2:8" x14ac:dyDescent="0.35">
      <c r="B4" s="12">
        <v>1</v>
      </c>
      <c r="C4">
        <v>27</v>
      </c>
      <c r="D4">
        <v>0</v>
      </c>
      <c r="E4">
        <v>0</v>
      </c>
      <c r="F4">
        <f t="shared" ref="F4:F8" si="0">(C4-D4)*C4</f>
        <v>729</v>
      </c>
      <c r="G4">
        <f t="shared" ref="G4:G20" si="1">D4/F4</f>
        <v>0</v>
      </c>
      <c r="H4">
        <f t="shared" ref="H4:H20" si="2">B4*G4</f>
        <v>0</v>
      </c>
    </row>
    <row r="5" spans="2:8" x14ac:dyDescent="0.35">
      <c r="B5" s="12">
        <v>1</v>
      </c>
      <c r="C5">
        <v>27</v>
      </c>
      <c r="D5">
        <v>0</v>
      </c>
      <c r="E5">
        <v>0</v>
      </c>
      <c r="F5">
        <f t="shared" si="0"/>
        <v>729</v>
      </c>
      <c r="G5">
        <f t="shared" si="1"/>
        <v>0</v>
      </c>
      <c r="H5">
        <f t="shared" si="2"/>
        <v>0</v>
      </c>
    </row>
    <row r="6" spans="2:8" x14ac:dyDescent="0.35">
      <c r="B6" s="12">
        <v>1</v>
      </c>
      <c r="C6">
        <v>27</v>
      </c>
      <c r="D6">
        <v>0</v>
      </c>
      <c r="E6">
        <v>0</v>
      </c>
      <c r="F6">
        <f t="shared" si="0"/>
        <v>729</v>
      </c>
      <c r="G6">
        <f t="shared" si="1"/>
        <v>0</v>
      </c>
      <c r="H6">
        <f t="shared" si="2"/>
        <v>0</v>
      </c>
    </row>
    <row r="7" spans="2:8" x14ac:dyDescent="0.35">
      <c r="B7" s="12">
        <v>1</v>
      </c>
      <c r="C7">
        <v>27</v>
      </c>
      <c r="D7">
        <v>0</v>
      </c>
      <c r="E7">
        <v>0</v>
      </c>
      <c r="F7">
        <f t="shared" si="0"/>
        <v>729</v>
      </c>
      <c r="G7">
        <f t="shared" si="1"/>
        <v>0</v>
      </c>
      <c r="H7">
        <f t="shared" si="2"/>
        <v>0</v>
      </c>
    </row>
    <row r="8" spans="2:8" x14ac:dyDescent="0.35">
      <c r="B8" s="12">
        <v>1</v>
      </c>
      <c r="C8">
        <v>27</v>
      </c>
      <c r="D8">
        <v>0</v>
      </c>
      <c r="E8">
        <v>0</v>
      </c>
      <c r="F8">
        <f t="shared" si="0"/>
        <v>729</v>
      </c>
      <c r="G8">
        <f t="shared" si="1"/>
        <v>0</v>
      </c>
      <c r="H8">
        <f t="shared" si="2"/>
        <v>0</v>
      </c>
    </row>
    <row r="9" spans="2:8" x14ac:dyDescent="0.35">
      <c r="B9" s="12">
        <f>0.96296296*0.96296296</f>
        <v>0.92729766233196165</v>
      </c>
      <c r="C9">
        <v>27</v>
      </c>
      <c r="D9">
        <v>1</v>
      </c>
      <c r="E9">
        <v>0</v>
      </c>
      <c r="F9">
        <f>(C9-D9)*C9</f>
        <v>702</v>
      </c>
      <c r="G9">
        <f t="shared" si="1"/>
        <v>1.4245014245014246E-3</v>
      </c>
      <c r="H9">
        <f t="shared" si="2"/>
        <v>1.3209368409287203E-3</v>
      </c>
    </row>
    <row r="10" spans="2:8" x14ac:dyDescent="0.35">
      <c r="B10" s="12">
        <f>0.96296296*0.96296296</f>
        <v>0.92729766233196165</v>
      </c>
      <c r="C10">
        <v>26</v>
      </c>
      <c r="D10">
        <v>0</v>
      </c>
      <c r="E10">
        <v>0</v>
      </c>
      <c r="F10">
        <f>(C10-D10)*C10</f>
        <v>676</v>
      </c>
      <c r="G10">
        <f t="shared" si="1"/>
        <v>0</v>
      </c>
      <c r="H10">
        <f t="shared" ref="H10:H15" si="3">B10*(G10+H9)</f>
        <v>1.2249016446813686E-3</v>
      </c>
    </row>
    <row r="11" spans="2:8" x14ac:dyDescent="0.35">
      <c r="B11" s="12">
        <f>0.81481481*0.81481481</f>
        <v>0.66392317459533612</v>
      </c>
      <c r="C11">
        <v>26</v>
      </c>
      <c r="D11">
        <v>4</v>
      </c>
      <c r="E11">
        <v>0</v>
      </c>
      <c r="F11">
        <f>(C11-D11)*C11</f>
        <v>572</v>
      </c>
      <c r="G11">
        <f>D11/F11</f>
        <v>6.993006993006993E-3</v>
      </c>
      <c r="H11">
        <f t="shared" si="3"/>
        <v>5.456059991268491E-3</v>
      </c>
    </row>
    <row r="12" spans="2:8" x14ac:dyDescent="0.35">
      <c r="B12" s="12">
        <f>0.81481481*0.81481481</f>
        <v>0.66392317459533612</v>
      </c>
      <c r="C12">
        <v>22</v>
      </c>
      <c r="D12">
        <v>0</v>
      </c>
      <c r="E12">
        <v>2</v>
      </c>
      <c r="F12">
        <f t="shared" ref="F12" si="4">(C12-D12)*C12</f>
        <v>484</v>
      </c>
      <c r="G12">
        <f t="shared" si="1"/>
        <v>0</v>
      </c>
      <c r="H12">
        <f t="shared" si="3"/>
        <v>3.6224046701855785E-3</v>
      </c>
    </row>
    <row r="13" spans="2:8" x14ac:dyDescent="0.35">
      <c r="B13" s="12">
        <f>0.77407407*0.77407407</f>
        <v>0.59919066584636482</v>
      </c>
      <c r="C13">
        <v>20</v>
      </c>
      <c r="D13">
        <v>1</v>
      </c>
      <c r="E13">
        <v>1</v>
      </c>
      <c r="F13">
        <f>(C13-D13)*C13</f>
        <v>380</v>
      </c>
      <c r="G13">
        <f t="shared" si="1"/>
        <v>2.631578947368421E-3</v>
      </c>
      <c r="H13">
        <f t="shared" si="3"/>
        <v>3.7473286079944385E-3</v>
      </c>
    </row>
    <row r="14" spans="2:8" x14ac:dyDescent="0.35">
      <c r="B14" s="12">
        <f>0.68806584*0.68806584</f>
        <v>0.47343460017490563</v>
      </c>
      <c r="C14">
        <v>18</v>
      </c>
      <c r="D14">
        <v>2</v>
      </c>
      <c r="E14">
        <v>2</v>
      </c>
      <c r="F14">
        <f t="shared" ref="F14:F17" si="5">(C14-D14)*C14</f>
        <v>288</v>
      </c>
      <c r="G14">
        <f>D14/F14</f>
        <v>6.9444444444444441E-3</v>
      </c>
      <c r="H14">
        <f t="shared" si="3"/>
        <v>5.0618553002422326E-3</v>
      </c>
    </row>
    <row r="15" spans="2:8" x14ac:dyDescent="0.35">
      <c r="B15" s="12">
        <f>0.63891828*0.63891828</f>
        <v>0.40821656851815835</v>
      </c>
      <c r="C15">
        <v>14</v>
      </c>
      <c r="D15">
        <v>1</v>
      </c>
      <c r="E15">
        <v>0</v>
      </c>
      <c r="F15">
        <f t="shared" si="5"/>
        <v>182</v>
      </c>
      <c r="G15">
        <f t="shared" si="1"/>
        <v>5.4945054945054949E-3</v>
      </c>
      <c r="H15">
        <f t="shared" si="3"/>
        <v>4.3092813796715363E-3</v>
      </c>
    </row>
    <row r="16" spans="2:8" x14ac:dyDescent="0.35">
      <c r="B16" s="12">
        <f>0.63891828*0.63891828</f>
        <v>0.40821656851815835</v>
      </c>
      <c r="C16">
        <v>13</v>
      </c>
      <c r="D16">
        <v>0</v>
      </c>
      <c r="E16">
        <v>0</v>
      </c>
      <c r="F16">
        <f t="shared" si="5"/>
        <v>169</v>
      </c>
      <c r="G16">
        <f t="shared" si="1"/>
        <v>0</v>
      </c>
      <c r="H16">
        <f t="shared" si="2"/>
        <v>0</v>
      </c>
    </row>
    <row r="17" spans="2:8" x14ac:dyDescent="0.35">
      <c r="B17" s="12">
        <f>0.58977072*0.58977072</f>
        <v>0.34782950216931835</v>
      </c>
      <c r="C17">
        <v>13</v>
      </c>
      <c r="D17">
        <v>1</v>
      </c>
      <c r="E17">
        <v>2</v>
      </c>
      <c r="F17">
        <f t="shared" si="5"/>
        <v>156</v>
      </c>
      <c r="G17">
        <f t="shared" si="1"/>
        <v>6.41025641025641E-3</v>
      </c>
      <c r="H17">
        <f t="shared" si="2"/>
        <v>2.2296762959571688E-3</v>
      </c>
    </row>
    <row r="18" spans="2:8" x14ac:dyDescent="0.35">
      <c r="B18" s="12">
        <f>0.47181658*0.47181658</f>
        <v>0.2226108851628964</v>
      </c>
      <c r="C18">
        <v>10</v>
      </c>
      <c r="D18">
        <v>2</v>
      </c>
      <c r="E18">
        <v>1</v>
      </c>
      <c r="F18">
        <f>(C18-D18)*C18</f>
        <v>80</v>
      </c>
      <c r="G18">
        <f t="shared" si="1"/>
        <v>2.5000000000000001E-2</v>
      </c>
      <c r="H18">
        <f t="shared" si="2"/>
        <v>5.5652721290724103E-3</v>
      </c>
    </row>
    <row r="19" spans="2:8" x14ac:dyDescent="0.35">
      <c r="B19" s="12">
        <f>0.26960947*0.26960947</f>
        <v>7.2689266313680903E-2</v>
      </c>
      <c r="C19">
        <v>7</v>
      </c>
      <c r="D19">
        <v>3</v>
      </c>
      <c r="E19">
        <v>1</v>
      </c>
      <c r="F19">
        <f t="shared" ref="F19:F20" si="6">(C19-D19)*C19</f>
        <v>28</v>
      </c>
      <c r="G19">
        <f t="shared" si="1"/>
        <v>0.10714285714285714</v>
      </c>
      <c r="H19">
        <f t="shared" si="2"/>
        <v>7.7881356764658103E-3</v>
      </c>
    </row>
    <row r="20" spans="2:8" x14ac:dyDescent="0.35">
      <c r="B20" s="12">
        <f>0.26960947*0.26960947</f>
        <v>7.2689266313680903E-2</v>
      </c>
      <c r="C20">
        <v>3</v>
      </c>
      <c r="D20">
        <v>0</v>
      </c>
      <c r="E20">
        <v>3</v>
      </c>
      <c r="F20">
        <f t="shared" si="6"/>
        <v>9</v>
      </c>
      <c r="G20">
        <f t="shared" si="1"/>
        <v>0</v>
      </c>
      <c r="H20">
        <f t="shared" si="2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909D-930C-4775-AED6-09C1C12E4933}">
  <dimension ref="B2:J20"/>
  <sheetViews>
    <sheetView workbookViewId="0">
      <selection activeCell="F2" sqref="F2:J2"/>
    </sheetView>
  </sheetViews>
  <sheetFormatPr baseColWidth="10" defaultRowHeight="14.5" x14ac:dyDescent="0.35"/>
  <cols>
    <col min="8" max="8" width="14.36328125" customWidth="1"/>
    <col min="9" max="9" width="18.1796875" customWidth="1"/>
  </cols>
  <sheetData>
    <row r="2" spans="2:10" x14ac:dyDescent="0.35">
      <c r="B2" t="s">
        <v>83</v>
      </c>
      <c r="C2" t="s">
        <v>33</v>
      </c>
      <c r="D2" t="s">
        <v>34</v>
      </c>
      <c r="E2" t="s">
        <v>35</v>
      </c>
      <c r="F2" t="s">
        <v>90</v>
      </c>
      <c r="G2" t="s">
        <v>87</v>
      </c>
      <c r="H2" t="s">
        <v>88</v>
      </c>
      <c r="I2" t="s">
        <v>89</v>
      </c>
      <c r="J2" t="s">
        <v>96</v>
      </c>
    </row>
    <row r="3" spans="2:10" x14ac:dyDescent="0.35">
      <c r="B3" s="12">
        <v>1</v>
      </c>
      <c r="C3">
        <v>27</v>
      </c>
      <c r="D3">
        <v>0</v>
      </c>
      <c r="E3">
        <v>0</v>
      </c>
      <c r="F3">
        <f>C3-E3</f>
        <v>27</v>
      </c>
      <c r="G3">
        <f>C3-E3-D3</f>
        <v>27</v>
      </c>
      <c r="H3">
        <f>F3*G3</f>
        <v>729</v>
      </c>
      <c r="I3">
        <f>D3/H3</f>
        <v>0</v>
      </c>
      <c r="J3">
        <f>B3*I3</f>
        <v>0</v>
      </c>
    </row>
    <row r="4" spans="2:10" x14ac:dyDescent="0.35">
      <c r="B4" s="12">
        <v>1</v>
      </c>
      <c r="C4">
        <v>27</v>
      </c>
      <c r="D4">
        <v>0</v>
      </c>
      <c r="E4">
        <v>0</v>
      </c>
      <c r="F4">
        <f t="shared" ref="F4:F20" si="0">C4-E4</f>
        <v>27</v>
      </c>
      <c r="G4">
        <f t="shared" ref="G4:G20" si="1">C4-E4-D4</f>
        <v>27</v>
      </c>
      <c r="H4">
        <f t="shared" ref="H4:H20" si="2">F4*G4</f>
        <v>729</v>
      </c>
      <c r="I4">
        <f t="shared" ref="I4:I20" si="3">D4/H4</f>
        <v>0</v>
      </c>
      <c r="J4">
        <f t="shared" ref="J4:J20" si="4">B4*I4</f>
        <v>0</v>
      </c>
    </row>
    <row r="5" spans="2:10" x14ac:dyDescent="0.35">
      <c r="B5" s="12">
        <v>1</v>
      </c>
      <c r="C5">
        <v>27</v>
      </c>
      <c r="D5">
        <v>0</v>
      </c>
      <c r="E5">
        <v>0</v>
      </c>
      <c r="F5">
        <f t="shared" si="0"/>
        <v>27</v>
      </c>
      <c r="G5">
        <f t="shared" si="1"/>
        <v>27</v>
      </c>
      <c r="H5">
        <f t="shared" si="2"/>
        <v>729</v>
      </c>
      <c r="I5">
        <f t="shared" si="3"/>
        <v>0</v>
      </c>
      <c r="J5">
        <f t="shared" si="4"/>
        <v>0</v>
      </c>
    </row>
    <row r="6" spans="2:10" x14ac:dyDescent="0.35">
      <c r="B6" s="12">
        <v>1</v>
      </c>
      <c r="C6">
        <v>27</v>
      </c>
      <c r="D6">
        <v>0</v>
      </c>
      <c r="E6">
        <v>0</v>
      </c>
      <c r="F6">
        <f t="shared" si="0"/>
        <v>27</v>
      </c>
      <c r="G6">
        <f t="shared" si="1"/>
        <v>27</v>
      </c>
      <c r="H6">
        <f t="shared" si="2"/>
        <v>729</v>
      </c>
      <c r="I6">
        <f t="shared" si="3"/>
        <v>0</v>
      </c>
      <c r="J6">
        <f t="shared" si="4"/>
        <v>0</v>
      </c>
    </row>
    <row r="7" spans="2:10" x14ac:dyDescent="0.35">
      <c r="B7" s="12">
        <v>1</v>
      </c>
      <c r="C7">
        <v>27</v>
      </c>
      <c r="D7">
        <v>0</v>
      </c>
      <c r="E7">
        <v>0</v>
      </c>
      <c r="F7">
        <f t="shared" si="0"/>
        <v>27</v>
      </c>
      <c r="G7">
        <f t="shared" si="1"/>
        <v>27</v>
      </c>
      <c r="H7">
        <f t="shared" si="2"/>
        <v>729</v>
      </c>
      <c r="I7">
        <f t="shared" si="3"/>
        <v>0</v>
      </c>
      <c r="J7">
        <f t="shared" si="4"/>
        <v>0</v>
      </c>
    </row>
    <row r="8" spans="2:10" x14ac:dyDescent="0.35">
      <c r="B8" s="12">
        <v>1</v>
      </c>
      <c r="C8">
        <v>27</v>
      </c>
      <c r="D8">
        <v>0</v>
      </c>
      <c r="E8">
        <v>0</v>
      </c>
      <c r="F8">
        <f t="shared" si="0"/>
        <v>27</v>
      </c>
      <c r="G8">
        <f t="shared" si="1"/>
        <v>27</v>
      </c>
      <c r="H8">
        <f t="shared" si="2"/>
        <v>729</v>
      </c>
      <c r="I8">
        <f t="shared" si="3"/>
        <v>0</v>
      </c>
      <c r="J8">
        <f t="shared" si="4"/>
        <v>0</v>
      </c>
    </row>
    <row r="9" spans="2:10" x14ac:dyDescent="0.35">
      <c r="B9" s="12">
        <f>0.96296296*0.96296296</f>
        <v>0.92729766233196165</v>
      </c>
      <c r="C9">
        <v>27</v>
      </c>
      <c r="D9">
        <v>1</v>
      </c>
      <c r="E9">
        <v>0</v>
      </c>
      <c r="F9">
        <f t="shared" si="0"/>
        <v>27</v>
      </c>
      <c r="G9">
        <f t="shared" si="1"/>
        <v>26</v>
      </c>
      <c r="H9">
        <f t="shared" si="2"/>
        <v>702</v>
      </c>
      <c r="I9">
        <f t="shared" si="3"/>
        <v>1.4245014245014246E-3</v>
      </c>
      <c r="J9">
        <f t="shared" si="4"/>
        <v>1.3209368409287203E-3</v>
      </c>
    </row>
    <row r="10" spans="2:10" x14ac:dyDescent="0.35">
      <c r="B10" s="12">
        <f>0.96296296*0.96296296</f>
        <v>0.92729766233196165</v>
      </c>
      <c r="C10">
        <v>26</v>
      </c>
      <c r="D10">
        <v>0</v>
      </c>
      <c r="E10">
        <v>0</v>
      </c>
      <c r="F10">
        <f t="shared" si="0"/>
        <v>26</v>
      </c>
      <c r="G10">
        <f t="shared" si="1"/>
        <v>26</v>
      </c>
      <c r="H10">
        <f t="shared" si="2"/>
        <v>676</v>
      </c>
      <c r="I10">
        <f t="shared" si="3"/>
        <v>0</v>
      </c>
      <c r="J10">
        <f t="shared" si="4"/>
        <v>0</v>
      </c>
    </row>
    <row r="11" spans="2:10" x14ac:dyDescent="0.35">
      <c r="B11" s="12">
        <f>0.81481481*0.81481481</f>
        <v>0.66392317459533612</v>
      </c>
      <c r="C11">
        <v>26</v>
      </c>
      <c r="D11">
        <v>4</v>
      </c>
      <c r="E11">
        <v>0</v>
      </c>
      <c r="F11">
        <f t="shared" si="0"/>
        <v>26</v>
      </c>
      <c r="G11">
        <f t="shared" si="1"/>
        <v>22</v>
      </c>
      <c r="H11">
        <f t="shared" si="2"/>
        <v>572</v>
      </c>
      <c r="I11">
        <f t="shared" si="3"/>
        <v>6.993006993006993E-3</v>
      </c>
      <c r="J11">
        <f t="shared" si="4"/>
        <v>4.6428194027645885E-3</v>
      </c>
    </row>
    <row r="12" spans="2:10" x14ac:dyDescent="0.35">
      <c r="B12" s="12">
        <f>0.81481481*0.81481481</f>
        <v>0.66392317459533612</v>
      </c>
      <c r="C12">
        <v>22</v>
      </c>
      <c r="D12">
        <v>0</v>
      </c>
      <c r="E12">
        <v>2</v>
      </c>
      <c r="F12">
        <f t="shared" si="0"/>
        <v>20</v>
      </c>
      <c r="G12">
        <f t="shared" si="1"/>
        <v>20</v>
      </c>
      <c r="H12">
        <f t="shared" si="2"/>
        <v>400</v>
      </c>
      <c r="I12">
        <f t="shared" si="3"/>
        <v>0</v>
      </c>
      <c r="J12">
        <f t="shared" si="4"/>
        <v>0</v>
      </c>
    </row>
    <row r="13" spans="2:10" x14ac:dyDescent="0.35">
      <c r="B13" s="12">
        <f>0.77407407*0.77407407</f>
        <v>0.59919066584636482</v>
      </c>
      <c r="C13">
        <v>20</v>
      </c>
      <c r="D13">
        <v>1</v>
      </c>
      <c r="E13">
        <v>1</v>
      </c>
      <c r="F13">
        <f t="shared" si="0"/>
        <v>19</v>
      </c>
      <c r="G13">
        <f t="shared" si="1"/>
        <v>18</v>
      </c>
      <c r="H13">
        <f t="shared" si="2"/>
        <v>342</v>
      </c>
      <c r="I13">
        <f t="shared" si="3"/>
        <v>2.9239766081871343E-3</v>
      </c>
      <c r="J13">
        <f t="shared" si="4"/>
        <v>1.7520194907788445E-3</v>
      </c>
    </row>
    <row r="14" spans="2:10" x14ac:dyDescent="0.35">
      <c r="B14" s="12">
        <f>0.68806584*0.68806584</f>
        <v>0.47343460017490563</v>
      </c>
      <c r="C14">
        <v>18</v>
      </c>
      <c r="D14">
        <v>2</v>
      </c>
      <c r="E14">
        <v>2</v>
      </c>
      <c r="F14">
        <f t="shared" si="0"/>
        <v>16</v>
      </c>
      <c r="G14">
        <f t="shared" si="1"/>
        <v>14</v>
      </c>
      <c r="H14">
        <f t="shared" si="2"/>
        <v>224</v>
      </c>
      <c r="I14">
        <f t="shared" si="3"/>
        <v>8.9285714285714281E-3</v>
      </c>
      <c r="J14">
        <f t="shared" si="4"/>
        <v>4.2270946444188003E-3</v>
      </c>
    </row>
    <row r="15" spans="2:10" x14ac:dyDescent="0.35">
      <c r="B15" s="12">
        <f>0.63891828*0.63891828</f>
        <v>0.40821656851815835</v>
      </c>
      <c r="C15">
        <v>14</v>
      </c>
      <c r="D15">
        <v>1</v>
      </c>
      <c r="E15">
        <v>0</v>
      </c>
      <c r="F15">
        <f t="shared" si="0"/>
        <v>14</v>
      </c>
      <c r="G15">
        <f t="shared" si="1"/>
        <v>13</v>
      </c>
      <c r="H15">
        <f t="shared" si="2"/>
        <v>182</v>
      </c>
      <c r="I15">
        <f t="shared" si="3"/>
        <v>5.4945054945054949E-3</v>
      </c>
      <c r="J15">
        <f t="shared" si="4"/>
        <v>2.2429481786712E-3</v>
      </c>
    </row>
    <row r="16" spans="2:10" x14ac:dyDescent="0.35">
      <c r="B16" s="12">
        <f>0.63891828*0.63891828</f>
        <v>0.40821656851815835</v>
      </c>
      <c r="C16">
        <v>13</v>
      </c>
      <c r="D16">
        <v>0</v>
      </c>
      <c r="E16">
        <v>0</v>
      </c>
      <c r="F16">
        <f t="shared" si="0"/>
        <v>13</v>
      </c>
      <c r="G16">
        <f t="shared" si="1"/>
        <v>13</v>
      </c>
      <c r="H16">
        <f t="shared" si="2"/>
        <v>169</v>
      </c>
      <c r="I16">
        <f t="shared" si="3"/>
        <v>0</v>
      </c>
      <c r="J16">
        <f t="shared" si="4"/>
        <v>0</v>
      </c>
    </row>
    <row r="17" spans="2:10" x14ac:dyDescent="0.35">
      <c r="B17" s="12">
        <f>0.58977072*0.58977072</f>
        <v>0.34782950216931835</v>
      </c>
      <c r="C17">
        <v>13</v>
      </c>
      <c r="D17">
        <v>1</v>
      </c>
      <c r="E17">
        <v>2</v>
      </c>
      <c r="F17">
        <f t="shared" si="0"/>
        <v>11</v>
      </c>
      <c r="G17">
        <f t="shared" si="1"/>
        <v>10</v>
      </c>
      <c r="H17">
        <f t="shared" si="2"/>
        <v>110</v>
      </c>
      <c r="I17">
        <f t="shared" si="3"/>
        <v>9.0909090909090905E-3</v>
      </c>
      <c r="J17">
        <f t="shared" si="4"/>
        <v>3.1620863833574393E-3</v>
      </c>
    </row>
    <row r="18" spans="2:10" x14ac:dyDescent="0.35">
      <c r="B18" s="12">
        <f>0.47181658*0.47181658</f>
        <v>0.2226108851628964</v>
      </c>
      <c r="C18">
        <v>10</v>
      </c>
      <c r="D18">
        <v>2</v>
      </c>
      <c r="E18">
        <v>1</v>
      </c>
      <c r="F18">
        <f t="shared" si="0"/>
        <v>9</v>
      </c>
      <c r="G18">
        <f t="shared" si="1"/>
        <v>7</v>
      </c>
      <c r="H18">
        <f t="shared" si="2"/>
        <v>63</v>
      </c>
      <c r="I18">
        <f t="shared" si="3"/>
        <v>3.1746031746031744E-2</v>
      </c>
      <c r="J18">
        <f t="shared" si="4"/>
        <v>7.0670122273935364E-3</v>
      </c>
    </row>
    <row r="19" spans="2:10" x14ac:dyDescent="0.35">
      <c r="B19" s="12">
        <f>0.26960947*0.26960947</f>
        <v>7.2689266313680903E-2</v>
      </c>
      <c r="C19">
        <v>7</v>
      </c>
      <c r="D19">
        <v>3</v>
      </c>
      <c r="E19">
        <v>1</v>
      </c>
      <c r="F19">
        <f t="shared" si="0"/>
        <v>6</v>
      </c>
      <c r="G19">
        <f t="shared" si="1"/>
        <v>3</v>
      </c>
      <c r="H19">
        <f t="shared" si="2"/>
        <v>18</v>
      </c>
      <c r="I19">
        <f t="shared" si="3"/>
        <v>0.16666666666666666</v>
      </c>
      <c r="J19">
        <f t="shared" si="4"/>
        <v>1.2114877718946817E-2</v>
      </c>
    </row>
    <row r="20" spans="2:10" x14ac:dyDescent="0.35">
      <c r="B20" s="12">
        <f>0.26960947*0.26960947</f>
        <v>7.2689266313680903E-2</v>
      </c>
      <c r="C20">
        <v>3</v>
      </c>
      <c r="D20">
        <v>0</v>
      </c>
      <c r="E20">
        <v>3</v>
      </c>
      <c r="F20">
        <f t="shared" si="0"/>
        <v>0</v>
      </c>
      <c r="G20">
        <f t="shared" si="1"/>
        <v>0</v>
      </c>
      <c r="H20">
        <f t="shared" si="2"/>
        <v>0</v>
      </c>
      <c r="I20" t="e">
        <f t="shared" si="3"/>
        <v>#DIV/0!</v>
      </c>
      <c r="J20" t="e">
        <f t="shared" si="4"/>
        <v>#DIV/0!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80B4-A846-4258-AAC1-3BB3DE2C34AE}">
  <dimension ref="B2:K20"/>
  <sheetViews>
    <sheetView workbookViewId="0">
      <selection activeCell="F2" sqref="F2:K2"/>
    </sheetView>
  </sheetViews>
  <sheetFormatPr baseColWidth="10" defaultRowHeight="14.5" x14ac:dyDescent="0.35"/>
  <cols>
    <col min="9" max="9" width="17.08984375" customWidth="1"/>
    <col min="10" max="10" width="21.1796875" customWidth="1"/>
  </cols>
  <sheetData>
    <row r="2" spans="2:11" x14ac:dyDescent="0.35">
      <c r="B2" t="s">
        <v>83</v>
      </c>
      <c r="C2" t="s">
        <v>33</v>
      </c>
      <c r="D2" t="s">
        <v>34</v>
      </c>
      <c r="E2" t="s">
        <v>35</v>
      </c>
      <c r="F2" t="s">
        <v>93</v>
      </c>
      <c r="G2" t="s">
        <v>91</v>
      </c>
      <c r="H2" t="s">
        <v>92</v>
      </c>
      <c r="I2" t="s">
        <v>94</v>
      </c>
      <c r="J2" t="s">
        <v>95</v>
      </c>
      <c r="K2" t="s">
        <v>96</v>
      </c>
    </row>
    <row r="3" spans="2:11" x14ac:dyDescent="0.35">
      <c r="B3" s="12">
        <v>1</v>
      </c>
      <c r="C3">
        <v>27</v>
      </c>
      <c r="D3">
        <v>0</v>
      </c>
      <c r="E3">
        <v>0</v>
      </c>
      <c r="F3">
        <f>(C3-E3/2)</f>
        <v>27</v>
      </c>
      <c r="G3">
        <f>E3/2</f>
        <v>0</v>
      </c>
      <c r="H3">
        <f>C3-G3-D3</f>
        <v>27</v>
      </c>
      <c r="I3">
        <f>F3*H3</f>
        <v>729</v>
      </c>
      <c r="J3">
        <f>D3/I3</f>
        <v>0</v>
      </c>
      <c r="K3">
        <f>B3*J3</f>
        <v>0</v>
      </c>
    </row>
    <row r="4" spans="2:11" x14ac:dyDescent="0.35">
      <c r="B4" s="12">
        <v>1</v>
      </c>
      <c r="C4">
        <v>27</v>
      </c>
      <c r="D4">
        <v>0</v>
      </c>
      <c r="E4">
        <v>0</v>
      </c>
      <c r="F4">
        <f t="shared" ref="F4:F20" si="0">(C4-E4/2)</f>
        <v>27</v>
      </c>
      <c r="G4">
        <f t="shared" ref="G4:G20" si="1">E4/2</f>
        <v>0</v>
      </c>
      <c r="H4">
        <f t="shared" ref="H4:H20" si="2">C4-G4-D4</f>
        <v>27</v>
      </c>
      <c r="I4">
        <f t="shared" ref="I4:I20" si="3">F4*H4</f>
        <v>729</v>
      </c>
      <c r="J4">
        <f t="shared" ref="J4:J20" si="4">D4/I4</f>
        <v>0</v>
      </c>
      <c r="K4">
        <f t="shared" ref="K4:K20" si="5">B4*J4</f>
        <v>0</v>
      </c>
    </row>
    <row r="5" spans="2:11" x14ac:dyDescent="0.35">
      <c r="B5" s="12">
        <v>1</v>
      </c>
      <c r="C5">
        <v>27</v>
      </c>
      <c r="D5">
        <v>0</v>
      </c>
      <c r="E5">
        <v>0</v>
      </c>
      <c r="F5">
        <f t="shared" si="0"/>
        <v>27</v>
      </c>
      <c r="G5">
        <f t="shared" si="1"/>
        <v>0</v>
      </c>
      <c r="H5">
        <f t="shared" si="2"/>
        <v>27</v>
      </c>
      <c r="I5">
        <f t="shared" si="3"/>
        <v>729</v>
      </c>
      <c r="J5">
        <f t="shared" si="4"/>
        <v>0</v>
      </c>
      <c r="K5">
        <f t="shared" si="5"/>
        <v>0</v>
      </c>
    </row>
    <row r="6" spans="2:11" x14ac:dyDescent="0.35">
      <c r="B6" s="12">
        <v>1</v>
      </c>
      <c r="C6">
        <v>27</v>
      </c>
      <c r="D6">
        <v>0</v>
      </c>
      <c r="E6">
        <v>0</v>
      </c>
      <c r="F6">
        <f t="shared" si="0"/>
        <v>27</v>
      </c>
      <c r="G6">
        <f t="shared" si="1"/>
        <v>0</v>
      </c>
      <c r="H6">
        <f t="shared" si="2"/>
        <v>27</v>
      </c>
      <c r="I6">
        <f t="shared" si="3"/>
        <v>729</v>
      </c>
      <c r="J6">
        <f t="shared" si="4"/>
        <v>0</v>
      </c>
      <c r="K6">
        <f t="shared" si="5"/>
        <v>0</v>
      </c>
    </row>
    <row r="7" spans="2:11" x14ac:dyDescent="0.35">
      <c r="B7" s="12">
        <v>1</v>
      </c>
      <c r="C7">
        <v>27</v>
      </c>
      <c r="D7">
        <v>0</v>
      </c>
      <c r="E7">
        <v>0</v>
      </c>
      <c r="F7">
        <f t="shared" si="0"/>
        <v>27</v>
      </c>
      <c r="G7">
        <f t="shared" si="1"/>
        <v>0</v>
      </c>
      <c r="H7">
        <f t="shared" si="2"/>
        <v>27</v>
      </c>
      <c r="I7">
        <f t="shared" si="3"/>
        <v>729</v>
      </c>
      <c r="J7">
        <f t="shared" si="4"/>
        <v>0</v>
      </c>
      <c r="K7">
        <f t="shared" si="5"/>
        <v>0</v>
      </c>
    </row>
    <row r="8" spans="2:11" x14ac:dyDescent="0.35">
      <c r="B8" s="12">
        <v>1</v>
      </c>
      <c r="C8">
        <v>27</v>
      </c>
      <c r="D8">
        <v>0</v>
      </c>
      <c r="E8">
        <v>0</v>
      </c>
      <c r="F8">
        <f t="shared" si="0"/>
        <v>27</v>
      </c>
      <c r="G8">
        <f t="shared" si="1"/>
        <v>0</v>
      </c>
      <c r="H8">
        <f t="shared" si="2"/>
        <v>27</v>
      </c>
      <c r="I8">
        <f t="shared" si="3"/>
        <v>729</v>
      </c>
      <c r="J8">
        <f t="shared" si="4"/>
        <v>0</v>
      </c>
      <c r="K8">
        <f t="shared" si="5"/>
        <v>0</v>
      </c>
    </row>
    <row r="9" spans="2:11" x14ac:dyDescent="0.35">
      <c r="B9" s="12">
        <f>0.96296296*0.96296296</f>
        <v>0.92729766233196165</v>
      </c>
      <c r="C9">
        <v>27</v>
      </c>
      <c r="D9">
        <v>1</v>
      </c>
      <c r="E9">
        <v>0</v>
      </c>
      <c r="F9">
        <f t="shared" si="0"/>
        <v>27</v>
      </c>
      <c r="G9">
        <f t="shared" si="1"/>
        <v>0</v>
      </c>
      <c r="H9">
        <f t="shared" si="2"/>
        <v>26</v>
      </c>
      <c r="I9">
        <f t="shared" si="3"/>
        <v>702</v>
      </c>
      <c r="J9">
        <f t="shared" si="4"/>
        <v>1.4245014245014246E-3</v>
      </c>
      <c r="K9">
        <f t="shared" si="5"/>
        <v>1.3209368409287203E-3</v>
      </c>
    </row>
    <row r="10" spans="2:11" x14ac:dyDescent="0.35">
      <c r="B10" s="12">
        <f>0.96296296*0.96296296</f>
        <v>0.92729766233196165</v>
      </c>
      <c r="C10">
        <v>26</v>
      </c>
      <c r="D10">
        <v>0</v>
      </c>
      <c r="E10">
        <v>0</v>
      </c>
      <c r="F10">
        <f t="shared" si="0"/>
        <v>26</v>
      </c>
      <c r="G10">
        <f t="shared" si="1"/>
        <v>0</v>
      </c>
      <c r="H10">
        <f t="shared" si="2"/>
        <v>26</v>
      </c>
      <c r="I10">
        <f t="shared" si="3"/>
        <v>676</v>
      </c>
      <c r="J10">
        <f t="shared" si="4"/>
        <v>0</v>
      </c>
      <c r="K10">
        <f t="shared" si="5"/>
        <v>0</v>
      </c>
    </row>
    <row r="11" spans="2:11" x14ac:dyDescent="0.35">
      <c r="B11" s="12">
        <f>0.81481481*0.81481481</f>
        <v>0.66392317459533612</v>
      </c>
      <c r="C11">
        <v>26</v>
      </c>
      <c r="D11">
        <v>4</v>
      </c>
      <c r="E11">
        <v>0</v>
      </c>
      <c r="F11">
        <f t="shared" si="0"/>
        <v>26</v>
      </c>
      <c r="G11">
        <f t="shared" si="1"/>
        <v>0</v>
      </c>
      <c r="H11">
        <f t="shared" si="2"/>
        <v>22</v>
      </c>
      <c r="I11">
        <f t="shared" si="3"/>
        <v>572</v>
      </c>
      <c r="J11">
        <f t="shared" si="4"/>
        <v>6.993006993006993E-3</v>
      </c>
      <c r="K11">
        <f t="shared" si="5"/>
        <v>4.6428194027645885E-3</v>
      </c>
    </row>
    <row r="12" spans="2:11" x14ac:dyDescent="0.35">
      <c r="B12" s="12">
        <f>0.81481481*0.81481481</f>
        <v>0.66392317459533612</v>
      </c>
      <c r="C12">
        <v>22</v>
      </c>
      <c r="D12">
        <v>0</v>
      </c>
      <c r="E12">
        <v>2</v>
      </c>
      <c r="F12">
        <f t="shared" si="0"/>
        <v>21</v>
      </c>
      <c r="G12">
        <f t="shared" si="1"/>
        <v>1</v>
      </c>
      <c r="H12">
        <f t="shared" si="2"/>
        <v>21</v>
      </c>
      <c r="I12">
        <f t="shared" si="3"/>
        <v>441</v>
      </c>
      <c r="J12">
        <f t="shared" si="4"/>
        <v>0</v>
      </c>
      <c r="K12">
        <f t="shared" si="5"/>
        <v>0</v>
      </c>
    </row>
    <row r="13" spans="2:11" x14ac:dyDescent="0.35">
      <c r="B13" s="12">
        <f>0.77407407*0.77407407</f>
        <v>0.59919066584636482</v>
      </c>
      <c r="C13">
        <v>20</v>
      </c>
      <c r="D13">
        <v>1</v>
      </c>
      <c r="E13">
        <v>1</v>
      </c>
      <c r="F13">
        <f t="shared" si="0"/>
        <v>19.5</v>
      </c>
      <c r="G13">
        <f t="shared" si="1"/>
        <v>0.5</v>
      </c>
      <c r="H13">
        <f t="shared" si="2"/>
        <v>18.5</v>
      </c>
      <c r="I13">
        <f t="shared" si="3"/>
        <v>360.75</v>
      </c>
      <c r="J13">
        <f t="shared" si="4"/>
        <v>2.772002772002772E-3</v>
      </c>
      <c r="K13">
        <f t="shared" si="5"/>
        <v>1.6609581866843101E-3</v>
      </c>
    </row>
    <row r="14" spans="2:11" x14ac:dyDescent="0.35">
      <c r="B14" s="12">
        <f>0.68806584*0.68806584</f>
        <v>0.47343460017490563</v>
      </c>
      <c r="C14">
        <v>18</v>
      </c>
      <c r="D14">
        <v>2</v>
      </c>
      <c r="E14">
        <v>2</v>
      </c>
      <c r="F14">
        <f t="shared" si="0"/>
        <v>17</v>
      </c>
      <c r="G14">
        <f t="shared" si="1"/>
        <v>1</v>
      </c>
      <c r="H14">
        <f>C14-G14-D14</f>
        <v>15</v>
      </c>
      <c r="I14">
        <f t="shared" si="3"/>
        <v>255</v>
      </c>
      <c r="J14">
        <f t="shared" si="4"/>
        <v>7.8431372549019607E-3</v>
      </c>
      <c r="K14">
        <f t="shared" si="5"/>
        <v>3.7132125503914165E-3</v>
      </c>
    </row>
    <row r="15" spans="2:11" x14ac:dyDescent="0.35">
      <c r="B15" s="12">
        <f>0.63891828*0.63891828</f>
        <v>0.40821656851815835</v>
      </c>
      <c r="C15">
        <v>14</v>
      </c>
      <c r="D15">
        <v>1</v>
      </c>
      <c r="E15">
        <v>0</v>
      </c>
      <c r="F15">
        <f t="shared" si="0"/>
        <v>14</v>
      </c>
      <c r="G15">
        <f t="shared" si="1"/>
        <v>0</v>
      </c>
      <c r="H15">
        <f t="shared" si="2"/>
        <v>13</v>
      </c>
      <c r="I15">
        <f t="shared" si="3"/>
        <v>182</v>
      </c>
      <c r="J15">
        <f t="shared" si="4"/>
        <v>5.4945054945054949E-3</v>
      </c>
      <c r="K15">
        <f t="shared" si="5"/>
        <v>2.2429481786712E-3</v>
      </c>
    </row>
    <row r="16" spans="2:11" x14ac:dyDescent="0.35">
      <c r="B16" s="12">
        <f>0.63891828*0.63891828</f>
        <v>0.40821656851815835</v>
      </c>
      <c r="C16">
        <v>13</v>
      </c>
      <c r="D16">
        <v>0</v>
      </c>
      <c r="E16">
        <v>0</v>
      </c>
      <c r="F16">
        <f t="shared" si="0"/>
        <v>13</v>
      </c>
      <c r="G16">
        <f t="shared" si="1"/>
        <v>0</v>
      </c>
      <c r="H16">
        <f t="shared" si="2"/>
        <v>13</v>
      </c>
      <c r="I16">
        <f t="shared" si="3"/>
        <v>169</v>
      </c>
      <c r="J16">
        <f t="shared" si="4"/>
        <v>0</v>
      </c>
      <c r="K16">
        <f t="shared" si="5"/>
        <v>0</v>
      </c>
    </row>
    <row r="17" spans="2:11" x14ac:dyDescent="0.35">
      <c r="B17" s="12">
        <f>0.58977072*0.58977072</f>
        <v>0.34782950216931835</v>
      </c>
      <c r="C17">
        <v>13</v>
      </c>
      <c r="D17">
        <v>1</v>
      </c>
      <c r="E17">
        <v>2</v>
      </c>
      <c r="F17">
        <f t="shared" si="0"/>
        <v>12</v>
      </c>
      <c r="G17">
        <f t="shared" si="1"/>
        <v>1</v>
      </c>
      <c r="H17">
        <f t="shared" si="2"/>
        <v>11</v>
      </c>
      <c r="I17">
        <f t="shared" si="3"/>
        <v>132</v>
      </c>
      <c r="J17">
        <f t="shared" si="4"/>
        <v>7.575757575757576E-3</v>
      </c>
      <c r="K17">
        <f t="shared" si="5"/>
        <v>2.6350719861311998E-3</v>
      </c>
    </row>
    <row r="18" spans="2:11" x14ac:dyDescent="0.35">
      <c r="B18" s="12">
        <f>0.47181658*0.47181658</f>
        <v>0.2226108851628964</v>
      </c>
      <c r="C18">
        <v>10</v>
      </c>
      <c r="D18">
        <v>2</v>
      </c>
      <c r="E18">
        <v>1</v>
      </c>
      <c r="F18">
        <f t="shared" si="0"/>
        <v>9.5</v>
      </c>
      <c r="G18">
        <f t="shared" si="1"/>
        <v>0.5</v>
      </c>
      <c r="H18">
        <f t="shared" si="2"/>
        <v>7.5</v>
      </c>
      <c r="I18">
        <f t="shared" si="3"/>
        <v>71.25</v>
      </c>
      <c r="J18">
        <f t="shared" si="4"/>
        <v>2.8070175438596492E-2</v>
      </c>
      <c r="K18">
        <f t="shared" si="5"/>
        <v>6.2487266010637591E-3</v>
      </c>
    </row>
    <row r="19" spans="2:11" x14ac:dyDescent="0.35">
      <c r="B19" s="12">
        <f>0.26960947*0.26960947</f>
        <v>7.2689266313680903E-2</v>
      </c>
      <c r="C19">
        <v>7</v>
      </c>
      <c r="D19">
        <v>3</v>
      </c>
      <c r="E19">
        <v>1</v>
      </c>
      <c r="F19">
        <f t="shared" si="0"/>
        <v>6.5</v>
      </c>
      <c r="G19">
        <f t="shared" si="1"/>
        <v>0.5</v>
      </c>
      <c r="H19">
        <f t="shared" si="2"/>
        <v>3.5</v>
      </c>
      <c r="I19">
        <f t="shared" si="3"/>
        <v>22.75</v>
      </c>
      <c r="J19">
        <f t="shared" si="4"/>
        <v>0.13186813186813187</v>
      </c>
      <c r="K19">
        <f t="shared" si="5"/>
        <v>9.5853977556502289E-3</v>
      </c>
    </row>
    <row r="20" spans="2:11" x14ac:dyDescent="0.35">
      <c r="B20" s="12">
        <f>0.26960947*0.26960947</f>
        <v>7.2689266313680903E-2</v>
      </c>
      <c r="C20">
        <v>3</v>
      </c>
      <c r="D20">
        <v>0</v>
      </c>
      <c r="E20">
        <v>3</v>
      </c>
      <c r="F20">
        <f t="shared" si="0"/>
        <v>1.5</v>
      </c>
      <c r="G20">
        <f t="shared" si="1"/>
        <v>1.5</v>
      </c>
      <c r="H20">
        <f t="shared" si="2"/>
        <v>1.5</v>
      </c>
      <c r="I20">
        <f t="shared" si="3"/>
        <v>2.25</v>
      </c>
      <c r="J20">
        <f t="shared" si="4"/>
        <v>0</v>
      </c>
      <c r="K20">
        <f t="shared" si="5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0F0A-2713-4AB0-909E-DD6304565798}">
  <dimension ref="A1:H20"/>
  <sheetViews>
    <sheetView workbookViewId="0">
      <selection activeCell="B2" sqref="B2"/>
    </sheetView>
  </sheetViews>
  <sheetFormatPr baseColWidth="10" defaultRowHeight="14.5" x14ac:dyDescent="0.35"/>
  <cols>
    <col min="4" max="4" width="13" customWidth="1"/>
    <col min="5" max="5" width="20.54296875" customWidth="1"/>
    <col min="6" max="6" width="19.453125" bestFit="1" customWidth="1"/>
  </cols>
  <sheetData>
    <row r="1" spans="1:8" x14ac:dyDescent="0.35">
      <c r="A1" t="s">
        <v>98</v>
      </c>
      <c r="B1">
        <v>1.96</v>
      </c>
      <c r="E1" t="s">
        <v>103</v>
      </c>
      <c r="F1" t="s">
        <v>104</v>
      </c>
    </row>
    <row r="2" spans="1:8" x14ac:dyDescent="0.35">
      <c r="A2" s="13" t="s">
        <v>97</v>
      </c>
      <c r="B2" s="13" t="s">
        <v>86</v>
      </c>
      <c r="C2" t="s">
        <v>36</v>
      </c>
      <c r="D2" t="s">
        <v>99</v>
      </c>
      <c r="E2" t="s">
        <v>100</v>
      </c>
      <c r="F2" t="s">
        <v>101</v>
      </c>
      <c r="G2" t="s">
        <v>82</v>
      </c>
      <c r="H2" t="s">
        <v>105</v>
      </c>
    </row>
    <row r="3" spans="1:8" x14ac:dyDescent="0.35">
      <c r="A3" s="12">
        <v>1</v>
      </c>
      <c r="B3" s="12">
        <v>0</v>
      </c>
      <c r="C3">
        <f>SQRT(A3)</f>
        <v>1</v>
      </c>
      <c r="D3">
        <f>SQRT(B3)</f>
        <v>0</v>
      </c>
      <c r="E3">
        <f>(D3*B$1)+C3</f>
        <v>1</v>
      </c>
      <c r="F3">
        <f>C3-(D3*B$1)</f>
        <v>1</v>
      </c>
      <c r="G3">
        <v>0</v>
      </c>
    </row>
    <row r="4" spans="1:8" x14ac:dyDescent="0.35">
      <c r="A4" s="12">
        <v>1</v>
      </c>
      <c r="B4" s="12">
        <v>0</v>
      </c>
      <c r="C4">
        <f t="shared" ref="C4:C20" si="0">SQRT(A4)</f>
        <v>1</v>
      </c>
      <c r="D4">
        <f t="shared" ref="D4:D20" si="1">SQRT(B4)</f>
        <v>0</v>
      </c>
      <c r="E4">
        <f t="shared" ref="E4:E20" si="2">(D4*B$1)+C4</f>
        <v>1</v>
      </c>
      <c r="F4">
        <f t="shared" ref="F4:F19" si="3">C4-(D4*B$1)</f>
        <v>1</v>
      </c>
      <c r="G4">
        <v>8</v>
      </c>
    </row>
    <row r="5" spans="1:8" x14ac:dyDescent="0.35">
      <c r="A5" s="12">
        <v>1</v>
      </c>
      <c r="B5" s="12">
        <v>0</v>
      </c>
      <c r="C5">
        <f t="shared" si="0"/>
        <v>1</v>
      </c>
      <c r="D5">
        <f t="shared" si="1"/>
        <v>0</v>
      </c>
      <c r="E5">
        <f t="shared" si="2"/>
        <v>1</v>
      </c>
      <c r="F5">
        <f t="shared" si="3"/>
        <v>1</v>
      </c>
      <c r="G5">
        <v>12</v>
      </c>
    </row>
    <row r="6" spans="1:8" x14ac:dyDescent="0.35">
      <c r="A6" s="12">
        <v>1</v>
      </c>
      <c r="B6" s="12">
        <v>0</v>
      </c>
      <c r="C6">
        <f t="shared" si="0"/>
        <v>1</v>
      </c>
      <c r="D6">
        <f t="shared" si="1"/>
        <v>0</v>
      </c>
      <c r="E6">
        <f t="shared" si="2"/>
        <v>1</v>
      </c>
      <c r="F6">
        <f t="shared" si="3"/>
        <v>1</v>
      </c>
      <c r="G6">
        <v>16</v>
      </c>
    </row>
    <row r="7" spans="1:8" x14ac:dyDescent="0.35">
      <c r="A7" s="12">
        <v>1</v>
      </c>
      <c r="B7" s="12">
        <v>0</v>
      </c>
      <c r="C7">
        <f t="shared" si="0"/>
        <v>1</v>
      </c>
      <c r="D7">
        <f t="shared" si="1"/>
        <v>0</v>
      </c>
      <c r="E7">
        <f t="shared" si="2"/>
        <v>1</v>
      </c>
      <c r="F7">
        <f t="shared" si="3"/>
        <v>1</v>
      </c>
      <c r="G7">
        <v>20</v>
      </c>
    </row>
    <row r="8" spans="1:8" x14ac:dyDescent="0.35">
      <c r="A8" s="12">
        <v>1</v>
      </c>
      <c r="B8" s="12">
        <v>0</v>
      </c>
      <c r="C8">
        <f t="shared" si="0"/>
        <v>1</v>
      </c>
      <c r="D8">
        <f t="shared" si="1"/>
        <v>0</v>
      </c>
      <c r="E8">
        <f t="shared" si="2"/>
        <v>1</v>
      </c>
      <c r="F8">
        <f t="shared" si="3"/>
        <v>1</v>
      </c>
      <c r="G8">
        <v>24</v>
      </c>
    </row>
    <row r="9" spans="1:8" x14ac:dyDescent="0.35">
      <c r="A9" s="12">
        <v>0.92729766000000002</v>
      </c>
      <c r="B9" s="12">
        <v>1.32094E-3</v>
      </c>
      <c r="C9">
        <f t="shared" si="0"/>
        <v>0.96296295878917382</v>
      </c>
      <c r="D9">
        <f t="shared" si="1"/>
        <v>3.6344738271172072E-2</v>
      </c>
      <c r="E9">
        <v>1</v>
      </c>
      <c r="F9">
        <f t="shared" si="3"/>
        <v>0.89172727177767652</v>
      </c>
      <c r="G9">
        <v>28</v>
      </c>
    </row>
    <row r="10" spans="1:8" x14ac:dyDescent="0.35">
      <c r="A10" s="12">
        <v>0.92729766000000002</v>
      </c>
      <c r="B10" s="12">
        <v>0</v>
      </c>
      <c r="C10">
        <f t="shared" si="0"/>
        <v>0.96296295878917382</v>
      </c>
      <c r="D10">
        <f t="shared" si="1"/>
        <v>0</v>
      </c>
      <c r="E10">
        <f t="shared" si="2"/>
        <v>0.96296295878917382</v>
      </c>
      <c r="F10">
        <f t="shared" si="3"/>
        <v>0.96296295878917382</v>
      </c>
      <c r="G10">
        <v>32</v>
      </c>
    </row>
    <row r="11" spans="1:8" x14ac:dyDescent="0.35">
      <c r="A11" s="12">
        <v>0.66392317000000001</v>
      </c>
      <c r="B11" s="12">
        <v>4.6428199999999998E-3</v>
      </c>
      <c r="C11">
        <f t="shared" si="0"/>
        <v>0.81481480718013466</v>
      </c>
      <c r="D11">
        <f t="shared" si="1"/>
        <v>6.8138241832322033E-2</v>
      </c>
      <c r="E11">
        <f t="shared" si="2"/>
        <v>0.94836576117148585</v>
      </c>
      <c r="F11">
        <f t="shared" si="3"/>
        <v>0.68126385318878346</v>
      </c>
      <c r="G11">
        <v>36</v>
      </c>
    </row>
    <row r="12" spans="1:8" x14ac:dyDescent="0.35">
      <c r="A12" s="12">
        <v>0.66392317000000001</v>
      </c>
      <c r="B12" s="12">
        <v>0</v>
      </c>
      <c r="C12">
        <f t="shared" si="0"/>
        <v>0.81481480718013466</v>
      </c>
      <c r="D12">
        <f t="shared" si="1"/>
        <v>0</v>
      </c>
      <c r="E12">
        <f t="shared" si="2"/>
        <v>0.81481480718013466</v>
      </c>
      <c r="F12">
        <f t="shared" si="3"/>
        <v>0.81481480718013466</v>
      </c>
      <c r="G12">
        <v>40</v>
      </c>
    </row>
    <row r="13" spans="1:8" x14ac:dyDescent="0.35">
      <c r="A13" s="12">
        <v>0.59919067000000004</v>
      </c>
      <c r="B13" s="12">
        <v>1.57682E-3</v>
      </c>
      <c r="C13">
        <f t="shared" si="0"/>
        <v>0.77407407268297013</v>
      </c>
      <c r="D13">
        <f t="shared" si="1"/>
        <v>3.970919289031194E-2</v>
      </c>
      <c r="E13">
        <f t="shared" si="2"/>
        <v>0.85190409074798157</v>
      </c>
      <c r="F13">
        <f t="shared" si="3"/>
        <v>0.69624405461795869</v>
      </c>
      <c r="G13">
        <v>44</v>
      </c>
    </row>
    <row r="14" spans="1:8" x14ac:dyDescent="0.35">
      <c r="A14" s="12">
        <v>0.47343459999999998</v>
      </c>
      <c r="B14" s="12">
        <v>3.2877399999999999E-3</v>
      </c>
      <c r="C14">
        <f t="shared" si="0"/>
        <v>0.68806583987290049</v>
      </c>
      <c r="D14">
        <f t="shared" si="1"/>
        <v>5.7338817567159507E-2</v>
      </c>
      <c r="E14">
        <f t="shared" si="2"/>
        <v>0.80044992230453316</v>
      </c>
      <c r="F14">
        <f t="shared" si="3"/>
        <v>0.57568175744126782</v>
      </c>
      <c r="G14">
        <v>48</v>
      </c>
    </row>
    <row r="15" spans="1:8" x14ac:dyDescent="0.35">
      <c r="A15" s="12">
        <v>0.40821657</v>
      </c>
      <c r="B15" s="12">
        <v>2.2429500000000001E-3</v>
      </c>
      <c r="C15">
        <f t="shared" si="0"/>
        <v>0.63891828115964877</v>
      </c>
      <c r="D15">
        <f t="shared" si="1"/>
        <v>4.7359793073872274E-2</v>
      </c>
      <c r="E15">
        <f t="shared" si="2"/>
        <v>0.73174347558443842</v>
      </c>
      <c r="F15">
        <f t="shared" si="3"/>
        <v>0.54609308673485912</v>
      </c>
      <c r="G15">
        <v>52</v>
      </c>
    </row>
    <row r="16" spans="1:8" x14ac:dyDescent="0.35">
      <c r="A16" s="12">
        <v>0.40821657</v>
      </c>
      <c r="B16" s="12">
        <v>0</v>
      </c>
      <c r="C16">
        <f t="shared" si="0"/>
        <v>0.63891828115964877</v>
      </c>
      <c r="D16">
        <f t="shared" si="1"/>
        <v>0</v>
      </c>
      <c r="E16">
        <f t="shared" si="2"/>
        <v>0.63891828115964877</v>
      </c>
      <c r="F16">
        <f t="shared" si="3"/>
        <v>0.63891828115964877</v>
      </c>
      <c r="G16">
        <v>56</v>
      </c>
    </row>
    <row r="17" spans="1:7" x14ac:dyDescent="0.35">
      <c r="A17" s="12">
        <v>0.34782950000000001</v>
      </c>
      <c r="B17" s="12">
        <v>2.2296799999999999E-3</v>
      </c>
      <c r="C17">
        <f t="shared" si="0"/>
        <v>0.58977071816087989</v>
      </c>
      <c r="D17">
        <f t="shared" si="1"/>
        <v>4.7219487502513195E-2</v>
      </c>
      <c r="E17">
        <f t="shared" si="2"/>
        <v>0.68232091366580572</v>
      </c>
      <c r="F17">
        <f t="shared" si="3"/>
        <v>0.49722052265595401</v>
      </c>
      <c r="G17">
        <v>60</v>
      </c>
    </row>
    <row r="18" spans="1:7" x14ac:dyDescent="0.35">
      <c r="A18" s="12">
        <v>0.22261089000000001</v>
      </c>
      <c r="B18" s="12">
        <v>5.5652699999999998E-3</v>
      </c>
      <c r="C18">
        <f t="shared" si="0"/>
        <v>0.47181658512604241</v>
      </c>
      <c r="D18">
        <f t="shared" si="1"/>
        <v>7.4600737261772423E-2</v>
      </c>
      <c r="E18">
        <f t="shared" si="2"/>
        <v>0.61803403015911629</v>
      </c>
      <c r="F18">
        <f t="shared" si="3"/>
        <v>0.32559914009296848</v>
      </c>
      <c r="G18">
        <v>64</v>
      </c>
    </row>
    <row r="19" spans="1:7" x14ac:dyDescent="0.35">
      <c r="A19" s="12">
        <v>7.268927E-2</v>
      </c>
      <c r="B19" s="12">
        <v>7.7881399999999998E-3</v>
      </c>
      <c r="C19">
        <f t="shared" si="0"/>
        <v>0.26960947683640502</v>
      </c>
      <c r="D19">
        <f t="shared" si="1"/>
        <v>8.8250439092392052E-2</v>
      </c>
      <c r="E19">
        <f t="shared" si="2"/>
        <v>0.44258033745749342</v>
      </c>
      <c r="F19">
        <f t="shared" si="3"/>
        <v>9.6638616215316608E-2</v>
      </c>
      <c r="G19">
        <v>68</v>
      </c>
    </row>
    <row r="20" spans="1:7" x14ac:dyDescent="0.35">
      <c r="A20" s="12">
        <v>7.268927E-2</v>
      </c>
      <c r="B20" s="12">
        <v>0</v>
      </c>
      <c r="C20">
        <f t="shared" si="0"/>
        <v>0.26960947683640502</v>
      </c>
      <c r="D20">
        <f t="shared" si="1"/>
        <v>0</v>
      </c>
      <c r="E20">
        <f t="shared" si="2"/>
        <v>0.26960947683640502</v>
      </c>
      <c r="F20">
        <v>0</v>
      </c>
      <c r="G20">
        <v>72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4E65-EA82-4A94-B767-A8BE8ED04071}">
  <dimension ref="A1:G20"/>
  <sheetViews>
    <sheetView workbookViewId="0">
      <selection activeCell="H21" sqref="H21"/>
    </sheetView>
  </sheetViews>
  <sheetFormatPr baseColWidth="10" defaultRowHeight="14.5" x14ac:dyDescent="0.35"/>
  <cols>
    <col min="5" max="5" width="21.453125" customWidth="1"/>
    <col min="6" max="6" width="20" customWidth="1"/>
  </cols>
  <sheetData>
    <row r="1" spans="1:7" x14ac:dyDescent="0.35">
      <c r="A1" t="s">
        <v>98</v>
      </c>
      <c r="B1">
        <v>1.96</v>
      </c>
      <c r="E1" t="s">
        <v>103</v>
      </c>
      <c r="F1" t="s">
        <v>104</v>
      </c>
    </row>
    <row r="2" spans="1:7" x14ac:dyDescent="0.35">
      <c r="A2" s="13" t="s">
        <v>97</v>
      </c>
      <c r="B2" s="13" t="s">
        <v>86</v>
      </c>
      <c r="C2" t="s">
        <v>36</v>
      </c>
      <c r="D2" t="s">
        <v>99</v>
      </c>
      <c r="E2" t="s">
        <v>100</v>
      </c>
      <c r="F2" t="s">
        <v>102</v>
      </c>
      <c r="G2" t="s">
        <v>82</v>
      </c>
    </row>
    <row r="3" spans="1:7" x14ac:dyDescent="0.35">
      <c r="A3" s="12">
        <v>1</v>
      </c>
      <c r="B3" s="12">
        <v>0</v>
      </c>
      <c r="C3">
        <f>SQRT(A3)</f>
        <v>1</v>
      </c>
      <c r="D3">
        <f>SQRT(B3)</f>
        <v>0</v>
      </c>
      <c r="E3">
        <f>(D3*B$1)+C3</f>
        <v>1</v>
      </c>
      <c r="F3">
        <f>C3-(D3*B$1)</f>
        <v>1</v>
      </c>
      <c r="G3">
        <v>0</v>
      </c>
    </row>
    <row r="4" spans="1:7" x14ac:dyDescent="0.35">
      <c r="A4" s="12">
        <v>1</v>
      </c>
      <c r="B4" s="12">
        <v>0</v>
      </c>
      <c r="C4">
        <f t="shared" ref="C4:C19" si="0">SQRT(A4)</f>
        <v>1</v>
      </c>
      <c r="D4">
        <f t="shared" ref="D4:D20" si="1">SQRT(B4)</f>
        <v>0</v>
      </c>
      <c r="E4">
        <f t="shared" ref="E4:E19" si="2">(D4*B$1)+C4</f>
        <v>1</v>
      </c>
      <c r="F4">
        <f t="shared" ref="F4:F19" si="3">C4-(D4*B$1)</f>
        <v>1</v>
      </c>
      <c r="G4">
        <v>8</v>
      </c>
    </row>
    <row r="5" spans="1:7" x14ac:dyDescent="0.35">
      <c r="A5" s="12">
        <v>1</v>
      </c>
      <c r="B5" s="12">
        <v>0</v>
      </c>
      <c r="C5">
        <f t="shared" si="0"/>
        <v>1</v>
      </c>
      <c r="D5">
        <f t="shared" si="1"/>
        <v>0</v>
      </c>
      <c r="E5">
        <f t="shared" si="2"/>
        <v>1</v>
      </c>
      <c r="F5">
        <f t="shared" si="3"/>
        <v>1</v>
      </c>
      <c r="G5">
        <v>12</v>
      </c>
    </row>
    <row r="6" spans="1:7" x14ac:dyDescent="0.35">
      <c r="A6" s="12">
        <v>1</v>
      </c>
      <c r="B6" s="12">
        <v>0</v>
      </c>
      <c r="C6">
        <f t="shared" si="0"/>
        <v>1</v>
      </c>
      <c r="D6">
        <f t="shared" si="1"/>
        <v>0</v>
      </c>
      <c r="E6">
        <f t="shared" si="2"/>
        <v>1</v>
      </c>
      <c r="F6">
        <f t="shared" si="3"/>
        <v>1</v>
      </c>
      <c r="G6">
        <v>16</v>
      </c>
    </row>
    <row r="7" spans="1:7" x14ac:dyDescent="0.35">
      <c r="A7" s="12">
        <v>1</v>
      </c>
      <c r="B7" s="12">
        <v>0</v>
      </c>
      <c r="C7">
        <f t="shared" si="0"/>
        <v>1</v>
      </c>
      <c r="D7">
        <f t="shared" si="1"/>
        <v>0</v>
      </c>
      <c r="E7">
        <f t="shared" si="2"/>
        <v>1</v>
      </c>
      <c r="F7">
        <f t="shared" si="3"/>
        <v>1</v>
      </c>
      <c r="G7">
        <v>20</v>
      </c>
    </row>
    <row r="8" spans="1:7" x14ac:dyDescent="0.35">
      <c r="A8" s="12">
        <v>1</v>
      </c>
      <c r="B8" s="12">
        <v>0</v>
      </c>
      <c r="C8">
        <f t="shared" si="0"/>
        <v>1</v>
      </c>
      <c r="D8">
        <f t="shared" si="1"/>
        <v>0</v>
      </c>
      <c r="E8">
        <f t="shared" si="2"/>
        <v>1</v>
      </c>
      <c r="F8">
        <f t="shared" si="3"/>
        <v>1</v>
      </c>
      <c r="G8">
        <v>24</v>
      </c>
    </row>
    <row r="9" spans="1:7" x14ac:dyDescent="0.35">
      <c r="A9" s="12">
        <f>0.96296296*0.96296296</f>
        <v>0.92729766233196165</v>
      </c>
      <c r="B9" s="12">
        <v>1.32094E-3</v>
      </c>
      <c r="C9">
        <f t="shared" si="0"/>
        <v>0.96296296000000003</v>
      </c>
      <c r="D9">
        <f t="shared" si="1"/>
        <v>3.6344738271172072E-2</v>
      </c>
      <c r="E9">
        <f t="shared" si="2"/>
        <v>1.0341986470114972</v>
      </c>
      <c r="F9">
        <f t="shared" si="3"/>
        <v>0.89172727298850274</v>
      </c>
      <c r="G9">
        <v>28</v>
      </c>
    </row>
    <row r="10" spans="1:7" x14ac:dyDescent="0.35">
      <c r="A10" s="12">
        <f>0.96296296*0.96296296</f>
        <v>0.92729766233196165</v>
      </c>
      <c r="B10" s="12">
        <v>0</v>
      </c>
      <c r="C10">
        <f t="shared" si="0"/>
        <v>0.96296296000000003</v>
      </c>
      <c r="D10">
        <f t="shared" si="1"/>
        <v>0</v>
      </c>
      <c r="E10">
        <f t="shared" si="2"/>
        <v>0.96296296000000003</v>
      </c>
      <c r="F10">
        <f t="shared" si="3"/>
        <v>0.96296296000000003</v>
      </c>
      <c r="G10">
        <v>32</v>
      </c>
    </row>
    <row r="11" spans="1:7" x14ac:dyDescent="0.35">
      <c r="A11" s="12">
        <f>0.81481481*0.81481481</f>
        <v>0.66392317459533612</v>
      </c>
      <c r="B11" s="12">
        <v>4.6428199999999998E-3</v>
      </c>
      <c r="C11">
        <f t="shared" si="0"/>
        <v>0.81481481</v>
      </c>
      <c r="D11">
        <f t="shared" si="1"/>
        <v>6.8138241832322033E-2</v>
      </c>
      <c r="E11">
        <f t="shared" si="2"/>
        <v>0.9483657639913512</v>
      </c>
      <c r="F11">
        <f t="shared" si="3"/>
        <v>0.6812638560086488</v>
      </c>
      <c r="G11">
        <v>36</v>
      </c>
    </row>
    <row r="12" spans="1:7" x14ac:dyDescent="0.35">
      <c r="A12" s="12">
        <f>0.81481481*0.81481481</f>
        <v>0.66392317459533612</v>
      </c>
      <c r="B12" s="12">
        <v>0</v>
      </c>
      <c r="C12">
        <f t="shared" si="0"/>
        <v>0.81481481</v>
      </c>
      <c r="D12">
        <f t="shared" si="1"/>
        <v>0</v>
      </c>
      <c r="E12">
        <f t="shared" si="2"/>
        <v>0.81481481</v>
      </c>
      <c r="F12">
        <f t="shared" si="3"/>
        <v>0.81481481</v>
      </c>
      <c r="G12">
        <v>40</v>
      </c>
    </row>
    <row r="13" spans="1:7" x14ac:dyDescent="0.35">
      <c r="A13" s="12">
        <f>0.77407407*0.77407407</f>
        <v>0.59919066584636482</v>
      </c>
      <c r="B13" s="12">
        <v>1.75202E-3</v>
      </c>
      <c r="C13">
        <f t="shared" si="0"/>
        <v>0.77407406999999995</v>
      </c>
      <c r="D13">
        <f t="shared" si="1"/>
        <v>4.185713798147217E-2</v>
      </c>
      <c r="E13">
        <f t="shared" si="2"/>
        <v>0.85611406044368543</v>
      </c>
      <c r="F13">
        <f t="shared" si="3"/>
        <v>0.69203407955631446</v>
      </c>
      <c r="G13">
        <v>44</v>
      </c>
    </row>
    <row r="14" spans="1:7" x14ac:dyDescent="0.35">
      <c r="A14" s="12">
        <f>0.68806584*0.68806584</f>
        <v>0.47343460017490563</v>
      </c>
      <c r="B14" s="12">
        <v>4.2270900000000002E-3</v>
      </c>
      <c r="C14">
        <f t="shared" si="0"/>
        <v>0.68806584000000004</v>
      </c>
      <c r="D14">
        <f t="shared" si="1"/>
        <v>6.501607493535734E-2</v>
      </c>
      <c r="E14">
        <f t="shared" si="2"/>
        <v>0.81549734687330044</v>
      </c>
      <c r="F14">
        <f t="shared" si="3"/>
        <v>0.56063433312669964</v>
      </c>
      <c r="G14">
        <v>48</v>
      </c>
    </row>
    <row r="15" spans="1:7" x14ac:dyDescent="0.35">
      <c r="A15" s="12">
        <f>0.63891828*0.63891828</f>
        <v>0.40821656851815835</v>
      </c>
      <c r="B15" s="12">
        <v>2.2429500000000001E-3</v>
      </c>
      <c r="C15">
        <f t="shared" si="0"/>
        <v>0.63891827999999995</v>
      </c>
      <c r="D15">
        <f t="shared" si="1"/>
        <v>4.7359793073872274E-2</v>
      </c>
      <c r="E15">
        <f t="shared" si="2"/>
        <v>0.7317434744247896</v>
      </c>
      <c r="F15">
        <f t="shared" si="3"/>
        <v>0.5460930855752103</v>
      </c>
      <c r="G15">
        <v>52</v>
      </c>
    </row>
    <row r="16" spans="1:7" x14ac:dyDescent="0.35">
      <c r="A16" s="12">
        <f>0.63891828*0.63891828</f>
        <v>0.40821656851815835</v>
      </c>
      <c r="B16" s="12">
        <v>0</v>
      </c>
      <c r="C16">
        <f t="shared" si="0"/>
        <v>0.63891827999999995</v>
      </c>
      <c r="D16">
        <f t="shared" si="1"/>
        <v>0</v>
      </c>
      <c r="E16">
        <f t="shared" si="2"/>
        <v>0.63891827999999995</v>
      </c>
      <c r="F16">
        <f t="shared" si="3"/>
        <v>0.63891827999999995</v>
      </c>
      <c r="G16">
        <v>56</v>
      </c>
    </row>
    <row r="17" spans="1:7" x14ac:dyDescent="0.35">
      <c r="A17" s="12">
        <f>0.58977072*0.58977072</f>
        <v>0.34782950216931835</v>
      </c>
      <c r="B17" s="12">
        <v>3.1620900000000002E-3</v>
      </c>
      <c r="C17">
        <f t="shared" si="0"/>
        <v>0.58977071999999997</v>
      </c>
      <c r="D17">
        <f t="shared" si="1"/>
        <v>5.6232463933212108E-2</v>
      </c>
      <c r="E17">
        <f t="shared" si="2"/>
        <v>0.69998634930909565</v>
      </c>
      <c r="F17">
        <f t="shared" si="3"/>
        <v>0.47955509069090424</v>
      </c>
      <c r="G17">
        <v>60</v>
      </c>
    </row>
    <row r="18" spans="1:7" x14ac:dyDescent="0.35">
      <c r="A18" s="12">
        <f>0.47181658*0.47181658</f>
        <v>0.2226108851628964</v>
      </c>
      <c r="B18" s="12">
        <v>7.0670100000000003E-3</v>
      </c>
      <c r="C18">
        <f t="shared" si="0"/>
        <v>0.47181657999999999</v>
      </c>
      <c r="D18">
        <f t="shared" si="1"/>
        <v>8.4065510169153201E-2</v>
      </c>
      <c r="E18">
        <f t="shared" si="2"/>
        <v>0.63658497993154028</v>
      </c>
      <c r="F18">
        <f t="shared" si="3"/>
        <v>0.30704818006845969</v>
      </c>
      <c r="G18">
        <v>64</v>
      </c>
    </row>
    <row r="19" spans="1:7" x14ac:dyDescent="0.35">
      <c r="A19" s="12">
        <f>0.26960947*0.26960947</f>
        <v>7.2689266313680903E-2</v>
      </c>
      <c r="B19" s="12">
        <v>1.211488E-2</v>
      </c>
      <c r="C19">
        <f t="shared" si="0"/>
        <v>0.26960947000000002</v>
      </c>
      <c r="D19">
        <f t="shared" si="1"/>
        <v>0.11006761558242278</v>
      </c>
      <c r="E19">
        <f t="shared" si="2"/>
        <v>0.48534199654154864</v>
      </c>
      <c r="F19">
        <f t="shared" si="3"/>
        <v>5.3876943458451371E-2</v>
      </c>
      <c r="G19">
        <v>68</v>
      </c>
    </row>
    <row r="20" spans="1:7" x14ac:dyDescent="0.35">
      <c r="A20" s="12">
        <f>0.26960947*0.26960947</f>
        <v>7.2689266313680903E-2</v>
      </c>
      <c r="B20" s="14" t="e">
        <v>#DIV/0!</v>
      </c>
      <c r="C20">
        <f>SQRT(A20)</f>
        <v>0.26960947000000002</v>
      </c>
      <c r="D20" t="e">
        <f t="shared" si="1"/>
        <v>#DIV/0!</v>
      </c>
      <c r="E20">
        <v>0.26960947000000002</v>
      </c>
      <c r="F20">
        <v>0.26960947000000002</v>
      </c>
      <c r="G20">
        <v>72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6FE9-22D6-42C8-8D88-E0F77146E2EF}">
  <dimension ref="A1:G20"/>
  <sheetViews>
    <sheetView workbookViewId="0">
      <selection activeCell="E1" sqref="E1:F1"/>
    </sheetView>
  </sheetViews>
  <sheetFormatPr baseColWidth="10" defaultRowHeight="14.5" x14ac:dyDescent="0.35"/>
  <cols>
    <col min="4" max="4" width="16.81640625" customWidth="1"/>
    <col min="5" max="5" width="22.54296875" customWidth="1"/>
    <col min="6" max="6" width="19.1796875" customWidth="1"/>
  </cols>
  <sheetData>
    <row r="1" spans="1:7" x14ac:dyDescent="0.35">
      <c r="A1" t="s">
        <v>98</v>
      </c>
      <c r="B1">
        <v>1.96</v>
      </c>
      <c r="E1" t="s">
        <v>103</v>
      </c>
      <c r="F1" t="s">
        <v>104</v>
      </c>
    </row>
    <row r="2" spans="1:7" x14ac:dyDescent="0.35">
      <c r="A2" s="13" t="s">
        <v>97</v>
      </c>
      <c r="B2" s="13" t="s">
        <v>86</v>
      </c>
      <c r="C2" t="s">
        <v>36</v>
      </c>
      <c r="D2" t="s">
        <v>99</v>
      </c>
      <c r="E2" t="s">
        <v>100</v>
      </c>
      <c r="F2" t="s">
        <v>102</v>
      </c>
      <c r="G2" t="s">
        <v>82</v>
      </c>
    </row>
    <row r="3" spans="1:7" x14ac:dyDescent="0.35">
      <c r="A3" s="12">
        <v>1</v>
      </c>
      <c r="B3" s="12">
        <v>0</v>
      </c>
      <c r="C3">
        <f>SQRT(A3)</f>
        <v>1</v>
      </c>
      <c r="D3">
        <f>SQRT(B3)</f>
        <v>0</v>
      </c>
      <c r="E3">
        <f>C3+(D3*B$1)</f>
        <v>1</v>
      </c>
      <c r="F3">
        <f>C3-(D3*B$1)</f>
        <v>1</v>
      </c>
      <c r="G3">
        <v>0</v>
      </c>
    </row>
    <row r="4" spans="1:7" x14ac:dyDescent="0.35">
      <c r="A4" s="12">
        <v>1</v>
      </c>
      <c r="B4" s="12">
        <v>0</v>
      </c>
      <c r="C4">
        <f t="shared" ref="C4:C20" si="0">SQRT(A4)</f>
        <v>1</v>
      </c>
      <c r="D4">
        <f t="shared" ref="D4:D20" si="1">SQRT(B4)</f>
        <v>0</v>
      </c>
      <c r="E4">
        <f t="shared" ref="E4:E20" si="2">C4+(D4*B$1)</f>
        <v>1</v>
      </c>
      <c r="F4">
        <f t="shared" ref="F4:F20" si="3">C4-(D4*B$1)</f>
        <v>1</v>
      </c>
      <c r="G4">
        <v>8</v>
      </c>
    </row>
    <row r="5" spans="1:7" x14ac:dyDescent="0.35">
      <c r="A5" s="12">
        <v>1</v>
      </c>
      <c r="B5" s="12">
        <v>0</v>
      </c>
      <c r="C5">
        <f t="shared" si="0"/>
        <v>1</v>
      </c>
      <c r="D5">
        <f t="shared" si="1"/>
        <v>0</v>
      </c>
      <c r="E5">
        <f t="shared" si="2"/>
        <v>1</v>
      </c>
      <c r="F5">
        <f t="shared" si="3"/>
        <v>1</v>
      </c>
      <c r="G5">
        <v>12</v>
      </c>
    </row>
    <row r="6" spans="1:7" x14ac:dyDescent="0.35">
      <c r="A6" s="12">
        <v>1</v>
      </c>
      <c r="B6" s="12">
        <v>0</v>
      </c>
      <c r="C6">
        <f t="shared" si="0"/>
        <v>1</v>
      </c>
      <c r="D6">
        <f t="shared" si="1"/>
        <v>0</v>
      </c>
      <c r="E6">
        <f t="shared" si="2"/>
        <v>1</v>
      </c>
      <c r="F6">
        <f t="shared" si="3"/>
        <v>1</v>
      </c>
      <c r="G6">
        <v>16</v>
      </c>
    </row>
    <row r="7" spans="1:7" x14ac:dyDescent="0.35">
      <c r="A7" s="12">
        <v>1</v>
      </c>
      <c r="B7" s="12">
        <v>0</v>
      </c>
      <c r="C7">
        <f t="shared" si="0"/>
        <v>1</v>
      </c>
      <c r="D7">
        <f t="shared" si="1"/>
        <v>0</v>
      </c>
      <c r="E7">
        <f t="shared" si="2"/>
        <v>1</v>
      </c>
      <c r="F7">
        <f t="shared" si="3"/>
        <v>1</v>
      </c>
      <c r="G7">
        <v>20</v>
      </c>
    </row>
    <row r="8" spans="1:7" x14ac:dyDescent="0.35">
      <c r="A8" s="12">
        <v>1</v>
      </c>
      <c r="B8" s="12">
        <v>0</v>
      </c>
      <c r="C8">
        <f t="shared" si="0"/>
        <v>1</v>
      </c>
      <c r="D8">
        <f t="shared" si="1"/>
        <v>0</v>
      </c>
      <c r="E8">
        <f t="shared" si="2"/>
        <v>1</v>
      </c>
      <c r="F8">
        <f t="shared" si="3"/>
        <v>1</v>
      </c>
      <c r="G8">
        <v>24</v>
      </c>
    </row>
    <row r="9" spans="1:7" x14ac:dyDescent="0.35">
      <c r="A9" s="12">
        <f>0.96296296*0.96296296</f>
        <v>0.92729766233196165</v>
      </c>
      <c r="B9" s="12">
        <v>1.32094E-3</v>
      </c>
      <c r="C9">
        <f t="shared" si="0"/>
        <v>0.96296296000000003</v>
      </c>
      <c r="D9">
        <f t="shared" si="1"/>
        <v>3.6344738271172072E-2</v>
      </c>
      <c r="E9">
        <f t="shared" si="2"/>
        <v>1.0341986470114972</v>
      </c>
      <c r="F9">
        <f t="shared" si="3"/>
        <v>0.89172727298850274</v>
      </c>
      <c r="G9">
        <v>28</v>
      </c>
    </row>
    <row r="10" spans="1:7" x14ac:dyDescent="0.35">
      <c r="A10" s="12">
        <f>0.96296296*0.96296296</f>
        <v>0.92729766233196165</v>
      </c>
      <c r="B10" s="12">
        <v>0</v>
      </c>
      <c r="C10">
        <f t="shared" si="0"/>
        <v>0.96296296000000003</v>
      </c>
      <c r="D10">
        <f t="shared" si="1"/>
        <v>0</v>
      </c>
      <c r="E10">
        <f t="shared" si="2"/>
        <v>0.96296296000000003</v>
      </c>
      <c r="F10">
        <f t="shared" si="3"/>
        <v>0.96296296000000003</v>
      </c>
      <c r="G10">
        <v>32</v>
      </c>
    </row>
    <row r="11" spans="1:7" x14ac:dyDescent="0.35">
      <c r="A11" s="12">
        <f>0.81481481*0.81481481</f>
        <v>0.66392317459533612</v>
      </c>
      <c r="B11" s="12">
        <v>4.6428199999999998E-3</v>
      </c>
      <c r="C11">
        <f t="shared" si="0"/>
        <v>0.81481481</v>
      </c>
      <c r="D11">
        <f t="shared" si="1"/>
        <v>6.8138241832322033E-2</v>
      </c>
      <c r="E11">
        <f t="shared" si="2"/>
        <v>0.9483657639913512</v>
      </c>
      <c r="F11">
        <f t="shared" si="3"/>
        <v>0.6812638560086488</v>
      </c>
      <c r="G11">
        <v>36</v>
      </c>
    </row>
    <row r="12" spans="1:7" x14ac:dyDescent="0.35">
      <c r="A12" s="12">
        <f>0.81481481*0.81481481</f>
        <v>0.66392317459533612</v>
      </c>
      <c r="B12" s="12">
        <v>0</v>
      </c>
      <c r="C12">
        <f t="shared" si="0"/>
        <v>0.81481481</v>
      </c>
      <c r="D12">
        <f t="shared" si="1"/>
        <v>0</v>
      </c>
      <c r="E12">
        <f t="shared" si="2"/>
        <v>0.81481481</v>
      </c>
      <c r="F12">
        <f t="shared" si="3"/>
        <v>0.81481481</v>
      </c>
      <c r="G12">
        <v>40</v>
      </c>
    </row>
    <row r="13" spans="1:7" x14ac:dyDescent="0.35">
      <c r="A13" s="12">
        <f>0.77407407*0.77407407</f>
        <v>0.59919066584636482</v>
      </c>
      <c r="B13" s="12">
        <v>1.66096E-3</v>
      </c>
      <c r="C13">
        <f t="shared" si="0"/>
        <v>0.77407406999999995</v>
      </c>
      <c r="D13">
        <f t="shared" si="1"/>
        <v>4.0754877008770375E-2</v>
      </c>
      <c r="E13">
        <f t="shared" si="2"/>
        <v>0.85395362893718985</v>
      </c>
      <c r="F13">
        <f t="shared" si="3"/>
        <v>0.69419451106281005</v>
      </c>
      <c r="G13">
        <v>44</v>
      </c>
    </row>
    <row r="14" spans="1:7" x14ac:dyDescent="0.35">
      <c r="A14" s="12">
        <f>0.68806584*0.68806584</f>
        <v>0.47343460017490563</v>
      </c>
      <c r="B14" s="12">
        <v>3.7132100000000002E-3</v>
      </c>
      <c r="C14">
        <f t="shared" si="0"/>
        <v>0.68806584000000004</v>
      </c>
      <c r="D14">
        <f t="shared" si="1"/>
        <v>6.0936114086804063E-2</v>
      </c>
      <c r="E14">
        <f t="shared" si="2"/>
        <v>0.80750062361013597</v>
      </c>
      <c r="F14">
        <f t="shared" si="3"/>
        <v>0.56863105638986411</v>
      </c>
      <c r="G14">
        <v>48</v>
      </c>
    </row>
    <row r="15" spans="1:7" x14ac:dyDescent="0.35">
      <c r="A15" s="12">
        <f>0.63891828*0.63891828</f>
        <v>0.40821656851815835</v>
      </c>
      <c r="B15" s="12">
        <v>2.2429500000000001E-3</v>
      </c>
      <c r="C15">
        <f t="shared" si="0"/>
        <v>0.63891827999999995</v>
      </c>
      <c r="D15">
        <f t="shared" si="1"/>
        <v>4.7359793073872274E-2</v>
      </c>
      <c r="E15">
        <f t="shared" si="2"/>
        <v>0.7317434744247896</v>
      </c>
      <c r="F15">
        <f t="shared" si="3"/>
        <v>0.5460930855752103</v>
      </c>
      <c r="G15">
        <v>52</v>
      </c>
    </row>
    <row r="16" spans="1:7" x14ac:dyDescent="0.35">
      <c r="A16" s="12">
        <f>0.63891828*0.63891828</f>
        <v>0.40821656851815835</v>
      </c>
      <c r="B16" s="12">
        <v>0</v>
      </c>
      <c r="C16">
        <f t="shared" si="0"/>
        <v>0.63891827999999995</v>
      </c>
      <c r="D16">
        <f t="shared" si="1"/>
        <v>0</v>
      </c>
      <c r="E16">
        <f t="shared" si="2"/>
        <v>0.63891827999999995</v>
      </c>
      <c r="F16">
        <f t="shared" si="3"/>
        <v>0.63891827999999995</v>
      </c>
      <c r="G16">
        <v>56</v>
      </c>
    </row>
    <row r="17" spans="1:7" x14ac:dyDescent="0.35">
      <c r="A17" s="12">
        <f>0.58977072*0.58977072</f>
        <v>0.34782950216931835</v>
      </c>
      <c r="B17" s="12">
        <v>2.6350700000000002E-3</v>
      </c>
      <c r="C17">
        <f t="shared" si="0"/>
        <v>0.58977071999999997</v>
      </c>
      <c r="D17">
        <f t="shared" si="1"/>
        <v>5.1332932898871073E-2</v>
      </c>
      <c r="E17">
        <f t="shared" si="2"/>
        <v>0.69038326848178722</v>
      </c>
      <c r="F17">
        <f t="shared" si="3"/>
        <v>0.48915817151821267</v>
      </c>
      <c r="G17">
        <v>60</v>
      </c>
    </row>
    <row r="18" spans="1:7" x14ac:dyDescent="0.35">
      <c r="A18" s="12">
        <f>0.47181658*0.47181658</f>
        <v>0.2226108851628964</v>
      </c>
      <c r="B18" s="12">
        <v>6.2487300000000001E-3</v>
      </c>
      <c r="C18">
        <f t="shared" si="0"/>
        <v>0.47181657999999999</v>
      </c>
      <c r="D18">
        <f t="shared" si="1"/>
        <v>7.9048908910876181E-2</v>
      </c>
      <c r="E18">
        <f t="shared" si="2"/>
        <v>0.62675244146531728</v>
      </c>
      <c r="F18">
        <f t="shared" si="3"/>
        <v>0.31688071853468269</v>
      </c>
      <c r="G18">
        <v>64</v>
      </c>
    </row>
    <row r="19" spans="1:7" x14ac:dyDescent="0.35">
      <c r="A19" s="12">
        <f>0.26960947*0.26960947</f>
        <v>7.2689266313680903E-2</v>
      </c>
      <c r="B19" s="12">
        <v>9.5854000000000009E-3</v>
      </c>
      <c r="C19">
        <f t="shared" si="0"/>
        <v>0.26960947000000002</v>
      </c>
      <c r="D19">
        <f t="shared" si="1"/>
        <v>9.7905056049215358E-2</v>
      </c>
      <c r="E19">
        <f t="shared" si="2"/>
        <v>0.46150337985646211</v>
      </c>
      <c r="F19">
        <f t="shared" si="3"/>
        <v>7.7715560143537921E-2</v>
      </c>
      <c r="G19">
        <v>68</v>
      </c>
    </row>
    <row r="20" spans="1:7" x14ac:dyDescent="0.35">
      <c r="A20" s="12">
        <f>0.26960947*0.26960947</f>
        <v>7.2689266313680903E-2</v>
      </c>
      <c r="B20" s="12">
        <v>0</v>
      </c>
      <c r="C20">
        <f t="shared" si="0"/>
        <v>0.26960947000000002</v>
      </c>
      <c r="D20">
        <f t="shared" si="1"/>
        <v>0</v>
      </c>
      <c r="E20">
        <f t="shared" si="2"/>
        <v>0.26960947000000002</v>
      </c>
      <c r="F20">
        <f t="shared" si="3"/>
        <v>0.26960947000000002</v>
      </c>
      <c r="G20">
        <v>72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92BA-9D7B-433A-B670-C4A639A2B39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Tabla CP</vt:lpstr>
      <vt:lpstr>Hoja4</vt:lpstr>
      <vt:lpstr>Hoja3</vt:lpstr>
      <vt:lpstr>Hoja2</vt:lpstr>
      <vt:lpstr> survival end of interval</vt:lpstr>
      <vt:lpstr>survival Beiginning of interval</vt:lpstr>
      <vt:lpstr>survival during the interval</vt:lpstr>
      <vt:lpstr>Curvas </vt:lpstr>
      <vt:lpstr>envejecimientoFov20</vt:lpstr>
      <vt:lpstr>Var end interval</vt:lpstr>
      <vt:lpstr>Var Beigenning</vt:lpstr>
      <vt:lpstr>Var During Interval</vt:lpstr>
      <vt:lpstr>confianza end interval</vt:lpstr>
      <vt:lpstr>confianza Beigenning</vt:lpstr>
      <vt:lpstr>confianza during interval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2023-07-09T23:08:17Z</dcterms:created>
  <dcterms:modified xsi:type="dcterms:W3CDTF">2023-09-17T16:59:28Z</dcterms:modified>
</cp:coreProperties>
</file>