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jua\Downloads\procesos unitarios pato\tema7\Tema 7 - Catálisis y reactores catalíticos\"/>
    </mc:Choice>
  </mc:AlternateContent>
  <xr:revisionPtr revIDLastSave="0" documentId="13_ncr:1_{D0FA75F7-B04A-415E-9B0B-54E93E8493AE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ejercicio 1" sheetId="1" r:id="rId1"/>
    <sheet name="2 " sheetId="5" r:id="rId2"/>
    <sheet name="3" sheetId="6" r:id="rId3"/>
    <sheet name="4" sheetId="7" r:id="rId4"/>
    <sheet name="Ej. 5" sheetId="3" r:id="rId5"/>
    <sheet name="Ej. 6" sheetId="2" r:id="rId6"/>
    <sheet name="ejercicio 7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F5" i="4"/>
  <c r="B7" i="4"/>
  <c r="F7" i="4" s="1"/>
  <c r="G7" i="4" s="1"/>
  <c r="B6" i="4"/>
  <c r="F6" i="4" s="1"/>
  <c r="G6" i="4" s="1"/>
  <c r="B5" i="4"/>
  <c r="B9" i="4"/>
  <c r="F9" i="4"/>
  <c r="B40" i="4"/>
  <c r="C44" i="4" s="1"/>
  <c r="D48" i="4"/>
  <c r="C49" i="4"/>
  <c r="K38" i="4"/>
  <c r="B36" i="4"/>
  <c r="B37" i="4"/>
  <c r="B28" i="4"/>
  <c r="B27" i="4" s="1"/>
  <c r="C21" i="4"/>
  <c r="C19" i="4" s="1"/>
  <c r="D31" i="4"/>
  <c r="D30" i="4"/>
  <c r="B52" i="4" l="1"/>
  <c r="B54" i="4" s="1"/>
  <c r="B34" i="4"/>
  <c r="B33" i="4"/>
  <c r="C17" i="4"/>
  <c r="G14" i="7"/>
  <c r="G16" i="7"/>
  <c r="G12" i="7"/>
  <c r="G10" i="7"/>
  <c r="H10" i="7"/>
  <c r="I3" i="7"/>
  <c r="G5" i="7"/>
  <c r="G3" i="7"/>
  <c r="B11" i="4"/>
  <c r="C7" i="4"/>
  <c r="C6" i="4"/>
  <c r="E6" i="4" s="1"/>
  <c r="C5" i="4"/>
  <c r="E5" i="4" s="1"/>
  <c r="D5" i="4"/>
  <c r="C11" i="4"/>
  <c r="C10" i="4"/>
  <c r="E10" i="4" s="1"/>
  <c r="C9" i="4"/>
  <c r="B10" i="4"/>
  <c r="C20" i="4"/>
  <c r="E7" i="4"/>
  <c r="E11" i="4"/>
  <c r="E9" i="4"/>
  <c r="D6" i="4"/>
  <c r="D7" i="4"/>
  <c r="D10" i="4" l="1"/>
  <c r="F10" i="4"/>
  <c r="G10" i="4" s="1"/>
  <c r="D11" i="4"/>
  <c r="F11" i="4"/>
  <c r="G11" i="4" s="1"/>
  <c r="D9" i="4"/>
  <c r="G9" i="4"/>
  <c r="A6" i="2"/>
  <c r="A5" i="2"/>
  <c r="A4" i="2"/>
  <c r="C4" i="2"/>
  <c r="D4" i="2"/>
  <c r="D4" i="3"/>
  <c r="E4" i="3"/>
  <c r="D5" i="3"/>
  <c r="E5" i="3"/>
  <c r="D6" i="3"/>
  <c r="E6" i="3"/>
  <c r="C5" i="2"/>
  <c r="D5" i="2"/>
  <c r="C6" i="2"/>
  <c r="D6" i="2"/>
  <c r="C6" i="1" l="1"/>
  <c r="C7" i="1"/>
  <c r="C8" i="1"/>
  <c r="C9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estergaard</author>
  </authors>
  <commentList>
    <comment ref="F5" authorId="0" shapeId="0" xr:uid="{3B338BDF-72A8-45D0-BEE3-F387617D2089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pag48
</t>
        </r>
      </text>
    </comment>
    <comment ref="F10" authorId="0" shapeId="0" xr:uid="{D385C2C9-B9E6-4AE5-8BBD-87435BBD7825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pag43</t>
        </r>
      </text>
    </comment>
    <comment ref="F16" authorId="0" shapeId="0" xr:uid="{2AEFB9C4-0F7D-47BF-B67F-5521D64CD0CD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pag38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estergaard</author>
  </authors>
  <commentList>
    <comment ref="B21" authorId="0" shapeId="0" xr:uid="{164FD1F0-B5E5-4E32-8901-E5C6B46C12EE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del grafico</t>
        </r>
      </text>
    </comment>
  </commentList>
</comments>
</file>

<file path=xl/sharedStrings.xml><?xml version="1.0" encoding="utf-8"?>
<sst xmlns="http://schemas.openxmlformats.org/spreadsheetml/2006/main" count="110" uniqueCount="89">
  <si>
    <t>P/r0</t>
  </si>
  <si>
    <t>P (atm)</t>
  </si>
  <si>
    <t>r0</t>
  </si>
  <si>
    <t>ln (k)</t>
  </si>
  <si>
    <t>1/T</t>
  </si>
  <si>
    <t>k</t>
  </si>
  <si>
    <t>Xa</t>
  </si>
  <si>
    <t>T (°K)</t>
  </si>
  <si>
    <t>Experiencia I</t>
  </si>
  <si>
    <t>kaparente (mm/s)</t>
  </si>
  <si>
    <t>T (°C)</t>
  </si>
  <si>
    <t>Experiencia II</t>
  </si>
  <si>
    <t>ln(k)</t>
  </si>
  <si>
    <t>controla la reaccion superficial</t>
  </si>
  <si>
    <t>T</t>
  </si>
  <si>
    <t>C</t>
  </si>
  <si>
    <t>teorico</t>
  </si>
  <si>
    <t>despeje de formulas</t>
  </si>
  <si>
    <t>esta en los resuletos</t>
  </si>
  <si>
    <t>m2/gr</t>
  </si>
  <si>
    <t>cm3/gr</t>
  </si>
  <si>
    <t>gr/cm3</t>
  </si>
  <si>
    <t xml:space="preserve">cm </t>
  </si>
  <si>
    <t>atm</t>
  </si>
  <si>
    <t>cm3/(seg.gr cat).</t>
  </si>
  <si>
    <t>Area específica = Sg=</t>
  </si>
  <si>
    <t>Pastilla esférica densidad aparente</t>
  </si>
  <si>
    <t>D part=</t>
  </si>
  <si>
    <t>Volumen de poros  Vg=</t>
  </si>
  <si>
    <t xml:space="preserve">P </t>
  </si>
  <si>
    <t>Temp</t>
  </si>
  <si>
    <t>K exp= k ap=</t>
  </si>
  <si>
    <t>pag 49</t>
  </si>
  <si>
    <t>rp</t>
  </si>
  <si>
    <t>t</t>
  </si>
  <si>
    <t>Ep</t>
  </si>
  <si>
    <t>a difusividad de Knudsen predomina para tamaños de poro menores a 1000 Å</t>
  </si>
  <si>
    <t>cm</t>
  </si>
  <si>
    <t>A</t>
  </si>
  <si>
    <t>DC=Dk</t>
  </si>
  <si>
    <t>Dk</t>
  </si>
  <si>
    <t>PM</t>
  </si>
  <si>
    <t>mol/gr</t>
  </si>
  <si>
    <t>g/mol</t>
  </si>
  <si>
    <t>cm3 g/ cmp s</t>
  </si>
  <si>
    <t>De</t>
  </si>
  <si>
    <t>thile</t>
  </si>
  <si>
    <t>n</t>
  </si>
  <si>
    <t>nose como arreglarlo</t>
  </si>
  <si>
    <t>exp2</t>
  </si>
  <si>
    <t>Ea/R</t>
  </si>
  <si>
    <t>R</t>
  </si>
  <si>
    <t xml:space="preserve">Ea </t>
  </si>
  <si>
    <t>k inf</t>
  </si>
  <si>
    <t>m3/kgcats</t>
  </si>
  <si>
    <t>jmol/k</t>
  </si>
  <si>
    <t>kap</t>
  </si>
  <si>
    <t>kinf</t>
  </si>
  <si>
    <t>nose como se obtiene</t>
  </si>
  <si>
    <t>am</t>
  </si>
  <si>
    <t>km</t>
  </si>
  <si>
    <t>mm/s</t>
  </si>
  <si>
    <t>m/s</t>
  </si>
  <si>
    <t>ln(kap)</t>
  </si>
  <si>
    <t>Q</t>
  </si>
  <si>
    <t>m3/h</t>
  </si>
  <si>
    <t>AH</t>
  </si>
  <si>
    <t>CA0</t>
  </si>
  <si>
    <t>dp</t>
  </si>
  <si>
    <t>e</t>
  </si>
  <si>
    <t>pp</t>
  </si>
  <si>
    <t>dtubo</t>
  </si>
  <si>
    <t>Keff</t>
  </si>
  <si>
    <t>primer termino</t>
  </si>
  <si>
    <t>segundo termino</t>
  </si>
  <si>
    <t>xd</t>
  </si>
  <si>
    <t>W</t>
  </si>
  <si>
    <t>pb</t>
  </si>
  <si>
    <t>pf</t>
  </si>
  <si>
    <t>V</t>
  </si>
  <si>
    <t>volumen</t>
  </si>
  <si>
    <t>m3</t>
  </si>
  <si>
    <t>DE donde</t>
  </si>
  <si>
    <t>k ap</t>
  </si>
  <si>
    <t>gr/m3</t>
  </si>
  <si>
    <t>L</t>
  </si>
  <si>
    <t>m</t>
  </si>
  <si>
    <t>cal/mol</t>
  </si>
  <si>
    <t>molgr/lt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</si>
</sst>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1'!$C$3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'ejercicio 1'!$B$4:$B$9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4.3</c:v>
                </c:pt>
                <c:pt idx="4">
                  <c:v>7.5</c:v>
                </c:pt>
                <c:pt idx="5">
                  <c:v>14.3</c:v>
                </c:pt>
              </c:numCache>
            </c:numRef>
          </c:xVal>
          <c:yVal>
            <c:numRef>
              <c:f>'ejercicio 1'!$C$4:$C$9</c:f>
              <c:numCache>
                <c:formatCode>0.0000</c:formatCode>
                <c:ptCount val="6"/>
                <c:pt idx="0">
                  <c:v>0</c:v>
                </c:pt>
                <c:pt idx="1">
                  <c:v>4.5454545454545456E-2</c:v>
                </c:pt>
                <c:pt idx="2">
                  <c:v>6.25E-2</c:v>
                </c:pt>
                <c:pt idx="3">
                  <c:v>7.166666666666667E-2</c:v>
                </c:pt>
                <c:pt idx="4">
                  <c:v>8.3333333333333329E-2</c:v>
                </c:pt>
                <c:pt idx="5">
                  <c:v>8.666666666666667E-2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0-4E50-9845-D2EB2D062DFF}"/>
            </c:ext>
          </c:extLst>
        </c:ser>
        <c:ser>
          <c:idx val="1"/>
          <c:order val="1"/>
          <c:tx>
            <c:strRef>
              <c:f>'ejercicio 1'!$D$3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1'!$B$4:$B$9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4.3</c:v>
                </c:pt>
                <c:pt idx="4">
                  <c:v>7.5</c:v>
                </c:pt>
                <c:pt idx="5">
                  <c:v>14.3</c:v>
                </c:pt>
              </c:numCache>
            </c:numRef>
          </c:xVal>
          <c:yVal>
            <c:numRef>
              <c:f>'ejercicio 1'!$D$4:$D$9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20-4E50-9845-D2EB2D06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5776"/>
        <c:axId val="56077696"/>
      </c:scatterChart>
      <c:valAx>
        <c:axId val="560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P</a:t>
                </a:r>
                <a:r>
                  <a:rPr lang="es-AR" baseline="0"/>
                  <a:t> ,atm</a:t>
                </a: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77696"/>
        <c:crosses val="autoZero"/>
        <c:crossBetween val="midCat"/>
      </c:valAx>
      <c:valAx>
        <c:axId val="560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r0</a:t>
                </a:r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'Ej. 5'!$E$3</c:f>
              <c:strCache>
                <c:ptCount val="1"/>
                <c:pt idx="0">
                  <c:v>ln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931977252843393E-2"/>
                  <c:y val="-0.35860527850685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'Ej. 5'!$D$4:$D$6</c:f>
              <c:numCache>
                <c:formatCode>General</c:formatCode>
                <c:ptCount val="3"/>
                <c:pt idx="0">
                  <c:v>3.3557046979865771E-3</c:v>
                </c:pt>
                <c:pt idx="1">
                  <c:v>3.0303030303030303E-3</c:v>
                </c:pt>
                <c:pt idx="2">
                  <c:v>2.8571428571428571E-3</c:v>
                </c:pt>
              </c:numCache>
            </c:numRef>
          </c:xVal>
          <c:yVal>
            <c:numRef>
              <c:f>'Ej. 5'!$E$4:$E$6</c:f>
              <c:numCache>
                <c:formatCode>General</c:formatCode>
                <c:ptCount val="3"/>
                <c:pt idx="0">
                  <c:v>-3.5065578973199818</c:v>
                </c:pt>
                <c:pt idx="1">
                  <c:v>-1.2053070273390727</c:v>
                </c:pt>
                <c:pt idx="2">
                  <c:v>1.3902905168991434E-2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C-411A-BA6C-7EAC6418F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6016"/>
        <c:axId val="68167552"/>
      </c:scatterChart>
      <c:valAx>
        <c:axId val="681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1/T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67552"/>
        <c:crosses val="autoZero"/>
        <c:crossBetween val="midCat"/>
      </c:valAx>
      <c:valAx>
        <c:axId val="681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ln(k)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'Ej. 6'!$D$3</c:f>
              <c:strCache>
                <c:ptCount val="1"/>
                <c:pt idx="0">
                  <c:v>ln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931977252843393E-2"/>
                  <c:y val="-0.35860527850685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'Ej. 6'!$C$4:$C$6</c:f>
              <c:numCache>
                <c:formatCode>General</c:formatCode>
                <c:ptCount val="3"/>
                <c:pt idx="0">
                  <c:v>2.6809651474530832E-3</c:v>
                </c:pt>
                <c:pt idx="1">
                  <c:v>2.1141649048625794E-3</c:v>
                </c:pt>
                <c:pt idx="2">
                  <c:v>1.7452006980802793E-3</c:v>
                </c:pt>
              </c:numCache>
            </c:numRef>
          </c:xVal>
          <c:yVal>
            <c:numRef>
              <c:f>'Ej. 6'!$D$4:$D$6</c:f>
              <c:numCache>
                <c:formatCode>General</c:formatCode>
                <c:ptCount val="3"/>
                <c:pt idx="0">
                  <c:v>1.572773928062509</c:v>
                </c:pt>
                <c:pt idx="1">
                  <c:v>2.1400661634962708</c:v>
                </c:pt>
                <c:pt idx="2">
                  <c:v>2.5095992623783721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E-4339-A1D3-5F8C26FF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5088"/>
        <c:axId val="68219648"/>
      </c:scatterChart>
      <c:valAx>
        <c:axId val="681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1/T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219648"/>
        <c:crosses val="autoZero"/>
        <c:crossBetween val="midCat"/>
      </c:valAx>
      <c:valAx>
        <c:axId val="682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ln(k)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Ejercicio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00597394650822"/>
          <c:y val="0.14638757171568537"/>
          <c:w val="0.85851907315266573"/>
          <c:h val="0.62997242276616294"/>
        </c:manualLayout>
      </c:layout>
      <c:scatterChart>
        <c:scatterStyle val="smoothMarker"/>
        <c:varyColors val="0"/>
        <c:ser>
          <c:idx val="0"/>
          <c:order val="0"/>
          <c:tx>
            <c:v>EXP1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515562855256589E-2"/>
                  <c:y val="0.10977132129979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7'!$E$5:$E$7</c:f>
              <c:numCache>
                <c:formatCode>General</c:formatCode>
                <c:ptCount val="3"/>
                <c:pt idx="0">
                  <c:v>2.6809651474530832E-3</c:v>
                </c:pt>
                <c:pt idx="1">
                  <c:v>2.1141649048625794E-3</c:v>
                </c:pt>
                <c:pt idx="2">
                  <c:v>1.7452006980802793E-3</c:v>
                </c:pt>
              </c:numCache>
            </c:numRef>
          </c:xVal>
          <c:yVal>
            <c:numRef>
              <c:f>'ejercicio 7'!$D$5:$D$7</c:f>
              <c:numCache>
                <c:formatCode>General</c:formatCode>
                <c:ptCount val="3"/>
                <c:pt idx="0">
                  <c:v>-16.11809565095832</c:v>
                </c:pt>
                <c:pt idx="1">
                  <c:v>-16.11809565095832</c:v>
                </c:pt>
                <c:pt idx="2">
                  <c:v>-13.815510557964274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E-4AF6-8100-FADA346BBA19}"/>
            </c:ext>
          </c:extLst>
        </c:ser>
        <c:ser>
          <c:idx val="1"/>
          <c:order val="1"/>
          <c:tx>
            <c:v>EXP2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376455243708034E-2"/>
                  <c:y val="8.1255798793039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7'!$E$9:$E$11</c:f>
              <c:numCache>
                <c:formatCode>General</c:formatCode>
                <c:ptCount val="3"/>
                <c:pt idx="0">
                  <c:v>2.6809651474530832E-3</c:v>
                </c:pt>
                <c:pt idx="1">
                  <c:v>2.1141649048625794E-3</c:v>
                </c:pt>
                <c:pt idx="2">
                  <c:v>1.7452006980802793E-3</c:v>
                </c:pt>
              </c:numCache>
            </c:numRef>
          </c:xVal>
          <c:yVal>
            <c:numRef>
              <c:f>'ejercicio 7'!$D$9:$D$11</c:f>
              <c:numCache>
                <c:formatCode>General</c:formatCode>
                <c:ptCount val="3"/>
                <c:pt idx="0">
                  <c:v>-5.3349813509196284</c:v>
                </c:pt>
                <c:pt idx="1">
                  <c:v>-4.767689115485866</c:v>
                </c:pt>
                <c:pt idx="2">
                  <c:v>-4.3981560166037657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BE-4AF6-8100-FADA346BB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4240"/>
        <c:axId val="87752704"/>
      </c:scatterChart>
      <c:valAx>
        <c:axId val="877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752704"/>
        <c:crosses val="autoZero"/>
        <c:crossBetween val="midCat"/>
      </c:valAx>
      <c:valAx>
        <c:axId val="87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75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88385826771653"/>
                  <c:y val="2.038312919218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7'!$E$9:$E$11</c:f>
              <c:numCache>
                <c:formatCode>General</c:formatCode>
                <c:ptCount val="3"/>
                <c:pt idx="0">
                  <c:v>2.6809651474530832E-3</c:v>
                </c:pt>
                <c:pt idx="1">
                  <c:v>2.1141649048625794E-3</c:v>
                </c:pt>
                <c:pt idx="2">
                  <c:v>1.7452006980802793E-3</c:v>
                </c:pt>
              </c:numCache>
            </c:numRef>
          </c:xVal>
          <c:yVal>
            <c:numRef>
              <c:f>'ejercicio 7'!$G$9:$G$11</c:f>
              <c:numCache>
                <c:formatCode>General</c:formatCode>
                <c:ptCount val="3"/>
                <c:pt idx="0">
                  <c:v>1.572773928062509</c:v>
                </c:pt>
                <c:pt idx="1">
                  <c:v>2.1400661634962708</c:v>
                </c:pt>
                <c:pt idx="2">
                  <c:v>2.5095992623783721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9-4A54-88AD-52FFA51A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93784"/>
        <c:axId val="497094864"/>
      </c:scatterChart>
      <c:valAx>
        <c:axId val="49709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094864"/>
        <c:crosses val="autoZero"/>
        <c:crossBetween val="midCat"/>
      </c:valAx>
      <c:valAx>
        <c:axId val="497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09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88385826771653"/>
                  <c:y val="2.038312919218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7'!$E$5:$E$7</c:f>
              <c:numCache>
                <c:formatCode>General</c:formatCode>
                <c:ptCount val="3"/>
                <c:pt idx="0">
                  <c:v>2.6809651474530832E-3</c:v>
                </c:pt>
                <c:pt idx="1">
                  <c:v>2.1141649048625794E-3</c:v>
                </c:pt>
                <c:pt idx="2">
                  <c:v>1.7452006980802793E-3</c:v>
                </c:pt>
              </c:numCache>
            </c:numRef>
          </c:xVal>
          <c:yVal>
            <c:numRef>
              <c:f>'ejercicio 7'!$G$5:$G$7</c:f>
              <c:numCache>
                <c:formatCode>General</c:formatCode>
                <c:ptCount val="3"/>
                <c:pt idx="0">
                  <c:v>-9.2103403719761818</c:v>
                </c:pt>
                <c:pt idx="1">
                  <c:v>-9.2103403719761818</c:v>
                </c:pt>
                <c:pt idx="2">
                  <c:v>-6.9077552789821368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1-40DA-B240-A6EE860A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93784"/>
        <c:axId val="497094864"/>
      </c:scatterChart>
      <c:valAx>
        <c:axId val="49709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094864"/>
        <c:crosses val="autoZero"/>
        <c:crossBetween val="midCat"/>
      </c:valAx>
      <c:valAx>
        <c:axId val="497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709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147637</xdr:rowOff>
    </xdr:from>
    <xdr:to>
      <xdr:col>10</xdr:col>
      <xdr:colOff>533400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E47AC9-1389-4E17-9377-F7F093348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676275</xdr:colOff>
      <xdr:row>0</xdr:row>
      <xdr:rowOff>0</xdr:rowOff>
    </xdr:from>
    <xdr:to>
      <xdr:col>17</xdr:col>
      <xdr:colOff>266701</xdr:colOff>
      <xdr:row>15</xdr:row>
      <xdr:rowOff>161926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B2138F-4BC1-8BB8-2F1F-BA73115EA1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552" t="37114" r="36595" b="21605"/>
        <a:stretch/>
      </xdr:blipFill>
      <xdr:spPr>
        <a:xfrm>
          <a:off x="8296275" y="0"/>
          <a:ext cx="4924426" cy="3019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14287</xdr:rowOff>
    </xdr:from>
    <xdr:to>
      <xdr:col>13</xdr:col>
      <xdr:colOff>9525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422309-F914-4A6C-A63B-5583A60E3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23812</xdr:rowOff>
    </xdr:from>
    <xdr:to>
      <xdr:col>11</xdr:col>
      <xdr:colOff>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D04647-66AC-49EA-8E3E-A3CBFFA16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16</xdr:row>
      <xdr:rowOff>19050</xdr:rowOff>
    </xdr:from>
    <xdr:to>
      <xdr:col>15</xdr:col>
      <xdr:colOff>200025</xdr:colOff>
      <xdr:row>31</xdr:row>
      <xdr:rowOff>119062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0</xdr:row>
      <xdr:rowOff>90487</xdr:rowOff>
    </xdr:from>
    <xdr:to>
      <xdr:col>13</xdr:col>
      <xdr:colOff>428625</xdr:colOff>
      <xdr:row>14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E31410-6799-B305-4DC4-26822048F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0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A6BEB4-D803-4D67-85B4-20341A6E6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9"/>
  <sheetViews>
    <sheetView workbookViewId="0">
      <selection activeCell="Y8" sqref="Y8"/>
    </sheetView>
  </sheetViews>
  <sheetFormatPr baseColWidth="10" defaultRowHeight="15" x14ac:dyDescent="0.25"/>
  <sheetData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B4">
        <v>0</v>
      </c>
      <c r="C4" s="1">
        <v>0</v>
      </c>
    </row>
    <row r="5" spans="1:3" x14ac:dyDescent="0.25">
      <c r="A5">
        <v>22</v>
      </c>
      <c r="B5">
        <v>1</v>
      </c>
      <c r="C5" s="1">
        <f>1/(A5/B5)</f>
        <v>4.5454545454545456E-2</v>
      </c>
    </row>
    <row r="6" spans="1:3" x14ac:dyDescent="0.25">
      <c r="A6">
        <v>40</v>
      </c>
      <c r="B6">
        <v>2.5</v>
      </c>
      <c r="C6" s="1">
        <f t="shared" ref="C6:C9" si="0">1/(A6/B6)</f>
        <v>6.25E-2</v>
      </c>
    </row>
    <row r="7" spans="1:3" x14ac:dyDescent="0.25">
      <c r="A7">
        <v>60</v>
      </c>
      <c r="B7">
        <v>4.3</v>
      </c>
      <c r="C7" s="1">
        <f t="shared" si="0"/>
        <v>7.166666666666667E-2</v>
      </c>
    </row>
    <row r="8" spans="1:3" x14ac:dyDescent="0.25">
      <c r="A8">
        <v>90</v>
      </c>
      <c r="B8">
        <v>7.5</v>
      </c>
      <c r="C8" s="1">
        <f t="shared" si="0"/>
        <v>8.3333333333333329E-2</v>
      </c>
    </row>
    <row r="9" spans="1:3" x14ac:dyDescent="0.25">
      <c r="A9">
        <v>165</v>
      </c>
      <c r="B9">
        <v>14.3</v>
      </c>
      <c r="C9" s="1">
        <f t="shared" si="0"/>
        <v>8.666666666666667E-2</v>
      </c>
    </row>
    <row r="17" spans="1:3" x14ac:dyDescent="0.25">
      <c r="A17" t="s">
        <v>13</v>
      </c>
    </row>
    <row r="19" spans="1:3" x14ac:dyDescent="0.25">
      <c r="A19" t="s">
        <v>14</v>
      </c>
      <c r="B19">
        <v>950</v>
      </c>
      <c r="C19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0712-0303-41E1-BB4F-A6D86E99BE88}">
  <dimension ref="B2:B4"/>
  <sheetViews>
    <sheetView workbookViewId="0">
      <selection activeCell="B2" sqref="B2:B4"/>
    </sheetView>
  </sheetViews>
  <sheetFormatPr baseColWidth="10" defaultRowHeight="15" x14ac:dyDescent="0.25"/>
  <sheetData>
    <row r="2" spans="2:2" x14ac:dyDescent="0.25">
      <c r="B2" t="s">
        <v>16</v>
      </c>
    </row>
    <row r="3" spans="2:2" x14ac:dyDescent="0.25">
      <c r="B3" t="s">
        <v>17</v>
      </c>
    </row>
    <row r="4" spans="2:2" x14ac:dyDescent="0.25">
      <c r="B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3F73-DD99-48A7-AA97-C7ECC267B0AC}">
  <dimension ref="B2:B4"/>
  <sheetViews>
    <sheetView workbookViewId="0">
      <selection activeCell="C9" sqref="C9"/>
    </sheetView>
  </sheetViews>
  <sheetFormatPr baseColWidth="10" defaultRowHeight="15" x14ac:dyDescent="0.25"/>
  <sheetData>
    <row r="2" spans="2:2" x14ac:dyDescent="0.25">
      <c r="B2" t="s">
        <v>16</v>
      </c>
    </row>
    <row r="3" spans="2:2" x14ac:dyDescent="0.25">
      <c r="B3" t="s">
        <v>17</v>
      </c>
    </row>
    <row r="4" spans="2:2" x14ac:dyDescent="0.25">
      <c r="B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B7C4-C537-4819-A8DC-54B66D98AA7D}">
  <dimension ref="A2:J16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</cols>
  <sheetData>
    <row r="2" spans="1:10" x14ac:dyDescent="0.25">
      <c r="F2" t="s">
        <v>32</v>
      </c>
    </row>
    <row r="3" spans="1:10" x14ac:dyDescent="0.25">
      <c r="F3" t="s">
        <v>33</v>
      </c>
      <c r="G3" s="12">
        <f>((2*B5)/B4)*((1/100)^2)</f>
        <v>3.1737704918032785E-7</v>
      </c>
      <c r="H3" t="s">
        <v>37</v>
      </c>
      <c r="I3" s="13">
        <f>G3*(10^7)</f>
        <v>3.1737704918032783</v>
      </c>
      <c r="J3" t="s">
        <v>38</v>
      </c>
    </row>
    <row r="4" spans="1:10" x14ac:dyDescent="0.25">
      <c r="A4" t="s">
        <v>25</v>
      </c>
      <c r="B4">
        <v>305</v>
      </c>
      <c r="C4" t="s">
        <v>19</v>
      </c>
      <c r="F4" t="s">
        <v>34</v>
      </c>
      <c r="G4">
        <v>3</v>
      </c>
    </row>
    <row r="5" spans="1:10" x14ac:dyDescent="0.25">
      <c r="A5" t="s">
        <v>28</v>
      </c>
      <c r="B5">
        <v>0.48399999999999999</v>
      </c>
      <c r="C5" t="s">
        <v>20</v>
      </c>
      <c r="F5" t="s">
        <v>35</v>
      </c>
      <c r="G5">
        <f>B5*B6</f>
        <v>0.64372000000000007</v>
      </c>
    </row>
    <row r="6" spans="1:10" x14ac:dyDescent="0.25">
      <c r="A6" t="s">
        <v>26</v>
      </c>
      <c r="B6">
        <v>1.33</v>
      </c>
      <c r="C6" t="s">
        <v>21</v>
      </c>
    </row>
    <row r="7" spans="1:10" x14ac:dyDescent="0.25">
      <c r="A7" t="s">
        <v>27</v>
      </c>
      <c r="B7">
        <v>0.5</v>
      </c>
      <c r="C7" t="s">
        <v>22</v>
      </c>
      <c r="F7" t="s">
        <v>36</v>
      </c>
    </row>
    <row r="8" spans="1:10" x14ac:dyDescent="0.25">
      <c r="A8" t="s">
        <v>29</v>
      </c>
      <c r="B8">
        <v>1</v>
      </c>
      <c r="C8" t="s">
        <v>23</v>
      </c>
    </row>
    <row r="9" spans="1:10" x14ac:dyDescent="0.25">
      <c r="A9" t="s">
        <v>30</v>
      </c>
      <c r="B9">
        <v>77</v>
      </c>
      <c r="C9" t="s">
        <v>5</v>
      </c>
      <c r="F9" t="s">
        <v>39</v>
      </c>
    </row>
    <row r="10" spans="1:10" x14ac:dyDescent="0.25">
      <c r="A10" t="s">
        <v>31</v>
      </c>
      <c r="B10">
        <v>0.159</v>
      </c>
      <c r="C10" t="s">
        <v>24</v>
      </c>
      <c r="F10" t="s">
        <v>40</v>
      </c>
      <c r="G10">
        <f>9.7*(10^3)*G3*((B9/(B12))^0.5)</f>
        <v>4.9494548081579718E-3</v>
      </c>
      <c r="H10">
        <f>4.95*(10^-3)</f>
        <v>4.9500000000000004E-3</v>
      </c>
      <c r="I10" t="s">
        <v>44</v>
      </c>
    </row>
    <row r="12" spans="1:10" x14ac:dyDescent="0.25">
      <c r="A12" t="s">
        <v>41</v>
      </c>
      <c r="B12">
        <v>29.79</v>
      </c>
      <c r="C12" t="s">
        <v>42</v>
      </c>
      <c r="F12" t="s">
        <v>45</v>
      </c>
      <c r="G12">
        <f>(G10*G5)/G4</f>
        <v>1.06202101636915E-3</v>
      </c>
    </row>
    <row r="13" spans="1:10" x14ac:dyDescent="0.25">
      <c r="B13">
        <v>74.692800000000005</v>
      </c>
      <c r="C13" t="s">
        <v>43</v>
      </c>
    </row>
    <row r="14" spans="1:10" x14ac:dyDescent="0.25">
      <c r="F14" t="s">
        <v>46</v>
      </c>
      <c r="G14">
        <f>(B7/2)*(SQRT((B10)/G12))</f>
        <v>3.0589474431517742</v>
      </c>
      <c r="H14">
        <v>2.02</v>
      </c>
      <c r="J14" t="s">
        <v>48</v>
      </c>
    </row>
    <row r="16" spans="1:10" x14ac:dyDescent="0.25">
      <c r="F16" t="s">
        <v>47</v>
      </c>
      <c r="G16">
        <f>(3/(H14^2))*((H14*(_xlfn.COTH(H14)))-1)</f>
        <v>0.80313248916001889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6"/>
  <sheetViews>
    <sheetView workbookViewId="0">
      <selection activeCell="F13" sqref="F13"/>
    </sheetView>
  </sheetViews>
  <sheetFormatPr baseColWidth="10" defaultRowHeight="15" x14ac:dyDescent="0.25"/>
  <sheetData>
    <row r="3" spans="1:5" x14ac:dyDescent="0.25">
      <c r="A3" t="s">
        <v>7</v>
      </c>
      <c r="B3" t="s">
        <v>6</v>
      </c>
      <c r="C3" t="s">
        <v>5</v>
      </c>
      <c r="D3" t="s">
        <v>4</v>
      </c>
      <c r="E3" t="s">
        <v>3</v>
      </c>
    </row>
    <row r="4" spans="1:5" x14ac:dyDescent="0.25">
      <c r="A4">
        <v>298</v>
      </c>
      <c r="B4">
        <v>0.375</v>
      </c>
      <c r="C4">
        <v>0.03</v>
      </c>
      <c r="D4">
        <f>1/A4</f>
        <v>3.3557046979865771E-3</v>
      </c>
      <c r="E4">
        <f>+LN(C4)</f>
        <v>-3.5065578973199818</v>
      </c>
    </row>
    <row r="5" spans="1:5" x14ac:dyDescent="0.25">
      <c r="A5">
        <v>330</v>
      </c>
      <c r="B5">
        <v>0.85699999999999998</v>
      </c>
      <c r="C5">
        <v>0.29959999999999998</v>
      </c>
      <c r="D5">
        <f>1/A5</f>
        <v>3.0303030303030303E-3</v>
      </c>
      <c r="E5">
        <f>+LN(C5)</f>
        <v>-1.2053070273390727</v>
      </c>
    </row>
    <row r="6" spans="1:5" x14ac:dyDescent="0.25">
      <c r="A6">
        <v>350</v>
      </c>
      <c r="B6">
        <v>0.95299999999999996</v>
      </c>
      <c r="C6">
        <v>1.014</v>
      </c>
      <c r="D6">
        <f>1/A6</f>
        <v>2.8571428571428571E-3</v>
      </c>
      <c r="E6">
        <f>+LN(C6)</f>
        <v>1.3902905168991434E-2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6"/>
  <sheetViews>
    <sheetView workbookViewId="0">
      <selection activeCell="C19" sqref="C19"/>
    </sheetView>
  </sheetViews>
  <sheetFormatPr baseColWidth="10" defaultRowHeight="15" x14ac:dyDescent="0.25"/>
  <sheetData>
    <row r="3" spans="1:4" x14ac:dyDescent="0.25">
      <c r="A3" t="s">
        <v>7</v>
      </c>
      <c r="B3" t="s">
        <v>5</v>
      </c>
      <c r="C3" t="s">
        <v>4</v>
      </c>
      <c r="D3" t="s">
        <v>3</v>
      </c>
    </row>
    <row r="4" spans="1:4" x14ac:dyDescent="0.25">
      <c r="A4">
        <f>100+273</f>
        <v>373</v>
      </c>
      <c r="B4">
        <v>4.82</v>
      </c>
      <c r="C4">
        <f>1/A4</f>
        <v>2.6809651474530832E-3</v>
      </c>
      <c r="D4">
        <f>+LN(B4)</f>
        <v>1.572773928062509</v>
      </c>
    </row>
    <row r="5" spans="1:4" x14ac:dyDescent="0.25">
      <c r="A5">
        <f>200+273</f>
        <v>473</v>
      </c>
      <c r="B5">
        <v>8.5</v>
      </c>
      <c r="C5">
        <f>1/A5</f>
        <v>2.1141649048625794E-3</v>
      </c>
      <c r="D5">
        <f>+LN(B5)</f>
        <v>2.1400661634962708</v>
      </c>
    </row>
    <row r="6" spans="1:4" x14ac:dyDescent="0.25">
      <c r="A6">
        <f>300+273</f>
        <v>573</v>
      </c>
      <c r="B6">
        <v>12.3</v>
      </c>
      <c r="C6">
        <f>1/A6</f>
        <v>1.7452006980802793E-3</v>
      </c>
      <c r="D6">
        <f>+LN(B6)</f>
        <v>2.5095992623783721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54"/>
  <sheetViews>
    <sheetView tabSelected="1" topLeftCell="B1" workbookViewId="0">
      <selection activeCell="E16" sqref="E16"/>
    </sheetView>
  </sheetViews>
  <sheetFormatPr baseColWidth="10" defaultRowHeight="15" x14ac:dyDescent="0.25"/>
  <cols>
    <col min="2" max="2" width="17.42578125" customWidth="1"/>
    <col min="3" max="3" width="12" bestFit="1" customWidth="1"/>
    <col min="4" max="4" width="11.5703125" customWidth="1"/>
    <col min="5" max="5" width="18.7109375" customWidth="1"/>
  </cols>
  <sheetData>
    <row r="3" spans="2:7" x14ac:dyDescent="0.25">
      <c r="B3" s="14" t="s">
        <v>8</v>
      </c>
      <c r="C3" s="15"/>
      <c r="D3" s="15"/>
      <c r="E3" s="16"/>
    </row>
    <row r="4" spans="2:7" x14ac:dyDescent="0.25">
      <c r="B4" s="11" t="s">
        <v>9</v>
      </c>
      <c r="C4" s="10" t="s">
        <v>10</v>
      </c>
      <c r="D4" s="11" t="s">
        <v>12</v>
      </c>
      <c r="E4" s="11" t="s">
        <v>4</v>
      </c>
      <c r="F4" t="s">
        <v>56</v>
      </c>
      <c r="G4" t="s">
        <v>63</v>
      </c>
    </row>
    <row r="5" spans="2:7" x14ac:dyDescent="0.25">
      <c r="B5" s="4">
        <f>0.0001*10^-3</f>
        <v>1.0000000000000001E-7</v>
      </c>
      <c r="C5" s="6">
        <f>100+273</f>
        <v>373</v>
      </c>
      <c r="D5" s="3">
        <f>LN(B5)</f>
        <v>-16.11809565095832</v>
      </c>
      <c r="E5" s="4">
        <f>1/C5</f>
        <v>2.6809651474530832E-3</v>
      </c>
      <c r="F5">
        <f>B5*1000</f>
        <v>1E-4</v>
      </c>
      <c r="G5">
        <f>LN(F5)</f>
        <v>-9.2103403719761818</v>
      </c>
    </row>
    <row r="6" spans="2:7" x14ac:dyDescent="0.25">
      <c r="B6" s="4">
        <f>0.0001*10^-3</f>
        <v>1.0000000000000001E-7</v>
      </c>
      <c r="C6" s="6">
        <f>200+273</f>
        <v>473</v>
      </c>
      <c r="D6" s="4">
        <f t="shared" ref="D6:D7" si="0">LN(B6)</f>
        <v>-16.11809565095832</v>
      </c>
      <c r="E6" s="4">
        <f t="shared" ref="E6:E7" si="1">1/C6</f>
        <v>2.1141649048625794E-3</v>
      </c>
      <c r="F6">
        <f t="shared" ref="F6:F7" si="2">B6*1000</f>
        <v>1E-4</v>
      </c>
      <c r="G6">
        <f t="shared" ref="G6:G7" si="3">LN(F6)</f>
        <v>-9.2103403719761818</v>
      </c>
    </row>
    <row r="7" spans="2:7" x14ac:dyDescent="0.25">
      <c r="B7" s="5">
        <f>0.001*10^-3</f>
        <v>9.9999999999999995E-7</v>
      </c>
      <c r="C7" s="8">
        <f>300+273</f>
        <v>573</v>
      </c>
      <c r="D7" s="5">
        <f t="shared" si="0"/>
        <v>-13.815510557964274</v>
      </c>
      <c r="E7" s="5">
        <f t="shared" si="1"/>
        <v>1.7452006980802793E-3</v>
      </c>
      <c r="F7">
        <f t="shared" si="2"/>
        <v>1E-3</v>
      </c>
      <c r="G7">
        <f t="shared" si="3"/>
        <v>-6.9077552789821368</v>
      </c>
    </row>
    <row r="8" spans="2:7" x14ac:dyDescent="0.25">
      <c r="B8" s="17" t="s">
        <v>11</v>
      </c>
      <c r="C8" s="18"/>
      <c r="D8" s="18"/>
      <c r="E8" s="19"/>
      <c r="F8" s="20" t="s">
        <v>56</v>
      </c>
      <c r="G8" s="20" t="s">
        <v>63</v>
      </c>
    </row>
    <row r="9" spans="2:7" x14ac:dyDescent="0.25">
      <c r="B9" s="4">
        <f>4.82*10^-3</f>
        <v>4.8200000000000005E-3</v>
      </c>
      <c r="C9" s="7">
        <f>100+273</f>
        <v>373</v>
      </c>
      <c r="D9" s="4">
        <f>LN(B9)</f>
        <v>-5.3349813509196284</v>
      </c>
      <c r="E9" s="4">
        <f>1/C9</f>
        <v>2.6809651474530832E-3</v>
      </c>
      <c r="F9" s="20">
        <f>B9*1000</f>
        <v>4.82</v>
      </c>
      <c r="G9" s="20">
        <f>LN(F9)</f>
        <v>1.572773928062509</v>
      </c>
    </row>
    <row r="10" spans="2:7" x14ac:dyDescent="0.25">
      <c r="B10" s="4">
        <f>8.5*10^-3</f>
        <v>8.5000000000000006E-3</v>
      </c>
      <c r="C10" s="7">
        <f>200+273</f>
        <v>473</v>
      </c>
      <c r="D10" s="4">
        <f t="shared" ref="D10:D11" si="4">LN(B10)</f>
        <v>-4.767689115485866</v>
      </c>
      <c r="E10" s="4">
        <f t="shared" ref="E10:E11" si="5">1/C10</f>
        <v>2.1141649048625794E-3</v>
      </c>
      <c r="F10" s="20">
        <f t="shared" ref="F10:F11" si="6">B10*1000</f>
        <v>8.5</v>
      </c>
      <c r="G10" s="20">
        <f t="shared" ref="G10:G11" si="7">LN(F10)</f>
        <v>2.1400661634962708</v>
      </c>
    </row>
    <row r="11" spans="2:7" x14ac:dyDescent="0.25">
      <c r="B11" s="5">
        <f>12.3*10^-3</f>
        <v>1.23E-2</v>
      </c>
      <c r="C11" s="9">
        <f>300+273</f>
        <v>573</v>
      </c>
      <c r="D11" s="5">
        <f t="shared" si="4"/>
        <v>-4.3981560166037657</v>
      </c>
      <c r="E11" s="5">
        <f t="shared" si="5"/>
        <v>1.7452006980802793E-3</v>
      </c>
      <c r="F11" s="20">
        <f t="shared" si="6"/>
        <v>12.3</v>
      </c>
      <c r="G11" s="20">
        <f t="shared" si="7"/>
        <v>2.5095992623783721</v>
      </c>
    </row>
    <row r="14" spans="2:7" x14ac:dyDescent="0.25">
      <c r="B14" t="s">
        <v>49</v>
      </c>
    </row>
    <row r="15" spans="2:7" x14ac:dyDescent="0.25">
      <c r="B15" t="s">
        <v>50</v>
      </c>
      <c r="C15">
        <v>1001.1</v>
      </c>
    </row>
    <row r="16" spans="2:7" x14ac:dyDescent="0.25">
      <c r="B16" t="s">
        <v>51</v>
      </c>
      <c r="C16">
        <v>8.3140000000000001</v>
      </c>
    </row>
    <row r="17" spans="1:6" x14ac:dyDescent="0.25">
      <c r="B17" t="s">
        <v>52</v>
      </c>
      <c r="C17">
        <f>C15*C16</f>
        <v>8323.1453999999994</v>
      </c>
      <c r="D17" t="s">
        <v>55</v>
      </c>
    </row>
    <row r="19" spans="1:6" x14ac:dyDescent="0.25">
      <c r="B19" t="s">
        <v>53</v>
      </c>
      <c r="C19">
        <f>C21</f>
        <v>70.576695645470664</v>
      </c>
      <c r="D19" t="s">
        <v>54</v>
      </c>
      <c r="E19" t="s">
        <v>58</v>
      </c>
      <c r="F19">
        <v>70.576689999999999</v>
      </c>
    </row>
    <row r="20" spans="1:6" x14ac:dyDescent="0.25">
      <c r="B20" t="s">
        <v>56</v>
      </c>
      <c r="C20">
        <f>B9*1000</f>
        <v>4.82</v>
      </c>
    </row>
    <row r="21" spans="1:6" x14ac:dyDescent="0.25">
      <c r="B21">
        <v>4.2567000000000004</v>
      </c>
      <c r="C21">
        <f>EXP(B21)</f>
        <v>70.576695645470664</v>
      </c>
    </row>
    <row r="25" spans="1:6" x14ac:dyDescent="0.25">
      <c r="A25" t="s">
        <v>64</v>
      </c>
      <c r="B25">
        <v>0.5</v>
      </c>
      <c r="C25" t="s">
        <v>65</v>
      </c>
    </row>
    <row r="27" spans="1:6" x14ac:dyDescent="0.25">
      <c r="A27" t="s">
        <v>59</v>
      </c>
      <c r="B27">
        <f>6/B28</f>
        <v>0.6</v>
      </c>
    </row>
    <row r="28" spans="1:6" x14ac:dyDescent="0.25">
      <c r="A28" t="s">
        <v>64</v>
      </c>
      <c r="B28">
        <f>20*B25</f>
        <v>10</v>
      </c>
    </row>
    <row r="30" spans="1:6" x14ac:dyDescent="0.25">
      <c r="A30" t="s">
        <v>60</v>
      </c>
      <c r="B30">
        <v>40</v>
      </c>
      <c r="C30" t="s">
        <v>61</v>
      </c>
      <c r="D30">
        <f>B30/1000</f>
        <v>0.04</v>
      </c>
      <c r="E30" t="s">
        <v>62</v>
      </c>
    </row>
    <row r="31" spans="1:6" x14ac:dyDescent="0.25">
      <c r="A31" t="s">
        <v>57</v>
      </c>
      <c r="B31">
        <v>10.408200000000001</v>
      </c>
      <c r="C31" t="s">
        <v>61</v>
      </c>
      <c r="D31">
        <f>B31/1000</f>
        <v>1.0408200000000001E-2</v>
      </c>
      <c r="E31" t="s">
        <v>62</v>
      </c>
    </row>
    <row r="33" spans="1:12" x14ac:dyDescent="0.25">
      <c r="A33" t="s">
        <v>73</v>
      </c>
      <c r="B33">
        <f>1/(B30*B27/1000)</f>
        <v>41.666666666666664</v>
      </c>
    </row>
    <row r="34" spans="1:12" x14ac:dyDescent="0.25">
      <c r="A34" t="s">
        <v>74</v>
      </c>
      <c r="B34">
        <f>1/(B31*B27/1000)</f>
        <v>160.13015378899971</v>
      </c>
      <c r="H34" t="s">
        <v>66</v>
      </c>
      <c r="I34">
        <v>50</v>
      </c>
      <c r="J34" t="s">
        <v>87</v>
      </c>
    </row>
    <row r="35" spans="1:12" x14ac:dyDescent="0.25">
      <c r="H35" t="s">
        <v>67</v>
      </c>
      <c r="I35">
        <v>0.3</v>
      </c>
      <c r="J35" t="s">
        <v>88</v>
      </c>
    </row>
    <row r="36" spans="1:12" x14ac:dyDescent="0.25">
      <c r="A36" t="s">
        <v>72</v>
      </c>
      <c r="B36">
        <f>1/((1/(1*D31))+(1/(D30*B27)))</f>
        <v>7.2598043489633295E-3</v>
      </c>
      <c r="H36" t="s">
        <v>68</v>
      </c>
      <c r="I36">
        <v>1</v>
      </c>
      <c r="J36" t="s">
        <v>37</v>
      </c>
    </row>
    <row r="37" spans="1:12" x14ac:dyDescent="0.25">
      <c r="A37" t="s">
        <v>83</v>
      </c>
      <c r="B37">
        <f>1/(B33+B34)</f>
        <v>4.9554794656424947E-3</v>
      </c>
      <c r="H37" t="s">
        <v>69</v>
      </c>
      <c r="I37">
        <v>0.8</v>
      </c>
    </row>
    <row r="38" spans="1:12" x14ac:dyDescent="0.25">
      <c r="H38" t="s">
        <v>70</v>
      </c>
      <c r="I38">
        <v>1</v>
      </c>
      <c r="J38" t="s">
        <v>21</v>
      </c>
      <c r="K38">
        <f>I38*(1000/1)</f>
        <v>1000</v>
      </c>
      <c r="L38" t="s">
        <v>84</v>
      </c>
    </row>
    <row r="39" spans="1:12" x14ac:dyDescent="0.25">
      <c r="A39">
        <v>3230</v>
      </c>
      <c r="H39" t="s">
        <v>71</v>
      </c>
      <c r="I39">
        <v>4</v>
      </c>
      <c r="J39" t="s">
        <v>37</v>
      </c>
    </row>
    <row r="40" spans="1:12" x14ac:dyDescent="0.25">
      <c r="A40" t="s">
        <v>75</v>
      </c>
      <c r="B40">
        <f>98/100</f>
        <v>0.98</v>
      </c>
    </row>
    <row r="41" spans="1:12" x14ac:dyDescent="0.25">
      <c r="A41" t="s">
        <v>64</v>
      </c>
      <c r="B41">
        <v>4</v>
      </c>
      <c r="C41" t="s">
        <v>65</v>
      </c>
    </row>
    <row r="42" spans="1:12" x14ac:dyDescent="0.25">
      <c r="A42" t="s">
        <v>5</v>
      </c>
      <c r="B42">
        <v>17.89</v>
      </c>
      <c r="D42" t="s">
        <v>82</v>
      </c>
    </row>
    <row r="44" spans="1:12" x14ac:dyDescent="0.25">
      <c r="A44" t="s">
        <v>76</v>
      </c>
      <c r="B44">
        <v>0.87</v>
      </c>
      <c r="C44">
        <f>-LN((1-B40))*B41/B42</f>
        <v>0.87468373514324094</v>
      </c>
    </row>
    <row r="48" spans="1:12" x14ac:dyDescent="0.25">
      <c r="C48" t="s">
        <v>78</v>
      </c>
      <c r="D48">
        <f>K38</f>
        <v>1000</v>
      </c>
    </row>
    <row r="49" spans="1:4" x14ac:dyDescent="0.25">
      <c r="A49" t="s">
        <v>77</v>
      </c>
      <c r="B49">
        <v>200</v>
      </c>
      <c r="C49">
        <f>(1-I37)*D48</f>
        <v>199.99999999999994</v>
      </c>
    </row>
    <row r="52" spans="1:4" x14ac:dyDescent="0.25">
      <c r="A52" t="s">
        <v>79</v>
      </c>
      <c r="B52">
        <f>C44/C49</f>
        <v>4.3734186757162057E-3</v>
      </c>
      <c r="C52" t="s">
        <v>81</v>
      </c>
      <c r="D52" t="s">
        <v>80</v>
      </c>
    </row>
    <row r="54" spans="1:4" x14ac:dyDescent="0.25">
      <c r="A54" t="s">
        <v>85</v>
      </c>
      <c r="B54">
        <f>B52*I39/(PI()*(I39/100)^2)</f>
        <v>3.480256002253225</v>
      </c>
      <c r="C54" t="s">
        <v>86</v>
      </c>
    </row>
  </sheetData>
  <mergeCells count="2">
    <mergeCell ref="B3:E3"/>
    <mergeCell ref="B8:E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ejercicio 1</vt:lpstr>
      <vt:lpstr>2 </vt:lpstr>
      <vt:lpstr>3</vt:lpstr>
      <vt:lpstr>4</vt:lpstr>
      <vt:lpstr>Ej. 5</vt:lpstr>
      <vt:lpstr>Ej. 6</vt:lpstr>
      <vt:lpstr>ejercicio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79juanenrrique@hotmail.com.ar</cp:lastModifiedBy>
  <dcterms:created xsi:type="dcterms:W3CDTF">2019-10-17T16:09:53Z</dcterms:created>
  <dcterms:modified xsi:type="dcterms:W3CDTF">2024-03-20T19:04:57Z</dcterms:modified>
</cp:coreProperties>
</file>