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3CF6DC77-B0CC-46FD-A399-6C65B3C7A0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23457" sheetId="1" r:id="rId1"/>
    <sheet name="eje1" sheetId="2" r:id="rId2"/>
    <sheet name="eje6" sheetId="3" r:id="rId3"/>
  </sheets>
  <calcPr calcId="191029"/>
</workbook>
</file>

<file path=xl/calcChain.xml><?xml version="1.0" encoding="utf-8"?>
<calcChain xmlns="http://schemas.openxmlformats.org/spreadsheetml/2006/main">
  <c r="E16" i="1" l="1"/>
  <c r="D16" i="1"/>
  <c r="D15" i="1"/>
  <c r="D14" i="1"/>
  <c r="D96" i="1"/>
  <c r="J4" i="3"/>
  <c r="J5" i="3"/>
  <c r="J6" i="3"/>
  <c r="J7" i="3"/>
  <c r="J3" i="3"/>
  <c r="I4" i="3"/>
  <c r="I5" i="3"/>
  <c r="I6" i="3"/>
  <c r="I7" i="3"/>
  <c r="I3" i="3"/>
  <c r="H4" i="3"/>
  <c r="H5" i="3"/>
  <c r="H6" i="3"/>
  <c r="H7" i="3"/>
  <c r="H3" i="3"/>
  <c r="N56" i="1"/>
  <c r="N55" i="1"/>
  <c r="K54" i="1"/>
  <c r="K55" i="1"/>
  <c r="K53" i="1"/>
  <c r="G54" i="1"/>
  <c r="G55" i="1"/>
  <c r="G53" i="1"/>
  <c r="F53" i="1"/>
  <c r="F54" i="1"/>
  <c r="F55" i="1"/>
  <c r="E43" i="1"/>
  <c r="E44" i="1"/>
  <c r="E45" i="1"/>
  <c r="E46" i="1"/>
  <c r="G74" i="1"/>
  <c r="D67" i="1"/>
  <c r="F67" i="1"/>
  <c r="E67" i="1"/>
  <c r="G49" i="1"/>
  <c r="D49" i="1"/>
  <c r="H53" i="1" s="1"/>
  <c r="J53" i="1" s="1"/>
  <c r="D33" i="1"/>
  <c r="D34" i="1" s="1"/>
  <c r="D6" i="1"/>
  <c r="E87" i="1"/>
  <c r="E88" i="1"/>
  <c r="E89" i="1"/>
  <c r="E90" i="1"/>
  <c r="E86" i="1"/>
  <c r="D87" i="1"/>
  <c r="D88" i="1"/>
  <c r="D89" i="1"/>
  <c r="D90" i="1"/>
  <c r="D86" i="1"/>
  <c r="E68" i="1"/>
  <c r="E69" i="1"/>
  <c r="D68" i="1"/>
  <c r="H68" i="1" s="1"/>
  <c r="D69" i="1"/>
  <c r="H69" i="1" s="1"/>
  <c r="F68" i="1"/>
  <c r="F69" i="1"/>
  <c r="D44" i="1"/>
  <c r="D45" i="1"/>
  <c r="D46" i="1"/>
  <c r="D43" i="1"/>
  <c r="H55" i="1" l="1"/>
  <c r="J55" i="1" s="1"/>
  <c r="H54" i="1"/>
  <c r="J54" i="1" s="1"/>
  <c r="G67" i="1"/>
  <c r="H67" i="1"/>
  <c r="G68" i="1"/>
  <c r="G69" i="1"/>
  <c r="E25" i="1"/>
  <c r="E26" i="1"/>
  <c r="E27" i="1"/>
  <c r="E28" i="1"/>
  <c r="E29" i="1"/>
  <c r="E24" i="1"/>
  <c r="C29" i="1"/>
  <c r="C28" i="1"/>
  <c r="C27" i="1"/>
  <c r="C26" i="1"/>
  <c r="C25" i="1"/>
  <c r="C24" i="1"/>
  <c r="C23" i="1"/>
  <c r="G7" i="1"/>
  <c r="G8" i="1"/>
  <c r="G9" i="1"/>
  <c r="G6" i="1"/>
  <c r="E7" i="1"/>
  <c r="E8" i="1"/>
  <c r="E9" i="1"/>
  <c r="E6" i="1"/>
  <c r="F6" i="1" s="1"/>
  <c r="D7" i="1"/>
  <c r="F7" i="1" s="1"/>
  <c r="D8" i="1"/>
  <c r="F8" i="1" s="1"/>
  <c r="D9" i="1"/>
  <c r="F9" i="1" s="1"/>
  <c r="G24" i="1" l="1"/>
  <c r="U25" i="1"/>
  <c r="U29" i="1"/>
  <c r="T23" i="1"/>
  <c r="U26" i="1"/>
  <c r="U23" i="1"/>
  <c r="W23" i="1"/>
  <c r="Y23" i="1" s="1"/>
  <c r="U27" i="1"/>
  <c r="U24" i="1"/>
  <c r="U28" i="1"/>
  <c r="G27" i="1"/>
  <c r="G26" i="1"/>
  <c r="G23" i="1"/>
  <c r="T24" i="1"/>
  <c r="T28" i="1"/>
  <c r="X25" i="1"/>
  <c r="Z25" i="1" s="1"/>
  <c r="X29" i="1"/>
  <c r="Z29" i="1" s="1"/>
  <c r="W24" i="1"/>
  <c r="Y24" i="1" s="1"/>
  <c r="W28" i="1"/>
  <c r="Y28" i="1" s="1"/>
  <c r="W25" i="1"/>
  <c r="Y25" i="1" s="1"/>
  <c r="X28" i="1"/>
  <c r="Z28" i="1" s="1"/>
  <c r="W27" i="1"/>
  <c r="Y27" i="1" s="1"/>
  <c r="T25" i="1"/>
  <c r="T29" i="1"/>
  <c r="X26" i="1"/>
  <c r="Z26" i="1" s="1"/>
  <c r="X23" i="1"/>
  <c r="Z23" i="1" s="1"/>
  <c r="T26" i="1"/>
  <c r="X27" i="1"/>
  <c r="Z27" i="1" s="1"/>
  <c r="W26" i="1"/>
  <c r="Y26" i="1" s="1"/>
  <c r="T27" i="1"/>
  <c r="X24" i="1"/>
  <c r="Z24" i="1" s="1"/>
  <c r="W29" i="1"/>
  <c r="Y29" i="1" s="1"/>
  <c r="D28" i="1"/>
  <c r="H28" i="1" s="1"/>
  <c r="D25" i="1"/>
  <c r="H25" i="1" s="1"/>
  <c r="D29" i="1"/>
  <c r="H29" i="1" s="1"/>
  <c r="D27" i="1"/>
  <c r="H27" i="1" s="1"/>
  <c r="G29" i="1"/>
  <c r="G25" i="1"/>
  <c r="D24" i="1"/>
  <c r="H24" i="1" s="1"/>
  <c r="D26" i="1"/>
  <c r="H26" i="1" s="1"/>
  <c r="G28" i="1"/>
  <c r="Z31" i="1" l="1"/>
  <c r="Y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T23" authorId="0" shapeId="0" xr:uid="{FC5C9A3F-38E4-45F5-BE57-02EF1807F6F6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al final ^(1-$T$19)
es ^(1/(1-$T$19))</t>
        </r>
      </text>
    </comment>
  </commentList>
</comments>
</file>

<file path=xl/sharedStrings.xml><?xml version="1.0" encoding="utf-8"?>
<sst xmlns="http://schemas.openxmlformats.org/spreadsheetml/2006/main" count="117" uniqueCount="96">
  <si>
    <t>t [seg]</t>
  </si>
  <si>
    <t>P [mmHg]</t>
  </si>
  <si>
    <t>DP</t>
  </si>
  <si>
    <t>Dt</t>
  </si>
  <si>
    <t>ln(DP/Dt)</t>
  </si>
  <si>
    <t>ln(3Po-P)</t>
  </si>
  <si>
    <t>inf</t>
  </si>
  <si>
    <t>Ejercicio 2</t>
  </si>
  <si>
    <t>Ejercicio 3</t>
  </si>
  <si>
    <t>Ca [mol/L]</t>
  </si>
  <si>
    <t>dt</t>
  </si>
  <si>
    <t>ln(dCa/dt)</t>
  </si>
  <si>
    <t>ln(Ca)</t>
  </si>
  <si>
    <t>dCa</t>
  </si>
  <si>
    <t>Ejercicio 4</t>
  </si>
  <si>
    <t>t 1/2 [seg]</t>
  </si>
  <si>
    <t>P N2O [mmHg]</t>
  </si>
  <si>
    <t>ln(t1/2)</t>
  </si>
  <si>
    <t>mmHg</t>
  </si>
  <si>
    <t>Pa</t>
  </si>
  <si>
    <t>Ejercicio 5</t>
  </si>
  <si>
    <t>Ca [mol/cm3]</t>
  </si>
  <si>
    <t>Ejercicio 7</t>
  </si>
  <si>
    <t>Tres [min]</t>
  </si>
  <si>
    <t>Ca [M]</t>
  </si>
  <si>
    <t>Ln(Ca)</t>
  </si>
  <si>
    <t>Cao</t>
  </si>
  <si>
    <t>M</t>
  </si>
  <si>
    <t>ln((Cao-Ca)/Tres)</t>
  </si>
  <si>
    <t>PO</t>
  </si>
  <si>
    <t>Orden de reaccion(n)</t>
  </si>
  <si>
    <t>lnK'</t>
  </si>
  <si>
    <t>alfa</t>
  </si>
  <si>
    <t>ln K'</t>
  </si>
  <si>
    <t>K'</t>
  </si>
  <si>
    <t>(1/min)(lt/mol)^1.25</t>
  </si>
  <si>
    <t xml:space="preserve">k </t>
  </si>
  <si>
    <t>(1/min)(lt/mol)^2.25</t>
  </si>
  <si>
    <t>k</t>
  </si>
  <si>
    <t>n</t>
  </si>
  <si>
    <t>t(min)</t>
  </si>
  <si>
    <t>met difer</t>
  </si>
  <si>
    <t>ajuste MNL</t>
  </si>
  <si>
    <t>Ca MD</t>
  </si>
  <si>
    <t>Ca MNL</t>
  </si>
  <si>
    <t>otro</t>
  </si>
  <si>
    <t>la lina verde es igual a la azul</t>
  </si>
  <si>
    <t>blaseti mal</t>
  </si>
  <si>
    <t>BIEN juan</t>
  </si>
  <si>
    <t>residual1</t>
  </si>
  <si>
    <t>residual2</t>
  </si>
  <si>
    <t>SS</t>
  </si>
  <si>
    <t>menor</t>
  </si>
  <si>
    <t>1-alfa</t>
  </si>
  <si>
    <t>ln(1/k)</t>
  </si>
  <si>
    <t>m3/mol</t>
  </si>
  <si>
    <t>pendiente negativa orden mayor a 1</t>
  </si>
  <si>
    <t>T(k)</t>
  </si>
  <si>
    <t>PN2O (mm Hg)</t>
  </si>
  <si>
    <t xml:space="preserve">Vida media (seg) </t>
  </si>
  <si>
    <t>LN(K)</t>
  </si>
  <si>
    <t>K</t>
  </si>
  <si>
    <t>cm3/molseg</t>
  </si>
  <si>
    <t>feo</t>
  </si>
  <si>
    <t>bueno</t>
  </si>
  <si>
    <t>T</t>
  </si>
  <si>
    <t>Ca0</t>
  </si>
  <si>
    <t>Ca</t>
  </si>
  <si>
    <t>ln K</t>
  </si>
  <si>
    <t>1/T</t>
  </si>
  <si>
    <t>lnK0</t>
  </si>
  <si>
    <t>menosE/R</t>
  </si>
  <si>
    <t>K0</t>
  </si>
  <si>
    <t>Ea</t>
  </si>
  <si>
    <t>pB0</t>
  </si>
  <si>
    <t>atm</t>
  </si>
  <si>
    <t>exceso</t>
  </si>
  <si>
    <t>Pa(atm)</t>
  </si>
  <si>
    <t>ra*103</t>
  </si>
  <si>
    <t>R</t>
  </si>
  <si>
    <t>L.atm/mol.K</t>
  </si>
  <si>
    <t>J/mol.K</t>
  </si>
  <si>
    <t>log Ca</t>
  </si>
  <si>
    <t>log ra</t>
  </si>
  <si>
    <t>log k</t>
  </si>
  <si>
    <t>ln k</t>
  </si>
  <si>
    <t>L2/MOL2min</t>
  </si>
  <si>
    <t>saturado de B</t>
  </si>
  <si>
    <t>metodo diferencial</t>
  </si>
  <si>
    <t>orden de la reaccion respecto a A</t>
  </si>
  <si>
    <t>metodo diferencial para obtener orden, k velocidad</t>
  </si>
  <si>
    <t xml:space="preserve">K </t>
  </si>
  <si>
    <t>T (c)</t>
  </si>
  <si>
    <t>dato cuenta</t>
  </si>
  <si>
    <t>metdo de la vida media</t>
  </si>
  <si>
    <t>determinacion de cte arenius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</si>
</sst>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71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'eje23457'!$G$6:$G$9</c:f>
              <c:numCache>
                <c:formatCode>General</c:formatCode>
                <c:ptCount val="4"/>
                <c:pt idx="0">
                  <c:v>6.2576675878826391</c:v>
                </c:pt>
                <c:pt idx="1">
                  <c:v>6.0913098820776979</c:v>
                </c:pt>
                <c:pt idx="2">
                  <c:v>5.9080829381689313</c:v>
                </c:pt>
                <c:pt idx="3">
                  <c:v>4.8751973232011512</c:v>
                </c:pt>
              </c:numCache>
            </c:numRef>
          </c:xVal>
          <c:yVal>
            <c:numRef>
              <c:f>'eje23457'!$F$6:$F$9</c:f>
              <c:numCache>
                <c:formatCode>General</c:formatCode>
                <c:ptCount val="4"/>
                <c:pt idx="0">
                  <c:v>-1.3811792604531201</c:v>
                </c:pt>
                <c:pt idx="1">
                  <c:v>-1.5763980583559003</c:v>
                </c:pt>
                <c:pt idx="2">
                  <c:v>-1.7314163393205866</c:v>
                </c:pt>
                <c:pt idx="3">
                  <c:v>-2.1126396110894317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D-4C8A-982F-B1ADE979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8928"/>
        <c:axId val="42350848"/>
      </c:scatterChart>
      <c:valAx>
        <c:axId val="423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ln(3Po-P)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350848"/>
        <c:crosses val="autoZero"/>
        <c:crossBetween val="midCat"/>
      </c:valAx>
      <c:valAx>
        <c:axId val="423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ln(dP/dt)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3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854768153980753E-4"/>
                  <c:y val="-1.2944371536891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'eje23457'!$G$23:$G$29</c:f>
              <c:numCache>
                <c:formatCode>General</c:formatCode>
                <c:ptCount val="7"/>
                <c:pt idx="0">
                  <c:v>-2.9957322735539909</c:v>
                </c:pt>
                <c:pt idx="1">
                  <c:v>-3.2701691192557512</c:v>
                </c:pt>
                <c:pt idx="2">
                  <c:v>-3.486755270023802</c:v>
                </c:pt>
                <c:pt idx="3">
                  <c:v>-3.6651629274966204</c:v>
                </c:pt>
                <c:pt idx="4">
                  <c:v>-3.8076629901039034</c:v>
                </c:pt>
                <c:pt idx="5">
                  <c:v>-3.9373408134124359</c:v>
                </c:pt>
                <c:pt idx="6">
                  <c:v>-4.0512850727616536</c:v>
                </c:pt>
              </c:numCache>
            </c:numRef>
          </c:xVal>
          <c:yVal>
            <c:numRef>
              <c:f>'eje23457'!$H$23:$H$29</c:f>
              <c:numCache>
                <c:formatCode>General</c:formatCode>
                <c:ptCount val="7"/>
                <c:pt idx="1">
                  <c:v>-8.3348716346222833</c:v>
                </c:pt>
                <c:pt idx="2">
                  <c:v>-8.8182982842001589</c:v>
                </c:pt>
                <c:pt idx="3">
                  <c:v>-9.2103403719761818</c:v>
                </c:pt>
                <c:pt idx="4">
                  <c:v>-9.5960028527881676</c:v>
                </c:pt>
                <c:pt idx="5">
                  <c:v>-9.8265265113999991</c:v>
                </c:pt>
                <c:pt idx="6">
                  <c:v>-10.077840939680906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2-4E05-AE45-7A95D595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2096"/>
        <c:axId val="42398848"/>
      </c:scatterChart>
      <c:valAx>
        <c:axId val="423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398848"/>
        <c:crosses val="autoZero"/>
        <c:crossBetween val="midCat"/>
      </c:valAx>
      <c:valAx>
        <c:axId val="423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ln(dCa/dt)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3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783464566929136E-2"/>
                  <c:y val="2.8893627879848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'eje23457'!$E$43:$E$46</c:f>
              <c:numCache>
                <c:formatCode>General</c:formatCode>
                <c:ptCount val="4"/>
                <c:pt idx="0">
                  <c:v>1.7507927276693883E-2</c:v>
                </c:pt>
                <c:pt idx="1">
                  <c:v>0.53918356706675041</c:v>
                </c:pt>
                <c:pt idx="2">
                  <c:v>1.295069088260119</c:v>
                </c:pt>
                <c:pt idx="3">
                  <c:v>1.4908136653862143</c:v>
                </c:pt>
              </c:numCache>
            </c:numRef>
          </c:xVal>
          <c:yVal>
            <c:numRef>
              <c:f>'eje23457'!$D$43:$D$46</c:f>
              <c:numCache>
                <c:formatCode>General</c:formatCode>
                <c:ptCount val="4"/>
                <c:pt idx="0">
                  <c:v>6.7569323892475532</c:v>
                </c:pt>
                <c:pt idx="1">
                  <c:v>6.1527326947041043</c:v>
                </c:pt>
                <c:pt idx="2">
                  <c:v>5.5412635451584258</c:v>
                </c:pt>
                <c:pt idx="3">
                  <c:v>5.3565862746720123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A4-4E29-B7F8-8342B505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1184"/>
        <c:axId val="56463360"/>
      </c:scatterChart>
      <c:valAx>
        <c:axId val="564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63360"/>
        <c:crosses val="autoZero"/>
        <c:crossBetween val="midCat"/>
      </c:valAx>
      <c:valAx>
        <c:axId val="564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ln(t1/2)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4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 5 bueno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193788276465438E-2"/>
                  <c:y val="5.8674176144648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'eje23457'!$F$66:$F$69</c:f>
              <c:numCache>
                <c:formatCode>General</c:formatCode>
                <c:ptCount val="4"/>
                <c:pt idx="1">
                  <c:v>6.1527326947041043</c:v>
                </c:pt>
                <c:pt idx="2">
                  <c:v>5.5412635451584258</c:v>
                </c:pt>
                <c:pt idx="3">
                  <c:v>5.3565862746720123</c:v>
                </c:pt>
              </c:numCache>
            </c:numRef>
          </c:xVal>
          <c:yVal>
            <c:numRef>
              <c:f>'eje23457'!$G$66:$G$69</c:f>
              <c:numCache>
                <c:formatCode>General</c:formatCode>
                <c:ptCount val="4"/>
                <c:pt idx="1">
                  <c:v>1.9319061009712968</c:v>
                </c:pt>
                <c:pt idx="2">
                  <c:v>0.31439222277935469</c:v>
                </c:pt>
                <c:pt idx="3">
                  <c:v>-0.39768296766610944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D2-4637-93FC-19D29C1D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1888"/>
        <c:axId val="64903808"/>
      </c:scatterChart>
      <c:valAx>
        <c:axId val="649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903808"/>
        <c:crosses val="autoZero"/>
        <c:crossBetween val="midCat"/>
      </c:valAx>
      <c:valAx>
        <c:axId val="649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ln(dCa/dt)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9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83858267716536E-2"/>
                  <c:y val="0.18518554972295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'eje23457'!$D$86:$D$90</c:f>
              <c:numCache>
                <c:formatCode>0.00</c:formatCode>
                <c:ptCount val="5"/>
                <c:pt idx="0">
                  <c:v>0.40546510810816438</c:v>
                </c:pt>
                <c:pt idx="1">
                  <c:v>0.22314355131420976</c:v>
                </c:pt>
                <c:pt idx="2">
                  <c:v>0</c:v>
                </c:pt>
                <c:pt idx="3">
                  <c:v>-0.2876820724517809</c:v>
                </c:pt>
                <c:pt idx="4">
                  <c:v>-0.69314718055994529</c:v>
                </c:pt>
              </c:numCache>
            </c:numRef>
          </c:xVal>
          <c:yVal>
            <c:numRef>
              <c:f>'eje23457'!$E$86:$E$90</c:f>
              <c:numCache>
                <c:formatCode>0.00</c:formatCode>
                <c:ptCount val="5"/>
                <c:pt idx="0">
                  <c:v>-3.4011973816621555</c:v>
                </c:pt>
                <c:pt idx="1">
                  <c:v>-3.9252682321781669</c:v>
                </c:pt>
                <c:pt idx="2">
                  <c:v>-4.6051701859880909</c:v>
                </c:pt>
                <c:pt idx="3">
                  <c:v>-5.4806389233419912</c:v>
                </c:pt>
                <c:pt idx="4">
                  <c:v>-6.6846117276679271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D-4451-A875-C380D8E7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5040"/>
        <c:axId val="64936960"/>
      </c:scatterChart>
      <c:valAx>
        <c:axId val="649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936960"/>
        <c:crosses val="autoZero"/>
        <c:crossBetween val="midCat"/>
      </c:valAx>
      <c:valAx>
        <c:axId val="649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ln((Cao-Ca)/Tres)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9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 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'eje23457'!$S$23:$S$29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'eje23457'!$C$23:$C$29</c:f>
              <c:numCache>
                <c:formatCode>General</c:formatCode>
                <c:ptCount val="7"/>
                <c:pt idx="0">
                  <c:v>0.05</c:v>
                </c:pt>
                <c:pt idx="1">
                  <c:v>3.7999999999999999E-2</c:v>
                </c:pt>
                <c:pt idx="2">
                  <c:v>3.0600000000000002E-2</c:v>
                </c:pt>
                <c:pt idx="3">
                  <c:v>2.5600000000000001E-2</c:v>
                </c:pt>
                <c:pt idx="4">
                  <c:v>2.2200000000000001E-2</c:v>
                </c:pt>
                <c:pt idx="5">
                  <c:v>1.95E-2</c:v>
                </c:pt>
                <c:pt idx="6">
                  <c:v>1.7399999999999999E-2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3-4944-9ABA-8569551A3C7E}"/>
            </c:ext>
          </c:extLst>
        </c:ser>
        <c:ser>
          <c:idx val="1"/>
          <c:order val="1"/>
          <c:tx>
            <c:strRef>
              <c:f>'eje23457'!$W$22</c:f>
              <c:strCache>
                <c:ptCount val="1"/>
                <c:pt idx="0">
                  <c:v>Ca 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'eje23457'!$S$23:$S$29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'eje23457'!$W$23:$W$29</c:f>
              <c:numCache>
                <c:formatCode>General</c:formatCode>
                <c:ptCount val="7"/>
                <c:pt idx="0">
                  <c:v>5.000000000000001E-2</c:v>
                </c:pt>
                <c:pt idx="1">
                  <c:v>3.516472113671102E-2</c:v>
                </c:pt>
                <c:pt idx="2">
                  <c:v>2.7562141156141154E-2</c:v>
                </c:pt>
                <c:pt idx="3">
                  <c:v>2.287312993910047E-2</c:v>
                </c:pt>
                <c:pt idx="4">
                  <c:v>1.9664973199379213E-2</c:v>
                </c:pt>
                <c:pt idx="5">
                  <c:v>1.7318543038861208E-2</c:v>
                </c:pt>
                <c:pt idx="6">
                  <c:v>1.5520450782884129E-2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83-4944-9ABA-8569551A3C7E}"/>
            </c:ext>
          </c:extLst>
        </c:ser>
        <c:ser>
          <c:idx val="2"/>
          <c:order val="2"/>
          <c:tx>
            <c:strRef>
              <c:f>'eje23457'!$X$22</c:f>
              <c:strCache>
                <c:ptCount val="1"/>
                <c:pt idx="0">
                  <c:v>Ca MNL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'eje23457'!$S$23:$S$29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'eje23457'!$X$23:$X$29</c:f>
              <c:numCache>
                <c:formatCode>General</c:formatCode>
                <c:ptCount val="7"/>
                <c:pt idx="0">
                  <c:v>4.9999999999999982E-2</c:v>
                </c:pt>
                <c:pt idx="1">
                  <c:v>3.7922311533789749E-2</c:v>
                </c:pt>
                <c:pt idx="2">
                  <c:v>3.0603231735017368E-2</c:v>
                </c:pt>
                <c:pt idx="3">
                  <c:v>2.5685128159141406E-2</c:v>
                </c:pt>
                <c:pt idx="4">
                  <c:v>2.2149061050687598E-2</c:v>
                </c:pt>
                <c:pt idx="5">
                  <c:v>1.9482071963437191E-2</c:v>
                </c:pt>
                <c:pt idx="6">
                  <c:v>1.7397535932709717E-2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83-4944-9ABA-8569551A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30296"/>
        <c:axId val="407330656"/>
      </c:scatterChart>
      <c:valAx>
        <c:axId val="4073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7330656"/>
        <c:crosses val="autoZero"/>
        <c:crossBetween val="midCat"/>
      </c:valAx>
      <c:valAx>
        <c:axId val="4073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733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 5 feo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549868766404198E-2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'eje23457'!$F$66:$F$69</c:f>
              <c:numCache>
                <c:formatCode>General</c:formatCode>
                <c:ptCount val="4"/>
                <c:pt idx="1">
                  <c:v>6.1527326947041043</c:v>
                </c:pt>
                <c:pt idx="2">
                  <c:v>5.5412635451584258</c:v>
                </c:pt>
                <c:pt idx="3">
                  <c:v>5.3565862746720123</c:v>
                </c:pt>
              </c:numCache>
            </c:numRef>
          </c:xVal>
          <c:yVal>
            <c:numRef>
              <c:f>'eje23457'!$H$66:$H$69</c:f>
              <c:numCache>
                <c:formatCode>General</c:formatCode>
                <c:ptCount val="4"/>
                <c:pt idx="1">
                  <c:v>5.9661467391236922</c:v>
                </c:pt>
                <c:pt idx="2">
                  <c:v>5.3706380281276624</c:v>
                </c:pt>
                <c:pt idx="3">
                  <c:v>3.7612001156935624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9-4B7E-B74E-F0AB71EF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1888"/>
        <c:axId val="64903808"/>
      </c:scatterChart>
      <c:valAx>
        <c:axId val="649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903808"/>
        <c:crosses val="autoZero"/>
        <c:crossBetween val="midCat"/>
      </c:valAx>
      <c:valAx>
        <c:axId val="649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ln(dCa/dt)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9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determinar 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278762029746284"/>
                  <c:y val="-7.19597550306211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'eje23457'!$K$53:$K$55</c:f>
              <c:numCache>
                <c:formatCode>General</c:formatCode>
                <c:ptCount val="3"/>
                <c:pt idx="0">
                  <c:v>9.2165898617511521E-4</c:v>
                </c:pt>
                <c:pt idx="1">
                  <c:v>9.7087378640776695E-4</c:v>
                </c:pt>
                <c:pt idx="2">
                  <c:v>1.0341261633919339E-3</c:v>
                </c:pt>
              </c:numCache>
            </c:numRef>
          </c:xVal>
          <c:yVal>
            <c:numRef>
              <c:f>'eje23457'!$J$53:$J$55</c:f>
              <c:numCache>
                <c:formatCode>General</c:formatCode>
                <c:ptCount val="3"/>
                <c:pt idx="0">
                  <c:v>-4.2197482773645651</c:v>
                </c:pt>
                <c:pt idx="1">
                  <c:v>-5.5921702221025162</c:v>
                </c:pt>
                <c:pt idx="2">
                  <c:v>-7.6353811554567264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8-41B5-9B48-8E3FE393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9920"/>
        <c:axId val="519150280"/>
      </c:scatterChart>
      <c:valAx>
        <c:axId val="5191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150280"/>
        <c:crosses val="autoZero"/>
        <c:crossBetween val="midCat"/>
      </c:valAx>
      <c:valAx>
        <c:axId val="5191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1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'eje6'!$I$2</c:f>
              <c:strCache>
                <c:ptCount val="1"/>
                <c:pt idx="0">
                  <c:v>log 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87576552930884"/>
                  <c:y val="0.15682633420822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'eje6'!$I$3:$I$7</c:f>
              <c:numCache>
                <c:formatCode>General</c:formatCode>
                <c:ptCount val="5"/>
                <c:pt idx="0">
                  <c:v>-3.5940782796534823</c:v>
                </c:pt>
                <c:pt idx="1">
                  <c:v>-3.6098725468367143</c:v>
                </c:pt>
                <c:pt idx="2">
                  <c:v>-3.6262629630248835</c:v>
                </c:pt>
                <c:pt idx="3">
                  <c:v>-3.6432963023236637</c:v>
                </c:pt>
                <c:pt idx="4">
                  <c:v>-3.6610250692840953</c:v>
                </c:pt>
              </c:numCache>
            </c:numRef>
          </c:xVal>
          <c:yVal>
            <c:numRef>
              <c:f>'eje6'!$J$3:$J$7</c:f>
              <c:numCache>
                <c:formatCode>General</c:formatCode>
                <c:ptCount val="5"/>
                <c:pt idx="0">
                  <c:v>-2.7626070847382742</c:v>
                </c:pt>
                <c:pt idx="1">
                  <c:v>-2.778403214259737</c:v>
                </c:pt>
                <c:pt idx="2">
                  <c:v>-2.7947956360518553</c:v>
                </c:pt>
                <c:pt idx="3">
                  <c:v>-2.8118311414133035</c:v>
                </c:pt>
                <c:pt idx="4">
                  <c:v>-2.8295622549538169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F-428A-AA37-577C7482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9640"/>
        <c:axId val="519158560"/>
      </c:scatterChart>
      <c:valAx>
        <c:axId val="51915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log</a:t>
                </a:r>
                <a:r>
                  <a:rPr lang="es-AR" baseline="0"/>
                  <a:t> Ca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158560"/>
        <c:crosses val="autoZero"/>
        <c:crossBetween val="midCat"/>
      </c:valAx>
      <c:valAx>
        <c:axId val="5191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log</a:t>
                </a:r>
                <a:r>
                  <a:rPr lang="es-AR" baseline="0"/>
                  <a:t> ra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915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61912</xdr:rowOff>
    </xdr:from>
    <xdr:to>
      <xdr:col>16</xdr:col>
      <xdr:colOff>104775</xdr:colOff>
      <xdr:row>17</xdr:row>
      <xdr:rowOff>123825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18</xdr:row>
      <xdr:rowOff>138112</xdr:rowOff>
    </xdr:from>
    <xdr:to>
      <xdr:col>16</xdr:col>
      <xdr:colOff>390525</xdr:colOff>
      <xdr:row>35</xdr:row>
      <xdr:rowOff>23812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35</xdr:row>
      <xdr:rowOff>109537</xdr:rowOff>
    </xdr:from>
    <xdr:to>
      <xdr:col>16</xdr:col>
      <xdr:colOff>0</xdr:colOff>
      <xdr:row>50</xdr:row>
      <xdr:rowOff>9525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419100</xdr:colOff>
      <xdr:row>62</xdr:row>
      <xdr:rowOff>71437</xdr:rowOff>
    </xdr:from>
    <xdr:to>
      <xdr:col>24</xdr:col>
      <xdr:colOff>428625</xdr:colOff>
      <xdr:row>80</xdr:row>
      <xdr:rowOff>147637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</xdr:colOff>
      <xdr:row>82</xdr:row>
      <xdr:rowOff>52387</xdr:rowOff>
    </xdr:from>
    <xdr:to>
      <xdr:col>13</xdr:col>
      <xdr:colOff>390525</xdr:colOff>
      <xdr:row>96</xdr:row>
      <xdr:rowOff>128587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171450</xdr:colOff>
      <xdr:row>10</xdr:row>
      <xdr:rowOff>47626</xdr:rowOff>
    </xdr:from>
    <xdr:to>
      <xdr:col>40</xdr:col>
      <xdr:colOff>304800</xdr:colOff>
      <xdr:row>37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F0E2011-88EE-B891-7E24-ECE3483BF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371475</xdr:colOff>
      <xdr:row>60</xdr:row>
      <xdr:rowOff>0</xdr:rowOff>
    </xdr:from>
    <xdr:to>
      <xdr:col>16</xdr:col>
      <xdr:colOff>66675</xdr:colOff>
      <xdr:row>74</xdr:row>
      <xdr:rowOff>76200</xdr:rowOff>
    </xdr:to>
    <xdr:graphicFrame macro="">
      <xdr:nvGraphicFramePr>
        <xdr:cNvPr id="12" name="5 Gráfico">
          <a:extLst>
            <a:ext uri="{FF2B5EF4-FFF2-40B4-BE49-F238E27FC236}">
              <a16:creationId xmlns:a16="http://schemas.microsoft.com/office/drawing/2014/main" id="{5E20A566-8856-4343-A041-888E1C3C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419100</xdr:colOff>
      <xdr:row>44</xdr:row>
      <xdr:rowOff>157162</xdr:rowOff>
    </xdr:from>
    <xdr:to>
      <xdr:col>23</xdr:col>
      <xdr:colOff>428625</xdr:colOff>
      <xdr:row>59</xdr:row>
      <xdr:rowOff>42862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C1F9306-AF0F-4972-FC7B-A65E4FFE0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476250</xdr:colOff>
      <xdr:row>16</xdr:row>
      <xdr:rowOff>123825</xdr:rowOff>
    </xdr:from>
    <xdr:to>
      <xdr:col>8</xdr:col>
      <xdr:colOff>28575</xdr:colOff>
      <xdr:row>19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28C5E8-16FB-CD7E-7B90-8688E1CD7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57625" y="3171825"/>
          <a:ext cx="2476500" cy="600075"/>
        </a:xfrm>
        <a:prstGeom prst="rect">
          <a:avLst/>
        </a:prstGeom>
      </xdr:spPr>
    </xdr:pic>
    <xdr:clientData/>
  </xdr:twoCellAnchor>
  <xdr:twoCellAnchor editAs="oneCell">
    <xdr:from>
      <xdr:col>9</xdr:col>
      <xdr:colOff>471486</xdr:colOff>
      <xdr:row>41</xdr:row>
      <xdr:rowOff>76200</xdr:rowOff>
    </xdr:from>
    <xdr:to>
      <xdr:col>12</xdr:col>
      <xdr:colOff>476249</xdr:colOff>
      <xdr:row>46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E1A456D-B280-A262-DE84-D512A6E95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86636" y="7886700"/>
          <a:ext cx="1833563" cy="104775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56</xdr:row>
      <xdr:rowOff>47625</xdr:rowOff>
    </xdr:from>
    <xdr:to>
      <xdr:col>4</xdr:col>
      <xdr:colOff>866775</xdr:colOff>
      <xdr:row>62</xdr:row>
      <xdr:rowOff>133350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660AF61-D791-1E8F-199F-9FA3860DF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24125" y="10715625"/>
          <a:ext cx="1724025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6</xdr:row>
      <xdr:rowOff>128587</xdr:rowOff>
    </xdr:from>
    <xdr:to>
      <xdr:col>17</xdr:col>
      <xdr:colOff>495300</xdr:colOff>
      <xdr:row>21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C71BC4-3C37-A668-5ADE-BF6E2AA0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"/>
  <sheetViews>
    <sheetView tabSelected="1" topLeftCell="A34" workbookViewId="0">
      <selection activeCell="A34" sqref="A34"/>
    </sheetView>
  </sheetViews>
  <sheetFormatPr baseColWidth="10" defaultColWidth="9.140625" defaultRowHeight="15" x14ac:dyDescent="0.25"/>
  <cols>
    <col min="2" max="2" width="12.5703125" customWidth="1"/>
    <col min="3" max="3" width="14.140625" customWidth="1"/>
    <col min="4" max="4" width="14.85546875" customWidth="1"/>
    <col min="5" max="5" width="16.42578125" customWidth="1"/>
    <col min="13" max="13" width="10" bestFit="1" customWidth="1"/>
    <col min="14" max="14" width="12" bestFit="1" customWidth="1"/>
    <col min="20" max="20" width="11.85546875" bestFit="1" customWidth="1"/>
    <col min="21" max="21" width="10.85546875" bestFit="1" customWidth="1"/>
    <col min="25" max="25" width="12.7109375" bestFit="1" customWidth="1"/>
    <col min="26" max="26" width="12" bestFit="1" customWidth="1"/>
  </cols>
  <sheetData>
    <row r="1" spans="1:7" x14ac:dyDescent="0.25">
      <c r="A1" s="21" t="s">
        <v>7</v>
      </c>
      <c r="B1" s="21"/>
      <c r="C1" s="2"/>
    </row>
    <row r="2" spans="1:7" x14ac:dyDescent="0.25">
      <c r="C2" t="s">
        <v>90</v>
      </c>
    </row>
    <row r="3" spans="1:7" x14ac:dyDescent="0.25">
      <c r="B3" t="s">
        <v>29</v>
      </c>
      <c r="C3">
        <v>310</v>
      </c>
    </row>
    <row r="4" spans="1:7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1:7" x14ac:dyDescent="0.25">
      <c r="B5">
        <v>0</v>
      </c>
      <c r="C5">
        <v>310</v>
      </c>
    </row>
    <row r="6" spans="1:7" x14ac:dyDescent="0.25">
      <c r="B6">
        <v>390</v>
      </c>
      <c r="C6">
        <v>408</v>
      </c>
      <c r="D6">
        <f>C6-C5</f>
        <v>98</v>
      </c>
      <c r="E6">
        <f>B6-B5</f>
        <v>390</v>
      </c>
      <c r="F6">
        <f>LN(D6/E6)</f>
        <v>-1.3811792604531201</v>
      </c>
      <c r="G6">
        <f>LN(3*$C$5-C6)</f>
        <v>6.2576675878826391</v>
      </c>
    </row>
    <row r="7" spans="1:7" x14ac:dyDescent="0.25">
      <c r="B7">
        <v>777</v>
      </c>
      <c r="C7">
        <v>488</v>
      </c>
      <c r="D7">
        <f t="shared" ref="D7:D9" si="0">C7-C6</f>
        <v>80</v>
      </c>
      <c r="E7">
        <f t="shared" ref="E7:E9" si="1">B7-B6</f>
        <v>387</v>
      </c>
      <c r="F7">
        <f t="shared" ref="F7:F9" si="2">LN(D7/E7)</f>
        <v>-1.5763980583559003</v>
      </c>
      <c r="G7">
        <f>LN(3*$C$5-C7)</f>
        <v>6.0913098820776979</v>
      </c>
    </row>
    <row r="8" spans="1:7" x14ac:dyDescent="0.25">
      <c r="B8">
        <v>1195</v>
      </c>
      <c r="C8">
        <v>562</v>
      </c>
      <c r="D8">
        <f t="shared" si="0"/>
        <v>74</v>
      </c>
      <c r="E8">
        <f t="shared" si="1"/>
        <v>418</v>
      </c>
      <c r="F8">
        <f t="shared" si="2"/>
        <v>-1.7314163393205866</v>
      </c>
      <c r="G8">
        <f>LN(3*$C$5-C8)</f>
        <v>5.9080829381689313</v>
      </c>
    </row>
    <row r="9" spans="1:7" x14ac:dyDescent="0.25">
      <c r="B9">
        <v>3155</v>
      </c>
      <c r="C9">
        <v>799</v>
      </c>
      <c r="D9">
        <f t="shared" si="0"/>
        <v>237</v>
      </c>
      <c r="E9">
        <f t="shared" si="1"/>
        <v>1960</v>
      </c>
      <c r="F9">
        <f t="shared" si="2"/>
        <v>-2.1126396110894317</v>
      </c>
      <c r="G9">
        <f>LN(3*$C$5-C9)</f>
        <v>4.8751973232011512</v>
      </c>
    </row>
    <row r="10" spans="1:7" x14ac:dyDescent="0.25">
      <c r="B10" s="1" t="s">
        <v>6</v>
      </c>
      <c r="C10">
        <v>931</v>
      </c>
    </row>
    <row r="12" spans="1:7" x14ac:dyDescent="0.25">
      <c r="A12" t="s">
        <v>79</v>
      </c>
      <c r="B12">
        <v>8.3140000000000001</v>
      </c>
      <c r="C12" t="s">
        <v>30</v>
      </c>
      <c r="E12">
        <v>0.48280000000000001</v>
      </c>
    </row>
    <row r="13" spans="1:7" x14ac:dyDescent="0.25">
      <c r="A13" t="s">
        <v>92</v>
      </c>
      <c r="B13">
        <v>540</v>
      </c>
      <c r="C13" t="s">
        <v>31</v>
      </c>
      <c r="D13">
        <v>-4.4924999999999997</v>
      </c>
    </row>
    <row r="14" spans="1:7" x14ac:dyDescent="0.25">
      <c r="C14" t="s">
        <v>34</v>
      </c>
      <c r="D14">
        <f>EXP(D13)</f>
        <v>1.1192627235374848E-2</v>
      </c>
    </row>
    <row r="15" spans="1:7" x14ac:dyDescent="0.25">
      <c r="C15" t="s">
        <v>93</v>
      </c>
      <c r="D15" s="22">
        <f>1-E12</f>
        <v>0.51719999999999999</v>
      </c>
    </row>
    <row r="16" spans="1:7" x14ac:dyDescent="0.25">
      <c r="C16" t="s">
        <v>91</v>
      </c>
      <c r="D16" s="23">
        <f>D14/((2*B12*(B13+273))^(D15))</f>
        <v>8.173625846222095E-5</v>
      </c>
      <c r="E16">
        <f>9.96*10^-4</f>
        <v>9.9600000000000014E-4</v>
      </c>
    </row>
    <row r="18" spans="1:26" x14ac:dyDescent="0.25">
      <c r="T18" t="s">
        <v>41</v>
      </c>
      <c r="U18" t="s">
        <v>42</v>
      </c>
    </row>
    <row r="19" spans="1:26" x14ac:dyDescent="0.25">
      <c r="A19" s="21" t="s">
        <v>8</v>
      </c>
      <c r="B19" s="21"/>
      <c r="S19" t="s">
        <v>38</v>
      </c>
      <c r="T19">
        <v>0.374</v>
      </c>
      <c r="U19">
        <v>0.1449</v>
      </c>
    </row>
    <row r="20" spans="1:26" x14ac:dyDescent="0.25">
      <c r="C20" t="s">
        <v>87</v>
      </c>
      <c r="D20" t="s">
        <v>88</v>
      </c>
      <c r="S20" t="s">
        <v>39</v>
      </c>
      <c r="T20">
        <v>2.25</v>
      </c>
      <c r="U20">
        <v>2.0409999999999999</v>
      </c>
    </row>
    <row r="21" spans="1:26" x14ac:dyDescent="0.25">
      <c r="T21" t="s">
        <v>47</v>
      </c>
      <c r="W21" t="s">
        <v>48</v>
      </c>
    </row>
    <row r="22" spans="1:26" x14ac:dyDescent="0.25">
      <c r="B22" t="s">
        <v>0</v>
      </c>
      <c r="C22" t="s">
        <v>9</v>
      </c>
      <c r="D22" t="s">
        <v>13</v>
      </c>
      <c r="E22" t="s">
        <v>10</v>
      </c>
      <c r="G22" t="s">
        <v>12</v>
      </c>
      <c r="H22" t="s">
        <v>11</v>
      </c>
      <c r="S22" t="s">
        <v>40</v>
      </c>
      <c r="T22" t="s">
        <v>43</v>
      </c>
      <c r="U22" t="s">
        <v>44</v>
      </c>
      <c r="V22" t="s">
        <v>45</v>
      </c>
      <c r="W22" t="s">
        <v>43</v>
      </c>
      <c r="X22" t="s">
        <v>44</v>
      </c>
      <c r="Y22" t="s">
        <v>49</v>
      </c>
      <c r="Z22" t="s">
        <v>50</v>
      </c>
    </row>
    <row r="23" spans="1:26" x14ac:dyDescent="0.25">
      <c r="B23">
        <v>0</v>
      </c>
      <c r="C23">
        <f>50*10^-3</f>
        <v>0.05</v>
      </c>
      <c r="G23">
        <f>LN(C23)</f>
        <v>-2.9957322735539909</v>
      </c>
      <c r="S23">
        <v>0</v>
      </c>
      <c r="T23">
        <f>((-1)*$T$19*S23*(1-$T$20)+$C$23^(1-$T$20))^(1-$T$20)</f>
        <v>9.2712999488585249E-3</v>
      </c>
      <c r="U23">
        <f>((-1)*$U$19*S23*(1-$U$20)+$C$23^(1-$U$20))^(1-$U$20)</f>
        <v>3.8913340413122326E-2</v>
      </c>
      <c r="W23">
        <f t="shared" ref="W23:W29" si="3">((-1)*$T$19*S23*(1-$T$20)+$C$23^(1-$T$20))^(1/(1-$T$20))</f>
        <v>5.000000000000001E-2</v>
      </c>
      <c r="X23">
        <f t="shared" ref="X23:X29" si="4">((-1)*$U$19*S23*(1-$U$20)+$C$23^(1-$U$20))^(1/(1-$U$20))</f>
        <v>4.9999999999999982E-2</v>
      </c>
      <c r="Y23">
        <f>(C23-W23)^2</f>
        <v>4.8148248609680896E-35</v>
      </c>
      <c r="Z23">
        <f>(C23-X23)^2</f>
        <v>4.3333423748712807E-34</v>
      </c>
    </row>
    <row r="24" spans="1:26" x14ac:dyDescent="0.25">
      <c r="B24">
        <v>50</v>
      </c>
      <c r="C24">
        <f>38*10^-3</f>
        <v>3.7999999999999999E-2</v>
      </c>
      <c r="D24">
        <f>C24-C23</f>
        <v>-1.2000000000000004E-2</v>
      </c>
      <c r="E24">
        <f>B24-B23</f>
        <v>50</v>
      </c>
      <c r="G24">
        <f t="shared" ref="G24:G29" si="5">LN(C24)</f>
        <v>-3.2701691192557512</v>
      </c>
      <c r="H24">
        <f>LN(-D24/E24)</f>
        <v>-8.3348716346222833</v>
      </c>
      <c r="S24">
        <v>50</v>
      </c>
      <c r="T24">
        <f t="shared" ref="T24:T29" si="6">((-1)*$T$19*S24*(1-$T$20)+$C$23^(1-$T$20))^(1-$T$20)</f>
        <v>5.3492447016692101E-3</v>
      </c>
      <c r="U24">
        <f t="shared" ref="U24:U29" si="7">((-1)*$U$19*S24*(1-$U$20)+$C$23^(1-$U$20))^(1-$U$20)</f>
        <v>2.8838674655629729E-2</v>
      </c>
      <c r="W24">
        <f t="shared" si="3"/>
        <v>3.516472113671102E-2</v>
      </c>
      <c r="X24">
        <f t="shared" si="4"/>
        <v>3.7922311533789749E-2</v>
      </c>
      <c r="Y24">
        <f t="shared" ref="Y24:Y29" si="8">(C24-W24)^2</f>
        <v>8.0388062326132431E-6</v>
      </c>
      <c r="Z24">
        <f t="shared" ref="Z24:Z29" si="9">(C24-X24)^2</f>
        <v>6.0354977821012068E-9</v>
      </c>
    </row>
    <row r="25" spans="1:26" x14ac:dyDescent="0.25">
      <c r="B25">
        <v>100</v>
      </c>
      <c r="C25">
        <f>30.6*10^-3</f>
        <v>3.0600000000000002E-2</v>
      </c>
      <c r="D25">
        <f t="shared" ref="D25:D29" si="10">C25-C24</f>
        <v>-7.3999999999999969E-3</v>
      </c>
      <c r="E25">
        <f t="shared" ref="E25:E29" si="11">B25-B24</f>
        <v>50</v>
      </c>
      <c r="G25">
        <f t="shared" si="5"/>
        <v>-3.486755270023802</v>
      </c>
      <c r="H25">
        <f t="shared" ref="H25:H29" si="12">LN(-D25/E25)</f>
        <v>-8.8182982842001589</v>
      </c>
      <c r="S25">
        <v>100</v>
      </c>
      <c r="T25">
        <f t="shared" si="6"/>
        <v>3.6558552201917745E-3</v>
      </c>
      <c r="U25">
        <f t="shared" si="7"/>
        <v>2.2858871356332151E-2</v>
      </c>
      <c r="W25">
        <f t="shared" si="3"/>
        <v>2.7562141156141154E-2</v>
      </c>
      <c r="X25">
        <f t="shared" si="4"/>
        <v>3.0603231735017368E-2</v>
      </c>
      <c r="Y25">
        <f t="shared" si="8"/>
        <v>9.2285863552114184E-6</v>
      </c>
      <c r="Z25">
        <f t="shared" si="9"/>
        <v>1.0444111222468256E-11</v>
      </c>
    </row>
    <row r="26" spans="1:26" x14ac:dyDescent="0.25">
      <c r="B26">
        <v>150</v>
      </c>
      <c r="C26">
        <f>25.6*10^-3</f>
        <v>2.5600000000000001E-2</v>
      </c>
      <c r="D26">
        <f t="shared" si="10"/>
        <v>-5.000000000000001E-3</v>
      </c>
      <c r="E26">
        <f t="shared" si="11"/>
        <v>50</v>
      </c>
      <c r="G26">
        <f t="shared" si="5"/>
        <v>-3.6651629274966204</v>
      </c>
      <c r="H26">
        <f t="shared" si="12"/>
        <v>-9.2103403719761818</v>
      </c>
      <c r="S26">
        <v>150</v>
      </c>
      <c r="T26">
        <f t="shared" si="6"/>
        <v>2.7317832986564197E-3</v>
      </c>
      <c r="U26">
        <f t="shared" si="7"/>
        <v>1.8906115836926758E-2</v>
      </c>
      <c r="W26">
        <f t="shared" si="3"/>
        <v>2.287312993910047E-2</v>
      </c>
      <c r="X26">
        <f t="shared" si="4"/>
        <v>2.5685128159141406E-2</v>
      </c>
      <c r="Y26">
        <f t="shared" si="8"/>
        <v>7.4358203290302132E-6</v>
      </c>
      <c r="Z26">
        <f t="shared" si="9"/>
        <v>7.2468034788044097E-9</v>
      </c>
    </row>
    <row r="27" spans="1:26" x14ac:dyDescent="0.25">
      <c r="B27">
        <v>200</v>
      </c>
      <c r="C27">
        <f>22.2*10^-3</f>
        <v>2.2200000000000001E-2</v>
      </c>
      <c r="D27">
        <f t="shared" si="10"/>
        <v>-3.4000000000000002E-3</v>
      </c>
      <c r="E27">
        <f t="shared" si="11"/>
        <v>50</v>
      </c>
      <c r="G27">
        <f t="shared" si="5"/>
        <v>-3.8076629901039034</v>
      </c>
      <c r="H27">
        <f t="shared" si="12"/>
        <v>-9.5960028527881676</v>
      </c>
      <c r="S27">
        <v>200</v>
      </c>
      <c r="T27">
        <f t="shared" si="6"/>
        <v>2.1572271287219041E-3</v>
      </c>
      <c r="U27">
        <f t="shared" si="7"/>
        <v>1.6102488540745859E-2</v>
      </c>
      <c r="W27">
        <f t="shared" si="3"/>
        <v>1.9664973199379213E-2</v>
      </c>
      <c r="X27">
        <f t="shared" si="4"/>
        <v>2.2149061050687598E-2</v>
      </c>
      <c r="Y27">
        <f t="shared" si="8"/>
        <v>6.4263608798656669E-6</v>
      </c>
      <c r="Z27">
        <f t="shared" si="9"/>
        <v>2.5947765570515991E-9</v>
      </c>
    </row>
    <row r="28" spans="1:26" x14ac:dyDescent="0.25">
      <c r="B28">
        <v>250</v>
      </c>
      <c r="C28">
        <f>19.5*10^-3</f>
        <v>1.95E-2</v>
      </c>
      <c r="D28">
        <f t="shared" si="10"/>
        <v>-2.700000000000001E-3</v>
      </c>
      <c r="E28">
        <f t="shared" si="11"/>
        <v>50</v>
      </c>
      <c r="G28">
        <f t="shared" si="5"/>
        <v>-3.9373408134124359</v>
      </c>
      <c r="H28">
        <f t="shared" si="12"/>
        <v>-9.8265265113999991</v>
      </c>
      <c r="S28">
        <v>250</v>
      </c>
      <c r="T28">
        <f t="shared" si="6"/>
        <v>1.7687806943309983E-3</v>
      </c>
      <c r="U28">
        <f t="shared" si="7"/>
        <v>1.4012321770676866E-2</v>
      </c>
      <c r="W28">
        <f t="shared" si="3"/>
        <v>1.7318543038861208E-2</v>
      </c>
      <c r="X28">
        <f t="shared" si="4"/>
        <v>1.9482071963437191E-2</v>
      </c>
      <c r="Y28">
        <f t="shared" si="8"/>
        <v>4.7587544733008928E-6</v>
      </c>
      <c r="Z28">
        <f t="shared" si="9"/>
        <v>3.2141449499740647E-10</v>
      </c>
    </row>
    <row r="29" spans="1:26" x14ac:dyDescent="0.25">
      <c r="B29">
        <v>300</v>
      </c>
      <c r="C29">
        <f>17.4*10^-3</f>
        <v>1.7399999999999999E-2</v>
      </c>
      <c r="D29">
        <f t="shared" si="10"/>
        <v>-2.1000000000000012E-3</v>
      </c>
      <c r="E29">
        <f t="shared" si="11"/>
        <v>50</v>
      </c>
      <c r="G29">
        <f t="shared" si="5"/>
        <v>-4.0512850727616536</v>
      </c>
      <c r="H29">
        <f t="shared" si="12"/>
        <v>-10.077840939680906</v>
      </c>
      <c r="S29">
        <v>300</v>
      </c>
      <c r="T29">
        <f t="shared" si="6"/>
        <v>1.4903491255828863E-3</v>
      </c>
      <c r="U29">
        <f t="shared" si="7"/>
        <v>1.239509891629959E-2</v>
      </c>
      <c r="W29">
        <f t="shared" si="3"/>
        <v>1.5520450782884129E-2</v>
      </c>
      <c r="X29">
        <f t="shared" si="4"/>
        <v>1.7397535932709717E-2</v>
      </c>
      <c r="Y29">
        <f t="shared" si="8"/>
        <v>3.5327052595608792E-6</v>
      </c>
      <c r="Z29">
        <f t="shared" si="9"/>
        <v>6.0716276110357977E-12</v>
      </c>
    </row>
    <row r="31" spans="1:26" x14ac:dyDescent="0.25">
      <c r="C31" t="s">
        <v>32</v>
      </c>
      <c r="D31">
        <v>2.2488000000000001</v>
      </c>
      <c r="E31" t="s">
        <v>89</v>
      </c>
      <c r="S31" t="s">
        <v>46</v>
      </c>
      <c r="X31" t="s">
        <v>51</v>
      </c>
      <c r="Y31">
        <f>SUM(Y23:Y29)</f>
        <v>3.942103352958231E-5</v>
      </c>
      <c r="Z31">
        <f>SUM(Z23:Z29)</f>
        <v>1.6215008051788126E-8</v>
      </c>
    </row>
    <row r="32" spans="1:26" x14ac:dyDescent="0.25">
      <c r="C32" t="s">
        <v>33</v>
      </c>
      <c r="D32">
        <v>-0.98340000000000005</v>
      </c>
      <c r="Z32" t="s">
        <v>52</v>
      </c>
    </row>
    <row r="33" spans="1:7" x14ac:dyDescent="0.25">
      <c r="C33" t="s">
        <v>34</v>
      </c>
      <c r="D33">
        <f>EXP(D32)</f>
        <v>0.37403720795700657</v>
      </c>
      <c r="E33" t="s">
        <v>35</v>
      </c>
    </row>
    <row r="34" spans="1:7" x14ac:dyDescent="0.25">
      <c r="C34" t="s">
        <v>36</v>
      </c>
      <c r="D34">
        <f>D33/0.5</f>
        <v>0.74807441591401314</v>
      </c>
      <c r="E34" t="s">
        <v>37</v>
      </c>
    </row>
    <row r="38" spans="1:7" x14ac:dyDescent="0.25">
      <c r="D38">
        <v>760</v>
      </c>
      <c r="E38" t="s">
        <v>18</v>
      </c>
    </row>
    <row r="39" spans="1:7" x14ac:dyDescent="0.25">
      <c r="D39">
        <v>101325</v>
      </c>
      <c r="E39" t="s">
        <v>19</v>
      </c>
    </row>
    <row r="40" spans="1:7" x14ac:dyDescent="0.25">
      <c r="A40" s="21" t="s">
        <v>14</v>
      </c>
      <c r="B40" s="21"/>
      <c r="C40" t="s">
        <v>65</v>
      </c>
      <c r="D40">
        <v>1300</v>
      </c>
      <c r="E40" t="s">
        <v>61</v>
      </c>
    </row>
    <row r="41" spans="1:7" x14ac:dyDescent="0.25">
      <c r="A41" t="s">
        <v>94</v>
      </c>
    </row>
    <row r="42" spans="1:7" x14ac:dyDescent="0.25">
      <c r="B42" t="s">
        <v>15</v>
      </c>
      <c r="C42" t="s">
        <v>16</v>
      </c>
      <c r="D42" t="s">
        <v>17</v>
      </c>
      <c r="E42" t="s">
        <v>12</v>
      </c>
    </row>
    <row r="43" spans="1:7" x14ac:dyDescent="0.25">
      <c r="B43">
        <v>860</v>
      </c>
      <c r="C43">
        <v>82.5</v>
      </c>
      <c r="D43">
        <f>LN(B43)</f>
        <v>6.7569323892475532</v>
      </c>
      <c r="E43">
        <f>LN(($D$39*C43)/(8.314*$D$40*$D$38))</f>
        <v>1.7507927276693883E-2</v>
      </c>
    </row>
    <row r="44" spans="1:7" x14ac:dyDescent="0.25">
      <c r="B44">
        <v>470</v>
      </c>
      <c r="C44">
        <v>139</v>
      </c>
      <c r="D44">
        <f t="shared" ref="D44:D46" si="13">LN(B44)</f>
        <v>6.1527326947041043</v>
      </c>
      <c r="E44">
        <f t="shared" ref="E44:E46" si="14">LN(($D$39*C44)/(8.314*$D$40*$D$38))</f>
        <v>0.53918356706675041</v>
      </c>
    </row>
    <row r="45" spans="1:7" x14ac:dyDescent="0.25">
      <c r="B45">
        <v>255</v>
      </c>
      <c r="C45">
        <v>296</v>
      </c>
      <c r="D45">
        <f t="shared" si="13"/>
        <v>5.5412635451584258</v>
      </c>
      <c r="E45">
        <f t="shared" si="14"/>
        <v>1.295069088260119</v>
      </c>
    </row>
    <row r="46" spans="1:7" x14ac:dyDescent="0.25">
      <c r="B46">
        <v>212</v>
      </c>
      <c r="C46">
        <v>360</v>
      </c>
      <c r="D46">
        <f t="shared" si="13"/>
        <v>5.3565862746720123</v>
      </c>
      <c r="E46">
        <f t="shared" si="14"/>
        <v>1.4908136653862143</v>
      </c>
    </row>
    <row r="48" spans="1:7" x14ac:dyDescent="0.25">
      <c r="C48" t="s">
        <v>53</v>
      </c>
      <c r="D48">
        <v>-0.92789999999999995</v>
      </c>
      <c r="F48" t="s">
        <v>54</v>
      </c>
      <c r="G48">
        <v>6.7272999999999996</v>
      </c>
    </row>
    <row r="49" spans="1:14" x14ac:dyDescent="0.25">
      <c r="C49" t="s">
        <v>32</v>
      </c>
      <c r="D49">
        <f>1-D48</f>
        <v>1.9278999999999999</v>
      </c>
      <c r="F49" t="s">
        <v>38</v>
      </c>
      <c r="G49">
        <f>1/(EXP(G48))</f>
        <v>1.1977625551221017E-3</v>
      </c>
      <c r="H49" t="s">
        <v>55</v>
      </c>
    </row>
    <row r="50" spans="1:14" x14ac:dyDescent="0.25">
      <c r="C50" t="s">
        <v>56</v>
      </c>
      <c r="G50" s="17"/>
    </row>
    <row r="51" spans="1:14" x14ac:dyDescent="0.25">
      <c r="G51" s="17"/>
    </row>
    <row r="52" spans="1:14" x14ac:dyDescent="0.25">
      <c r="B52" t="s">
        <v>57</v>
      </c>
      <c r="C52" t="s">
        <v>58</v>
      </c>
      <c r="D52" t="s">
        <v>59</v>
      </c>
      <c r="F52" t="s">
        <v>66</v>
      </c>
      <c r="G52" t="s">
        <v>67</v>
      </c>
      <c r="H52" t="s">
        <v>38</v>
      </c>
      <c r="J52" t="s">
        <v>68</v>
      </c>
      <c r="K52" t="s">
        <v>69</v>
      </c>
      <c r="M52" t="s">
        <v>70</v>
      </c>
      <c r="N52">
        <v>23.9</v>
      </c>
    </row>
    <row r="53" spans="1:14" x14ac:dyDescent="0.25">
      <c r="B53">
        <v>1085</v>
      </c>
      <c r="C53">
        <v>345</v>
      </c>
      <c r="D53">
        <v>53</v>
      </c>
      <c r="F53">
        <f>($D$39*$C$43)/(8.314*$D$40*$D$38)</f>
        <v>1.0176620894077497</v>
      </c>
      <c r="G53">
        <f>($D$39*C53)/(8.314*$D$40*$D$38)</f>
        <v>4.2556778284324084</v>
      </c>
      <c r="H53">
        <f>(1/(1-$D$49))*(1/-D53)*((G53^(1-$D$49))-(F53^(1-$D$49)))</f>
        <v>-1.4702344952157503E-2</v>
      </c>
      <c r="J53">
        <f>LN(-H53)</f>
        <v>-4.2197482773645651</v>
      </c>
      <c r="K53">
        <f>1/B53</f>
        <v>9.2165898617511521E-4</v>
      </c>
      <c r="M53" t="s">
        <v>71</v>
      </c>
      <c r="N53">
        <v>-30460</v>
      </c>
    </row>
    <row r="54" spans="1:14" x14ac:dyDescent="0.25">
      <c r="B54">
        <v>1030</v>
      </c>
      <c r="C54">
        <v>360</v>
      </c>
      <c r="D54">
        <v>212</v>
      </c>
      <c r="F54">
        <f t="shared" ref="F54:F55" si="15">($D$39*$C$43)/(8.314*$D$40*$D$38)</f>
        <v>1.0176620894077497</v>
      </c>
      <c r="G54">
        <f t="shared" ref="G54:G55" si="16">($D$39*C54)/(8.314*$D$40*$D$38)</f>
        <v>4.440707299233817</v>
      </c>
      <c r="H54">
        <f t="shared" ref="H54:H55" si="17">(1/(1-$D$49))*(1/-D54)*((G54^(1-$D$49))-(F54^(1-$D$49)))</f>
        <v>-3.7269308140397482E-3</v>
      </c>
      <c r="J54">
        <f t="shared" ref="J54:J55" si="18">LN(-H54)</f>
        <v>-5.5921702221025162</v>
      </c>
      <c r="K54">
        <f t="shared" ref="K54:K55" si="19">1/B54</f>
        <v>9.7087378640776695E-4</v>
      </c>
    </row>
    <row r="55" spans="1:14" x14ac:dyDescent="0.25">
      <c r="B55">
        <v>967</v>
      </c>
      <c r="C55">
        <v>294</v>
      </c>
      <c r="D55">
        <v>1520</v>
      </c>
      <c r="F55">
        <f t="shared" si="15"/>
        <v>1.0176620894077497</v>
      </c>
      <c r="G55">
        <f t="shared" si="16"/>
        <v>3.6265776277076172</v>
      </c>
      <c r="H55">
        <f t="shared" si="17"/>
        <v>-4.8305446076708964E-4</v>
      </c>
      <c r="J55">
        <f t="shared" si="18"/>
        <v>-7.6353811554567264</v>
      </c>
      <c r="K55">
        <f t="shared" si="19"/>
        <v>1.0341261633919339E-3</v>
      </c>
      <c r="M55" t="s">
        <v>72</v>
      </c>
      <c r="N55">
        <f>EXP(N52)</f>
        <v>23968348874.006733</v>
      </c>
    </row>
    <row r="56" spans="1:14" x14ac:dyDescent="0.25">
      <c r="A56" t="s">
        <v>95</v>
      </c>
      <c r="M56" t="s">
        <v>73</v>
      </c>
      <c r="N56">
        <f>-N53*8.134</f>
        <v>247761.64</v>
      </c>
    </row>
    <row r="63" spans="1:14" x14ac:dyDescent="0.25">
      <c r="A63" s="21" t="s">
        <v>20</v>
      </c>
      <c r="B63" s="21"/>
    </row>
    <row r="64" spans="1:14" x14ac:dyDescent="0.25">
      <c r="G64" t="s">
        <v>64</v>
      </c>
      <c r="H64" t="s">
        <v>63</v>
      </c>
    </row>
    <row r="65" spans="2:8" x14ac:dyDescent="0.25">
      <c r="B65" t="s">
        <v>0</v>
      </c>
      <c r="C65" t="s">
        <v>21</v>
      </c>
      <c r="D65" t="s">
        <v>13</v>
      </c>
      <c r="E65" t="s">
        <v>10</v>
      </c>
      <c r="F65" t="s">
        <v>12</v>
      </c>
      <c r="G65" t="s">
        <v>11</v>
      </c>
    </row>
    <row r="66" spans="2:8" x14ac:dyDescent="0.25">
      <c r="B66">
        <v>82.5</v>
      </c>
      <c r="C66">
        <v>860</v>
      </c>
    </row>
    <row r="67" spans="2:8" x14ac:dyDescent="0.25">
      <c r="B67">
        <v>139</v>
      </c>
      <c r="C67">
        <v>470</v>
      </c>
      <c r="D67">
        <f>C67-C66</f>
        <v>-390</v>
      </c>
      <c r="E67">
        <f>B67-B66</f>
        <v>56.5</v>
      </c>
      <c r="F67">
        <f>LN(C67)</f>
        <v>6.1527326947041043</v>
      </c>
      <c r="G67">
        <f>LN(-D67/E67)</f>
        <v>1.9319061009712968</v>
      </c>
      <c r="H67">
        <f>LN(-D67)</f>
        <v>5.9661467391236922</v>
      </c>
    </row>
    <row r="68" spans="2:8" x14ac:dyDescent="0.25">
      <c r="B68">
        <v>296</v>
      </c>
      <c r="C68">
        <v>255</v>
      </c>
      <c r="D68">
        <f>C68-C67</f>
        <v>-215</v>
      </c>
      <c r="E68">
        <f>B68-B67</f>
        <v>157</v>
      </c>
      <c r="F68">
        <f>LN(C68)</f>
        <v>5.5412635451584258</v>
      </c>
      <c r="G68">
        <f>LN(-D68/E68)</f>
        <v>0.31439222277935469</v>
      </c>
      <c r="H68">
        <f t="shared" ref="H68:H69" si="20">LN(-D68)</f>
        <v>5.3706380281276624</v>
      </c>
    </row>
    <row r="69" spans="2:8" x14ac:dyDescent="0.25">
      <c r="B69">
        <v>360</v>
      </c>
      <c r="C69">
        <v>212</v>
      </c>
      <c r="D69">
        <f>C69-C68</f>
        <v>-43</v>
      </c>
      <c r="E69">
        <f>B69-B68</f>
        <v>64</v>
      </c>
      <c r="F69">
        <f>LN(C69)</f>
        <v>5.3565862746720123</v>
      </c>
      <c r="G69">
        <f>LN(-D69/E69)</f>
        <v>-0.39768296766610944</v>
      </c>
      <c r="H69">
        <f t="shared" si="20"/>
        <v>3.7612001156935624</v>
      </c>
    </row>
    <row r="72" spans="2:8" x14ac:dyDescent="0.25">
      <c r="F72" t="s">
        <v>32</v>
      </c>
      <c r="G72">
        <v>2.3197000000000001</v>
      </c>
    </row>
    <row r="73" spans="2:8" x14ac:dyDescent="0.25">
      <c r="F73" t="s">
        <v>60</v>
      </c>
      <c r="G73">
        <v>-8.1516999999999999</v>
      </c>
    </row>
    <row r="74" spans="2:8" x14ac:dyDescent="0.25">
      <c r="F74" t="s">
        <v>61</v>
      </c>
      <c r="G74">
        <f>EXP(G73)</f>
        <v>2.8824492650310416E-4</v>
      </c>
      <c r="H74" t="s">
        <v>62</v>
      </c>
    </row>
    <row r="83" spans="1:5" ht="15.75" thickBot="1" x14ac:dyDescent="0.3">
      <c r="A83" s="21" t="s">
        <v>22</v>
      </c>
      <c r="B83" s="21"/>
    </row>
    <row r="84" spans="1:5" ht="15.75" thickBot="1" x14ac:dyDescent="0.3">
      <c r="C84" s="12" t="s">
        <v>26</v>
      </c>
      <c r="D84" s="3">
        <v>2</v>
      </c>
      <c r="E84" s="4" t="s">
        <v>27</v>
      </c>
    </row>
    <row r="85" spans="1:5" ht="15.75" thickBot="1" x14ac:dyDescent="0.3">
      <c r="B85" s="9" t="s">
        <v>23</v>
      </c>
      <c r="C85" s="10" t="s">
        <v>24</v>
      </c>
      <c r="D85" s="10" t="s">
        <v>25</v>
      </c>
      <c r="E85" s="11" t="s">
        <v>28</v>
      </c>
    </row>
    <row r="86" spans="1:5" x14ac:dyDescent="0.25">
      <c r="B86" s="5">
        <v>15</v>
      </c>
      <c r="C86" s="6">
        <v>1.5</v>
      </c>
      <c r="D86" s="13">
        <f>LN(C86)</f>
        <v>0.40546510810816438</v>
      </c>
      <c r="E86" s="15">
        <f>LN(($D$84-C86)/B86)</f>
        <v>-3.4011973816621555</v>
      </c>
    </row>
    <row r="87" spans="1:5" x14ac:dyDescent="0.25">
      <c r="B87" s="5">
        <v>38</v>
      </c>
      <c r="C87" s="6">
        <v>1.25</v>
      </c>
      <c r="D87" s="13">
        <f t="shared" ref="D87:D90" si="21">LN(C87)</f>
        <v>0.22314355131420976</v>
      </c>
      <c r="E87" s="15">
        <f>LN(($D$84-C87)/B87)</f>
        <v>-3.9252682321781669</v>
      </c>
    </row>
    <row r="88" spans="1:5" x14ac:dyDescent="0.25">
      <c r="B88" s="5">
        <v>100</v>
      </c>
      <c r="C88" s="6">
        <v>1</v>
      </c>
      <c r="D88" s="13">
        <f t="shared" si="21"/>
        <v>0</v>
      </c>
      <c r="E88" s="15">
        <f>LN(($D$84-C88)/B88)</f>
        <v>-4.6051701859880909</v>
      </c>
    </row>
    <row r="89" spans="1:5" x14ac:dyDescent="0.25">
      <c r="B89" s="5">
        <v>300</v>
      </c>
      <c r="C89" s="6">
        <v>0.75</v>
      </c>
      <c r="D89" s="13">
        <f t="shared" si="21"/>
        <v>-0.2876820724517809</v>
      </c>
      <c r="E89" s="15">
        <f>LN(($D$84-C89)/B89)</f>
        <v>-5.4806389233419912</v>
      </c>
    </row>
    <row r="90" spans="1:5" ht="15.75" thickBot="1" x14ac:dyDescent="0.3">
      <c r="B90" s="7">
        <v>1200</v>
      </c>
      <c r="C90" s="8">
        <v>0.5</v>
      </c>
      <c r="D90" s="14">
        <f t="shared" si="21"/>
        <v>-0.69314718055994529</v>
      </c>
      <c r="E90" s="16">
        <f>LN(($D$84-C90)/B90)</f>
        <v>-6.6846117276679271</v>
      </c>
    </row>
    <row r="94" spans="1:5" x14ac:dyDescent="0.25">
      <c r="C94" t="s">
        <v>32</v>
      </c>
      <c r="D94">
        <v>2.9998</v>
      </c>
    </row>
    <row r="95" spans="1:5" x14ac:dyDescent="0.25">
      <c r="C95" t="s">
        <v>85</v>
      </c>
      <c r="D95">
        <v>-4.6081000000000003</v>
      </c>
    </row>
    <row r="96" spans="1:5" x14ac:dyDescent="0.25">
      <c r="C96" t="s">
        <v>38</v>
      </c>
      <c r="D96">
        <f>EXP(D95)</f>
        <v>9.9707447370473695E-3</v>
      </c>
      <c r="E96" t="s">
        <v>86</v>
      </c>
    </row>
  </sheetData>
  <mergeCells count="5">
    <mergeCell ref="A1:B1"/>
    <mergeCell ref="A19:B19"/>
    <mergeCell ref="A40:B40"/>
    <mergeCell ref="A63:B63"/>
    <mergeCell ref="A83:B8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2"/>
  <sheetViews>
    <sheetView workbookViewId="0">
      <selection activeCell="H15" sqref="H15"/>
    </sheetView>
  </sheetViews>
  <sheetFormatPr baseColWidth="10" defaultColWidth="9.140625" defaultRowHeight="15" x14ac:dyDescent="0.25"/>
  <cols>
    <col min="7" max="7" width="11.85546875" bestFit="1" customWidth="1"/>
    <col min="8" max="8" width="9.42578125" bestFit="1" customWidth="1"/>
  </cols>
  <sheetData>
    <row r="2" spans="1:10" x14ac:dyDescent="0.25">
      <c r="F2" t="s">
        <v>77</v>
      </c>
      <c r="G2" t="s">
        <v>78</v>
      </c>
      <c r="H2" t="s">
        <v>67</v>
      </c>
      <c r="I2" t="s">
        <v>82</v>
      </c>
      <c r="J2" t="s">
        <v>83</v>
      </c>
    </row>
    <row r="3" spans="1:10" x14ac:dyDescent="0.25">
      <c r="A3" t="s">
        <v>65</v>
      </c>
      <c r="B3">
        <v>670</v>
      </c>
      <c r="F3">
        <v>1.4E-2</v>
      </c>
      <c r="G3" s="19">
        <v>1.7274</v>
      </c>
      <c r="H3">
        <f>F3/($B$6*$B$3)</f>
        <v>2.5463712391006216E-4</v>
      </c>
      <c r="I3">
        <f>LOG(H3)</f>
        <v>-3.5940782796534823</v>
      </c>
      <c r="J3">
        <f>LOG(G3*10^-3)</f>
        <v>-2.7626070847382742</v>
      </c>
    </row>
    <row r="4" spans="1:10" x14ac:dyDescent="0.25">
      <c r="A4" t="s">
        <v>74</v>
      </c>
      <c r="B4">
        <v>0.20799999999999999</v>
      </c>
      <c r="C4" t="s">
        <v>75</v>
      </c>
      <c r="D4" t="s">
        <v>76</v>
      </c>
      <c r="F4">
        <v>1.35E-2</v>
      </c>
      <c r="G4" s="19">
        <v>1.6657</v>
      </c>
      <c r="H4">
        <f t="shared" ref="H4:H7" si="0">F4/($B$6*$B$3)</f>
        <v>2.4554294091327423E-4</v>
      </c>
      <c r="I4">
        <f t="shared" ref="I4:I7" si="1">LOG(H4)</f>
        <v>-3.6098725468367143</v>
      </c>
      <c r="J4">
        <f t="shared" ref="J4:J7" si="2">LOG(G4*10^-3)</f>
        <v>-2.778403214259737</v>
      </c>
    </row>
    <row r="5" spans="1:10" x14ac:dyDescent="0.25">
      <c r="F5">
        <v>1.2999999999999999E-2</v>
      </c>
      <c r="G5" s="19">
        <v>1.6040000000000001</v>
      </c>
      <c r="H5">
        <f t="shared" si="0"/>
        <v>2.364487579164863E-4</v>
      </c>
      <c r="I5">
        <f t="shared" si="1"/>
        <v>-3.6262629630248835</v>
      </c>
      <c r="J5">
        <f t="shared" si="2"/>
        <v>-2.7947956360518553</v>
      </c>
    </row>
    <row r="6" spans="1:10" x14ac:dyDescent="0.25">
      <c r="A6" t="s">
        <v>79</v>
      </c>
      <c r="B6" s="20">
        <v>8.2059999999999994E-2</v>
      </c>
      <c r="C6" t="s">
        <v>80</v>
      </c>
      <c r="F6">
        <v>1.2500000000000001E-2</v>
      </c>
      <c r="G6" s="19">
        <v>1.5423</v>
      </c>
      <c r="H6">
        <f t="shared" si="0"/>
        <v>2.2735457491969839E-4</v>
      </c>
      <c r="I6">
        <f t="shared" si="1"/>
        <v>-3.6432963023236637</v>
      </c>
      <c r="J6">
        <f t="shared" si="2"/>
        <v>-2.8118311414133035</v>
      </c>
    </row>
    <row r="7" spans="1:10" x14ac:dyDescent="0.25">
      <c r="B7" s="18">
        <v>8.3140000000000001</v>
      </c>
      <c r="C7" t="s">
        <v>81</v>
      </c>
      <c r="F7">
        <v>1.2E-2</v>
      </c>
      <c r="G7" s="19">
        <v>1.4805999999999999</v>
      </c>
      <c r="H7">
        <f t="shared" si="0"/>
        <v>2.1826039192291045E-4</v>
      </c>
      <c r="I7">
        <f t="shared" si="1"/>
        <v>-3.6610250692840953</v>
      </c>
      <c r="J7">
        <f t="shared" si="2"/>
        <v>-2.8295622549538169</v>
      </c>
    </row>
    <row r="11" spans="1:10" x14ac:dyDescent="0.25">
      <c r="G11" t="s">
        <v>32</v>
      </c>
      <c r="H11">
        <v>1.0001</v>
      </c>
    </row>
    <row r="12" spans="1:10" x14ac:dyDescent="0.25">
      <c r="G12" t="s">
        <v>84</v>
      </c>
      <c r="H12">
        <v>0.83189999999999997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eje23457</vt:lpstr>
      <vt:lpstr>eje1</vt:lpstr>
      <vt:lpstr>eje6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2024-03-30T19:04:18Z</dcterms:modified>
</cp:coreProperties>
</file>