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jua\Downloads\procesos unitarios pato\tema8\Tema 8 - Biorreactores\"/>
    </mc:Choice>
  </mc:AlternateContent>
  <xr:revisionPtr revIDLastSave="0" documentId="13_ncr:1_{9873CC00-53EB-4465-A69B-B97D700AF7D4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EJERCICIO 2" sheetId="1" r:id="rId1"/>
    <sheet name="EJERCICIO 4" sheetId="2" r:id="rId2"/>
    <sheet name="EJERCICIO 5" sheetId="3" r:id="rId3"/>
    <sheet name="eje6" sheetId="4" r:id="rId4"/>
    <sheet name="bioreactor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5" l="1"/>
  <c r="D7" i="5"/>
  <c r="H8" i="5"/>
  <c r="F8" i="5"/>
  <c r="A8" i="5"/>
  <c r="A9" i="5" s="1"/>
  <c r="A10" i="5" s="1"/>
  <c r="D10" i="5" s="1"/>
  <c r="E5" i="5"/>
  <c r="I10" i="4"/>
  <c r="I9" i="4"/>
  <c r="K10" i="4"/>
  <c r="K9" i="4"/>
  <c r="F9" i="4"/>
  <c r="G9" i="4"/>
  <c r="H9" i="4"/>
  <c r="E9" i="4"/>
  <c r="J9" i="4" s="1"/>
  <c r="D9" i="4"/>
  <c r="C9" i="4"/>
  <c r="B9" i="4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N2" i="3"/>
  <c r="N4" i="3"/>
  <c r="N3" i="3"/>
  <c r="K4" i="3"/>
  <c r="K3" i="3"/>
  <c r="G7" i="3"/>
  <c r="G8" i="3"/>
  <c r="G9" i="3"/>
  <c r="G10" i="3"/>
  <c r="G11" i="3"/>
  <c r="G12" i="3"/>
  <c r="G4" i="3"/>
  <c r="G5" i="3"/>
  <c r="G6" i="3"/>
  <c r="G3" i="3"/>
  <c r="C18" i="3"/>
  <c r="F4" i="3"/>
  <c r="F5" i="3"/>
  <c r="F6" i="3"/>
  <c r="F7" i="3"/>
  <c r="F8" i="3"/>
  <c r="F9" i="3"/>
  <c r="F10" i="3"/>
  <c r="F11" i="3"/>
  <c r="F12" i="3"/>
  <c r="F3" i="3"/>
  <c r="B4" i="3"/>
  <c r="B5" i="3"/>
  <c r="B6" i="3"/>
  <c r="B7" i="3"/>
  <c r="B8" i="3"/>
  <c r="B9" i="3"/>
  <c r="B10" i="3"/>
  <c r="B11" i="3"/>
  <c r="B12" i="3"/>
  <c r="B3" i="3"/>
  <c r="N52" i="2"/>
  <c r="M52" i="2"/>
  <c r="N51" i="2"/>
  <c r="M51" i="2"/>
  <c r="M50" i="2"/>
  <c r="M49" i="2"/>
  <c r="L44" i="2"/>
  <c r="M44" i="2"/>
  <c r="N44" i="2"/>
  <c r="M43" i="2"/>
  <c r="N43" i="2"/>
  <c r="L43" i="2"/>
  <c r="L41" i="2"/>
  <c r="M41" i="2"/>
  <c r="N41" i="2"/>
  <c r="M40" i="2"/>
  <c r="N40" i="2"/>
  <c r="L40" i="2"/>
  <c r="H41" i="2"/>
  <c r="H42" i="2" s="1"/>
  <c r="R24" i="2"/>
  <c r="R25" i="2" s="1"/>
  <c r="H23" i="2"/>
  <c r="H24" i="2" s="1"/>
  <c r="S8" i="2"/>
  <c r="S7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3" i="2"/>
  <c r="H18" i="2"/>
  <c r="H17" i="2"/>
  <c r="H16" i="2"/>
  <c r="H15" i="2"/>
  <c r="H14" i="2"/>
  <c r="H13" i="2"/>
  <c r="H4" i="2"/>
  <c r="H5" i="2"/>
  <c r="H6" i="2"/>
  <c r="H7" i="2"/>
  <c r="H8" i="2"/>
  <c r="H9" i="2"/>
  <c r="H10" i="2"/>
  <c r="H11" i="2"/>
  <c r="H12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3" i="2"/>
  <c r="D9" i="5" l="1"/>
  <c r="G10" i="5"/>
  <c r="B8" i="5"/>
  <c r="C8" i="5" s="1"/>
  <c r="E8" i="5" s="1"/>
  <c r="A11" i="5"/>
  <c r="D11" i="5" s="1"/>
  <c r="B10" i="5"/>
  <c r="C10" i="5" s="1"/>
  <c r="E10" i="5" s="1"/>
  <c r="B9" i="5"/>
  <c r="C9" i="5" s="1"/>
  <c r="E9" i="5" s="1"/>
  <c r="D10" i="4"/>
  <c r="C10" i="4"/>
  <c r="B10" i="4"/>
  <c r="G10" i="4" s="1"/>
  <c r="Q20" i="1"/>
  <c r="Q19" i="1"/>
  <c r="Q18" i="1"/>
  <c r="Q17" i="1"/>
  <c r="Q16" i="1"/>
  <c r="Q15" i="1"/>
  <c r="M20" i="1"/>
  <c r="M19" i="1"/>
  <c r="M18" i="1"/>
  <c r="M17" i="1"/>
  <c r="M16" i="1"/>
  <c r="M15" i="1"/>
  <c r="B15" i="1"/>
  <c r="C15" i="1"/>
  <c r="D15" i="1"/>
  <c r="E15" i="1"/>
  <c r="F15" i="1"/>
  <c r="G15" i="1"/>
  <c r="A12" i="5" l="1"/>
  <c r="D12" i="5" s="1"/>
  <c r="B11" i="5"/>
  <c r="C11" i="5" s="1"/>
  <c r="E11" i="5" s="1"/>
  <c r="F10" i="4"/>
  <c r="E10" i="4"/>
  <c r="B64" i="1"/>
  <c r="B62" i="1"/>
  <c r="B63" i="1" s="1"/>
  <c r="B48" i="1"/>
  <c r="O12" i="1" s="1"/>
  <c r="B47" i="1"/>
  <c r="O11" i="1" s="1"/>
  <c r="B30" i="1"/>
  <c r="B32" i="1" s="1"/>
  <c r="G16" i="1"/>
  <c r="A27" i="1" s="1"/>
  <c r="A44" i="1" s="1"/>
  <c r="F16" i="1"/>
  <c r="A26" i="1" s="1"/>
  <c r="A43" i="1" s="1"/>
  <c r="E16" i="1"/>
  <c r="A25" i="1" s="1"/>
  <c r="A42" i="1" s="1"/>
  <c r="D16" i="1"/>
  <c r="A24" i="1" s="1"/>
  <c r="A41" i="1" s="1"/>
  <c r="C16" i="1"/>
  <c r="A23" i="1" s="1"/>
  <c r="A40" i="1" s="1"/>
  <c r="B16" i="1"/>
  <c r="A22" i="1" s="1"/>
  <c r="A39" i="1" s="1"/>
  <c r="B27" i="1"/>
  <c r="B59" i="1" s="1"/>
  <c r="B26" i="1"/>
  <c r="B58" i="1" s="1"/>
  <c r="B25" i="1"/>
  <c r="B57" i="1" s="1"/>
  <c r="B23" i="1"/>
  <c r="B55" i="1" s="1"/>
  <c r="B24" i="1"/>
  <c r="B56" i="1" s="1"/>
  <c r="B22" i="1"/>
  <c r="B54" i="1" s="1"/>
  <c r="B12" i="5" l="1"/>
  <c r="C12" i="5" s="1"/>
  <c r="E12" i="5" s="1"/>
  <c r="A13" i="5"/>
  <c r="D13" i="5" s="1"/>
  <c r="J10" i="4"/>
  <c r="D11" i="4" s="1"/>
  <c r="K11" i="4" s="1"/>
  <c r="C11" i="4"/>
  <c r="H10" i="4"/>
  <c r="B11" i="4" s="1"/>
  <c r="B65" i="1"/>
  <c r="P12" i="1" s="1"/>
  <c r="P11" i="1"/>
  <c r="B33" i="1"/>
  <c r="N12" i="1" s="1"/>
  <c r="N11" i="1"/>
  <c r="O16" i="1"/>
  <c r="O20" i="1"/>
  <c r="O17" i="1"/>
  <c r="O15" i="1"/>
  <c r="O18" i="1"/>
  <c r="O19" i="1"/>
  <c r="B40" i="1"/>
  <c r="A55" i="1" s="1"/>
  <c r="B41" i="1"/>
  <c r="A56" i="1" s="1"/>
  <c r="B42" i="1"/>
  <c r="A57" i="1" s="1"/>
  <c r="B44" i="1"/>
  <c r="A59" i="1" s="1"/>
  <c r="B39" i="1"/>
  <c r="A54" i="1" s="1"/>
  <c r="B43" i="1"/>
  <c r="A58" i="1" s="1"/>
  <c r="A14" i="5" l="1"/>
  <c r="D14" i="5" s="1"/>
  <c r="B13" i="5"/>
  <c r="C13" i="5" s="1"/>
  <c r="E13" i="5" s="1"/>
  <c r="G11" i="4"/>
  <c r="F11" i="4"/>
  <c r="E11" i="4"/>
  <c r="I11" i="4" s="1"/>
  <c r="N18" i="1"/>
  <c r="N19" i="1"/>
  <c r="N16" i="1"/>
  <c r="N20" i="1"/>
  <c r="N15" i="1"/>
  <c r="N17" i="1"/>
  <c r="P18" i="1"/>
  <c r="P19" i="1"/>
  <c r="P20" i="1"/>
  <c r="P17" i="1"/>
  <c r="P15" i="1"/>
  <c r="P16" i="1"/>
  <c r="A15" i="5" l="1"/>
  <c r="D15" i="5" s="1"/>
  <c r="B14" i="5"/>
  <c r="C14" i="5" s="1"/>
  <c r="E14" i="5" s="1"/>
  <c r="C12" i="4"/>
  <c r="H11" i="4"/>
  <c r="J11" i="4"/>
  <c r="D12" i="4" s="1"/>
  <c r="K12" i="4" s="1"/>
  <c r="B12" i="4"/>
  <c r="F12" i="4" s="1"/>
  <c r="A16" i="5" l="1"/>
  <c r="D16" i="5" s="1"/>
  <c r="B15" i="5"/>
  <c r="C15" i="5" s="1"/>
  <c r="E15" i="5" s="1"/>
  <c r="E12" i="4"/>
  <c r="I12" i="4" s="1"/>
  <c r="G12" i="4"/>
  <c r="A17" i="5" l="1"/>
  <c r="D17" i="5" s="1"/>
  <c r="B16" i="5"/>
  <c r="C16" i="5" s="1"/>
  <c r="E16" i="5" s="1"/>
  <c r="H12" i="4"/>
  <c r="B13" i="4" s="1"/>
  <c r="G13" i="4" s="1"/>
  <c r="C13" i="4"/>
  <c r="J12" i="4"/>
  <c r="D13" i="4" s="1"/>
  <c r="K13" i="4" s="1"/>
  <c r="A18" i="5" l="1"/>
  <c r="D18" i="5" s="1"/>
  <c r="B17" i="5"/>
  <c r="C17" i="5" s="1"/>
  <c r="E17" i="5" s="1"/>
  <c r="E13" i="4"/>
  <c r="I13" i="4" s="1"/>
  <c r="F13" i="4"/>
  <c r="A19" i="5" l="1"/>
  <c r="D19" i="5" s="1"/>
  <c r="B18" i="5"/>
  <c r="C18" i="5" s="1"/>
  <c r="E18" i="5" s="1"/>
  <c r="C14" i="4"/>
  <c r="J13" i="4"/>
  <c r="D14" i="4" s="1"/>
  <c r="K14" i="4" s="1"/>
  <c r="H13" i="4"/>
  <c r="B14" i="4" s="1"/>
  <c r="A20" i="5" l="1"/>
  <c r="D20" i="5" s="1"/>
  <c r="B19" i="5"/>
  <c r="C19" i="5" s="1"/>
  <c r="E19" i="5" s="1"/>
  <c r="F14" i="4"/>
  <c r="G14" i="4"/>
  <c r="E14" i="4"/>
  <c r="I14" i="4" s="1"/>
  <c r="A21" i="5" l="1"/>
  <c r="D21" i="5" s="1"/>
  <c r="B20" i="5"/>
  <c r="C20" i="5" s="1"/>
  <c r="E20" i="5" s="1"/>
  <c r="J14" i="4"/>
  <c r="H14" i="4"/>
  <c r="B15" i="4" s="1"/>
  <c r="C15" i="4"/>
  <c r="A22" i="5" l="1"/>
  <c r="D22" i="5" s="1"/>
  <c r="B21" i="5"/>
  <c r="C21" i="5" s="1"/>
  <c r="E21" i="5" s="1"/>
  <c r="F15" i="4"/>
  <c r="G15" i="4"/>
  <c r="D15" i="4"/>
  <c r="K15" i="4" s="1"/>
  <c r="B22" i="5" l="1"/>
  <c r="C22" i="5" s="1"/>
  <c r="E22" i="5" s="1"/>
  <c r="E15" i="4"/>
  <c r="I15" i="4" s="1"/>
  <c r="J15" i="4" l="1"/>
  <c r="D16" i="4" s="1"/>
  <c r="K16" i="4" s="1"/>
  <c r="C16" i="4"/>
  <c r="H15" i="4"/>
  <c r="B16" i="4"/>
  <c r="G16" i="4" s="1"/>
  <c r="E16" i="4" l="1"/>
  <c r="F16" i="4"/>
  <c r="I16" i="4" l="1"/>
  <c r="C17" i="4"/>
  <c r="J16" i="4"/>
  <c r="D17" i="4" s="1"/>
  <c r="K17" i="4" s="1"/>
  <c r="H16" i="4"/>
  <c r="B17" i="4" s="1"/>
  <c r="F17" i="4" l="1"/>
  <c r="G17" i="4"/>
  <c r="E17" i="4"/>
  <c r="I17" i="4" s="1"/>
  <c r="C18" i="4" l="1"/>
  <c r="J17" i="4"/>
  <c r="D18" i="4" s="1"/>
  <c r="K18" i="4" s="1"/>
  <c r="H17" i="4"/>
  <c r="B18" i="4" s="1"/>
  <c r="F18" i="4" l="1"/>
  <c r="G18" i="4"/>
  <c r="E18" i="4"/>
  <c r="I18" i="4" s="1"/>
  <c r="J18" i="4" l="1"/>
  <c r="C19" i="4"/>
  <c r="H18" i="4"/>
  <c r="B19" i="4" s="1"/>
  <c r="G19" i="4" s="1"/>
  <c r="D19" i="4"/>
  <c r="K19" i="4" s="1"/>
  <c r="E19" i="4" l="1"/>
  <c r="I19" i="4" s="1"/>
  <c r="F19" i="4"/>
  <c r="C20" i="4" l="1"/>
  <c r="J19" i="4"/>
  <c r="D20" i="4" s="1"/>
  <c r="K20" i="4" s="1"/>
  <c r="H19" i="4"/>
  <c r="B20" i="4" s="1"/>
  <c r="G20" i="4" s="1"/>
  <c r="F20" i="4" l="1"/>
  <c r="E20" i="4"/>
  <c r="I20" i="4" s="1"/>
  <c r="J20" i="4" l="1"/>
  <c r="C21" i="4"/>
  <c r="H20" i="4"/>
  <c r="D21" i="4"/>
  <c r="K21" i="4" s="1"/>
  <c r="B21" i="4" l="1"/>
  <c r="F21" i="4" l="1"/>
  <c r="G21" i="4"/>
  <c r="E21" i="4"/>
  <c r="I21" i="4" s="1"/>
  <c r="C22" i="4" l="1"/>
  <c r="J21" i="4"/>
  <c r="D22" i="4" s="1"/>
  <c r="K22" i="4" s="1"/>
  <c r="H21" i="4"/>
  <c r="B22" i="4" s="1"/>
  <c r="E22" i="4" l="1"/>
  <c r="F22" i="4"/>
  <c r="G22" i="4"/>
  <c r="I22" i="4" l="1"/>
  <c r="J22" i="4"/>
  <c r="D23" i="4" s="1"/>
  <c r="K23" i="4" s="1"/>
  <c r="H22" i="4"/>
  <c r="B23" i="4" s="1"/>
  <c r="F23" i="4" s="1"/>
  <c r="C23" i="4"/>
  <c r="E23" i="4" l="1"/>
  <c r="I23" i="4" s="1"/>
  <c r="G23" i="4"/>
  <c r="C24" i="4" l="1"/>
  <c r="H23" i="4"/>
  <c r="B24" i="4" s="1"/>
  <c r="G24" i="4" s="1"/>
  <c r="J23" i="4"/>
  <c r="D24" i="4" s="1"/>
  <c r="F24" i="4" l="1"/>
  <c r="E24" i="4"/>
  <c r="I24" i="4" s="1"/>
  <c r="K24" i="4"/>
  <c r="C25" i="4" l="1"/>
  <c r="H24" i="4"/>
  <c r="B25" i="4" s="1"/>
  <c r="F25" i="4" s="1"/>
  <c r="J24" i="4"/>
  <c r="D25" i="4" s="1"/>
  <c r="K25" i="4" s="1"/>
  <c r="G25" i="4" l="1"/>
  <c r="E25" i="4"/>
  <c r="I25" i="4" s="1"/>
  <c r="J25" i="4" l="1"/>
  <c r="D26" i="4" s="1"/>
  <c r="C26" i="4"/>
  <c r="K26" i="4"/>
  <c r="H25" i="4"/>
  <c r="B26" i="4" s="1"/>
  <c r="F26" i="4" l="1"/>
  <c r="G26" i="4"/>
  <c r="E26" i="4"/>
  <c r="I26" i="4" s="1"/>
  <c r="C27" i="4" l="1"/>
  <c r="J26" i="4"/>
  <c r="D27" i="4" s="1"/>
  <c r="H26" i="4"/>
  <c r="B27" i="4" s="1"/>
  <c r="K27" i="4" l="1"/>
  <c r="E27" i="4"/>
  <c r="I27" i="4" s="1"/>
  <c r="F27" i="4"/>
  <c r="G27" i="4"/>
  <c r="C28" i="4" l="1"/>
  <c r="H27" i="4"/>
  <c r="B28" i="4" s="1"/>
  <c r="J27" i="4"/>
  <c r="D28" i="4" s="1"/>
  <c r="K28" i="4" l="1"/>
  <c r="E28" i="4"/>
  <c r="I28" i="4" s="1"/>
  <c r="F28" i="4"/>
  <c r="G28" i="4"/>
  <c r="C29" i="4" l="1"/>
  <c r="J28" i="4"/>
  <c r="D29" i="4" s="1"/>
  <c r="H28" i="4"/>
  <c r="B29" i="4" s="1"/>
  <c r="G29" i="4" l="1"/>
  <c r="F29" i="4"/>
  <c r="K29" i="4"/>
  <c r="E29" i="4"/>
  <c r="I29" i="4" s="1"/>
  <c r="C30" i="4" l="1"/>
  <c r="H29" i="4"/>
  <c r="B30" i="4" s="1"/>
  <c r="J29" i="4"/>
  <c r="D30" i="4" s="1"/>
  <c r="F30" i="4" l="1"/>
  <c r="G30" i="4"/>
  <c r="K30" i="4"/>
  <c r="E30" i="4"/>
  <c r="I30" i="4" s="1"/>
  <c r="H30" i="4" l="1"/>
  <c r="B31" i="4" s="1"/>
  <c r="C31" i="4"/>
  <c r="J30" i="4"/>
  <c r="D31" i="4" s="1"/>
  <c r="G31" i="4"/>
  <c r="F31" i="4"/>
  <c r="K31" i="4" l="1"/>
  <c r="E31" i="4"/>
  <c r="I31" i="4" s="1"/>
  <c r="C32" i="4" l="1"/>
  <c r="H31" i="4"/>
  <c r="B32" i="4" s="1"/>
  <c r="J31" i="4"/>
  <c r="D32" i="4" s="1"/>
  <c r="K32" i="4" s="1"/>
  <c r="G32" i="4" l="1"/>
  <c r="F32" i="4"/>
  <c r="E32" i="4"/>
  <c r="I32" i="4" s="1"/>
  <c r="C33" i="4" l="1"/>
  <c r="H32" i="4"/>
  <c r="B33" i="4" s="1"/>
  <c r="J32" i="4"/>
  <c r="D33" i="4" s="1"/>
  <c r="K33" i="4" l="1"/>
  <c r="E33" i="4"/>
  <c r="I33" i="4" s="1"/>
  <c r="G33" i="4"/>
  <c r="F33" i="4"/>
  <c r="H33" i="4" l="1"/>
  <c r="J3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estergaard</author>
  </authors>
  <commentList>
    <comment ref="C17" authorId="0" shapeId="0" xr:uid="{AE7B7F3D-C783-4375-94A3-8813279C8D52}">
      <text>
        <r>
          <rPr>
            <b/>
            <sz val="9"/>
            <color indexed="81"/>
            <rFont val="Tahoma"/>
            <charset val="1"/>
          </rPr>
          <t>juan estergaard:</t>
        </r>
        <r>
          <rPr>
            <sz val="9"/>
            <color indexed="81"/>
            <rFont val="Tahoma"/>
            <charset val="1"/>
          </rPr>
          <t xml:space="preserve">
en la fase de crecimiento valor de la pendiente en lnCc vs tiempo</t>
        </r>
      </text>
    </comment>
  </commentList>
</comments>
</file>

<file path=xl/sharedStrings.xml><?xml version="1.0" encoding="utf-8"?>
<sst xmlns="http://schemas.openxmlformats.org/spreadsheetml/2006/main" count="153" uniqueCount="107">
  <si>
    <t>Lineweaver-Burk</t>
  </si>
  <si>
    <t>r0(mol/Lmin)</t>
  </si>
  <si>
    <t>S0(M)</t>
  </si>
  <si>
    <t>Eadie-Hofstee</t>
  </si>
  <si>
    <t>1/S0</t>
  </si>
  <si>
    <t>r0</t>
  </si>
  <si>
    <t>r0/S0</t>
  </si>
  <si>
    <t>Hanes –Woolf</t>
  </si>
  <si>
    <t>S0</t>
  </si>
  <si>
    <t>1/-r0</t>
  </si>
  <si>
    <t>S0/-r0</t>
  </si>
  <si>
    <t>mol/Lmin</t>
  </si>
  <si>
    <t>mol/L</t>
  </si>
  <si>
    <t>1/Vmáx</t>
  </si>
  <si>
    <t>Km/Vmáx</t>
  </si>
  <si>
    <t>Vmáx</t>
  </si>
  <si>
    <t>Km</t>
  </si>
  <si>
    <t>Vmax</t>
  </si>
  <si>
    <t>LB</t>
  </si>
  <si>
    <t>EH</t>
  </si>
  <si>
    <t>HW</t>
  </si>
  <si>
    <t>S</t>
  </si>
  <si>
    <t>rs exp</t>
  </si>
  <si>
    <t>rs_LB</t>
  </si>
  <si>
    <t>rs_EH</t>
  </si>
  <si>
    <t>rs_HW</t>
  </si>
  <si>
    <t>Eo (g/L)</t>
  </si>
  <si>
    <t>T (°C)</t>
  </si>
  <si>
    <t>I (mmol/mL)</t>
  </si>
  <si>
    <t>S (mmol/mL)</t>
  </si>
  <si>
    <t xml:space="preserve"> rs (mmol/mL.min)</t>
  </si>
  <si>
    <t>1/rs</t>
  </si>
  <si>
    <t>1/S</t>
  </si>
  <si>
    <t>Tiempo (hr)</t>
  </si>
  <si>
    <t>Biomasa (gr/L)</t>
  </si>
  <si>
    <t>Sustrato (gr/L)</t>
  </si>
  <si>
    <t xml:space="preserve"> S/rs</t>
  </si>
  <si>
    <t>1/Vmax</t>
  </si>
  <si>
    <t>KM/Vmax</t>
  </si>
  <si>
    <t xml:space="preserve">KM </t>
  </si>
  <si>
    <t>mol/ml</t>
  </si>
  <si>
    <t>mol/ml min</t>
  </si>
  <si>
    <t>EXP1</t>
  </si>
  <si>
    <t>EXP2</t>
  </si>
  <si>
    <t>EXP3</t>
  </si>
  <si>
    <t>EXP4</t>
  </si>
  <si>
    <t xml:space="preserve"> rs/S</t>
  </si>
  <si>
    <t>EXP3 VS EXP4</t>
  </si>
  <si>
    <t xml:space="preserve">exp3  </t>
  </si>
  <si>
    <t>exp4</t>
  </si>
  <si>
    <t>Vmax3=Vmax4</t>
  </si>
  <si>
    <t>KM4&gt;KM3</t>
  </si>
  <si>
    <t>KM'</t>
  </si>
  <si>
    <t>I/KI</t>
  </si>
  <si>
    <t>aproximado</t>
  </si>
  <si>
    <t>KI</t>
  </si>
  <si>
    <t>mmol/ml</t>
  </si>
  <si>
    <t>tiempo(seg)</t>
  </si>
  <si>
    <t>Cc</t>
  </si>
  <si>
    <t>log(Cc)</t>
  </si>
  <si>
    <t>Csn</t>
  </si>
  <si>
    <t>Yc/s</t>
  </si>
  <si>
    <t>estacionario</t>
  </si>
  <si>
    <t>crecimiento</t>
  </si>
  <si>
    <t>latencia</t>
  </si>
  <si>
    <t>umax</t>
  </si>
  <si>
    <t>tdu</t>
  </si>
  <si>
    <t>g/Lh</t>
  </si>
  <si>
    <t>td</t>
  </si>
  <si>
    <t>hs</t>
  </si>
  <si>
    <t>mal</t>
  </si>
  <si>
    <t>DS</t>
  </si>
  <si>
    <t>DX</t>
  </si>
  <si>
    <t>Ysx</t>
  </si>
  <si>
    <t>bien</t>
  </si>
  <si>
    <t>tiempo</t>
  </si>
  <si>
    <t>t inicial</t>
  </si>
  <si>
    <t>t paso</t>
  </si>
  <si>
    <t>Cs</t>
  </si>
  <si>
    <t>Cp</t>
  </si>
  <si>
    <t>ks</t>
  </si>
  <si>
    <t>kd</t>
  </si>
  <si>
    <t>m</t>
  </si>
  <si>
    <t>rg</t>
  </si>
  <si>
    <t>rsm</t>
  </si>
  <si>
    <t>rd</t>
  </si>
  <si>
    <t>dCcdt</t>
  </si>
  <si>
    <t>dCsdt</t>
  </si>
  <si>
    <t>dCpdt</t>
  </si>
  <si>
    <t>Cpinicial</t>
  </si>
  <si>
    <t>kobs</t>
  </si>
  <si>
    <t>Cps  Ypc</t>
  </si>
  <si>
    <t>CCs   Ycs</t>
  </si>
  <si>
    <t>Yps</t>
  </si>
  <si>
    <t>D inicial</t>
  </si>
  <si>
    <t>D paso</t>
  </si>
  <si>
    <t>Ks</t>
  </si>
  <si>
    <t>u max</t>
  </si>
  <si>
    <t>Y c/s</t>
  </si>
  <si>
    <t>Y s/c</t>
  </si>
  <si>
    <t>D</t>
  </si>
  <si>
    <t>D critico</t>
  </si>
  <si>
    <t>D maxprod</t>
  </si>
  <si>
    <t>Cs0</t>
  </si>
  <si>
    <t>Dcc</t>
  </si>
  <si>
    <t>Dcrit/Dmax</t>
  </si>
  <si>
    <t>pag 442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</si>
</sst>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7">
    <xf numFmtId="0" fontId="0" fillId="0" borderId="0" xfId="0"/>
    <xf numFmtId="11" fontId="0" fillId="0" borderId="0" xfId="0" applyNumberFormat="1"/>
    <xf numFmtId="0" fontId="0" fillId="0" borderId="1" xfId="0" applyBorder="1"/>
    <xf numFmtId="11" fontId="0" fillId="0" borderId="1" xfId="0" applyNumberFormat="1" applyBorder="1"/>
    <xf numFmtId="0" fontId="1" fillId="2" borderId="1" xfId="1" applyBorder="1"/>
    <xf numFmtId="11" fontId="1" fillId="2" borderId="1" xfId="1" applyNumberFormat="1" applyBorder="1"/>
    <xf numFmtId="0" fontId="1" fillId="2" borderId="1" xfId="1" applyNumberFormat="1" applyBorder="1"/>
    <xf numFmtId="0" fontId="0" fillId="0" borderId="1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2" fontId="0" fillId="0" borderId="0" xfId="0" applyNumberFormat="1"/>
    <xf numFmtId="164" fontId="0" fillId="6" borderId="15" xfId="0" applyNumberFormat="1" applyFill="1" applyBorder="1" applyAlignment="1">
      <alignment horizontal="center"/>
    </xf>
    <xf numFmtId="164" fontId="0" fillId="6" borderId="13" xfId="0" applyNumberFormat="1" applyFill="1" applyBorder="1" applyAlignment="1">
      <alignment horizontal="center"/>
    </xf>
    <xf numFmtId="164" fontId="0" fillId="6" borderId="14" xfId="0" applyNumberFormat="1" applyFill="1" applyBorder="1" applyAlignment="1">
      <alignment horizontal="center"/>
    </xf>
    <xf numFmtId="165" fontId="0" fillId="6" borderId="13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/>
    <xf numFmtId="0" fontId="0" fillId="9" borderId="0" xfId="0" applyFill="1"/>
    <xf numFmtId="0" fontId="2" fillId="3" borderId="0" xfId="0" applyFont="1" applyFill="1" applyAlignment="1">
      <alignment horizontal="center"/>
    </xf>
    <xf numFmtId="0" fontId="0" fillId="5" borderId="15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2" fontId="0" fillId="0" borderId="19" xfId="0" applyNumberFormat="1" applyBorder="1"/>
    <xf numFmtId="2" fontId="0" fillId="0" borderId="20" xfId="0" applyNumberFormat="1" applyBorder="1"/>
    <xf numFmtId="2" fontId="0" fillId="0" borderId="22" xfId="0" applyNumberFormat="1" applyBorder="1"/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Lineweaver-Burk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6778215223097116E-3"/>
                  <c:y val="-0.22153834937299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'EJERCICIO 2'!$B$22:$B$27</c:f>
              <c:numCache>
                <c:formatCode>0.00E+00</c:formatCode>
                <c:ptCount val="6"/>
                <c:pt idx="0">
                  <c:v>243.90243902439028</c:v>
                </c:pt>
                <c:pt idx="1">
                  <c:v>1052.6315789473683</c:v>
                </c:pt>
                <c:pt idx="2">
                  <c:v>1923.0769230769229</c:v>
                </c:pt>
                <c:pt idx="3">
                  <c:v>9708.7378640776697</c:v>
                </c:pt>
                <c:pt idx="4">
                  <c:v>20408.163265306121</c:v>
                </c:pt>
                <c:pt idx="5">
                  <c:v>66666.666666666657</c:v>
                </c:pt>
              </c:numCache>
            </c:numRef>
          </c:xVal>
          <c:yVal>
            <c:numRef>
              <c:f>'EJERCICIO 2'!$A$22:$A$27</c:f>
              <c:numCache>
                <c:formatCode>0.00E+00</c:formatCode>
                <c:ptCount val="6"/>
                <c:pt idx="0">
                  <c:v>56497175.141242936</c:v>
                </c:pt>
                <c:pt idx="1">
                  <c:v>57803468.208092488</c:v>
                </c:pt>
                <c:pt idx="2">
                  <c:v>66666666.666666657</c:v>
                </c:pt>
                <c:pt idx="3">
                  <c:v>94339622.641509429</c:v>
                </c:pt>
                <c:pt idx="4">
                  <c:v>117647058.82352941</c:v>
                </c:pt>
                <c:pt idx="5">
                  <c:v>200000000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98-41C4-9BC3-4F67E8417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56448"/>
        <c:axId val="96038912"/>
      </c:scatterChart>
      <c:valAx>
        <c:axId val="9605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1/S0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038912"/>
        <c:crosses val="autoZero"/>
        <c:crossBetween val="midCat"/>
      </c:valAx>
      <c:valAx>
        <c:axId val="9603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1/-r0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05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ln(Cc) vs</a:t>
            </a:r>
            <a:r>
              <a:rPr lang="en-US" baseline="0"/>
              <a:t> tiempo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ln(Cc)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'EJERCICIO 5'!$C$3:$C$12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xVal>
          <c:yVal>
            <c:numRef>
              <c:f>'EJERCICIO 5'!$F$3:$F$12</c:f>
              <c:numCache>
                <c:formatCode>General</c:formatCode>
                <c:ptCount val="10"/>
                <c:pt idx="0">
                  <c:v>-1</c:v>
                </c:pt>
                <c:pt idx="1">
                  <c:v>-0.82390874094431876</c:v>
                </c:pt>
                <c:pt idx="2">
                  <c:v>-0.69897000433601875</c:v>
                </c:pt>
                <c:pt idx="3">
                  <c:v>-0.6020599913279624</c:v>
                </c:pt>
                <c:pt idx="4">
                  <c:v>-0.16749108729376366</c:v>
                </c:pt>
                <c:pt idx="5">
                  <c:v>0.25527250510330607</c:v>
                </c:pt>
                <c:pt idx="6">
                  <c:v>0.47712125471966244</c:v>
                </c:pt>
                <c:pt idx="7">
                  <c:v>0.69897000433601886</c:v>
                </c:pt>
                <c:pt idx="8">
                  <c:v>0.72427586960078905</c:v>
                </c:pt>
                <c:pt idx="9">
                  <c:v>0.72427586960078905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7F-42CC-9957-2E3E488DB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22520"/>
        <c:axId val="108423960"/>
      </c:scatterChart>
      <c:valAx>
        <c:axId val="10842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Tiempo(Hr)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8423960"/>
        <c:crosses val="autoZero"/>
        <c:crossBetween val="midCat"/>
      </c:valAx>
      <c:valAx>
        <c:axId val="10842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ln(Cc)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8422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ln(Cc) vs</a:t>
            </a:r>
            <a:r>
              <a:rPr lang="en-US" baseline="0"/>
              <a:t> tiempo(FASE CRECIMIETO)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'EJERCICIO 5'!$C$6:$C$10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</c:numCache>
            </c:numRef>
          </c:xVal>
          <c:yVal>
            <c:numRef>
              <c:f>'EJERCICIO 5'!$F$6:$F$10</c:f>
              <c:numCache>
                <c:formatCode>General</c:formatCode>
                <c:ptCount val="5"/>
                <c:pt idx="0">
                  <c:v>-0.6020599913279624</c:v>
                </c:pt>
                <c:pt idx="1">
                  <c:v>-0.16749108729376366</c:v>
                </c:pt>
                <c:pt idx="2">
                  <c:v>0.25527250510330607</c:v>
                </c:pt>
                <c:pt idx="3">
                  <c:v>0.47712125471966244</c:v>
                </c:pt>
                <c:pt idx="4">
                  <c:v>0.69897000433601886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46-4FAF-A771-70F4D211C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22520"/>
        <c:axId val="108423960"/>
      </c:scatterChart>
      <c:valAx>
        <c:axId val="10842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Tiempo(Hr)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8423960"/>
        <c:crosses val="autoZero"/>
        <c:crossBetween val="midCat"/>
      </c:valAx>
      <c:valAx>
        <c:axId val="10842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ln(Cc)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8422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biomasa</c:v>
          </c:tx>
          <c:xVal>
            <c:numRef>
              <c:f>'EJERCICIO 5'!$C$6:$C$12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'EJERCICIO 5'!$D$6:$D$12</c:f>
              <c:numCache>
                <c:formatCode>General</c:formatCode>
                <c:ptCount val="7"/>
                <c:pt idx="0">
                  <c:v>0.25</c:v>
                </c:pt>
                <c:pt idx="1">
                  <c:v>0.68</c:v>
                </c:pt>
                <c:pt idx="2">
                  <c:v>1.8</c:v>
                </c:pt>
                <c:pt idx="3">
                  <c:v>3</c:v>
                </c:pt>
                <c:pt idx="4">
                  <c:v>5</c:v>
                </c:pt>
                <c:pt idx="5">
                  <c:v>5.3</c:v>
                </c:pt>
                <c:pt idx="6">
                  <c:v>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E2-4050-888E-13E0ADF2570E}"/>
            </c:ext>
          </c:extLst>
        </c:ser>
        <c:ser>
          <c:idx val="1"/>
          <c:order val="1"/>
          <c:tx>
            <c:v>sustrato</c:v>
          </c:tx>
          <c:xVal>
            <c:numRef>
              <c:f>'EJERCICIO 5'!$C$6:$C$12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'EJERCICIO 5'!$E$6:$E$12</c:f>
              <c:numCache>
                <c:formatCode>General</c:formatCode>
                <c:ptCount val="7"/>
                <c:pt idx="0">
                  <c:v>9.6999999999999993</c:v>
                </c:pt>
                <c:pt idx="1">
                  <c:v>8.8000000000000007</c:v>
                </c:pt>
                <c:pt idx="2">
                  <c:v>6.5</c:v>
                </c:pt>
                <c:pt idx="3">
                  <c:v>4.0999999999999996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E2-4050-888E-13E0ADF25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78880"/>
        <c:axId val="119771136"/>
      </c:scatterChart>
      <c:valAx>
        <c:axId val="72778880"/>
        <c:scaling>
          <c:orientation val="minMax"/>
          <c:max val="8"/>
          <c:min val="3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Tiempo(hr)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9771136"/>
        <c:crosses val="autoZero"/>
        <c:crossBetween val="midCat"/>
      </c:valAx>
      <c:valAx>
        <c:axId val="119771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Concentracio</a:t>
                </a:r>
                <a:r>
                  <a:rPr lang="es-AR" baseline="0"/>
                  <a:t> (gr/L)</a:t>
                </a:r>
                <a:endParaRPr lang="es-A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2778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Cs vs 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'eje6'!$A$9:$A$33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'eje6'!$C$9:$C$33</c:f>
              <c:numCache>
                <c:formatCode>General</c:formatCode>
                <c:ptCount val="25"/>
                <c:pt idx="0">
                  <c:v>250</c:v>
                </c:pt>
                <c:pt idx="1">
                  <c:v>247.93643027413589</c:v>
                </c:pt>
                <c:pt idx="2">
                  <c:v>245.55733344918482</c:v>
                </c:pt>
                <c:pt idx="3">
                  <c:v>242.81882557161603</c:v>
                </c:pt>
                <c:pt idx="4">
                  <c:v>239.67244149589865</c:v>
                </c:pt>
                <c:pt idx="5">
                  <c:v>236.06521143833388</c:v>
                </c:pt>
                <c:pt idx="6">
                  <c:v>231.93998929281213</c:v>
                </c:pt>
                <c:pt idx="7">
                  <c:v>227.23613060025534</c:v>
                </c:pt>
                <c:pt idx="8">
                  <c:v>221.89064045832001</c:v>
                </c:pt>
                <c:pt idx="9">
                  <c:v>215.8399339738335</c:v>
                </c:pt>
                <c:pt idx="10">
                  <c:v>209.02237065001259</c:v>
                </c:pt>
                <c:pt idx="11">
                  <c:v>201.38173379823397</c:v>
                </c:pt>
                <c:pt idx="12">
                  <c:v>192.87181838697327</c:v>
                </c:pt>
                <c:pt idx="13">
                  <c:v>183.46225427257193</c:v>
                </c:pt>
                <c:pt idx="14">
                  <c:v>173.14561206599109</c:v>
                </c:pt>
                <c:pt idx="15">
                  <c:v>161.94569972905069</c:v>
                </c:pt>
                <c:pt idx="16">
                  <c:v>149.92674433213963</c:v>
                </c:pt>
                <c:pt idx="17">
                  <c:v>137.20285713278233</c:v>
                </c:pt>
                <c:pt idx="18">
                  <c:v>123.94680906421158</c:v>
                </c:pt>
                <c:pt idx="19">
                  <c:v>110.39673383041844</c:v>
                </c:pt>
                <c:pt idx="20">
                  <c:v>96.859005583035682</c:v>
                </c:pt>
                <c:pt idx="21">
                  <c:v>83.705344067313476</c:v>
                </c:pt>
                <c:pt idx="22">
                  <c:v>71.362399597033829</c:v>
                </c:pt>
                <c:pt idx="23">
                  <c:v>60.293037624333664</c:v>
                </c:pt>
                <c:pt idx="24">
                  <c:v>50.971166116368778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C9-4803-AD32-3135B8CBBE0E}"/>
            </c:ext>
          </c:extLst>
        </c:ser>
        <c:ser>
          <c:idx val="2"/>
          <c:order val="1"/>
          <c:tx>
            <c:v>Cp vs 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'eje6'!$A$9:$A$33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'eje6'!$D$9:$D$33</c:f>
              <c:numCache>
                <c:formatCode>General</c:formatCode>
                <c:ptCount val="25"/>
                <c:pt idx="0">
                  <c:v>0</c:v>
                </c:pt>
                <c:pt idx="1">
                  <c:v>0.91775923718712749</c:v>
                </c:pt>
                <c:pt idx="2">
                  <c:v>1.9758069036805761</c:v>
                </c:pt>
                <c:pt idx="3">
                  <c:v>3.1936400031024048</c:v>
                </c:pt>
                <c:pt idx="4">
                  <c:v>4.5927853317241363</c:v>
                </c:pt>
                <c:pt idx="5">
                  <c:v>6.1967628595056548</c:v>
                </c:pt>
                <c:pt idx="6">
                  <c:v>8.0309363773485973</c:v>
                </c:pt>
                <c:pt idx="7">
                  <c:v>10.12220769005858</c:v>
                </c:pt>
                <c:pt idx="8">
                  <c:v>12.498500653422678</c:v>
                </c:pt>
                <c:pt idx="9">
                  <c:v>15.187971419794779</c:v>
                </c:pt>
                <c:pt idx="10">
                  <c:v>18.217872913962434</c:v>
                </c:pt>
                <c:pt idx="11">
                  <c:v>21.612997301236668</c:v>
                </c:pt>
                <c:pt idx="12">
                  <c:v>25.393623738505745</c:v>
                </c:pt>
                <c:pt idx="13">
                  <c:v>29.57291512139199</c:v>
                </c:pt>
                <c:pt idx="14">
                  <c:v>34.15374330661701</c:v>
                </c:pt>
                <c:pt idx="15">
                  <c:v>39.124984654037469</c:v>
                </c:pt>
                <c:pt idx="16">
                  <c:v>44.45742339960551</c:v>
                </c:pt>
                <c:pt idx="17">
                  <c:v>50.099532932536029</c:v>
                </c:pt>
                <c:pt idx="18">
                  <c:v>55.973570963096563</c:v>
                </c:pt>
                <c:pt idx="19">
                  <c:v>61.972607675560852</c:v>
                </c:pt>
                <c:pt idx="20">
                  <c:v>67.959271079019715</c:v>
                </c:pt>
                <c:pt idx="21">
                  <c:v>73.767079784867335</c:v>
                </c:pt>
                <c:pt idx="22">
                  <c:v>79.205143042175663</c:v>
                </c:pt>
                <c:pt idx="23">
                  <c:v>84.066573543986493</c:v>
                </c:pt>
                <c:pt idx="24">
                  <c:v>88.139782819303534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C9-4803-AD32-3135B8CBB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358904"/>
        <c:axId val="418356384"/>
      </c:scatterChart>
      <c:valAx>
        <c:axId val="418358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8356384"/>
        <c:crosses val="autoZero"/>
        <c:crossBetween val="midCat"/>
      </c:valAx>
      <c:valAx>
        <c:axId val="4183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Conce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8358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'eje6'!$A$9:$A$33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'eje6'!$E$9:$E$33</c:f>
              <c:numCache>
                <c:formatCode>General</c:formatCode>
                <c:ptCount val="25"/>
                <c:pt idx="0">
                  <c:v>0.32777115613825986</c:v>
                </c:pt>
                <c:pt idx="1">
                  <c:v>0.37787416660480311</c:v>
                </c:pt>
                <c:pt idx="2">
                  <c:v>0.4349403926506531</c:v>
                </c:pt>
                <c:pt idx="3">
                  <c:v>0.49969476022204706</c:v>
                </c:pt>
                <c:pt idx="4">
                  <c:v>0.572849117064828</c:v>
                </c:pt>
                <c:pt idx="5">
                  <c:v>0.65506197065819405</c:v>
                </c:pt>
                <c:pt idx="6">
                  <c:v>0.74688261168213699</c:v>
                </c:pt>
                <c:pt idx="7">
                  <c:v>0.84867605834432047</c:v>
                </c:pt>
                <c:pt idx="8">
                  <c:v>0.96052527370432195</c:v>
                </c:pt>
                <c:pt idx="9">
                  <c:v>1.0821076764884481</c:v>
                </c:pt>
                <c:pt idx="10">
                  <c:v>1.2125444240265113</c:v>
                </c:pt>
                <c:pt idx="11">
                  <c:v>1.3502237275960989</c:v>
                </c:pt>
                <c:pt idx="12">
                  <c:v>1.492604065316516</c:v>
                </c:pt>
                <c:pt idx="13">
                  <c:v>1.6360100661517922</c:v>
                </c:pt>
                <c:pt idx="14">
                  <c:v>1.775443338364449</c:v>
                </c:pt>
                <c:pt idx="15">
                  <c:v>1.904442409131444</c:v>
                </c:pt>
                <c:pt idx="16">
                  <c:v>2.0150391189037578</c:v>
                </c:pt>
                <c:pt idx="17">
                  <c:v>2.0978707252001922</c:v>
                </c:pt>
                <c:pt idx="18">
                  <c:v>2.1425131115943894</c:v>
                </c:pt>
                <c:pt idx="19">
                  <c:v>2.1380940726638795</c:v>
                </c:pt>
                <c:pt idx="20">
                  <c:v>2.0742173949455807</c:v>
                </c:pt>
                <c:pt idx="21">
                  <c:v>1.9421654490386875</c:v>
                </c:pt>
                <c:pt idx="22">
                  <c:v>1.7362251792181533</c:v>
                </c:pt>
                <c:pt idx="23">
                  <c:v>1.4547175983275162</c:v>
                </c:pt>
                <c:pt idx="24">
                  <c:v>1.0995044202172983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D9-4190-B0BB-ACDC763DDFE2}"/>
            </c:ext>
          </c:extLst>
        </c:ser>
        <c:ser>
          <c:idx val="1"/>
          <c:order val="1"/>
          <c:tx>
            <c:v>rsm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'eje6'!$A$9:$A$33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'eje6'!$F$9:$F$33</c:f>
              <c:numCache>
                <c:formatCode>General</c:formatCode>
                <c:ptCount val="25"/>
                <c:pt idx="0">
                  <c:v>0.03</c:v>
                </c:pt>
                <c:pt idx="1">
                  <c:v>3.4766567342073895E-2</c:v>
                </c:pt>
                <c:pt idx="2">
                  <c:v>4.0260847004435572E-2</c:v>
                </c:pt>
                <c:pt idx="3">
                  <c:v>4.6583648659173194E-2</c:v>
                </c:pt>
                <c:pt idx="4">
                  <c:v>5.384615181920803E-2</c:v>
                </c:pt>
                <c:pt idx="5">
                  <c:v>6.2169657816084412E-2</c:v>
                </c:pt>
                <c:pt idx="6">
                  <c:v>7.1684739086876906E-2</c:v>
                </c:pt>
                <c:pt idx="7">
                  <c:v>8.2529554566674573E-2</c:v>
                </c:pt>
                <c:pt idx="8">
                  <c:v>9.4847047669005993E-2</c:v>
                </c:pt>
                <c:pt idx="9">
                  <c:v>0.1087806915362258</c:v>
                </c:pt>
                <c:pt idx="10">
                  <c:v>0.1244684032258714</c:v>
                </c:pt>
                <c:pt idx="11">
                  <c:v>0.1420342275701397</c:v>
                </c:pt>
                <c:pt idx="12">
                  <c:v>0.16157741234623046</c:v>
                </c:pt>
                <c:pt idx="13">
                  <c:v>0.18315858626424705</c:v>
                </c:pt>
                <c:pt idx="14">
                  <c:v>0.20678294432520269</c:v>
                </c:pt>
                <c:pt idx="15">
                  <c:v>0.23238067967904341</c:v>
                </c:pt>
                <c:pt idx="16">
                  <c:v>0.25978541241761982</c:v>
                </c:pt>
                <c:pt idx="17">
                  <c:v>0.28871207213908812</c:v>
                </c:pt>
                <c:pt idx="18">
                  <c:v>0.31873657265639554</c:v>
                </c:pt>
                <c:pt idx="19">
                  <c:v>0.34928058646702936</c:v>
                </c:pt>
                <c:pt idx="20">
                  <c:v>0.37960559462465243</c:v>
                </c:pt>
                <c:pt idx="21">
                  <c:v>0.40882082757571286</c:v>
                </c:pt>
                <c:pt idx="22">
                  <c:v>0.43590920517341464</c:v>
                </c:pt>
                <c:pt idx="23">
                  <c:v>0.45977303683581988</c:v>
                </c:pt>
                <c:pt idx="24">
                  <c:v>0.47929493562655351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D9-4190-B0BB-ACDC763DDFE2}"/>
            </c:ext>
          </c:extLst>
        </c:ser>
        <c:ser>
          <c:idx val="2"/>
          <c:order val="2"/>
          <c:tx>
            <c:v>rd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'eje6'!$A$9:$A$33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'eje6'!$G$9:$G$33</c:f>
              <c:numCache>
                <c:formatCode>General</c:formatCode>
                <c:ptCount val="25"/>
                <c:pt idx="0">
                  <c:v>0.01</c:v>
                </c:pt>
                <c:pt idx="1">
                  <c:v>1.1588855780691298E-2</c:v>
                </c:pt>
                <c:pt idx="2">
                  <c:v>1.3420282334811857E-2</c:v>
                </c:pt>
                <c:pt idx="3">
                  <c:v>1.5527882886391065E-2</c:v>
                </c:pt>
                <c:pt idx="4">
                  <c:v>1.7948717273069344E-2</c:v>
                </c:pt>
                <c:pt idx="5">
                  <c:v>2.0723219272028137E-2</c:v>
                </c:pt>
                <c:pt idx="6">
                  <c:v>2.3894913028958967E-2</c:v>
                </c:pt>
                <c:pt idx="7">
                  <c:v>2.7509851522224859E-2</c:v>
                </c:pt>
                <c:pt idx="8">
                  <c:v>3.1615682556335331E-2</c:v>
                </c:pt>
                <c:pt idx="9">
                  <c:v>3.6260230512075269E-2</c:v>
                </c:pt>
                <c:pt idx="10">
                  <c:v>4.1489467741957137E-2</c:v>
                </c:pt>
                <c:pt idx="11">
                  <c:v>4.7344742523379904E-2</c:v>
                </c:pt>
                <c:pt idx="12">
                  <c:v>5.3859137448743495E-2</c:v>
                </c:pt>
                <c:pt idx="13">
                  <c:v>6.1052862088082353E-2</c:v>
                </c:pt>
                <c:pt idx="14">
                  <c:v>6.8927648108400894E-2</c:v>
                </c:pt>
                <c:pt idx="15">
                  <c:v>7.7460226559681142E-2</c:v>
                </c:pt>
                <c:pt idx="16">
                  <c:v>8.659513747253994E-2</c:v>
                </c:pt>
                <c:pt idx="17">
                  <c:v>9.6237357379696034E-2</c:v>
                </c:pt>
                <c:pt idx="18">
                  <c:v>0.10624552421879851</c:v>
                </c:pt>
                <c:pt idx="19">
                  <c:v>0.11642686215567646</c:v>
                </c:pt>
                <c:pt idx="20">
                  <c:v>0.12653519820821749</c:v>
                </c:pt>
                <c:pt idx="21">
                  <c:v>0.13627360919190432</c:v>
                </c:pt>
                <c:pt idx="22">
                  <c:v>0.14530306839113821</c:v>
                </c:pt>
                <c:pt idx="23">
                  <c:v>0.15325767894527328</c:v>
                </c:pt>
                <c:pt idx="24">
                  <c:v>0.15976497854218452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D9-4190-B0BB-ACDC763DD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802624"/>
        <c:axId val="502797224"/>
      </c:scatterChart>
      <c:valAx>
        <c:axId val="50280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2797224"/>
        <c:crosses val="autoZero"/>
        <c:crossBetween val="midCat"/>
      </c:valAx>
      <c:valAx>
        <c:axId val="50279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280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'eje6'!$A$9:$A$33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'eje6'!$B$9:$B$33</c:f>
              <c:numCache>
                <c:formatCode>General</c:formatCode>
                <c:ptCount val="25"/>
                <c:pt idx="0">
                  <c:v>1</c:v>
                </c:pt>
                <c:pt idx="1">
                  <c:v>1.1588855780691298</c:v>
                </c:pt>
                <c:pt idx="2">
                  <c:v>1.3420282334811857</c:v>
                </c:pt>
                <c:pt idx="3">
                  <c:v>1.5527882886391065</c:v>
                </c:pt>
                <c:pt idx="4">
                  <c:v>1.7948717273069343</c:v>
                </c:pt>
                <c:pt idx="5">
                  <c:v>2.0723219272028137</c:v>
                </c:pt>
                <c:pt idx="6">
                  <c:v>2.3894913028958968</c:v>
                </c:pt>
                <c:pt idx="7">
                  <c:v>2.7509851522224857</c:v>
                </c:pt>
                <c:pt idx="8">
                  <c:v>3.1615682556335334</c:v>
                </c:pt>
                <c:pt idx="9">
                  <c:v>3.6260230512075267</c:v>
                </c:pt>
                <c:pt idx="10">
                  <c:v>4.1489467741957133</c:v>
                </c:pt>
                <c:pt idx="11">
                  <c:v>4.7344742523379901</c:v>
                </c:pt>
                <c:pt idx="12">
                  <c:v>5.3859137448743493</c:v>
                </c:pt>
                <c:pt idx="13">
                  <c:v>6.1052862088082351</c:v>
                </c:pt>
                <c:pt idx="14">
                  <c:v>6.8927648108400899</c:v>
                </c:pt>
                <c:pt idx="15">
                  <c:v>7.7460226559681136</c:v>
                </c:pt>
                <c:pt idx="16">
                  <c:v>8.6595137472539943</c:v>
                </c:pt>
                <c:pt idx="17">
                  <c:v>9.6237357379696036</c:v>
                </c:pt>
                <c:pt idx="18">
                  <c:v>10.624552421879851</c:v>
                </c:pt>
                <c:pt idx="19">
                  <c:v>11.642686215567647</c:v>
                </c:pt>
                <c:pt idx="20">
                  <c:v>12.653519820821748</c:v>
                </c:pt>
                <c:pt idx="21">
                  <c:v>13.62736091919043</c:v>
                </c:pt>
                <c:pt idx="22">
                  <c:v>14.530306839113821</c:v>
                </c:pt>
                <c:pt idx="23">
                  <c:v>15.325767894527329</c:v>
                </c:pt>
                <c:pt idx="24">
                  <c:v>15.976497854218451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BC-4E3D-8F3C-8D886A1AF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358904"/>
        <c:axId val="418356384"/>
      </c:scatterChart>
      <c:valAx>
        <c:axId val="418358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8356384"/>
        <c:crosses val="autoZero"/>
        <c:crossBetween val="midCat"/>
      </c:valAx>
      <c:valAx>
        <c:axId val="4183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Conce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8358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'eje6'!$A$9:$A$33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'eje6'!$B$9:$B$33</c:f>
              <c:numCache>
                <c:formatCode>General</c:formatCode>
                <c:ptCount val="25"/>
                <c:pt idx="0">
                  <c:v>1</c:v>
                </c:pt>
                <c:pt idx="1">
                  <c:v>1.1588855780691298</c:v>
                </c:pt>
                <c:pt idx="2">
                  <c:v>1.3420282334811857</c:v>
                </c:pt>
                <c:pt idx="3">
                  <c:v>1.5527882886391065</c:v>
                </c:pt>
                <c:pt idx="4">
                  <c:v>1.7948717273069343</c:v>
                </c:pt>
                <c:pt idx="5">
                  <c:v>2.0723219272028137</c:v>
                </c:pt>
                <c:pt idx="6">
                  <c:v>2.3894913028958968</c:v>
                </c:pt>
                <c:pt idx="7">
                  <c:v>2.7509851522224857</c:v>
                </c:pt>
                <c:pt idx="8">
                  <c:v>3.1615682556335334</c:v>
                </c:pt>
                <c:pt idx="9">
                  <c:v>3.6260230512075267</c:v>
                </c:pt>
                <c:pt idx="10">
                  <c:v>4.1489467741957133</c:v>
                </c:pt>
                <c:pt idx="11">
                  <c:v>4.7344742523379901</c:v>
                </c:pt>
                <c:pt idx="12">
                  <c:v>5.3859137448743493</c:v>
                </c:pt>
                <c:pt idx="13">
                  <c:v>6.1052862088082351</c:v>
                </c:pt>
                <c:pt idx="14">
                  <c:v>6.8927648108400899</c:v>
                </c:pt>
                <c:pt idx="15">
                  <c:v>7.7460226559681136</c:v>
                </c:pt>
                <c:pt idx="16">
                  <c:v>8.6595137472539943</c:v>
                </c:pt>
                <c:pt idx="17">
                  <c:v>9.6237357379696036</c:v>
                </c:pt>
                <c:pt idx="18">
                  <c:v>10.624552421879851</c:v>
                </c:pt>
                <c:pt idx="19">
                  <c:v>11.642686215567647</c:v>
                </c:pt>
                <c:pt idx="20">
                  <c:v>12.653519820821748</c:v>
                </c:pt>
                <c:pt idx="21">
                  <c:v>13.62736091919043</c:v>
                </c:pt>
                <c:pt idx="22">
                  <c:v>14.530306839113821</c:v>
                </c:pt>
                <c:pt idx="23">
                  <c:v>15.325767894527329</c:v>
                </c:pt>
                <c:pt idx="24">
                  <c:v>15.976497854218451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91-4C9C-B3CF-52DA7091595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'eje6'!$A$9:$A$33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'eje6'!$C$9:$C$33</c:f>
              <c:numCache>
                <c:formatCode>General</c:formatCode>
                <c:ptCount val="25"/>
                <c:pt idx="0">
                  <c:v>250</c:v>
                </c:pt>
                <c:pt idx="1">
                  <c:v>247.93643027413589</c:v>
                </c:pt>
                <c:pt idx="2">
                  <c:v>245.55733344918482</c:v>
                </c:pt>
                <c:pt idx="3">
                  <c:v>242.81882557161603</c:v>
                </c:pt>
                <c:pt idx="4">
                  <c:v>239.67244149589865</c:v>
                </c:pt>
                <c:pt idx="5">
                  <c:v>236.06521143833388</c:v>
                </c:pt>
                <c:pt idx="6">
                  <c:v>231.93998929281213</c:v>
                </c:pt>
                <c:pt idx="7">
                  <c:v>227.23613060025534</c:v>
                </c:pt>
                <c:pt idx="8">
                  <c:v>221.89064045832001</c:v>
                </c:pt>
                <c:pt idx="9">
                  <c:v>215.8399339738335</c:v>
                </c:pt>
                <c:pt idx="10">
                  <c:v>209.02237065001259</c:v>
                </c:pt>
                <c:pt idx="11">
                  <c:v>201.38173379823397</c:v>
                </c:pt>
                <c:pt idx="12">
                  <c:v>192.87181838697327</c:v>
                </c:pt>
                <c:pt idx="13">
                  <c:v>183.46225427257193</c:v>
                </c:pt>
                <c:pt idx="14">
                  <c:v>173.14561206599109</c:v>
                </c:pt>
                <c:pt idx="15">
                  <c:v>161.94569972905069</c:v>
                </c:pt>
                <c:pt idx="16">
                  <c:v>149.92674433213963</c:v>
                </c:pt>
                <c:pt idx="17">
                  <c:v>137.20285713278233</c:v>
                </c:pt>
                <c:pt idx="18">
                  <c:v>123.94680906421158</c:v>
                </c:pt>
                <c:pt idx="19">
                  <c:v>110.39673383041844</c:v>
                </c:pt>
                <c:pt idx="20">
                  <c:v>96.859005583035682</c:v>
                </c:pt>
                <c:pt idx="21">
                  <c:v>83.705344067313476</c:v>
                </c:pt>
                <c:pt idx="22">
                  <c:v>71.362399597033829</c:v>
                </c:pt>
                <c:pt idx="23">
                  <c:v>60.293037624333664</c:v>
                </c:pt>
                <c:pt idx="24">
                  <c:v>50.971166116368778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91-4C9C-B3CF-52DA7091595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'eje6'!$A$9:$A$33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'eje6'!$D$9:$D$33</c:f>
              <c:numCache>
                <c:formatCode>General</c:formatCode>
                <c:ptCount val="25"/>
                <c:pt idx="0">
                  <c:v>0</c:v>
                </c:pt>
                <c:pt idx="1">
                  <c:v>0.91775923718712749</c:v>
                </c:pt>
                <c:pt idx="2">
                  <c:v>1.9758069036805761</c:v>
                </c:pt>
                <c:pt idx="3">
                  <c:v>3.1936400031024048</c:v>
                </c:pt>
                <c:pt idx="4">
                  <c:v>4.5927853317241363</c:v>
                </c:pt>
                <c:pt idx="5">
                  <c:v>6.1967628595056548</c:v>
                </c:pt>
                <c:pt idx="6">
                  <c:v>8.0309363773485973</c:v>
                </c:pt>
                <c:pt idx="7">
                  <c:v>10.12220769005858</c:v>
                </c:pt>
                <c:pt idx="8">
                  <c:v>12.498500653422678</c:v>
                </c:pt>
                <c:pt idx="9">
                  <c:v>15.187971419794779</c:v>
                </c:pt>
                <c:pt idx="10">
                  <c:v>18.217872913962434</c:v>
                </c:pt>
                <c:pt idx="11">
                  <c:v>21.612997301236668</c:v>
                </c:pt>
                <c:pt idx="12">
                  <c:v>25.393623738505745</c:v>
                </c:pt>
                <c:pt idx="13">
                  <c:v>29.57291512139199</c:v>
                </c:pt>
                <c:pt idx="14">
                  <c:v>34.15374330661701</c:v>
                </c:pt>
                <c:pt idx="15">
                  <c:v>39.124984654037469</c:v>
                </c:pt>
                <c:pt idx="16">
                  <c:v>44.45742339960551</c:v>
                </c:pt>
                <c:pt idx="17">
                  <c:v>50.099532932536029</c:v>
                </c:pt>
                <c:pt idx="18">
                  <c:v>55.973570963096563</c:v>
                </c:pt>
                <c:pt idx="19">
                  <c:v>61.972607675560852</c:v>
                </c:pt>
                <c:pt idx="20">
                  <c:v>67.959271079019715</c:v>
                </c:pt>
                <c:pt idx="21">
                  <c:v>73.767079784867335</c:v>
                </c:pt>
                <c:pt idx="22">
                  <c:v>79.205143042175663</c:v>
                </c:pt>
                <c:pt idx="23">
                  <c:v>84.066573543986493</c:v>
                </c:pt>
                <c:pt idx="24">
                  <c:v>88.139782819303534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91-4C9C-B3CF-52DA70915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358904"/>
        <c:axId val="418356384"/>
      </c:scatterChart>
      <c:valAx>
        <c:axId val="418358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8356384"/>
        <c:crosses val="autoZero"/>
        <c:crossBetween val="midCat"/>
      </c:valAx>
      <c:valAx>
        <c:axId val="4183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Conce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18358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kobs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'eje6'!$A$9:$A$33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'eje6'!$K$9:$K$33</c:f>
              <c:numCache>
                <c:formatCode>General</c:formatCode>
                <c:ptCount val="25"/>
                <c:pt idx="0">
                  <c:v>0.33</c:v>
                </c:pt>
                <c:pt idx="1">
                  <c:v>0.32830255583591766</c:v>
                </c:pt>
                <c:pt idx="2">
                  <c:v>0.32633553133872878</c:v>
                </c:pt>
                <c:pt idx="3">
                  <c:v>0.32405781212729401</c:v>
                </c:pt>
                <c:pt idx="4">
                  <c:v>0.32142260370797265</c:v>
                </c:pt>
                <c:pt idx="5">
                  <c:v>0.31837685314963005</c:v>
                </c:pt>
                <c:pt idx="6">
                  <c:v>0.31486068750453944</c:v>
                </c:pt>
                <c:pt idx="7">
                  <c:v>0.3108069038246839</c:v>
                </c:pt>
                <c:pt idx="8">
                  <c:v>0.30614055882477803</c:v>
                </c:pt>
                <c:pt idx="9">
                  <c:v>0.30077872234909153</c:v>
                </c:pt>
                <c:pt idx="10">
                  <c:v>0.2946304776905303</c:v>
                </c:pt>
                <c:pt idx="11">
                  <c:v>0.28759727281738051</c:v>
                </c:pt>
                <c:pt idx="12">
                  <c:v>0.27957374810629826</c:v>
                </c:pt>
                <c:pt idx="13">
                  <c:v>0.27044918526663897</c:v>
                </c:pt>
                <c:pt idx="14">
                  <c:v>0.26010973366908541</c:v>
                </c:pt>
                <c:pt idx="15">
                  <c:v>0.24844156607851153</c:v>
                </c:pt>
                <c:pt idx="16">
                  <c:v>0.23533508310425194</c:v>
                </c:pt>
                <c:pt idx="17">
                  <c:v>0.22069020458842364</c:v>
                </c:pt>
                <c:pt idx="18">
                  <c:v>0.20442262358676777</c:v>
                </c:pt>
                <c:pt idx="19">
                  <c:v>0.18647059248755485</c:v>
                </c:pt>
                <c:pt idx="20">
                  <c:v>0.16680122252389767</c:v>
                </c:pt>
                <c:pt idx="21">
                  <c:v>0.14541403522252558</c:v>
                </c:pt>
                <c:pt idx="22">
                  <c:v>0.12233641551716296</c:v>
                </c:pt>
                <c:pt idx="23">
                  <c:v>9.7596041087454968E-2</c:v>
                </c:pt>
                <c:pt idx="24">
                  <c:v>7.1115416566909617E-2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64-4E0D-9DDA-F9CF5EEE1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18152"/>
        <c:axId val="511317072"/>
      </c:scatterChart>
      <c:valAx>
        <c:axId val="51131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1317072"/>
        <c:crosses val="autoZero"/>
        <c:crossBetween val="midCat"/>
      </c:valAx>
      <c:valAx>
        <c:axId val="51131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kobs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1318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Cc</a:t>
            </a:r>
            <a:r>
              <a:rPr lang="es-AR" baseline="0"/>
              <a:t> y 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bioreactor!$A$8:$A$22</c:f>
              <c:numCache>
                <c:formatCode>General</c:formatCode>
                <c:ptCount val="1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</c:numCache>
            </c:numRef>
          </c:xVal>
          <c:yVal>
            <c:numRef>
              <c:f>bioreactor!$B$8:$B$22</c:f>
              <c:numCache>
                <c:formatCode>General</c:formatCode>
                <c:ptCount val="15"/>
                <c:pt idx="0">
                  <c:v>0</c:v>
                </c:pt>
                <c:pt idx="1">
                  <c:v>0.63291139240506333</c:v>
                </c:pt>
                <c:pt idx="2">
                  <c:v>1.2820512820512822</c:v>
                </c:pt>
                <c:pt idx="3">
                  <c:v>1.948051948051948</c:v>
                </c:pt>
                <c:pt idx="4">
                  <c:v>2.6315789473684212</c:v>
                </c:pt>
                <c:pt idx="5">
                  <c:v>3.3333333333333335</c:v>
                </c:pt>
                <c:pt idx="6">
                  <c:v>4.0540540540540544</c:v>
                </c:pt>
                <c:pt idx="7">
                  <c:v>4.7945205479452051</c:v>
                </c:pt>
                <c:pt idx="8">
                  <c:v>5.5555555555555554</c:v>
                </c:pt>
                <c:pt idx="9">
                  <c:v>6.3380281690140849</c:v>
                </c:pt>
                <c:pt idx="10">
                  <c:v>7.1428571428571432</c:v>
                </c:pt>
                <c:pt idx="11">
                  <c:v>7.9710144927536231</c:v>
                </c:pt>
                <c:pt idx="12">
                  <c:v>8.8235294117647065</c:v>
                </c:pt>
                <c:pt idx="13">
                  <c:v>9.7014925373134329</c:v>
                </c:pt>
                <c:pt idx="14">
                  <c:v>10.606060606060606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60-4AC4-8B4E-B94CCF2AF4EC}"/>
            </c:ext>
          </c:extLst>
        </c:ser>
        <c:ser>
          <c:idx val="1"/>
          <c:order val="1"/>
          <c:tx>
            <c:v>Cc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bioreactor!$A$8:$A$22</c:f>
              <c:numCache>
                <c:formatCode>General</c:formatCode>
                <c:ptCount val="1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</c:numCache>
            </c:numRef>
          </c:xVal>
          <c:yVal>
            <c:numRef>
              <c:f>bioreactor!$C$8:$C$22</c:f>
              <c:numCache>
                <c:formatCode>General</c:formatCode>
                <c:ptCount val="15"/>
                <c:pt idx="0">
                  <c:v>20</c:v>
                </c:pt>
                <c:pt idx="1">
                  <c:v>18.734177215189874</c:v>
                </c:pt>
                <c:pt idx="2">
                  <c:v>17.435897435897434</c:v>
                </c:pt>
                <c:pt idx="3">
                  <c:v>16.103896103896105</c:v>
                </c:pt>
                <c:pt idx="4">
                  <c:v>14.736842105263158</c:v>
                </c:pt>
                <c:pt idx="5">
                  <c:v>13.333333333333332</c:v>
                </c:pt>
                <c:pt idx="6">
                  <c:v>11.891891891891891</c:v>
                </c:pt>
                <c:pt idx="7">
                  <c:v>10.41095890410959</c:v>
                </c:pt>
                <c:pt idx="8">
                  <c:v>8.8888888888888893</c:v>
                </c:pt>
                <c:pt idx="9">
                  <c:v>7.3239436619718301</c:v>
                </c:pt>
                <c:pt idx="10">
                  <c:v>5.7142857142857135</c:v>
                </c:pt>
                <c:pt idx="11">
                  <c:v>4.0579710144927539</c:v>
                </c:pt>
                <c:pt idx="12">
                  <c:v>2.352941176470587</c:v>
                </c:pt>
                <c:pt idx="13">
                  <c:v>0.59701492537313428</c:v>
                </c:pt>
                <c:pt idx="14">
                  <c:v>-1.212121212121211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60-4AC4-8B4E-B94CCF2AF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114576"/>
        <c:axId val="336110616"/>
      </c:scatterChart>
      <c:valAx>
        <c:axId val="33611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36110616"/>
        <c:crosses val="autoZero"/>
        <c:crossBetween val="midCat"/>
      </c:valAx>
      <c:valAx>
        <c:axId val="33611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Cc</a:t>
                </a:r>
                <a:r>
                  <a:rPr lang="es-AR" baseline="0"/>
                  <a:t> y Cs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3611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DCc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bioreactor!$A$8:$A$22</c:f>
              <c:numCache>
                <c:formatCode>General</c:formatCode>
                <c:ptCount val="1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</c:numCache>
            </c:numRef>
          </c:xVal>
          <c:yVal>
            <c:numRef>
              <c:f>bioreactor!$E$8:$E$22</c:f>
              <c:numCache>
                <c:formatCode>General</c:formatCode>
                <c:ptCount val="15"/>
                <c:pt idx="0">
                  <c:v>0</c:v>
                </c:pt>
                <c:pt idx="1">
                  <c:v>4.6835443037974684</c:v>
                </c:pt>
                <c:pt idx="2">
                  <c:v>8.7179487179487172</c:v>
                </c:pt>
                <c:pt idx="3">
                  <c:v>12.077922077922079</c:v>
                </c:pt>
                <c:pt idx="4">
                  <c:v>14.736842105263158</c:v>
                </c:pt>
                <c:pt idx="5">
                  <c:v>16.666666666666664</c:v>
                </c:pt>
                <c:pt idx="6">
                  <c:v>17.837837837837839</c:v>
                </c:pt>
                <c:pt idx="7">
                  <c:v>18.219178082191782</c:v>
                </c:pt>
                <c:pt idx="8">
                  <c:v>17.777777777777779</c:v>
                </c:pt>
                <c:pt idx="9">
                  <c:v>16.478873239436616</c:v>
                </c:pt>
                <c:pt idx="10">
                  <c:v>14.285714285714285</c:v>
                </c:pt>
                <c:pt idx="11">
                  <c:v>11.159420289855074</c:v>
                </c:pt>
                <c:pt idx="12">
                  <c:v>7.0588235294117609</c:v>
                </c:pt>
                <c:pt idx="13">
                  <c:v>1.9402985074626864</c:v>
                </c:pt>
                <c:pt idx="14">
                  <c:v>-4.2424242424242387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0E-4DD1-9797-D16B6F4BF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49496"/>
        <c:axId val="502347336"/>
      </c:scatterChart>
      <c:valAx>
        <c:axId val="50234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2347336"/>
        <c:crosses val="autoZero"/>
        <c:crossBetween val="midCat"/>
      </c:valAx>
      <c:valAx>
        <c:axId val="50234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2349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Eadie-Hofstee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0065616797900269E-3"/>
                  <c:y val="-0.678484251968503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'EJERCICIO 2'!$B$39:$B$44</c:f>
              <c:numCache>
                <c:formatCode>0.00E+00</c:formatCode>
                <c:ptCount val="6"/>
                <c:pt idx="0">
                  <c:v>4.3170731707317081E-6</c:v>
                </c:pt>
                <c:pt idx="1">
                  <c:v>1.8210526315789471E-5</c:v>
                </c:pt>
                <c:pt idx="2">
                  <c:v>2.8846153846153845E-5</c:v>
                </c:pt>
                <c:pt idx="3">
                  <c:v>1.029126213592233E-4</c:v>
                </c:pt>
                <c:pt idx="4">
                  <c:v>1.7346938775510202E-4</c:v>
                </c:pt>
                <c:pt idx="5">
                  <c:v>3.3333333333333327E-4</c:v>
                </c:pt>
              </c:numCache>
            </c:numRef>
          </c:xVal>
          <c:yVal>
            <c:numRef>
              <c:f>'EJERCICIO 2'!$A$39:$A$44</c:f>
              <c:numCache>
                <c:formatCode>0.00E+00</c:formatCode>
                <c:ptCount val="6"/>
                <c:pt idx="0">
                  <c:v>1.77E-8</c:v>
                </c:pt>
                <c:pt idx="1">
                  <c:v>1.7299999999999999E-8</c:v>
                </c:pt>
                <c:pt idx="2">
                  <c:v>1.5000000000000002E-8</c:v>
                </c:pt>
                <c:pt idx="3">
                  <c:v>1.0600000000000001E-8</c:v>
                </c:pt>
                <c:pt idx="4">
                  <c:v>8.5E-9</c:v>
                </c:pt>
                <c:pt idx="5">
                  <c:v>5.0000000000000001E-9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2-4721-958D-9ADFE378A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97792"/>
        <c:axId val="96099712"/>
      </c:scatterChart>
      <c:valAx>
        <c:axId val="9609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-r0/S0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099712"/>
        <c:crosses val="autoZero"/>
        <c:crossBetween val="midCat"/>
      </c:valAx>
      <c:valAx>
        <c:axId val="9609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-r0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09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Hanes-Woolf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857830271216098E-2"/>
                  <c:y val="-0.16245370370370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'EJERCICIO 2'!$B$54:$B$59</c:f>
              <c:numCache>
                <c:formatCode>0.00E+00</c:formatCode>
                <c:ptCount val="6"/>
                <c:pt idx="0">
                  <c:v>4.0999999999999995E-3</c:v>
                </c:pt>
                <c:pt idx="1">
                  <c:v>9.5000000000000011E-4</c:v>
                </c:pt>
                <c:pt idx="2">
                  <c:v>5.2000000000000006E-4</c:v>
                </c:pt>
                <c:pt idx="3">
                  <c:v>1.03E-4</c:v>
                </c:pt>
                <c:pt idx="4">
                  <c:v>4.9000000000000005E-5</c:v>
                </c:pt>
                <c:pt idx="5">
                  <c:v>1.5000000000000002E-5</c:v>
                </c:pt>
              </c:numCache>
            </c:numRef>
          </c:xVal>
          <c:yVal>
            <c:numRef>
              <c:f>'EJERCICIO 2'!$A$54:$A$59</c:f>
              <c:numCache>
                <c:formatCode>0.00E+00</c:formatCode>
                <c:ptCount val="6"/>
                <c:pt idx="0">
                  <c:v>231638.41807909601</c:v>
                </c:pt>
                <c:pt idx="1">
                  <c:v>54913.294797687871</c:v>
                </c:pt>
                <c:pt idx="2">
                  <c:v>34666.666666666664</c:v>
                </c:pt>
                <c:pt idx="3">
                  <c:v>9716.9811320754707</c:v>
                </c:pt>
                <c:pt idx="4">
                  <c:v>5764.7058823529414</c:v>
                </c:pt>
                <c:pt idx="5">
                  <c:v>3000.0000000000005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C0-42B2-B064-D9E89B540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99936"/>
        <c:axId val="97401856"/>
      </c:scatterChart>
      <c:valAx>
        <c:axId val="9739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7401856"/>
        <c:crosses val="autoZero"/>
        <c:crossBetween val="midCat"/>
      </c:valAx>
      <c:valAx>
        <c:axId val="9740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S0/-r0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739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DATOS</c:v>
          </c:tx>
          <c:marker>
            <c:symbol val="none"/>
          </c:marker>
          <c:xVal>
            <c:numRef>
              <c:f>'EJERCICIO 2'!$M$15:$M$20</c:f>
              <c:numCache>
                <c:formatCode>0.00E+00</c:formatCode>
                <c:ptCount val="6"/>
                <c:pt idx="0">
                  <c:v>4.0999999999999995E-3</c:v>
                </c:pt>
                <c:pt idx="1">
                  <c:v>9.5E-4</c:v>
                </c:pt>
                <c:pt idx="2">
                  <c:v>5.2000000000000006E-4</c:v>
                </c:pt>
                <c:pt idx="3">
                  <c:v>1.0300000000000001E-4</c:v>
                </c:pt>
                <c:pt idx="4">
                  <c:v>4.9000000000000005E-5</c:v>
                </c:pt>
                <c:pt idx="5">
                  <c:v>1.5000000000000002E-5</c:v>
                </c:pt>
              </c:numCache>
            </c:numRef>
          </c:xVal>
          <c:yVal>
            <c:numRef>
              <c:f>'EJERCICIO 2'!$Q$15:$Q$20</c:f>
              <c:numCache>
                <c:formatCode>0.00E+00</c:formatCode>
                <c:ptCount val="6"/>
                <c:pt idx="0">
                  <c:v>1.77E-8</c:v>
                </c:pt>
                <c:pt idx="1">
                  <c:v>1.7299999999999999E-8</c:v>
                </c:pt>
                <c:pt idx="2">
                  <c:v>1.5000000000000002E-8</c:v>
                </c:pt>
                <c:pt idx="3">
                  <c:v>1.0600000000000001E-8</c:v>
                </c:pt>
                <c:pt idx="4">
                  <c:v>8.5E-9</c:v>
                </c:pt>
                <c:pt idx="5">
                  <c:v>5.0000000000000001E-9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77-4D0A-B27B-0B4A817F81AC}"/>
            </c:ext>
          </c:extLst>
        </c:ser>
        <c:ser>
          <c:idx val="1"/>
          <c:order val="1"/>
          <c:tx>
            <c:v>LB</c:v>
          </c:tx>
          <c:marker>
            <c:symbol val="none"/>
          </c:marker>
          <c:xVal>
            <c:numRef>
              <c:f>'EJERCICIO 2'!$M$15:$M$20</c:f>
              <c:numCache>
                <c:formatCode>0.00E+00</c:formatCode>
                <c:ptCount val="6"/>
                <c:pt idx="0">
                  <c:v>4.0999999999999995E-3</c:v>
                </c:pt>
                <c:pt idx="1">
                  <c:v>9.5E-4</c:v>
                </c:pt>
                <c:pt idx="2">
                  <c:v>5.2000000000000006E-4</c:v>
                </c:pt>
                <c:pt idx="3">
                  <c:v>1.0300000000000001E-4</c:v>
                </c:pt>
                <c:pt idx="4">
                  <c:v>4.9000000000000005E-5</c:v>
                </c:pt>
                <c:pt idx="5">
                  <c:v>1.5000000000000002E-5</c:v>
                </c:pt>
              </c:numCache>
            </c:numRef>
          </c:xVal>
          <c:yVal>
            <c:numRef>
              <c:f>'EJERCICIO 2'!$N$15:$N$20</c:f>
              <c:numCache>
                <c:formatCode>0.00E+00</c:formatCode>
                <c:ptCount val="6"/>
                <c:pt idx="0">
                  <c:v>1.6524495549469706E-8</c:v>
                </c:pt>
                <c:pt idx="1">
                  <c:v>1.6069963546556376E-8</c:v>
                </c:pt>
                <c:pt idx="2">
                  <c:v>1.5607881980400103E-8</c:v>
                </c:pt>
                <c:pt idx="3">
                  <c:v>1.2414873741939372E-8</c:v>
                </c:pt>
                <c:pt idx="4">
                  <c:v>9.690497379610404E-9</c:v>
                </c:pt>
                <c:pt idx="5">
                  <c:v>4.9726504226752866E-9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77-4D0A-B27B-0B4A817F81AC}"/>
            </c:ext>
          </c:extLst>
        </c:ser>
        <c:ser>
          <c:idx val="2"/>
          <c:order val="2"/>
          <c:tx>
            <c:v>EH</c:v>
          </c:tx>
          <c:marker>
            <c:symbol val="none"/>
          </c:marker>
          <c:xVal>
            <c:numRef>
              <c:f>'EJERCICIO 2'!$M$15:$M$20</c:f>
              <c:numCache>
                <c:formatCode>0.00E+00</c:formatCode>
                <c:ptCount val="6"/>
                <c:pt idx="0">
                  <c:v>4.0999999999999995E-3</c:v>
                </c:pt>
                <c:pt idx="1">
                  <c:v>9.5E-4</c:v>
                </c:pt>
                <c:pt idx="2">
                  <c:v>5.2000000000000006E-4</c:v>
                </c:pt>
                <c:pt idx="3">
                  <c:v>1.0300000000000001E-4</c:v>
                </c:pt>
                <c:pt idx="4">
                  <c:v>4.9000000000000005E-5</c:v>
                </c:pt>
                <c:pt idx="5">
                  <c:v>1.5000000000000002E-5</c:v>
                </c:pt>
              </c:numCache>
            </c:numRef>
          </c:xVal>
          <c:yVal>
            <c:numRef>
              <c:f>'EJERCICIO 2'!$O$15:$O$20</c:f>
              <c:numCache>
                <c:formatCode>0.00E+00</c:formatCode>
                <c:ptCount val="6"/>
                <c:pt idx="0">
                  <c:v>1.9806763285024155E-8</c:v>
                </c:pt>
                <c:pt idx="1">
                  <c:v>1.9191919191919191E-8</c:v>
                </c:pt>
                <c:pt idx="2">
                  <c:v>1.8571428571428572E-8</c:v>
                </c:pt>
                <c:pt idx="3">
                  <c:v>1.4405594405594406E-8</c:v>
                </c:pt>
                <c:pt idx="4">
                  <c:v>1.101123595505618E-8</c:v>
                </c:pt>
                <c:pt idx="5">
                  <c:v>5.454545454545454E-9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77-4D0A-B27B-0B4A817F81AC}"/>
            </c:ext>
          </c:extLst>
        </c:ser>
        <c:ser>
          <c:idx val="3"/>
          <c:order val="3"/>
          <c:tx>
            <c:v>HW</c:v>
          </c:tx>
          <c:marker>
            <c:symbol val="none"/>
          </c:marker>
          <c:xVal>
            <c:numRef>
              <c:f>'EJERCICIO 2'!$M$15:$M$20</c:f>
              <c:numCache>
                <c:formatCode>0.00E+00</c:formatCode>
                <c:ptCount val="6"/>
                <c:pt idx="0">
                  <c:v>4.0999999999999995E-3</c:v>
                </c:pt>
                <c:pt idx="1">
                  <c:v>9.5E-4</c:v>
                </c:pt>
                <c:pt idx="2">
                  <c:v>5.2000000000000006E-4</c:v>
                </c:pt>
                <c:pt idx="3">
                  <c:v>1.0300000000000001E-4</c:v>
                </c:pt>
                <c:pt idx="4">
                  <c:v>4.9000000000000005E-5</c:v>
                </c:pt>
                <c:pt idx="5">
                  <c:v>1.5000000000000002E-5</c:v>
                </c:pt>
              </c:numCache>
            </c:numRef>
          </c:xVal>
          <c:yVal>
            <c:numRef>
              <c:f>'EJERCICIO 2'!$P$15:$P$20</c:f>
              <c:numCache>
                <c:formatCode>0.00E+00</c:formatCode>
                <c:ptCount val="6"/>
                <c:pt idx="0">
                  <c:v>1.6440140246425673E-8</c:v>
                </c:pt>
                <c:pt idx="1">
                  <c:v>1.5731185502139441E-8</c:v>
                </c:pt>
                <c:pt idx="2">
                  <c:v>1.5033420450077483E-8</c:v>
                </c:pt>
                <c:pt idx="3">
                  <c:v>1.0763250292593214E-8</c:v>
                </c:pt>
                <c:pt idx="4">
                  <c:v>7.7414054600606676E-9</c:v>
                </c:pt>
                <c:pt idx="5">
                  <c:v>3.4968295412159648E-9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77-4D0A-B27B-0B4A817F8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88640"/>
        <c:axId val="119090176"/>
      </c:scatterChart>
      <c:valAx>
        <c:axId val="11908864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19090176"/>
        <c:crosses val="autoZero"/>
        <c:crossBetween val="midCat"/>
      </c:valAx>
      <c:valAx>
        <c:axId val="11909017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19088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EXP1 Lineweaver-Burk T=30°C y Eo= 1,6 g/L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Lineweaver-Burk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596347331583552"/>
                  <c:y val="0.17556685622630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'EJERCICIO 4'!$H$3:$H$7</c:f>
              <c:numCache>
                <c:formatCode>General</c:formatCode>
                <c:ptCount val="5"/>
                <c:pt idx="0">
                  <c:v>10</c:v>
                </c:pt>
                <c:pt idx="1">
                  <c:v>30.303030303030301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'EJERCICIO 4'!$G$3:$G$7</c:f>
              <c:numCache>
                <c:formatCode>General</c:formatCode>
                <c:ptCount val="5"/>
                <c:pt idx="0">
                  <c:v>0.38022813688212931</c:v>
                </c:pt>
                <c:pt idx="1">
                  <c:v>0.52083333333333337</c:v>
                </c:pt>
                <c:pt idx="2">
                  <c:v>0.68027210884353739</c:v>
                </c:pt>
                <c:pt idx="3">
                  <c:v>1.0416666666666667</c:v>
                </c:pt>
                <c:pt idx="4">
                  <c:v>1.7857142857142856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16-4020-8EDB-7029D7707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55008"/>
        <c:axId val="87753472"/>
      </c:scatterChart>
      <c:valAx>
        <c:axId val="8775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1/S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7753472"/>
        <c:crosses val="autoZero"/>
        <c:crossBetween val="midCat"/>
      </c:valAx>
      <c:valAx>
        <c:axId val="8775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1/rs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775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EXP2 Lineweaver-Burk T=49,6°C y Eo=1,6 g/L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Lineweaver-Burk T=49,6°C y Eo=1,6 g/L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6301399825021874E-3"/>
                  <c:y val="0.129386482939632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'EJERCICIO 4'!$H$8:$H$12</c:f>
              <c:numCache>
                <c:formatCode>General</c:formatCode>
                <c:ptCount val="5"/>
                <c:pt idx="0">
                  <c:v>10</c:v>
                </c:pt>
                <c:pt idx="1">
                  <c:v>30.303030303030301</c:v>
                </c:pt>
                <c:pt idx="2">
                  <c:v>100</c:v>
                </c:pt>
                <c:pt idx="3">
                  <c:v>149.25373134328359</c:v>
                </c:pt>
                <c:pt idx="4">
                  <c:v>200</c:v>
                </c:pt>
              </c:numCache>
            </c:numRef>
          </c:xVal>
          <c:yVal>
            <c:numRef>
              <c:f>'EJERCICIO 4'!$G$8:$G$12</c:f>
              <c:numCache>
                <c:formatCode>General</c:formatCode>
                <c:ptCount val="5"/>
                <c:pt idx="0">
                  <c:v>0.19493177387914232</c:v>
                </c:pt>
                <c:pt idx="1">
                  <c:v>0.27027027027027023</c:v>
                </c:pt>
                <c:pt idx="2">
                  <c:v>0.52910052910052918</c:v>
                </c:pt>
                <c:pt idx="3">
                  <c:v>0.69930069930069938</c:v>
                </c:pt>
                <c:pt idx="4">
                  <c:v>0.9009009009009008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7B-488E-B193-C928C2579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00864"/>
        <c:axId val="68099072"/>
      </c:scatterChart>
      <c:valAx>
        <c:axId val="6810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1/S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8099072"/>
        <c:crosses val="autoZero"/>
        <c:crossBetween val="midCat"/>
      </c:valAx>
      <c:valAx>
        <c:axId val="680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1/rs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810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EXP3 Lineweaver-Burk T=30°C y Eo=0,92 g/L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Lineweaver-Burk T=30°C y Eo=0,92 g/L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226596675415568E-4"/>
                  <c:y val="0.171053149606299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'EJERCICIO 4'!$H$13:$H$15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xVal>
          <c:yVal>
            <c:numRef>
              <c:f>'EJERCICIO 4'!$G$13:$G$15</c:f>
              <c:numCache>
                <c:formatCode>General</c:formatCode>
                <c:ptCount val="3"/>
                <c:pt idx="0">
                  <c:v>0.6097560975609756</c:v>
                </c:pt>
                <c:pt idx="1">
                  <c:v>1.1111111111111112</c:v>
                </c:pt>
                <c:pt idx="2">
                  <c:v>1.7241379310344829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A8-4C2C-A82F-F0767F993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72288"/>
        <c:axId val="119725056"/>
      </c:scatterChart>
      <c:valAx>
        <c:axId val="11977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1/S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9725056"/>
        <c:crosses val="autoZero"/>
        <c:crossBetween val="midCat"/>
      </c:valAx>
      <c:valAx>
        <c:axId val="11972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1/rs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977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EXP4 con inhibidor I=0,6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con inhibidor I=0,6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551399825021872E-2"/>
                  <c:y val="0.268159448818897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'EJERCICIO 4'!$H$16:$H$18</c:f>
              <c:numCache>
                <c:formatCode>General</c:formatCode>
                <c:ptCount val="3"/>
                <c:pt idx="0">
                  <c:v>10</c:v>
                </c:pt>
                <c:pt idx="1">
                  <c:v>30.303030303030301</c:v>
                </c:pt>
                <c:pt idx="2">
                  <c:v>50</c:v>
                </c:pt>
              </c:numCache>
            </c:numRef>
          </c:xVal>
          <c:yVal>
            <c:numRef>
              <c:f>'EJERCICIO 4'!$G$16:$G$18</c:f>
              <c:numCache>
                <c:formatCode>General</c:formatCode>
                <c:ptCount val="3"/>
                <c:pt idx="0">
                  <c:v>0.75187969924812026</c:v>
                </c:pt>
                <c:pt idx="1">
                  <c:v>1.25</c:v>
                </c:pt>
                <c:pt idx="2">
                  <c:v>1.7543859649122808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C4-4F35-891D-6012AF335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77664"/>
        <c:axId val="73376128"/>
      </c:scatterChart>
      <c:valAx>
        <c:axId val="7337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3376128"/>
        <c:crosses val="autoZero"/>
        <c:crossBetween val="midCat"/>
      </c:valAx>
      <c:valAx>
        <c:axId val="7337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337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Biomasa</c:v>
          </c:tx>
          <c:xVal>
            <c:numRef>
              <c:f>'EJERCICIO 5'!$C$3:$C$12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xVal>
          <c:yVal>
            <c:numRef>
              <c:f>'EJERCICIO 5'!$D$3:$D$12</c:f>
              <c:numCache>
                <c:formatCode>General</c:formatCode>
                <c:ptCount val="10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0.68</c:v>
                </c:pt>
                <c:pt idx="5">
                  <c:v>1.8</c:v>
                </c:pt>
                <c:pt idx="6">
                  <c:v>3</c:v>
                </c:pt>
                <c:pt idx="7">
                  <c:v>5</c:v>
                </c:pt>
                <c:pt idx="8">
                  <c:v>5.3</c:v>
                </c:pt>
                <c:pt idx="9">
                  <c:v>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36-49DA-BC13-81BF2BCFF29B}"/>
            </c:ext>
          </c:extLst>
        </c:ser>
        <c:ser>
          <c:idx val="1"/>
          <c:order val="1"/>
          <c:tx>
            <c:v>Sustrato</c:v>
          </c:tx>
          <c:xVal>
            <c:numRef>
              <c:f>'EJERCICIO 5'!$C$3:$C$12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xVal>
          <c:yVal>
            <c:numRef>
              <c:f>'EJERCICIO 5'!$E$3:$E$12</c:f>
              <c:numCache>
                <c:formatCode>General</c:formatCode>
                <c:ptCount val="10"/>
                <c:pt idx="0">
                  <c:v>10</c:v>
                </c:pt>
                <c:pt idx="1">
                  <c:v>9.9</c:v>
                </c:pt>
                <c:pt idx="2">
                  <c:v>9.8000000000000007</c:v>
                </c:pt>
                <c:pt idx="3">
                  <c:v>9.6999999999999993</c:v>
                </c:pt>
                <c:pt idx="4">
                  <c:v>8.8000000000000007</c:v>
                </c:pt>
                <c:pt idx="5">
                  <c:v>6.5</c:v>
                </c:pt>
                <c:pt idx="6">
                  <c:v>4.0999999999999996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36-49DA-BC13-81BF2BCFF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78880"/>
        <c:axId val="119771136"/>
      </c:scatterChart>
      <c:valAx>
        <c:axId val="727788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Tiempo(hr)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9771136"/>
        <c:crosses val="autoZero"/>
        <c:crossBetween val="midCat"/>
      </c:valAx>
      <c:valAx>
        <c:axId val="119771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Concentracio</a:t>
                </a:r>
                <a:r>
                  <a:rPr lang="es-AR" baseline="0"/>
                  <a:t> (gr/L)</a:t>
                </a:r>
                <a:endParaRPr lang="es-A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2778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ustomXml" Target="../ink/ink3.xml"/><Relationship Id="rId13" Type="http://schemas.openxmlformats.org/officeDocument/2006/relationships/image" Target="../media/image6.png"/><Relationship Id="rId3" Type="http://schemas.openxmlformats.org/officeDocument/2006/relationships/chart" Target="../charts/chart11.xml"/><Relationship Id="rId7" Type="http://schemas.openxmlformats.org/officeDocument/2006/relationships/image" Target="../media/image3.png"/><Relationship Id="rId12" Type="http://schemas.openxmlformats.org/officeDocument/2006/relationships/customXml" Target="../ink/ink5.xml"/><Relationship Id="rId2" Type="http://schemas.openxmlformats.org/officeDocument/2006/relationships/chart" Target="../charts/chart10.xml"/><Relationship Id="rId16" Type="http://schemas.openxmlformats.org/officeDocument/2006/relationships/chart" Target="../charts/chart12.xml"/><Relationship Id="rId1" Type="http://schemas.openxmlformats.org/officeDocument/2006/relationships/chart" Target="../charts/chart9.xml"/><Relationship Id="rId6" Type="http://schemas.openxmlformats.org/officeDocument/2006/relationships/customXml" Target="../ink/ink2.xml"/><Relationship Id="rId11" Type="http://schemas.openxmlformats.org/officeDocument/2006/relationships/image" Target="../media/image5.png"/><Relationship Id="rId5" Type="http://schemas.openxmlformats.org/officeDocument/2006/relationships/image" Target="../media/image2.png"/><Relationship Id="rId15" Type="http://schemas.openxmlformats.org/officeDocument/2006/relationships/image" Target="../media/image7.png"/><Relationship Id="rId10" Type="http://schemas.openxmlformats.org/officeDocument/2006/relationships/customXml" Target="../ink/ink4.xml"/><Relationship Id="rId4" Type="http://schemas.openxmlformats.org/officeDocument/2006/relationships/customXml" Target="../ink/ink1.xml"/><Relationship Id="rId9" Type="http://schemas.openxmlformats.org/officeDocument/2006/relationships/image" Target="../media/image4.png"/><Relationship Id="rId14" Type="http://schemas.openxmlformats.org/officeDocument/2006/relationships/customXml" Target="../ink/ink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409575</xdr:colOff>
      <xdr:row>20</xdr:row>
      <xdr:rowOff>185737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819775" y="17097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AR" sz="1100"/>
        </a:p>
      </xdr:txBody>
    </xdr:sp>
    <xdr:clientData/>
  </xdr:oneCellAnchor>
  <xdr:twoCellAnchor>
    <xdr:from>
      <xdr:col>5</xdr:col>
      <xdr:colOff>0</xdr:colOff>
      <xdr:row>18</xdr:row>
      <xdr:rowOff>14287</xdr:rowOff>
    </xdr:from>
    <xdr:to>
      <xdr:col>10</xdr:col>
      <xdr:colOff>723900</xdr:colOff>
      <xdr:row>32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71437</xdr:colOff>
      <xdr:row>18</xdr:row>
      <xdr:rowOff>42862</xdr:rowOff>
    </xdr:from>
    <xdr:ext cx="1785938" cy="3214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1595437" y="1185862"/>
              <a:ext cx="1785938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0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𝑉𝑚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á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𝐾𝑚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𝑉𝑚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á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𝑆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0</m:t>
                        </m:r>
                      </m:den>
                    </m:f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22AC58C-FB30-4C02-8A28-B0A5EDC535F0}"/>
                </a:ext>
              </a:extLst>
            </xdr:cNvPr>
            <xdr:cNvSpPr txBox="1"/>
          </xdr:nvSpPr>
          <xdr:spPr>
            <a:xfrm>
              <a:off x="1595437" y="1185862"/>
              <a:ext cx="1785938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−1/𝑟0=1/𝑉𝑚á𝑥+𝐾𝑚/(𝑉𝑚á𝑥∗𝑆0)</a:t>
              </a:r>
              <a:endParaRPr lang="es-AR" sz="1100"/>
            </a:p>
          </xdr:txBody>
        </xdr:sp>
      </mc:Fallback>
    </mc:AlternateContent>
    <xdr:clientData/>
  </xdr:oneCellAnchor>
  <xdr:twoCellAnchor>
    <xdr:from>
      <xdr:col>5</xdr:col>
      <xdr:colOff>14287</xdr:colOff>
      <xdr:row>35</xdr:row>
      <xdr:rowOff>33337</xdr:rowOff>
    </xdr:from>
    <xdr:to>
      <xdr:col>10</xdr:col>
      <xdr:colOff>738187</xdr:colOff>
      <xdr:row>49</xdr:row>
      <xdr:rowOff>109537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</xdr:col>
      <xdr:colOff>176211</xdr:colOff>
      <xdr:row>35</xdr:row>
      <xdr:rowOff>33337</xdr:rowOff>
    </xdr:from>
    <xdr:ext cx="1700213" cy="226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1728786" y="6700837"/>
              <a:ext cx="1700213" cy="226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AR" sz="1100" b="0"/>
                <a:t>-r0</a:t>
              </a:r>
              <a14:m>
                <m:oMath xmlns:m="http://schemas.openxmlformats.org/officeDocument/2006/math">
                  <m:r>
                    <a:rPr lang="es-AR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es-AR" sz="1100" b="0" i="1">
                      <a:latin typeface="Cambria Math" panose="02040503050406030204" pitchFamily="18" charset="0"/>
                    </a:rPr>
                    <m:t>𝑉𝑚</m:t>
                  </m:r>
                  <m:r>
                    <a:rPr lang="es-AR" sz="1100" b="0" i="1">
                      <a:latin typeface="Cambria Math" panose="02040503050406030204" pitchFamily="18" charset="0"/>
                    </a:rPr>
                    <m:t>á</m:t>
                  </m:r>
                  <m:r>
                    <a:rPr lang="es-AR" sz="1100" b="0" i="1">
                      <a:latin typeface="Cambria Math" panose="02040503050406030204" pitchFamily="18" charset="0"/>
                    </a:rPr>
                    <m:t>𝑥</m:t>
                  </m:r>
                  <m:r>
                    <a:rPr lang="es-AR" sz="1100" b="0" i="1">
                      <a:latin typeface="Cambria Math" panose="02040503050406030204" pitchFamily="18" charset="0"/>
                    </a:rPr>
                    <m:t>−</m:t>
                  </m:r>
                  <m:r>
                    <a:rPr lang="es-AR" sz="1100" b="0" i="1">
                      <a:latin typeface="Cambria Math" panose="02040503050406030204" pitchFamily="18" charset="0"/>
                    </a:rPr>
                    <m:t>𝐾𝑚</m:t>
                  </m:r>
                  <m:r>
                    <a:rPr lang="es-AR" sz="1100" b="0" i="1">
                      <a:latin typeface="Cambria Math" panose="02040503050406030204" pitchFamily="18" charset="0"/>
                    </a:rPr>
                    <m:t>∗</m:t>
                  </m:r>
                  <m:f>
                    <m:fPr>
                      <m:ctrlPr>
                        <a:rPr lang="es-AR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AR" sz="1100" b="0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𝑟𝑜</m:t>
                      </m:r>
                    </m:num>
                    <m:den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𝑆</m:t>
                      </m:r>
                      <m:r>
                        <a:rPr lang="es-AR" sz="1100" b="0" i="1">
                          <a:latin typeface="Cambria Math" panose="02040503050406030204" pitchFamily="18" charset="0"/>
                        </a:rPr>
                        <m:t>0</m:t>
                      </m:r>
                    </m:den>
                  </m:f>
                </m:oMath>
              </a14:m>
              <a:endParaRPr lang="es-AR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1DF5C15A-20CA-445A-BA9C-EAE0E00FBCB4}"/>
                </a:ext>
              </a:extLst>
            </xdr:cNvPr>
            <xdr:cNvSpPr txBox="1"/>
          </xdr:nvSpPr>
          <xdr:spPr>
            <a:xfrm>
              <a:off x="1728786" y="6700837"/>
              <a:ext cx="1700213" cy="226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AR" sz="1100" b="0"/>
                <a:t>-r0</a:t>
              </a:r>
              <a:r>
                <a:rPr lang="es-AR" sz="1100" b="0" i="0">
                  <a:latin typeface="Cambria Math" panose="02040503050406030204" pitchFamily="18" charset="0"/>
                </a:rPr>
                <a:t>=𝑉𝑚á𝑥−𝐾𝑚∗(−𝑟𝑜)/𝑆0</a:t>
              </a:r>
              <a:endParaRPr lang="es-AR" sz="1100"/>
            </a:p>
          </xdr:txBody>
        </xdr:sp>
      </mc:Fallback>
    </mc:AlternateContent>
    <xdr:clientData/>
  </xdr:oneCellAnchor>
  <xdr:twoCellAnchor>
    <xdr:from>
      <xdr:col>5</xdr:col>
      <xdr:colOff>14287</xdr:colOff>
      <xdr:row>51</xdr:row>
      <xdr:rowOff>14287</xdr:rowOff>
    </xdr:from>
    <xdr:to>
      <xdr:col>10</xdr:col>
      <xdr:colOff>738187</xdr:colOff>
      <xdr:row>65</xdr:row>
      <xdr:rowOff>90487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</xdr:col>
      <xdr:colOff>242886</xdr:colOff>
      <xdr:row>50</xdr:row>
      <xdr:rowOff>33337</xdr:rowOff>
    </xdr:from>
    <xdr:ext cx="1757363" cy="3214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1795461" y="7272337"/>
              <a:ext cx="1757363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𝑆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0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0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𝐾𝑚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𝑉𝑚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á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𝑉𝑚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á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s-AR" sz="1100" b="0" i="0">
                        <a:latin typeface="Cambria Math" panose="02040503050406030204" pitchFamily="18" charset="0"/>
                      </a:rPr>
                      <m:t>0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E2EB62A5-5781-47B4-9967-A8E935904240}"/>
                </a:ext>
              </a:extLst>
            </xdr:cNvPr>
            <xdr:cNvSpPr txBox="1"/>
          </xdr:nvSpPr>
          <xdr:spPr>
            <a:xfrm>
              <a:off x="1795461" y="7272337"/>
              <a:ext cx="1757363" cy="3214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𝑆0/(−𝑟0)=𝐾𝑚/𝑉𝑚á𝑥+1/𝑉𝑚á𝑥∗𝑆0</a:t>
              </a:r>
              <a:endParaRPr lang="es-AR" sz="1100"/>
            </a:p>
          </xdr:txBody>
        </xdr:sp>
      </mc:Fallback>
    </mc:AlternateContent>
    <xdr:clientData/>
  </xdr:oneCellAnchor>
  <xdr:twoCellAnchor editAs="oneCell">
    <xdr:from>
      <xdr:col>0</xdr:col>
      <xdr:colOff>0</xdr:colOff>
      <xdr:row>0</xdr:row>
      <xdr:rowOff>66675</xdr:rowOff>
    </xdr:from>
    <xdr:to>
      <xdr:col>7</xdr:col>
      <xdr:colOff>371475</xdr:colOff>
      <xdr:row>13</xdr:row>
      <xdr:rowOff>114300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5810250" cy="2524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66675</xdr:colOff>
      <xdr:row>21</xdr:row>
      <xdr:rowOff>166687</xdr:rowOff>
    </xdr:from>
    <xdr:to>
      <xdr:col>18</xdr:col>
      <xdr:colOff>66675</xdr:colOff>
      <xdr:row>36</xdr:row>
      <xdr:rowOff>52387</xdr:rowOff>
    </xdr:to>
    <xdr:graphicFrame macro="">
      <xdr:nvGraphicFramePr>
        <xdr:cNvPr id="10" name="9 Gráfico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504825</xdr:colOff>
      <xdr:row>1</xdr:row>
      <xdr:rowOff>14287</xdr:rowOff>
    </xdr:from>
    <xdr:to>
      <xdr:col>16</xdr:col>
      <xdr:colOff>504825</xdr:colOff>
      <xdr:row>15</xdr:row>
      <xdr:rowOff>90487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171449</xdr:colOff>
      <xdr:row>19</xdr:row>
      <xdr:rowOff>23811</xdr:rowOff>
    </xdr:from>
    <xdr:to>
      <xdr:col>5</xdr:col>
      <xdr:colOff>1076324</xdr:colOff>
      <xdr:row>34</xdr:row>
      <xdr:rowOff>66674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19</xdr:row>
      <xdr:rowOff>138112</xdr:rowOff>
    </xdr:from>
    <xdr:to>
      <xdr:col>15</xdr:col>
      <xdr:colOff>704850</xdr:colOff>
      <xdr:row>34</xdr:row>
      <xdr:rowOff>152400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450850</xdr:colOff>
      <xdr:row>37</xdr:row>
      <xdr:rowOff>7937</xdr:rowOff>
    </xdr:from>
    <xdr:to>
      <xdr:col>5</xdr:col>
      <xdr:colOff>976313</xdr:colOff>
      <xdr:row>51</xdr:row>
      <xdr:rowOff>84137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295274</xdr:colOff>
      <xdr:row>4</xdr:row>
      <xdr:rowOff>180975</xdr:rowOff>
    </xdr:from>
    <xdr:to>
      <xdr:col>16</xdr:col>
      <xdr:colOff>361949</xdr:colOff>
      <xdr:row>25</xdr:row>
      <xdr:rowOff>161925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561975</xdr:colOff>
      <xdr:row>45</xdr:row>
      <xdr:rowOff>100012</xdr:rowOff>
    </xdr:from>
    <xdr:to>
      <xdr:col>15</xdr:col>
      <xdr:colOff>561975</xdr:colOff>
      <xdr:row>59</xdr:row>
      <xdr:rowOff>176212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4381C82-84A2-0317-22E5-D29B48448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361950</xdr:colOff>
      <xdr:row>48</xdr:row>
      <xdr:rowOff>171450</xdr:rowOff>
    </xdr:from>
    <xdr:to>
      <xdr:col>6</xdr:col>
      <xdr:colOff>66675</xdr:colOff>
      <xdr:row>63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D8E1F51-071F-406B-8F89-B6A2A45CA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143445</xdr:colOff>
      <xdr:row>15</xdr:row>
      <xdr:rowOff>84780</xdr:rowOff>
    </xdr:from>
    <xdr:to>
      <xdr:col>12</xdr:col>
      <xdr:colOff>495285</xdr:colOff>
      <xdr:row>16</xdr:row>
      <xdr:rowOff>38280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89BF241C-ECBF-145D-88D3-CA58AFB95CB7}"/>
                </a:ext>
              </a:extLst>
            </xdr14:cNvPr>
            <xdr14:cNvContentPartPr/>
          </xdr14:nvContentPartPr>
          <xdr14:nvPr macro=""/>
          <xdr14:xfrm>
            <a:off x="6534720" y="2942280"/>
            <a:ext cx="3399840" cy="144000"/>
          </xdr14:xfrm>
        </xdr:contentPart>
      </mc:Choice>
      <mc:Fallback xmlns=""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89BF241C-ECBF-145D-88D3-CA58AFB95CB7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517080" y="2924280"/>
              <a:ext cx="3435480" cy="17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351765</xdr:colOff>
      <xdr:row>15</xdr:row>
      <xdr:rowOff>161820</xdr:rowOff>
    </xdr:from>
    <xdr:to>
      <xdr:col>10</xdr:col>
      <xdr:colOff>412245</xdr:colOff>
      <xdr:row>21</xdr:row>
      <xdr:rowOff>47340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0480AE6B-8E56-B8CA-5192-B7025CBF3D95}"/>
                </a:ext>
              </a:extLst>
            </xdr14:cNvPr>
            <xdr14:cNvContentPartPr/>
          </xdr14:nvContentPartPr>
          <xdr14:nvPr macro=""/>
          <xdr14:xfrm>
            <a:off x="8267040" y="3019320"/>
            <a:ext cx="60480" cy="1028520"/>
          </xdr14:xfrm>
        </xdr:contentPart>
      </mc:Choice>
      <mc:Fallback xmlns=""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0480AE6B-8E56-B8CA-5192-B7025CBF3D95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249040" y="3001320"/>
              <a:ext cx="96120" cy="106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409005</xdr:colOff>
      <xdr:row>10</xdr:row>
      <xdr:rowOff>163200</xdr:rowOff>
    </xdr:from>
    <xdr:to>
      <xdr:col>10</xdr:col>
      <xdr:colOff>448245</xdr:colOff>
      <xdr:row>15</xdr:row>
      <xdr:rowOff>104940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A3EB8946-F1C8-296F-C0CF-7AE49627B730}"/>
                </a:ext>
              </a:extLst>
            </xdr14:cNvPr>
            <xdr14:cNvContentPartPr/>
          </xdr14:nvContentPartPr>
          <xdr14:nvPr macro=""/>
          <xdr14:xfrm>
            <a:off x="8324280" y="2068200"/>
            <a:ext cx="39240" cy="89424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A3EB8946-F1C8-296F-C0CF-7AE49627B730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8306280" y="2050200"/>
              <a:ext cx="74880" cy="92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526605</xdr:colOff>
      <xdr:row>12</xdr:row>
      <xdr:rowOff>40320</xdr:rowOff>
    </xdr:from>
    <xdr:to>
      <xdr:col>10</xdr:col>
      <xdr:colOff>226845</xdr:colOff>
      <xdr:row>14</xdr:row>
      <xdr:rowOff>105720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CDCC6DEC-4AA9-6C41-6520-7812201715D5}"/>
                </a:ext>
              </a:extLst>
            </xdr14:cNvPr>
            <xdr14:cNvContentPartPr/>
          </xdr14:nvContentPartPr>
          <xdr14:nvPr macro=""/>
          <xdr14:xfrm>
            <a:off x="7679880" y="2326320"/>
            <a:ext cx="462240" cy="44640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CDCC6DEC-4AA9-6C41-6520-7812201715D5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662240" y="2308680"/>
              <a:ext cx="497880" cy="48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570885</xdr:colOff>
      <xdr:row>17</xdr:row>
      <xdr:rowOff>46500</xdr:rowOff>
    </xdr:from>
    <xdr:to>
      <xdr:col>10</xdr:col>
      <xdr:colOff>238365</xdr:colOff>
      <xdr:row>20</xdr:row>
      <xdr:rowOff>57120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6" name="Entrada de lápiz 15">
              <a:extLst>
                <a:ext uri="{FF2B5EF4-FFF2-40B4-BE49-F238E27FC236}">
                  <a16:creationId xmlns:a16="http://schemas.microsoft.com/office/drawing/2014/main" id="{B815668F-63F8-1D8B-3ABE-7252E711D8FC}"/>
                </a:ext>
              </a:extLst>
            </xdr14:cNvPr>
            <xdr14:cNvContentPartPr/>
          </xdr14:nvContentPartPr>
          <xdr14:nvPr macro=""/>
          <xdr14:xfrm>
            <a:off x="7724160" y="3285000"/>
            <a:ext cx="429480" cy="582120"/>
          </xdr14:xfrm>
        </xdr:contentPart>
      </mc:Choice>
      <mc:Fallback xmlns="">
        <xdr:pic>
          <xdr:nvPicPr>
            <xdr:cNvPr id="16" name="Entrada de lápiz 15">
              <a:extLst>
                <a:ext uri="{FF2B5EF4-FFF2-40B4-BE49-F238E27FC236}">
                  <a16:creationId xmlns:a16="http://schemas.microsoft.com/office/drawing/2014/main" id="{B815668F-63F8-1D8B-3ABE-7252E711D8F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7706160" y="3267000"/>
              <a:ext cx="465120" cy="61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447165</xdr:colOff>
      <xdr:row>15</xdr:row>
      <xdr:rowOff>85500</xdr:rowOff>
    </xdr:from>
    <xdr:to>
      <xdr:col>10</xdr:col>
      <xdr:colOff>501525</xdr:colOff>
      <xdr:row>21</xdr:row>
      <xdr:rowOff>128340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7" name="Entrada de lápiz 16">
              <a:extLst>
                <a:ext uri="{FF2B5EF4-FFF2-40B4-BE49-F238E27FC236}">
                  <a16:creationId xmlns:a16="http://schemas.microsoft.com/office/drawing/2014/main" id="{4AB476CE-35D4-6D3D-04E4-89DCE42F148E}"/>
                </a:ext>
              </a:extLst>
            </xdr14:cNvPr>
            <xdr14:cNvContentPartPr/>
          </xdr14:nvContentPartPr>
          <xdr14:nvPr macro=""/>
          <xdr14:xfrm>
            <a:off x="8362440" y="2943000"/>
            <a:ext cx="54360" cy="1185840"/>
          </xdr14:xfrm>
        </xdr:contentPart>
      </mc:Choice>
      <mc:Fallback xmlns="">
        <xdr:pic>
          <xdr:nvPicPr>
            <xdr:cNvPr id="17" name="Entrada de lápiz 16">
              <a:extLst>
                <a:ext uri="{FF2B5EF4-FFF2-40B4-BE49-F238E27FC236}">
                  <a16:creationId xmlns:a16="http://schemas.microsoft.com/office/drawing/2014/main" id="{4AB476CE-35D4-6D3D-04E4-89DCE42F148E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8344800" y="2925000"/>
              <a:ext cx="90000" cy="1221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247650</xdr:colOff>
      <xdr:row>26</xdr:row>
      <xdr:rowOff>0</xdr:rowOff>
    </xdr:from>
    <xdr:to>
      <xdr:col>9</xdr:col>
      <xdr:colOff>19050</xdr:colOff>
      <xdr:row>46</xdr:row>
      <xdr:rowOff>171450</xdr:rowOff>
    </xdr:to>
    <xdr:graphicFrame macro="">
      <xdr:nvGraphicFramePr>
        <xdr:cNvPr id="18" name="1 Gráfico">
          <a:extLst>
            <a:ext uri="{FF2B5EF4-FFF2-40B4-BE49-F238E27FC236}">
              <a16:creationId xmlns:a16="http://schemas.microsoft.com/office/drawing/2014/main" id="{DAC5E12F-BA4D-43F3-8242-5EE14094C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514350</xdr:colOff>
      <xdr:row>5</xdr:row>
      <xdr:rowOff>71437</xdr:rowOff>
    </xdr:from>
    <xdr:to>
      <xdr:col>23</xdr:col>
      <xdr:colOff>514350</xdr:colOff>
      <xdr:row>19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F5F62B-9090-BD4B-E08A-B95A0D0C8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361950</xdr:colOff>
      <xdr:row>5</xdr:row>
      <xdr:rowOff>71437</xdr:rowOff>
    </xdr:from>
    <xdr:to>
      <xdr:col>17</xdr:col>
      <xdr:colOff>361950</xdr:colOff>
      <xdr:row>19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AC1C197-0DB3-8E95-683D-3F1F3DB9C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628650</xdr:colOff>
      <xdr:row>20</xdr:row>
      <xdr:rowOff>152400</xdr:rowOff>
    </xdr:from>
    <xdr:to>
      <xdr:col>23</xdr:col>
      <xdr:colOff>628650</xdr:colOff>
      <xdr:row>35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829BBB4-1C2E-49D3-837F-78F92C98F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676275</xdr:colOff>
      <xdr:row>5</xdr:row>
      <xdr:rowOff>38100</xdr:rowOff>
    </xdr:from>
    <xdr:to>
      <xdr:col>29</xdr:col>
      <xdr:colOff>676275</xdr:colOff>
      <xdr:row>19</xdr:row>
      <xdr:rowOff>114300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ED84832-7CB0-45B7-992A-F862ED0C2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295275</xdr:colOff>
      <xdr:row>20</xdr:row>
      <xdr:rowOff>52387</xdr:rowOff>
    </xdr:from>
    <xdr:to>
      <xdr:col>17</xdr:col>
      <xdr:colOff>295275</xdr:colOff>
      <xdr:row>34</xdr:row>
      <xdr:rowOff>128587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635CF72-2AD5-B1D4-6722-72D623836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1</xdr:row>
      <xdr:rowOff>61912</xdr:rowOff>
    </xdr:from>
    <xdr:to>
      <xdr:col>14</xdr:col>
      <xdr:colOff>447675</xdr:colOff>
      <xdr:row>15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E1FC8F-5609-D63D-0008-17A71BBBF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447675</xdr:colOff>
      <xdr:row>15</xdr:row>
      <xdr:rowOff>128587</xdr:rowOff>
    </xdr:from>
    <xdr:to>
      <xdr:col>14</xdr:col>
      <xdr:colOff>447675</xdr:colOff>
      <xdr:row>30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396626B-2789-D6C0-6BC7-97355C727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18T22:13:56.506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9444 399 24575,'-368'-16'0,"-5"-16"0,56 26 0,181-19 0,97 20 0,0-2 0,-61-18 0,25 6 0,12 3 0,-2 3 0,0 3 0,-83-3 0,74 13 0,-497-14 0,-473 1 0,652 15 0,-982-2 0,1175-15 0,87 4 0,-149-28 0,185 23 0,-1 4 0,-110-3 0,-171 2 0,-200 0 0,348 15 0,-48-4 0,-276 5 0,401 10 0,-52 0 0,-25-11 0,-160-5 0,308-5 0,-1-1 0,2-4 0,-67-22 0,121 33 0,-12-2-273,-1 0 0,0 1 0,-1 1 0,-28 1 0,27 1-6553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18T22:14:00.352"/>
    </inkml:context>
    <inkml:brush xml:id="br0">
      <inkml:brushProperty name="width" value="0.1" units="cm"/>
      <inkml:brushProperty name="height" value="0.1" units="cm"/>
      <inkml:brushProperty name="color" value="#00A0D7"/>
    </inkml:brush>
  </inkml:definitions>
  <inkml:trace contextRef="#ctx0" brushRef="#br0">134 0 24575,'-49'614'0,"28"-437"0,10 169 0,2-17 0,-29 63 0,32-72 0,8-194 0,-2-118 0,0-1 0,1 0 0,0 1 0,1-1 0,0 0 0,0 0 0,0 0 0,1 0 0,0 0 0,0 0 0,8 11 0,3 0 0,0-1 0,27 25 0,-12-12 0,-24-25 0,-2 0 0,1 1 0,-1-1 0,1 1 0,-1 0 0,-1 0 0,1 0 0,-1 0 0,0 1 0,-1-1 0,0 0 0,0 1 0,1 7 0,-1 14 0,-4 50 0,1-33 0,1-29-341,-1 1 0,0-1-1,-5 18 1,1-11-6485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18T22:14:05.324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81 2483 24575,'13'-792'0,"0"-57"0,-13 767 0,1-21 0,-18-147 0,7 188 0,-3 0 0,-38-111 0,47 161-273,1-1 0,0 0 0,0 0 0,0-24 0,2 15-6553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18T22:14:26.880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257 1051 24575,'-7'-4'0,"0"0"0,0-1 0,0 0 0,1 0 0,0-1 0,0 0 0,1 0 0,0 0 0,0 0 0,0-1 0,-4-9 0,-4-8 0,1 0 0,-8-28 0,-2-13 0,3-2 0,-18-120 0,4-143 0,29 278 0,-16-81 0,20 132 0,-1 0 0,1-1 0,0 1 0,0-1 0,0 1 0,0 0 0,0-1 0,0 1 0,0-1 0,1 1 0,-1 0 0,0-1 0,1 1 0,-1 0 0,1-1 0,0 1 0,-1 0 0,1 0 0,0-1 0,0 1 0,0 0 0,0 0 0,-1 0 0,2 0 0,0-1 0,0 1 0,0 0 0,1 0 0,-1 0 0,0 1 0,1-1 0,-1 1 0,1-1 0,-1 1 0,0 0 0,1 0 0,-1 0 0,1 0 0,2 1 0,8 1 0,0 1 0,-1 0 0,0 1 0,16 6 0,16 9 0,-1 2 0,-1 2 0,0 1 0,-2 2 0,59 51 0,-89-68 0,-2 1 0,1 0 0,-1 0 0,-1 1 0,0 0 0,-1 0 0,0 1 0,0-1 0,-1 1 0,-1 1 0,0-1 0,-1 1 0,3 18 0,6 23 0,0-3 0,-3 0 0,6 93 0,-14-123 0,-2 1 0,0 0 0,-1-1 0,-11 42 0,11-56 0,0-1 0,0 1 0,0-1 0,-1 0 0,0 0 0,-1-1 0,1 1 0,-1 0 0,0-1 0,-1 0 0,1 0 0,-1 0 0,0-1 0,0 0 0,0 0 0,-1 0 0,1 0 0,-1-1 0,0 0 0,-6 3 0,-60 24 0,46-18 0,-52 17 0,17-11-1365,36-10-5461</inkml:trace>
  <inkml:trace contextRef="#ctx0" brushRef="#br0" timeOffset="1237.92">786 1237 24575,'31'1'0,"-18"0"0,-1-1 0,1 0 0,19-3 0,-28 3 0,-1-1 0,1 0 0,0 0 0,-1-1 0,1 1 0,-1-1 0,0 0 0,0 0 0,1 0 0,-1 0 0,0 0 0,-1 0 0,1-1 0,0 0 0,-1 1 0,4-6 0,2-4 0,-1-2 0,0 1 0,0-1 0,-1 0 0,-1 0 0,-1-1 0,0 1 0,-1-1 0,0 0 0,-1 0 0,-1 0 0,0-1 0,-1 1 0,-1 0 0,0 0 0,-2 0 0,-6-28 0,1 16 0,-1 1 0,-1 0 0,-1 0 0,-1 1 0,-2 1 0,0 0 0,-2 1 0,-34-41 0,47 62 0,0-1 0,1 1 0,-1-1 0,1 0 0,0 0 0,0 0 0,0 0 0,0 0 0,1-1 0,-1 1 0,1-1 0,0 1 0,0-1 0,0 1 0,0-1 0,1 1 0,-1-1 0,1 0 0,0 1 0,0-1 0,1 0 0,-1 1 0,1-1 0,-1 1 0,1-1 0,0 0 0,1 1 0,-1 0 0,0-1 0,1 1 0,0 0 0,0 0 0,0 0 0,0 0 0,0 0 0,4-3 0,0 0 0,1 0 0,0 1 0,0 0 0,1 0 0,-1 0 0,1 1 0,0 0 0,0 1 0,1 0 0,-1 0 0,1 1 0,-1 0 0,1 0 0,11 0 0,160 4 114,-71 0-1593,-83-2-5347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18T22:14:33.799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134 1193 24575,'-20'-47'0,"2"-1"0,2-1 0,-11-66 0,20 86 0,-9-51 0,3-1 0,-2-96 0,13-165 0,4 193 0,-3 146 0,1 0 0,0 0 0,0 0 0,0 0 0,0 0 0,1 1 0,-1-1 0,1 0 0,0 0 0,0 0 0,0 1 0,0-1 0,0 1 0,0-1 0,1 0 0,-1 1 0,1 0 0,0-1 0,0 1 0,0 0 0,0 0 0,0 0 0,0 0 0,0 1 0,1-1 0,-1 1 0,0-1 0,1 1 0,0 0 0,-1-1 0,1 2 0,0-1 0,0 0 0,-1 0 0,1 1 0,0 0 0,0-1 0,0 1 0,0 0 0,3 1 0,10-1 0,-1 1 0,0 1 0,0 1 0,0 0 0,-1 1 0,1 0 0,-1 1 0,0 1 0,0 0 0,0 1 0,-1 1 0,18 13 0,12 11 0,-1 3 0,42 43 0,-76-69 0,0 0 0,0 1 0,-1 0 0,0 1 0,0-1 0,-1 1 0,-1 0 0,0 1 0,6 21 0,-2 5 0,8 71 0,1 7 0,-9-70 0,-3 0 0,-1 1 0,-2-1 0,-7 89 0,-1-107 0,-1-1 0,-2 0 0,0 0 0,-2 0 0,-1-1 0,-1-1 0,-29 46 0,35-63 0,0-1 0,-1 0 0,1 0 0,-2 0 0,1 0 0,-1-1 0,0-1 0,-15 9 0,-75 32 0,97-45 0,-18 6-195,-1-1 0,1-1 0,-1-1 0,0-1 0,0 0 0,-32-1 0,26-2-6631</inkml:trace>
  <inkml:trace contextRef="#ctx0" brushRef="#br0" timeOffset="970.56">557 1616 24575,'25'-42'0,"2"0"0,2 2 0,43-46 0,-51 62 0,6-8 0,1 1 0,2 1 0,0 2 0,66-46 0,-34 34 0,94-80 0,-153 117-97,0-1-1,0 1 1,-1-1-1,1 0 1,-1 0-1,0 0 1,0 0-1,0 0 1,0 0-1,-1-1 1,0 1-1,0 0 0,1-6 1,2-14-6729</inkml:trace>
  <inkml:trace contextRef="#ctx0" brushRef="#br0" timeOffset="2141.3">848 770 24575,'2'34'0,"2"0"0,2 0 0,1-1 0,2 0 0,21 54 0,9 37 0,-25-78 0,2-1 0,2-1 0,2 0 0,28 45 0,11 37-1365,-51-107-5461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3-18T22:19:30.086"/>
    </inkml:context>
    <inkml:brush xml:id="br0">
      <inkml:brushProperty name="width" value="0.1" units="cm"/>
      <inkml:brushProperty name="height" value="0.1" units="cm"/>
      <inkml:brushProperty name="color" value="#F6630D"/>
    </inkml:brush>
  </inkml:definitions>
  <inkml:trace contextRef="#ctx0" brushRef="#br0">1 0 24575,'21'56'0,"-18"-41"0,2 1 0,0-1 0,10 20 0,-9-24 0,-1 1 0,0 0 0,-1 1 0,-1-1 0,0 1 0,2 16 0,8 75 0,-7-62 0,2 56 0,-9 1484 0,2-1562 0,1-1 0,8 37 0,-5-35 0,-1 0 0,1 27 0,-5 323 0,-2-341 0,-10 60 0,6-60 0,-2 58 0,7-69 0,0 20 0,2 0 0,1 0 0,14 74 0,-6-32 110,-9-63-602,1 0 1,7 33-1,-4-34-6334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Q65"/>
  <sheetViews>
    <sheetView topLeftCell="A4" zoomScaleNormal="100" workbookViewId="0">
      <selection activeCell="C71" sqref="C71"/>
    </sheetView>
  </sheetViews>
  <sheetFormatPr baseColWidth="10" defaultRowHeight="15" x14ac:dyDescent="0.25"/>
  <cols>
    <col min="1" max="1" width="11.85546875" bestFit="1" customWidth="1"/>
    <col min="4" max="4" width="12" bestFit="1" customWidth="1"/>
    <col min="7" max="7" width="12" bestFit="1" customWidth="1"/>
  </cols>
  <sheetData>
    <row r="10" spans="1:17" x14ac:dyDescent="0.25">
      <c r="N10" t="s">
        <v>18</v>
      </c>
      <c r="O10" t="s">
        <v>19</v>
      </c>
      <c r="P10" t="s">
        <v>20</v>
      </c>
    </row>
    <row r="11" spans="1:17" x14ac:dyDescent="0.25">
      <c r="M11" t="s">
        <v>17</v>
      </c>
      <c r="N11" s="1">
        <f>B32</f>
        <v>1.6666666666666667E-8</v>
      </c>
      <c r="O11" s="1">
        <f>B47</f>
        <v>2E-8</v>
      </c>
      <c r="P11" s="1">
        <f>B63</f>
        <v>1.6666666666666667E-8</v>
      </c>
    </row>
    <row r="12" spans="1:17" x14ac:dyDescent="0.25">
      <c r="M12" t="s">
        <v>16</v>
      </c>
      <c r="N12" s="1">
        <f>B33</f>
        <v>3.5275000000000004E-5</v>
      </c>
      <c r="O12" s="1">
        <f>B48</f>
        <v>4.0000000000000003E-5</v>
      </c>
      <c r="P12" s="1">
        <f>B65</f>
        <v>5.649333333333333E-5</v>
      </c>
    </row>
    <row r="14" spans="1:17" x14ac:dyDescent="0.25">
      <c r="M14" s="7" t="s">
        <v>21</v>
      </c>
      <c r="N14" s="7" t="s">
        <v>23</v>
      </c>
      <c r="O14" s="7" t="s">
        <v>24</v>
      </c>
      <c r="P14" s="7" t="s">
        <v>25</v>
      </c>
      <c r="Q14" s="7" t="s">
        <v>22</v>
      </c>
    </row>
    <row r="15" spans="1:17" x14ac:dyDescent="0.25">
      <c r="A15" s="2" t="s">
        <v>2</v>
      </c>
      <c r="B15" s="3">
        <f>4.1*10^-3</f>
        <v>4.0999999999999995E-3</v>
      </c>
      <c r="C15" s="3">
        <f>9.5*10^-4</f>
        <v>9.5E-4</v>
      </c>
      <c r="D15" s="3">
        <f>5.2*10^-4</f>
        <v>5.2000000000000006E-4</v>
      </c>
      <c r="E15" s="3">
        <f>1.03*10^-4</f>
        <v>1.0300000000000001E-4</v>
      </c>
      <c r="F15" s="3">
        <f>4.9*10^-5</f>
        <v>4.9000000000000005E-5</v>
      </c>
      <c r="G15" s="3">
        <f>1.5*10^-5</f>
        <v>1.5000000000000002E-5</v>
      </c>
      <c r="M15" s="3">
        <f>4.1*10^-3</f>
        <v>4.0999999999999995E-3</v>
      </c>
      <c r="N15" s="3">
        <f>($N$11*M15)/($N$12+M15)</f>
        <v>1.6524495549469706E-8</v>
      </c>
      <c r="O15" s="3">
        <f>($O$11*M15)/($O$12+M15)</f>
        <v>1.9806763285024155E-8</v>
      </c>
      <c r="P15" s="3">
        <f>($P$11*M15)/($P$12+M15)</f>
        <v>1.6440140246425673E-8</v>
      </c>
      <c r="Q15" s="3">
        <f>1.77*10^-8</f>
        <v>1.77E-8</v>
      </c>
    </row>
    <row r="16" spans="1:17" x14ac:dyDescent="0.25">
      <c r="A16" s="2" t="s">
        <v>1</v>
      </c>
      <c r="B16" s="3">
        <f>1.77*10^-8</f>
        <v>1.77E-8</v>
      </c>
      <c r="C16" s="3">
        <f>1.73*10^-8</f>
        <v>1.7299999999999999E-8</v>
      </c>
      <c r="D16" s="3">
        <f>1.5*10^-8</f>
        <v>1.5000000000000002E-8</v>
      </c>
      <c r="E16" s="3">
        <f>1.06*10^-8</f>
        <v>1.0600000000000001E-8</v>
      </c>
      <c r="F16" s="3">
        <f>0.85*10^-8</f>
        <v>8.5E-9</v>
      </c>
      <c r="G16" s="3">
        <f>0.5*10^-8</f>
        <v>5.0000000000000001E-9</v>
      </c>
      <c r="M16" s="3">
        <f>9.5*10^-4</f>
        <v>9.5E-4</v>
      </c>
      <c r="N16" s="3">
        <f t="shared" ref="N16:N20" si="0">($N$11*M16)/($N$12+M16)</f>
        <v>1.6069963546556376E-8</v>
      </c>
      <c r="O16" s="3">
        <f t="shared" ref="O16:O20" si="1">($O$11*M16)/($O$12+M16)</f>
        <v>1.9191919191919191E-8</v>
      </c>
      <c r="P16" s="3">
        <f t="shared" ref="P16:P20" si="2">($P$11*M16)/($P$12+M16)</f>
        <v>1.5731185502139441E-8</v>
      </c>
      <c r="Q16" s="3">
        <f>1.73*10^-8</f>
        <v>1.7299999999999999E-8</v>
      </c>
    </row>
    <row r="17" spans="1:17" x14ac:dyDescent="0.25">
      <c r="M17" s="3">
        <f>5.2*10^-4</f>
        <v>5.2000000000000006E-4</v>
      </c>
      <c r="N17" s="3">
        <f t="shared" si="0"/>
        <v>1.5607881980400103E-8</v>
      </c>
      <c r="O17" s="3">
        <f t="shared" si="1"/>
        <v>1.8571428571428572E-8</v>
      </c>
      <c r="P17" s="3">
        <f t="shared" si="2"/>
        <v>1.5033420450077483E-8</v>
      </c>
      <c r="Q17" s="3">
        <f>1.5*10^-8</f>
        <v>1.5000000000000002E-8</v>
      </c>
    </row>
    <row r="18" spans="1:17" x14ac:dyDescent="0.25">
      <c r="M18" s="3">
        <f>1.03*10^-4</f>
        <v>1.0300000000000001E-4</v>
      </c>
      <c r="N18" s="3">
        <f t="shared" si="0"/>
        <v>1.2414873741939372E-8</v>
      </c>
      <c r="O18" s="3">
        <f t="shared" si="1"/>
        <v>1.4405594405594406E-8</v>
      </c>
      <c r="P18" s="3">
        <f t="shared" si="2"/>
        <v>1.0763250292593214E-8</v>
      </c>
      <c r="Q18" s="3">
        <f>1.06*10^-8</f>
        <v>1.0600000000000001E-8</v>
      </c>
    </row>
    <row r="19" spans="1:17" x14ac:dyDescent="0.25">
      <c r="A19" s="41" t="s">
        <v>0</v>
      </c>
      <c r="B19" s="41"/>
      <c r="M19" s="3">
        <f>4.9*10^-5</f>
        <v>4.9000000000000005E-5</v>
      </c>
      <c r="N19" s="3">
        <f t="shared" si="0"/>
        <v>9.690497379610404E-9</v>
      </c>
      <c r="O19" s="3">
        <f t="shared" si="1"/>
        <v>1.101123595505618E-8</v>
      </c>
      <c r="P19" s="3">
        <f t="shared" si="2"/>
        <v>7.7414054600606676E-9</v>
      </c>
      <c r="Q19" s="3">
        <f>0.85*10^-8</f>
        <v>8.5E-9</v>
      </c>
    </row>
    <row r="20" spans="1:17" x14ac:dyDescent="0.25">
      <c r="M20" s="3">
        <f>1.5*10^-5</f>
        <v>1.5000000000000002E-5</v>
      </c>
      <c r="N20" s="3">
        <f t="shared" si="0"/>
        <v>4.9726504226752866E-9</v>
      </c>
      <c r="O20" s="3">
        <f t="shared" si="1"/>
        <v>5.454545454545454E-9</v>
      </c>
      <c r="P20" s="3">
        <f t="shared" si="2"/>
        <v>3.4968295412159648E-9</v>
      </c>
      <c r="Q20" s="3">
        <f>0.5*10^-8</f>
        <v>5.0000000000000001E-9</v>
      </c>
    </row>
    <row r="21" spans="1:17" x14ac:dyDescent="0.25">
      <c r="A21" s="4" t="s">
        <v>9</v>
      </c>
      <c r="B21" s="4" t="s">
        <v>4</v>
      </c>
    </row>
    <row r="22" spans="1:17" x14ac:dyDescent="0.25">
      <c r="A22" s="3">
        <f>1/B16</f>
        <v>56497175.141242936</v>
      </c>
      <c r="B22" s="3">
        <f>1/B15</f>
        <v>243.90243902439028</v>
      </c>
    </row>
    <row r="23" spans="1:17" x14ac:dyDescent="0.25">
      <c r="A23" s="3">
        <f>1/C16</f>
        <v>57803468.208092488</v>
      </c>
      <c r="B23" s="3">
        <f>1/C15</f>
        <v>1052.6315789473683</v>
      </c>
    </row>
    <row r="24" spans="1:17" x14ac:dyDescent="0.25">
      <c r="A24" s="3">
        <f>1/D16</f>
        <v>66666666.666666657</v>
      </c>
      <c r="B24" s="3">
        <f>1/D15</f>
        <v>1923.0769230769229</v>
      </c>
    </row>
    <row r="25" spans="1:17" x14ac:dyDescent="0.25">
      <c r="A25" s="3">
        <f>1/E16</f>
        <v>94339622.641509429</v>
      </c>
      <c r="B25" s="3">
        <f>1/E15</f>
        <v>9708.7378640776697</v>
      </c>
    </row>
    <row r="26" spans="1:17" x14ac:dyDescent="0.25">
      <c r="A26" s="3">
        <f>1/F16</f>
        <v>117647058.82352941</v>
      </c>
      <c r="B26" s="3">
        <f>1/F15</f>
        <v>20408.163265306121</v>
      </c>
    </row>
    <row r="27" spans="1:17" x14ac:dyDescent="0.25">
      <c r="A27" s="3">
        <f>1/G16</f>
        <v>200000000</v>
      </c>
      <c r="B27" s="3">
        <f>1/G15</f>
        <v>66666.666666666657</v>
      </c>
    </row>
    <row r="30" spans="1:17" x14ac:dyDescent="0.25">
      <c r="A30" s="4" t="s">
        <v>13</v>
      </c>
      <c r="B30" s="3">
        <f>6*10^7</f>
        <v>60000000</v>
      </c>
    </row>
    <row r="31" spans="1:17" x14ac:dyDescent="0.25">
      <c r="A31" s="4" t="s">
        <v>14</v>
      </c>
      <c r="B31" s="2">
        <v>2116.5</v>
      </c>
    </row>
    <row r="32" spans="1:17" x14ac:dyDescent="0.25">
      <c r="A32" s="4" t="s">
        <v>15</v>
      </c>
      <c r="B32" s="3">
        <f>1/B30</f>
        <v>1.6666666666666667E-8</v>
      </c>
      <c r="C32" s="2" t="s">
        <v>11</v>
      </c>
    </row>
    <row r="33" spans="1:3" x14ac:dyDescent="0.25">
      <c r="A33" s="4" t="s">
        <v>16</v>
      </c>
      <c r="B33" s="3">
        <f>B31*B32</f>
        <v>3.5275000000000004E-5</v>
      </c>
      <c r="C33" s="2" t="s">
        <v>12</v>
      </c>
    </row>
    <row r="36" spans="1:3" x14ac:dyDescent="0.25">
      <c r="A36" s="41" t="s">
        <v>3</v>
      </c>
      <c r="B36" s="41"/>
    </row>
    <row r="38" spans="1:3" x14ac:dyDescent="0.25">
      <c r="A38" s="6" t="s">
        <v>5</v>
      </c>
      <c r="B38" s="4" t="s">
        <v>6</v>
      </c>
    </row>
    <row r="39" spans="1:3" x14ac:dyDescent="0.25">
      <c r="A39" s="3">
        <f>1/A22</f>
        <v>1.77E-8</v>
      </c>
      <c r="B39" s="3">
        <f>A39*B22</f>
        <v>4.3170731707317081E-6</v>
      </c>
    </row>
    <row r="40" spans="1:3" x14ac:dyDescent="0.25">
      <c r="A40" s="3">
        <f t="shared" ref="A40:A44" si="3">1/A23</f>
        <v>1.7299999999999999E-8</v>
      </c>
      <c r="B40" s="3">
        <f t="shared" ref="B40:B44" si="4">A40*B23</f>
        <v>1.8210526315789471E-5</v>
      </c>
    </row>
    <row r="41" spans="1:3" x14ac:dyDescent="0.25">
      <c r="A41" s="3">
        <f t="shared" si="3"/>
        <v>1.5000000000000002E-8</v>
      </c>
      <c r="B41" s="3">
        <f t="shared" si="4"/>
        <v>2.8846153846153845E-5</v>
      </c>
    </row>
    <row r="42" spans="1:3" x14ac:dyDescent="0.25">
      <c r="A42" s="3">
        <f t="shared" si="3"/>
        <v>1.0600000000000001E-8</v>
      </c>
      <c r="B42" s="3">
        <f t="shared" si="4"/>
        <v>1.029126213592233E-4</v>
      </c>
    </row>
    <row r="43" spans="1:3" x14ac:dyDescent="0.25">
      <c r="A43" s="3">
        <f t="shared" si="3"/>
        <v>8.5E-9</v>
      </c>
      <c r="B43" s="3">
        <f t="shared" si="4"/>
        <v>1.7346938775510202E-4</v>
      </c>
    </row>
    <row r="44" spans="1:3" x14ac:dyDescent="0.25">
      <c r="A44" s="3">
        <f t="shared" si="3"/>
        <v>5.0000000000000001E-9</v>
      </c>
      <c r="B44" s="3">
        <f t="shared" si="4"/>
        <v>3.3333333333333327E-4</v>
      </c>
    </row>
    <row r="45" spans="1:3" x14ac:dyDescent="0.25">
      <c r="A45" s="1"/>
    </row>
    <row r="46" spans="1:3" x14ac:dyDescent="0.25">
      <c r="A46" s="1"/>
    </row>
    <row r="47" spans="1:3" x14ac:dyDescent="0.25">
      <c r="A47" s="5" t="s">
        <v>15</v>
      </c>
      <c r="B47" s="3">
        <f>2*10^-8</f>
        <v>2E-8</v>
      </c>
      <c r="C47" s="2" t="s">
        <v>11</v>
      </c>
    </row>
    <row r="48" spans="1:3" x14ac:dyDescent="0.25">
      <c r="A48" s="4" t="s">
        <v>16</v>
      </c>
      <c r="B48" s="3">
        <f>4*10^-5</f>
        <v>4.0000000000000003E-5</v>
      </c>
      <c r="C48" s="2" t="s">
        <v>12</v>
      </c>
    </row>
    <row r="51" spans="1:3" x14ac:dyDescent="0.25">
      <c r="A51" s="41" t="s">
        <v>7</v>
      </c>
      <c r="B51" s="41"/>
    </row>
    <row r="53" spans="1:3" x14ac:dyDescent="0.25">
      <c r="A53" s="4" t="s">
        <v>10</v>
      </c>
      <c r="B53" s="4" t="s">
        <v>8</v>
      </c>
    </row>
    <row r="54" spans="1:3" x14ac:dyDescent="0.25">
      <c r="A54" s="3">
        <f>1/B39</f>
        <v>231638.41807909601</v>
      </c>
      <c r="B54" s="3">
        <f>1/B22</f>
        <v>4.0999999999999995E-3</v>
      </c>
    </row>
    <row r="55" spans="1:3" x14ac:dyDescent="0.25">
      <c r="A55" s="3">
        <f t="shared" ref="A55:A59" si="5">1/B40</f>
        <v>54913.294797687871</v>
      </c>
      <c r="B55" s="3">
        <f t="shared" ref="B55:B59" si="6">1/B23</f>
        <v>9.5000000000000011E-4</v>
      </c>
    </row>
    <row r="56" spans="1:3" x14ac:dyDescent="0.25">
      <c r="A56" s="3">
        <f t="shared" si="5"/>
        <v>34666.666666666664</v>
      </c>
      <c r="B56" s="3">
        <f t="shared" si="6"/>
        <v>5.2000000000000006E-4</v>
      </c>
    </row>
    <row r="57" spans="1:3" x14ac:dyDescent="0.25">
      <c r="A57" s="3">
        <f t="shared" si="5"/>
        <v>9716.9811320754707</v>
      </c>
      <c r="B57" s="3">
        <f t="shared" si="6"/>
        <v>1.03E-4</v>
      </c>
    </row>
    <row r="58" spans="1:3" x14ac:dyDescent="0.25">
      <c r="A58" s="3">
        <f t="shared" si="5"/>
        <v>5764.7058823529414</v>
      </c>
      <c r="B58" s="3">
        <f t="shared" si="6"/>
        <v>4.9000000000000005E-5</v>
      </c>
    </row>
    <row r="59" spans="1:3" x14ac:dyDescent="0.25">
      <c r="A59" s="3">
        <f t="shared" si="5"/>
        <v>3000.0000000000005</v>
      </c>
      <c r="B59" s="3">
        <f t="shared" si="6"/>
        <v>1.5000000000000002E-5</v>
      </c>
    </row>
    <row r="60" spans="1:3" x14ac:dyDescent="0.25">
      <c r="A60" s="1"/>
    </row>
    <row r="62" spans="1:3" x14ac:dyDescent="0.25">
      <c r="A62" s="4" t="s">
        <v>13</v>
      </c>
      <c r="B62" s="3">
        <f>6*10^7</f>
        <v>60000000</v>
      </c>
    </row>
    <row r="63" spans="1:3" x14ac:dyDescent="0.25">
      <c r="A63" s="4" t="s">
        <v>15</v>
      </c>
      <c r="B63" s="3">
        <f>1/B62</f>
        <v>1.6666666666666667E-8</v>
      </c>
      <c r="C63" s="2" t="s">
        <v>11</v>
      </c>
    </row>
    <row r="64" spans="1:3" x14ac:dyDescent="0.25">
      <c r="A64" s="4" t="s">
        <v>14</v>
      </c>
      <c r="B64" s="2">
        <f>3389.6</f>
        <v>3389.6</v>
      </c>
    </row>
    <row r="65" spans="1:3" x14ac:dyDescent="0.25">
      <c r="A65" s="4" t="s">
        <v>16</v>
      </c>
      <c r="B65" s="3">
        <f>B64*B63</f>
        <v>5.649333333333333E-5</v>
      </c>
      <c r="C65" s="2" t="s">
        <v>12</v>
      </c>
    </row>
  </sheetData>
  <mergeCells count="3">
    <mergeCell ref="A19:B19"/>
    <mergeCell ref="A36:B36"/>
    <mergeCell ref="A51:B5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52"/>
  <sheetViews>
    <sheetView topLeftCell="A16" zoomScale="120" zoomScaleNormal="120" workbookViewId="0">
      <selection activeCell="N54" sqref="N54"/>
    </sheetView>
  </sheetViews>
  <sheetFormatPr baseColWidth="10" defaultRowHeight="15" x14ac:dyDescent="0.25"/>
  <cols>
    <col min="4" max="4" width="13.5703125" customWidth="1"/>
    <col min="5" max="5" width="13.28515625" customWidth="1"/>
    <col min="6" max="6" width="16.5703125" customWidth="1"/>
    <col min="9" max="9" width="11.85546875" bestFit="1" customWidth="1"/>
  </cols>
  <sheetData>
    <row r="2" spans="1:20" x14ac:dyDescent="0.25">
      <c r="B2" s="11" t="s">
        <v>26</v>
      </c>
      <c r="C2" s="12" t="s">
        <v>27</v>
      </c>
      <c r="D2" s="13" t="s">
        <v>28</v>
      </c>
      <c r="E2" s="12" t="s">
        <v>29</v>
      </c>
      <c r="F2" s="14" t="s">
        <v>30</v>
      </c>
      <c r="G2" s="12" t="s">
        <v>31</v>
      </c>
      <c r="H2" s="14" t="s">
        <v>32</v>
      </c>
      <c r="I2" s="14" t="s">
        <v>46</v>
      </c>
      <c r="J2" s="14" t="s">
        <v>36</v>
      </c>
    </row>
    <row r="3" spans="1:20" x14ac:dyDescent="0.25">
      <c r="A3" s="42" t="s">
        <v>42</v>
      </c>
      <c r="B3" s="24">
        <v>1.6</v>
      </c>
      <c r="C3" s="23">
        <v>30</v>
      </c>
      <c r="D3" s="25">
        <v>0</v>
      </c>
      <c r="E3" s="23">
        <v>0.1</v>
      </c>
      <c r="F3" s="26">
        <v>2.63</v>
      </c>
      <c r="G3" s="24">
        <f>1/F3</f>
        <v>0.38022813688212931</v>
      </c>
      <c r="H3" s="23">
        <f>1/E3</f>
        <v>10</v>
      </c>
      <c r="I3" s="23">
        <f>H3/G3</f>
        <v>26.299999999999997</v>
      </c>
      <c r="J3" s="34">
        <f>G3/H3</f>
        <v>3.8022813688212934E-2</v>
      </c>
    </row>
    <row r="4" spans="1:20" x14ac:dyDescent="0.25">
      <c r="A4" s="43"/>
      <c r="B4" s="15">
        <v>1.6</v>
      </c>
      <c r="C4" s="16">
        <v>30</v>
      </c>
      <c r="D4" s="17">
        <v>0</v>
      </c>
      <c r="E4" s="16">
        <v>3.3000000000000002E-2</v>
      </c>
      <c r="F4" s="18">
        <v>1.92</v>
      </c>
      <c r="G4" s="15">
        <f t="shared" ref="G4:G18" si="0">1/F4</f>
        <v>0.52083333333333337</v>
      </c>
      <c r="H4" s="16">
        <f t="shared" ref="H4:H12" si="1">1/E4</f>
        <v>30.303030303030301</v>
      </c>
      <c r="I4" s="37">
        <f t="shared" ref="I4:I18" si="2">H4/G4</f>
        <v>58.181818181818173</v>
      </c>
      <c r="J4" s="35">
        <f t="shared" ref="J4:J18" si="3">G4/H4</f>
        <v>1.7187500000000001E-2</v>
      </c>
    </row>
    <row r="5" spans="1:20" x14ac:dyDescent="0.25">
      <c r="A5" s="43"/>
      <c r="B5" s="15">
        <v>1.6</v>
      </c>
      <c r="C5" s="16">
        <v>30</v>
      </c>
      <c r="D5" s="17">
        <v>0</v>
      </c>
      <c r="E5" s="16">
        <v>0.02</v>
      </c>
      <c r="F5" s="18">
        <v>1.47</v>
      </c>
      <c r="G5" s="15">
        <f t="shared" si="0"/>
        <v>0.68027210884353739</v>
      </c>
      <c r="H5" s="16">
        <f t="shared" si="1"/>
        <v>50</v>
      </c>
      <c r="I5" s="16">
        <f t="shared" si="2"/>
        <v>73.5</v>
      </c>
      <c r="J5" s="35">
        <f t="shared" si="3"/>
        <v>1.3605442176870748E-2</v>
      </c>
      <c r="R5" t="s">
        <v>38</v>
      </c>
      <c r="S5">
        <v>7.4000000000000003E-3</v>
      </c>
    </row>
    <row r="6" spans="1:20" x14ac:dyDescent="0.25">
      <c r="A6" s="43"/>
      <c r="B6" s="15">
        <v>1.6</v>
      </c>
      <c r="C6" s="16">
        <v>30</v>
      </c>
      <c r="D6" s="17">
        <v>0</v>
      </c>
      <c r="E6" s="16">
        <v>0.01</v>
      </c>
      <c r="F6" s="18">
        <v>0.96</v>
      </c>
      <c r="G6" s="15">
        <f t="shared" si="0"/>
        <v>1.0416666666666667</v>
      </c>
      <c r="H6" s="16">
        <f t="shared" si="1"/>
        <v>100</v>
      </c>
      <c r="I6" s="16">
        <f t="shared" si="2"/>
        <v>96</v>
      </c>
      <c r="J6" s="35">
        <f t="shared" si="3"/>
        <v>1.0416666666666668E-2</v>
      </c>
      <c r="R6" t="s">
        <v>37</v>
      </c>
      <c r="S6">
        <v>0.30349999999999999</v>
      </c>
    </row>
    <row r="7" spans="1:20" x14ac:dyDescent="0.25">
      <c r="A7" s="44"/>
      <c r="B7" s="19">
        <v>1.6</v>
      </c>
      <c r="C7" s="20">
        <v>30</v>
      </c>
      <c r="D7" s="21">
        <v>0</v>
      </c>
      <c r="E7" s="20">
        <v>5.0000000000000001E-3</v>
      </c>
      <c r="F7" s="22">
        <v>0.56000000000000005</v>
      </c>
      <c r="G7" s="19">
        <f t="shared" si="0"/>
        <v>1.7857142857142856</v>
      </c>
      <c r="H7" s="20">
        <f t="shared" si="1"/>
        <v>200</v>
      </c>
      <c r="I7" s="20">
        <f t="shared" si="2"/>
        <v>112.00000000000001</v>
      </c>
      <c r="J7" s="36">
        <f t="shared" si="3"/>
        <v>8.9285714285714281E-3</v>
      </c>
      <c r="R7" t="s">
        <v>17</v>
      </c>
      <c r="S7">
        <f>1/S6</f>
        <v>3.2948929159802307</v>
      </c>
      <c r="T7" t="s">
        <v>41</v>
      </c>
    </row>
    <row r="8" spans="1:20" x14ac:dyDescent="0.25">
      <c r="A8" s="42" t="s">
        <v>43</v>
      </c>
      <c r="B8" s="24">
        <v>1.6</v>
      </c>
      <c r="C8" s="23">
        <v>49.6</v>
      </c>
      <c r="D8" s="25">
        <v>0</v>
      </c>
      <c r="E8" s="23">
        <v>0.1</v>
      </c>
      <c r="F8" s="26">
        <v>5.13</v>
      </c>
      <c r="G8" s="24">
        <f t="shared" si="0"/>
        <v>0.19493177387914232</v>
      </c>
      <c r="H8" s="23">
        <f t="shared" si="1"/>
        <v>10</v>
      </c>
      <c r="I8" s="23">
        <f t="shared" si="2"/>
        <v>51.3</v>
      </c>
      <c r="J8" s="34">
        <f t="shared" si="3"/>
        <v>1.9493177387914232E-2</v>
      </c>
      <c r="R8" t="s">
        <v>39</v>
      </c>
      <c r="S8">
        <f>S5*S7</f>
        <v>2.4382207578253708E-2</v>
      </c>
      <c r="T8" t="s">
        <v>40</v>
      </c>
    </row>
    <row r="9" spans="1:20" x14ac:dyDescent="0.25">
      <c r="A9" s="43"/>
      <c r="B9" s="15">
        <v>1.6</v>
      </c>
      <c r="C9" s="16">
        <v>49.6</v>
      </c>
      <c r="D9" s="17">
        <v>0</v>
      </c>
      <c r="E9" s="16">
        <v>3.3000000000000002E-2</v>
      </c>
      <c r="F9" s="18">
        <v>3.7</v>
      </c>
      <c r="G9" s="15">
        <f t="shared" si="0"/>
        <v>0.27027027027027023</v>
      </c>
      <c r="H9" s="16">
        <f t="shared" si="1"/>
        <v>30.303030303030301</v>
      </c>
      <c r="I9" s="37">
        <f t="shared" si="2"/>
        <v>112.12121212121212</v>
      </c>
      <c r="J9" s="35">
        <f t="shared" si="3"/>
        <v>8.918918918918918E-3</v>
      </c>
    </row>
    <row r="10" spans="1:20" x14ac:dyDescent="0.25">
      <c r="A10" s="43"/>
      <c r="B10" s="15">
        <v>1.6</v>
      </c>
      <c r="C10" s="16">
        <v>49.6</v>
      </c>
      <c r="D10" s="17">
        <v>0</v>
      </c>
      <c r="E10" s="16">
        <v>0.01</v>
      </c>
      <c r="F10" s="18">
        <v>1.89</v>
      </c>
      <c r="G10" s="15">
        <f t="shared" si="0"/>
        <v>0.52910052910052918</v>
      </c>
      <c r="H10" s="16">
        <f t="shared" si="1"/>
        <v>100</v>
      </c>
      <c r="I10" s="16">
        <f t="shared" si="2"/>
        <v>188.99999999999997</v>
      </c>
      <c r="J10" s="35">
        <f t="shared" si="3"/>
        <v>5.2910052910052916E-3</v>
      </c>
    </row>
    <row r="11" spans="1:20" x14ac:dyDescent="0.25">
      <c r="A11" s="43"/>
      <c r="B11" s="15">
        <v>1.6</v>
      </c>
      <c r="C11" s="16">
        <v>49.6</v>
      </c>
      <c r="D11" s="17">
        <v>0</v>
      </c>
      <c r="E11" s="16">
        <v>6.7000000000000002E-3</v>
      </c>
      <c r="F11" s="18">
        <v>1.43</v>
      </c>
      <c r="G11" s="15">
        <f t="shared" si="0"/>
        <v>0.69930069930069938</v>
      </c>
      <c r="H11" s="16">
        <f t="shared" si="1"/>
        <v>149.25373134328359</v>
      </c>
      <c r="I11" s="37">
        <f t="shared" si="2"/>
        <v>213.43283582089552</v>
      </c>
      <c r="J11" s="35">
        <f t="shared" si="3"/>
        <v>4.6853146853146855E-3</v>
      </c>
    </row>
    <row r="12" spans="1:20" x14ac:dyDescent="0.25">
      <c r="A12" s="44"/>
      <c r="B12" s="19">
        <v>1.6</v>
      </c>
      <c r="C12" s="20">
        <v>49.6</v>
      </c>
      <c r="D12" s="21">
        <v>0</v>
      </c>
      <c r="E12" s="20">
        <v>5.0000000000000001E-3</v>
      </c>
      <c r="F12" s="22">
        <v>1.1100000000000001</v>
      </c>
      <c r="G12" s="19">
        <f t="shared" si="0"/>
        <v>0.9009009009009008</v>
      </c>
      <c r="H12" s="20">
        <f t="shared" si="1"/>
        <v>200</v>
      </c>
      <c r="I12" s="20">
        <f t="shared" si="2"/>
        <v>222.00000000000003</v>
      </c>
      <c r="J12" s="36">
        <f t="shared" si="3"/>
        <v>4.5045045045045036E-3</v>
      </c>
    </row>
    <row r="13" spans="1:20" x14ac:dyDescent="0.25">
      <c r="A13" s="42" t="s">
        <v>44</v>
      </c>
      <c r="B13" s="24">
        <v>0.92</v>
      </c>
      <c r="C13" s="23">
        <v>30</v>
      </c>
      <c r="D13" s="25">
        <v>0</v>
      </c>
      <c r="E13" s="23">
        <v>0.1</v>
      </c>
      <c r="F13" s="26">
        <v>1.64</v>
      </c>
      <c r="G13" s="24">
        <f t="shared" si="0"/>
        <v>0.6097560975609756</v>
      </c>
      <c r="H13" s="23">
        <f t="shared" ref="H13:H18" si="4">1/E13</f>
        <v>10</v>
      </c>
      <c r="I13" s="23">
        <f t="shared" si="2"/>
        <v>16.400000000000002</v>
      </c>
      <c r="J13" s="34">
        <f t="shared" si="3"/>
        <v>6.097560975609756E-2</v>
      </c>
    </row>
    <row r="14" spans="1:20" x14ac:dyDescent="0.25">
      <c r="A14" s="43"/>
      <c r="B14" s="15">
        <v>0.92</v>
      </c>
      <c r="C14" s="16">
        <v>30</v>
      </c>
      <c r="D14" s="17">
        <v>0</v>
      </c>
      <c r="E14" s="16">
        <v>0.02</v>
      </c>
      <c r="F14" s="18">
        <v>0.9</v>
      </c>
      <c r="G14" s="15">
        <f t="shared" si="0"/>
        <v>1.1111111111111112</v>
      </c>
      <c r="H14" s="16">
        <f t="shared" si="4"/>
        <v>50</v>
      </c>
      <c r="I14" s="16">
        <f t="shared" si="2"/>
        <v>45</v>
      </c>
      <c r="J14" s="35">
        <f t="shared" si="3"/>
        <v>2.2222222222222223E-2</v>
      </c>
    </row>
    <row r="15" spans="1:20" x14ac:dyDescent="0.25">
      <c r="A15" s="43"/>
      <c r="B15" s="19">
        <v>0.92</v>
      </c>
      <c r="C15" s="20">
        <v>30</v>
      </c>
      <c r="D15" s="21">
        <v>0</v>
      </c>
      <c r="E15" s="20">
        <v>0.01</v>
      </c>
      <c r="F15" s="22">
        <v>0.57999999999999996</v>
      </c>
      <c r="G15" s="19">
        <f t="shared" si="0"/>
        <v>1.7241379310344829</v>
      </c>
      <c r="H15" s="20">
        <f t="shared" si="4"/>
        <v>100</v>
      </c>
      <c r="I15" s="20">
        <f t="shared" si="2"/>
        <v>57.999999999999993</v>
      </c>
      <c r="J15" s="36">
        <f t="shared" si="3"/>
        <v>1.7241379310344827E-2</v>
      </c>
    </row>
    <row r="16" spans="1:20" x14ac:dyDescent="0.25">
      <c r="A16" s="42" t="s">
        <v>45</v>
      </c>
      <c r="B16" s="15">
        <v>0.92</v>
      </c>
      <c r="C16" s="16">
        <v>30</v>
      </c>
      <c r="D16" s="17">
        <v>0.6</v>
      </c>
      <c r="E16" s="16">
        <v>0.1</v>
      </c>
      <c r="F16" s="18">
        <v>1.33</v>
      </c>
      <c r="G16" s="15">
        <f t="shared" si="0"/>
        <v>0.75187969924812026</v>
      </c>
      <c r="H16" s="16">
        <f t="shared" si="4"/>
        <v>10</v>
      </c>
      <c r="I16" s="16">
        <f t="shared" si="2"/>
        <v>13.3</v>
      </c>
      <c r="J16" s="35">
        <f t="shared" si="3"/>
        <v>7.5187969924812026E-2</v>
      </c>
    </row>
    <row r="17" spans="1:19" x14ac:dyDescent="0.25">
      <c r="A17" s="43"/>
      <c r="B17" s="15">
        <v>0.92</v>
      </c>
      <c r="C17" s="16">
        <v>30</v>
      </c>
      <c r="D17" s="17">
        <v>0.6</v>
      </c>
      <c r="E17" s="16">
        <v>3.3000000000000002E-2</v>
      </c>
      <c r="F17" s="18">
        <v>0.8</v>
      </c>
      <c r="G17" s="15">
        <f t="shared" si="0"/>
        <v>1.25</v>
      </c>
      <c r="H17" s="16">
        <f t="shared" si="4"/>
        <v>30.303030303030301</v>
      </c>
      <c r="I17" s="37">
        <f t="shared" si="2"/>
        <v>24.242424242424242</v>
      </c>
      <c r="J17" s="35">
        <f t="shared" si="3"/>
        <v>4.1250000000000002E-2</v>
      </c>
    </row>
    <row r="18" spans="1:19" x14ac:dyDescent="0.25">
      <c r="A18" s="43"/>
      <c r="B18" s="19">
        <v>0.92</v>
      </c>
      <c r="C18" s="20">
        <v>30</v>
      </c>
      <c r="D18" s="21">
        <v>0.6</v>
      </c>
      <c r="E18" s="20">
        <v>0.02</v>
      </c>
      <c r="F18" s="22">
        <v>0.56999999999999995</v>
      </c>
      <c r="G18" s="19">
        <f t="shared" si="0"/>
        <v>1.7543859649122808</v>
      </c>
      <c r="H18" s="20">
        <f t="shared" si="4"/>
        <v>50</v>
      </c>
      <c r="I18" s="20">
        <f t="shared" si="2"/>
        <v>28.499999999999996</v>
      </c>
      <c r="J18" s="36">
        <f t="shared" si="3"/>
        <v>3.5087719298245619E-2</v>
      </c>
    </row>
    <row r="21" spans="1:19" x14ac:dyDescent="0.25">
      <c r="G21" t="s">
        <v>38</v>
      </c>
      <c r="H21">
        <v>3.7000000000000002E-3</v>
      </c>
    </row>
    <row r="22" spans="1:19" x14ac:dyDescent="0.25">
      <c r="G22" t="s">
        <v>37</v>
      </c>
      <c r="H22">
        <v>0.15770000000000001</v>
      </c>
      <c r="Q22" t="s">
        <v>38</v>
      </c>
      <c r="R22">
        <v>1.24E-2</v>
      </c>
    </row>
    <row r="23" spans="1:19" x14ac:dyDescent="0.25">
      <c r="G23" t="s">
        <v>17</v>
      </c>
      <c r="H23">
        <f>1/H22</f>
        <v>6.3411540900443875</v>
      </c>
      <c r="I23" t="s">
        <v>41</v>
      </c>
      <c r="Q23" t="s">
        <v>37</v>
      </c>
      <c r="R23">
        <v>0.48820000000000002</v>
      </c>
    </row>
    <row r="24" spans="1:19" x14ac:dyDescent="0.25">
      <c r="G24" t="s">
        <v>39</v>
      </c>
      <c r="H24">
        <f>H21*H23</f>
        <v>2.3462270133164233E-2</v>
      </c>
      <c r="I24" t="s">
        <v>40</v>
      </c>
      <c r="Q24" t="s">
        <v>17</v>
      </c>
      <c r="R24">
        <f>1/R23</f>
        <v>2.0483408439164275</v>
      </c>
      <c r="S24" t="s">
        <v>41</v>
      </c>
    </row>
    <row r="25" spans="1:19" x14ac:dyDescent="0.25">
      <c r="Q25" t="s">
        <v>39</v>
      </c>
      <c r="R25">
        <f>R22*R24</f>
        <v>2.5399426464563699E-2</v>
      </c>
      <c r="S25" t="s">
        <v>40</v>
      </c>
    </row>
    <row r="38" spans="7:14" x14ac:dyDescent="0.25">
      <c r="L38" t="s">
        <v>47</v>
      </c>
    </row>
    <row r="39" spans="7:14" x14ac:dyDescent="0.25">
      <c r="G39" t="s">
        <v>38</v>
      </c>
      <c r="H39">
        <v>2.5100000000000001E-2</v>
      </c>
      <c r="L39" t="s">
        <v>48</v>
      </c>
    </row>
    <row r="40" spans="7:14" x14ac:dyDescent="0.25">
      <c r="G40" t="s">
        <v>37</v>
      </c>
      <c r="H40">
        <v>0.49780000000000002</v>
      </c>
      <c r="L40" t="str">
        <f>Q24</f>
        <v>Vmax</v>
      </c>
      <c r="M40">
        <f t="shared" ref="M40:N40" si="5">R24</f>
        <v>2.0483408439164275</v>
      </c>
      <c r="N40" t="str">
        <f t="shared" si="5"/>
        <v>mol/ml min</v>
      </c>
    </row>
    <row r="41" spans="7:14" x14ac:dyDescent="0.25">
      <c r="G41" t="s">
        <v>17</v>
      </c>
      <c r="H41">
        <f>1/H40</f>
        <v>2.0088388911209321</v>
      </c>
      <c r="I41" t="s">
        <v>41</v>
      </c>
      <c r="L41" t="str">
        <f t="shared" ref="L41" si="6">Q25</f>
        <v xml:space="preserve">KM </v>
      </c>
      <c r="M41">
        <f t="shared" ref="M41" si="7">R25</f>
        <v>2.5399426464563699E-2</v>
      </c>
      <c r="N41" t="str">
        <f t="shared" ref="N41" si="8">S25</f>
        <v>mol/ml</v>
      </c>
    </row>
    <row r="42" spans="7:14" x14ac:dyDescent="0.25">
      <c r="G42" t="s">
        <v>39</v>
      </c>
      <c r="H42">
        <f>H39*H41</f>
        <v>5.0421856167135397E-2</v>
      </c>
      <c r="I42" t="s">
        <v>40</v>
      </c>
      <c r="L42" t="s">
        <v>49</v>
      </c>
    </row>
    <row r="43" spans="7:14" x14ac:dyDescent="0.25">
      <c r="L43" t="str">
        <f>G41</f>
        <v>Vmax</v>
      </c>
      <c r="M43">
        <f t="shared" ref="M43:N43" si="9">H41</f>
        <v>2.0088388911209321</v>
      </c>
      <c r="N43" t="str">
        <f t="shared" si="9"/>
        <v>mol/ml min</v>
      </c>
    </row>
    <row r="44" spans="7:14" x14ac:dyDescent="0.25">
      <c r="L44" t="str">
        <f>G42</f>
        <v xml:space="preserve">KM </v>
      </c>
      <c r="M44">
        <f t="shared" ref="M44" si="10">H42</f>
        <v>5.0421856167135397E-2</v>
      </c>
      <c r="N44" t="str">
        <f t="shared" ref="N44" si="11">I42</f>
        <v>mol/ml</v>
      </c>
    </row>
    <row r="46" spans="7:14" x14ac:dyDescent="0.25">
      <c r="L46" t="s">
        <v>50</v>
      </c>
    </row>
    <row r="47" spans="7:14" x14ac:dyDescent="0.25">
      <c r="L47" t="s">
        <v>51</v>
      </c>
    </row>
    <row r="48" spans="7:14" x14ac:dyDescent="0.25">
      <c r="N48" t="s">
        <v>54</v>
      </c>
    </row>
    <row r="49" spans="12:15" x14ac:dyDescent="0.25">
      <c r="L49" t="s">
        <v>52</v>
      </c>
      <c r="M49">
        <f>M44</f>
        <v>5.0421856167135397E-2</v>
      </c>
      <c r="N49">
        <v>0.05</v>
      </c>
    </row>
    <row r="50" spans="12:15" x14ac:dyDescent="0.25">
      <c r="L50" t="s">
        <v>39</v>
      </c>
      <c r="M50">
        <f>M41</f>
        <v>2.5399426464563699E-2</v>
      </c>
      <c r="N50">
        <v>2.4E-2</v>
      </c>
    </row>
    <row r="51" spans="12:15" x14ac:dyDescent="0.25">
      <c r="L51" t="s">
        <v>53</v>
      </c>
      <c r="M51">
        <f>(M49/M50)-1</f>
        <v>0.9851572726447988</v>
      </c>
      <c r="N51" s="33">
        <f>(N49/N50)-1</f>
        <v>1.0833333333333335</v>
      </c>
    </row>
    <row r="52" spans="12:15" x14ac:dyDescent="0.25">
      <c r="L52" t="s">
        <v>55</v>
      </c>
      <c r="M52">
        <f>0.6/M51</f>
        <v>0.60903981187614054</v>
      </c>
      <c r="N52">
        <f>0.6/N51</f>
        <v>0.55384615384615377</v>
      </c>
      <c r="O52" t="s">
        <v>56</v>
      </c>
    </row>
  </sheetData>
  <mergeCells count="4">
    <mergeCell ref="A3:A7"/>
    <mergeCell ref="A8:A12"/>
    <mergeCell ref="A13:A15"/>
    <mergeCell ref="A16:A1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8"/>
  <sheetViews>
    <sheetView workbookViewId="0">
      <selection activeCell="J3" sqref="J3"/>
    </sheetView>
  </sheetViews>
  <sheetFormatPr baseColWidth="10" defaultRowHeight="15" x14ac:dyDescent="0.25"/>
  <cols>
    <col min="4" max="4" width="13.5703125" customWidth="1"/>
    <col min="5" max="5" width="13.7109375" customWidth="1"/>
  </cols>
  <sheetData>
    <row r="1" spans="1:14" x14ac:dyDescent="0.25">
      <c r="D1" t="s">
        <v>58</v>
      </c>
      <c r="E1" t="s">
        <v>60</v>
      </c>
    </row>
    <row r="2" spans="1:14" x14ac:dyDescent="0.25">
      <c r="B2" t="s">
        <v>57</v>
      </c>
      <c r="C2" s="8" t="s">
        <v>33</v>
      </c>
      <c r="D2" s="9" t="s">
        <v>34</v>
      </c>
      <c r="E2" s="10" t="s">
        <v>35</v>
      </c>
      <c r="F2" s="38" t="s">
        <v>59</v>
      </c>
      <c r="G2" s="38" t="s">
        <v>61</v>
      </c>
      <c r="J2" s="38" t="s">
        <v>74</v>
      </c>
      <c r="M2" t="s">
        <v>71</v>
      </c>
      <c r="N2">
        <f>(E6-E10)</f>
        <v>9.5</v>
      </c>
    </row>
    <row r="3" spans="1:14" x14ac:dyDescent="0.25">
      <c r="A3" t="s">
        <v>64</v>
      </c>
      <c r="B3">
        <f>C3*3600</f>
        <v>0</v>
      </c>
      <c r="C3" s="27">
        <v>0</v>
      </c>
      <c r="D3" s="28">
        <v>0.1</v>
      </c>
      <c r="E3" s="29">
        <v>10</v>
      </c>
      <c r="F3">
        <f>LOG(D3)</f>
        <v>-1</v>
      </c>
      <c r="G3" t="e">
        <f>(D3-D2)/(E3-E2)</f>
        <v>#VALUE!</v>
      </c>
      <c r="J3" t="s">
        <v>65</v>
      </c>
      <c r="K3">
        <f>(LN(D10/D6))/(C10-C6)</f>
        <v>0.99857742451799691</v>
      </c>
      <c r="L3" t="s">
        <v>67</v>
      </c>
      <c r="M3" t="s">
        <v>72</v>
      </c>
      <c r="N3">
        <f>D10-D6</f>
        <v>4.75</v>
      </c>
    </row>
    <row r="4" spans="1:14" x14ac:dyDescent="0.25">
      <c r="A4" t="s">
        <v>64</v>
      </c>
      <c r="B4">
        <f t="shared" ref="B4:B12" si="0">C4*3600</f>
        <v>3600</v>
      </c>
      <c r="C4" s="27">
        <v>1</v>
      </c>
      <c r="D4" s="28">
        <v>0.15</v>
      </c>
      <c r="E4" s="29">
        <v>9.9</v>
      </c>
      <c r="F4">
        <f t="shared" ref="F4:F12" si="1">LOG(D4)</f>
        <v>-0.82390874094431876</v>
      </c>
      <c r="G4">
        <f t="shared" ref="G4:G12" si="2">-(D4-D3)/(E4-E3)</f>
        <v>0.50000000000000167</v>
      </c>
      <c r="J4" t="s">
        <v>68</v>
      </c>
      <c r="K4">
        <f>((LN((2*D6)/D6))/(K3))+C6</f>
        <v>3.6941346394792776</v>
      </c>
      <c r="L4" t="s">
        <v>69</v>
      </c>
      <c r="M4" t="s">
        <v>73</v>
      </c>
      <c r="N4">
        <f>N3/N2</f>
        <v>0.5</v>
      </c>
    </row>
    <row r="5" spans="1:14" x14ac:dyDescent="0.25">
      <c r="A5" t="s">
        <v>64</v>
      </c>
      <c r="B5">
        <f t="shared" si="0"/>
        <v>7200</v>
      </c>
      <c r="C5" s="27">
        <v>2</v>
      </c>
      <c r="D5" s="28">
        <v>0.2</v>
      </c>
      <c r="E5" s="29">
        <v>9.8000000000000007</v>
      </c>
      <c r="F5">
        <f t="shared" si="1"/>
        <v>-0.69897000433601875</v>
      </c>
      <c r="G5">
        <f t="shared" si="2"/>
        <v>0.500000000000002</v>
      </c>
    </row>
    <row r="6" spans="1:14" x14ac:dyDescent="0.25">
      <c r="A6" t="s">
        <v>63</v>
      </c>
      <c r="B6">
        <f t="shared" si="0"/>
        <v>10800</v>
      </c>
      <c r="C6" s="27">
        <v>3</v>
      </c>
      <c r="D6" s="28">
        <v>0.25</v>
      </c>
      <c r="E6" s="29">
        <v>9.6999999999999993</v>
      </c>
      <c r="F6">
        <f t="shared" si="1"/>
        <v>-0.6020599913279624</v>
      </c>
      <c r="G6" s="39">
        <f>-(D6-D5)/(E6-E5)</f>
        <v>0.49999999999999278</v>
      </c>
    </row>
    <row r="7" spans="1:14" x14ac:dyDescent="0.25">
      <c r="A7" t="s">
        <v>63</v>
      </c>
      <c r="B7">
        <f t="shared" si="0"/>
        <v>14400</v>
      </c>
      <c r="C7" s="27">
        <v>4</v>
      </c>
      <c r="D7" s="28">
        <v>0.68</v>
      </c>
      <c r="E7" s="29">
        <v>8.8000000000000007</v>
      </c>
      <c r="F7">
        <f t="shared" si="1"/>
        <v>-0.16749108729376366</v>
      </c>
      <c r="G7" s="39">
        <f t="shared" si="2"/>
        <v>0.47777777777777858</v>
      </c>
    </row>
    <row r="8" spans="1:14" x14ac:dyDescent="0.25">
      <c r="A8" t="s">
        <v>63</v>
      </c>
      <c r="B8">
        <f t="shared" si="0"/>
        <v>18000</v>
      </c>
      <c r="C8" s="27">
        <v>5</v>
      </c>
      <c r="D8" s="28">
        <v>1.8</v>
      </c>
      <c r="E8" s="29">
        <v>6.5</v>
      </c>
      <c r="F8">
        <f t="shared" si="1"/>
        <v>0.25527250510330607</v>
      </c>
      <c r="G8" s="39">
        <f t="shared" si="2"/>
        <v>0.48695652173913034</v>
      </c>
    </row>
    <row r="9" spans="1:14" x14ac:dyDescent="0.25">
      <c r="A9" t="s">
        <v>63</v>
      </c>
      <c r="B9">
        <f t="shared" si="0"/>
        <v>19800</v>
      </c>
      <c r="C9" s="27">
        <v>5.5</v>
      </c>
      <c r="D9" s="28">
        <v>3</v>
      </c>
      <c r="E9" s="29">
        <v>4.0999999999999996</v>
      </c>
      <c r="F9">
        <f t="shared" si="1"/>
        <v>0.47712125471966244</v>
      </c>
      <c r="G9" s="39">
        <f t="shared" si="2"/>
        <v>0.49999999999999989</v>
      </c>
    </row>
    <row r="10" spans="1:14" x14ac:dyDescent="0.25">
      <c r="A10" t="s">
        <v>63</v>
      </c>
      <c r="B10">
        <f t="shared" si="0"/>
        <v>21600</v>
      </c>
      <c r="C10" s="27">
        <v>6</v>
      </c>
      <c r="D10" s="28">
        <v>5</v>
      </c>
      <c r="E10" s="29">
        <v>0.2</v>
      </c>
      <c r="F10">
        <f t="shared" si="1"/>
        <v>0.69897000433601886</v>
      </c>
      <c r="G10" s="39">
        <f t="shared" si="2"/>
        <v>0.51282051282051289</v>
      </c>
    </row>
    <row r="11" spans="1:14" x14ac:dyDescent="0.25">
      <c r="A11" t="s">
        <v>62</v>
      </c>
      <c r="B11">
        <f t="shared" si="0"/>
        <v>25200</v>
      </c>
      <c r="C11" s="27">
        <v>7</v>
      </c>
      <c r="D11" s="28">
        <v>5.3</v>
      </c>
      <c r="E11" s="29">
        <v>0</v>
      </c>
      <c r="F11">
        <f t="shared" si="1"/>
        <v>0.72427586960078905</v>
      </c>
      <c r="G11">
        <f t="shared" si="2"/>
        <v>1.4999999999999991</v>
      </c>
    </row>
    <row r="12" spans="1:14" x14ac:dyDescent="0.25">
      <c r="A12" t="s">
        <v>62</v>
      </c>
      <c r="B12">
        <f t="shared" si="0"/>
        <v>28800</v>
      </c>
      <c r="C12" s="30">
        <v>8</v>
      </c>
      <c r="D12" s="31">
        <v>5.3</v>
      </c>
      <c r="E12" s="32">
        <v>0</v>
      </c>
      <c r="F12">
        <f t="shared" si="1"/>
        <v>0.72427586960078905</v>
      </c>
      <c r="G12" t="e">
        <f t="shared" si="2"/>
        <v>#DIV/0!</v>
      </c>
    </row>
    <row r="16" spans="1:14" x14ac:dyDescent="0.25">
      <c r="B16" t="s">
        <v>70</v>
      </c>
    </row>
    <row r="17" spans="2:3" x14ac:dyDescent="0.25">
      <c r="B17" s="40" t="s">
        <v>65</v>
      </c>
      <c r="C17" s="40">
        <v>0.43240000000000001</v>
      </c>
    </row>
    <row r="18" spans="2:3" x14ac:dyDescent="0.25">
      <c r="B18" s="40" t="s">
        <v>66</v>
      </c>
      <c r="C18" s="40">
        <f>LN(2)/C17</f>
        <v>1.6030230817760067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447EE-713E-4165-98EF-2383F7C6A0BB}">
  <dimension ref="A1:K33"/>
  <sheetViews>
    <sheetView workbookViewId="0"/>
  </sheetViews>
  <sheetFormatPr baseColWidth="10" defaultRowHeight="15" x14ac:dyDescent="0.25"/>
  <sheetData>
    <row r="1" spans="1:11" x14ac:dyDescent="0.25">
      <c r="D1" t="s">
        <v>58</v>
      </c>
      <c r="E1">
        <v>1</v>
      </c>
      <c r="G1" t="s">
        <v>65</v>
      </c>
      <c r="H1">
        <v>0.33</v>
      </c>
    </row>
    <row r="2" spans="1:11" x14ac:dyDescent="0.25">
      <c r="D2" t="s">
        <v>78</v>
      </c>
      <c r="E2">
        <v>250</v>
      </c>
      <c r="G2" t="s">
        <v>80</v>
      </c>
      <c r="H2">
        <v>1.7</v>
      </c>
      <c r="J2" t="s">
        <v>89</v>
      </c>
      <c r="K2">
        <v>0</v>
      </c>
    </row>
    <row r="3" spans="1:11" x14ac:dyDescent="0.25">
      <c r="D3" t="s">
        <v>79</v>
      </c>
      <c r="E3">
        <v>93</v>
      </c>
      <c r="G3" t="s">
        <v>81</v>
      </c>
      <c r="H3">
        <v>0.01</v>
      </c>
    </row>
    <row r="4" spans="1:11" x14ac:dyDescent="0.25">
      <c r="A4" t="s">
        <v>76</v>
      </c>
      <c r="B4">
        <v>0</v>
      </c>
      <c r="D4" t="s">
        <v>92</v>
      </c>
      <c r="E4">
        <v>0.08</v>
      </c>
      <c r="G4" t="s">
        <v>82</v>
      </c>
      <c r="H4">
        <v>0.03</v>
      </c>
    </row>
    <row r="5" spans="1:11" x14ac:dyDescent="0.25">
      <c r="A5" t="s">
        <v>77</v>
      </c>
      <c r="B5">
        <v>0.5</v>
      </c>
      <c r="D5" t="s">
        <v>91</v>
      </c>
      <c r="E5">
        <v>5.6</v>
      </c>
    </row>
    <row r="6" spans="1:11" x14ac:dyDescent="0.25">
      <c r="D6" t="s">
        <v>93</v>
      </c>
      <c r="E6">
        <v>0.45</v>
      </c>
    </row>
    <row r="8" spans="1:11" x14ac:dyDescent="0.25">
      <c r="A8" t="s">
        <v>75</v>
      </c>
      <c r="B8" t="s">
        <v>58</v>
      </c>
      <c r="C8" t="s">
        <v>78</v>
      </c>
      <c r="D8" t="s">
        <v>79</v>
      </c>
      <c r="E8" t="s">
        <v>83</v>
      </c>
      <c r="F8" t="s">
        <v>84</v>
      </c>
      <c r="G8" t="s">
        <v>85</v>
      </c>
      <c r="H8" t="s">
        <v>86</v>
      </c>
      <c r="I8" t="s">
        <v>87</v>
      </c>
      <c r="J8" t="s">
        <v>88</v>
      </c>
      <c r="K8" t="s">
        <v>90</v>
      </c>
    </row>
    <row r="9" spans="1:11" x14ac:dyDescent="0.25">
      <c r="A9">
        <f>$B$4</f>
        <v>0</v>
      </c>
      <c r="B9">
        <f>$E$1</f>
        <v>1</v>
      </c>
      <c r="C9">
        <f>$E$2</f>
        <v>250</v>
      </c>
      <c r="D9">
        <f>$K$2</f>
        <v>0</v>
      </c>
      <c r="E9">
        <f>$H$1*((1-(D9/$E$3))^0.52)*((B9*C9)/($H$2+C9))</f>
        <v>0.32777115613825986</v>
      </c>
      <c r="F9">
        <f>$H$4*B9</f>
        <v>0.03</v>
      </c>
      <c r="G9">
        <f>$H$3*B9</f>
        <v>0.01</v>
      </c>
      <c r="H9">
        <f>E9-G9</f>
        <v>0.31777115613825985</v>
      </c>
      <c r="I9">
        <f>((1/$E$4)*(-E9))-F9</f>
        <v>-4.1271394517282483</v>
      </c>
      <c r="J9">
        <f>$E$5*E9</f>
        <v>1.835518474374255</v>
      </c>
      <c r="K9">
        <f>$H$1*((1-(D9/$E$3)))^0.52</f>
        <v>0.33</v>
      </c>
    </row>
    <row r="10" spans="1:11" x14ac:dyDescent="0.25">
      <c r="A10">
        <f>A9+$B$5</f>
        <v>0.5</v>
      </c>
      <c r="B10">
        <f>B9+(H9*$B$5)</f>
        <v>1.1588855780691298</v>
      </c>
      <c r="C10">
        <f>C9+(I9*$B$5)</f>
        <v>247.93643027413589</v>
      </c>
      <c r="D10">
        <f>D9+(J9*$B$5)</f>
        <v>0.91775923718712749</v>
      </c>
      <c r="E10">
        <f>$H$1*((1-(D10/$E$3))^0.52)*((B10*C10)/($H$2+C10))</f>
        <v>0.37787416660480311</v>
      </c>
      <c r="F10">
        <f>$H$4*B10</f>
        <v>3.4766567342073895E-2</v>
      </c>
      <c r="G10">
        <f t="shared" ref="G10:G21" si="0">$H$3*B10</f>
        <v>1.1588855780691298E-2</v>
      </c>
      <c r="H10">
        <f>E10-G10</f>
        <v>0.36628531082411181</v>
      </c>
      <c r="I10">
        <f t="shared" ref="I10:I33" si="1">((1/$E$4)*(-E10))-F10</f>
        <v>-4.7581936499021129</v>
      </c>
      <c r="J10">
        <f>$E$5*E10</f>
        <v>2.1160953329868972</v>
      </c>
      <c r="K10">
        <f t="shared" ref="K10:K33" si="2">$H$1*((1-(D10/$E$3)))^0.52</f>
        <v>0.32830255583591766</v>
      </c>
    </row>
    <row r="11" spans="1:11" x14ac:dyDescent="0.25">
      <c r="A11">
        <f t="shared" ref="A11:A33" si="3">A10+$B$5</f>
        <v>1</v>
      </c>
      <c r="B11">
        <f t="shared" ref="B11:B21" si="4">B10+(H10*$B$5)</f>
        <v>1.3420282334811857</v>
      </c>
      <c r="C11">
        <f t="shared" ref="C11:C21" si="5">C10+(I10*$B$5)</f>
        <v>245.55733344918482</v>
      </c>
      <c r="D11">
        <f t="shared" ref="D11:D21" si="6">D10+(J10*$B$5)</f>
        <v>1.9758069036805761</v>
      </c>
      <c r="E11">
        <f t="shared" ref="E11:E21" si="7">$H$1*((1-(D11/$E$3))^0.52)*((B11*C11)/($H$2+C11))</f>
        <v>0.4349403926506531</v>
      </c>
      <c r="F11">
        <f t="shared" ref="F11:F21" si="8">$H$4*B11</f>
        <v>4.0260847004435572E-2</v>
      </c>
      <c r="G11">
        <f t="shared" si="0"/>
        <v>1.3420282334811857E-2</v>
      </c>
      <c r="H11">
        <f t="shared" ref="H11:H21" si="9">E11-G11</f>
        <v>0.42152011031584125</v>
      </c>
      <c r="I11">
        <f t="shared" si="1"/>
        <v>-5.4770157551375993</v>
      </c>
      <c r="J11">
        <f t="shared" ref="J11:J21" si="10">$E$5*E11</f>
        <v>2.435666198843657</v>
      </c>
      <c r="K11">
        <f t="shared" si="2"/>
        <v>0.32633553133872878</v>
      </c>
    </row>
    <row r="12" spans="1:11" x14ac:dyDescent="0.25">
      <c r="A12">
        <f t="shared" si="3"/>
        <v>1.5</v>
      </c>
      <c r="B12">
        <f t="shared" si="4"/>
        <v>1.5527882886391065</v>
      </c>
      <c r="C12">
        <f t="shared" si="5"/>
        <v>242.81882557161603</v>
      </c>
      <c r="D12">
        <f t="shared" si="6"/>
        <v>3.1936400031024048</v>
      </c>
      <c r="E12">
        <f>$H$1*((1-(D12/$E$3))^0.52)*((B12*C12)/($H$2+C12))</f>
        <v>0.49969476022204706</v>
      </c>
      <c r="F12">
        <f>$H$4*B12</f>
        <v>4.6583648659173194E-2</v>
      </c>
      <c r="G12">
        <f t="shared" si="0"/>
        <v>1.5527882886391065E-2</v>
      </c>
      <c r="H12">
        <f>E12-G12</f>
        <v>0.484166877335656</v>
      </c>
      <c r="I12">
        <f t="shared" si="1"/>
        <v>-6.2927681514347622</v>
      </c>
      <c r="J12">
        <f t="shared" si="10"/>
        <v>2.7982906572434634</v>
      </c>
      <c r="K12">
        <f t="shared" si="2"/>
        <v>0.32405781212729401</v>
      </c>
    </row>
    <row r="13" spans="1:11" x14ac:dyDescent="0.25">
      <c r="A13">
        <f t="shared" si="3"/>
        <v>2</v>
      </c>
      <c r="B13">
        <f t="shared" si="4"/>
        <v>1.7948717273069343</v>
      </c>
      <c r="C13">
        <f>C12+(I12*$B$5)</f>
        <v>239.67244149589865</v>
      </c>
      <c r="D13">
        <f t="shared" si="6"/>
        <v>4.5927853317241363</v>
      </c>
      <c r="E13">
        <f t="shared" si="7"/>
        <v>0.572849117064828</v>
      </c>
      <c r="F13">
        <f t="shared" si="8"/>
        <v>5.384615181920803E-2</v>
      </c>
      <c r="G13">
        <f t="shared" si="0"/>
        <v>1.7948717273069344E-2</v>
      </c>
      <c r="H13">
        <f t="shared" si="9"/>
        <v>0.55490039979175865</v>
      </c>
      <c r="I13">
        <f t="shared" si="1"/>
        <v>-7.2144601151295582</v>
      </c>
      <c r="J13">
        <f t="shared" si="10"/>
        <v>3.2079550555630365</v>
      </c>
      <c r="K13">
        <f t="shared" si="2"/>
        <v>0.32142260370797265</v>
      </c>
    </row>
    <row r="14" spans="1:11" x14ac:dyDescent="0.25">
      <c r="A14">
        <f t="shared" si="3"/>
        <v>2.5</v>
      </c>
      <c r="B14">
        <f t="shared" si="4"/>
        <v>2.0723219272028137</v>
      </c>
      <c r="C14">
        <f t="shared" si="5"/>
        <v>236.06521143833388</v>
      </c>
      <c r="D14">
        <f t="shared" si="6"/>
        <v>6.1967628595056548</v>
      </c>
      <c r="E14">
        <f t="shared" si="7"/>
        <v>0.65506197065819405</v>
      </c>
      <c r="F14">
        <f t="shared" si="8"/>
        <v>6.2169657816084412E-2</v>
      </c>
      <c r="G14">
        <f t="shared" si="0"/>
        <v>2.0723219272028137E-2</v>
      </c>
      <c r="H14">
        <f t="shared" si="9"/>
        <v>0.63433875138616591</v>
      </c>
      <c r="I14">
        <f t="shared" si="1"/>
        <v>-8.250444291043511</v>
      </c>
      <c r="J14">
        <f t="shared" si="10"/>
        <v>3.6683470356858865</v>
      </c>
      <c r="K14">
        <f t="shared" si="2"/>
        <v>0.31837685314963005</v>
      </c>
    </row>
    <row r="15" spans="1:11" x14ac:dyDescent="0.25">
      <c r="A15">
        <f t="shared" si="3"/>
        <v>3</v>
      </c>
      <c r="B15">
        <f t="shared" si="4"/>
        <v>2.3894913028958968</v>
      </c>
      <c r="C15">
        <f t="shared" si="5"/>
        <v>231.93998929281213</v>
      </c>
      <c r="D15">
        <f t="shared" si="6"/>
        <v>8.0309363773485973</v>
      </c>
      <c r="E15">
        <f t="shared" si="7"/>
        <v>0.74688261168213699</v>
      </c>
      <c r="F15">
        <f t="shared" si="8"/>
        <v>7.1684739086876906E-2</v>
      </c>
      <c r="G15">
        <f t="shared" si="0"/>
        <v>2.3894913028958967E-2</v>
      </c>
      <c r="H15">
        <f t="shared" si="9"/>
        <v>0.72298769865317802</v>
      </c>
      <c r="I15">
        <f t="shared" si="1"/>
        <v>-9.4077173851135889</v>
      </c>
      <c r="J15">
        <f t="shared" si="10"/>
        <v>4.1825426254199671</v>
      </c>
      <c r="K15">
        <f t="shared" si="2"/>
        <v>0.31486068750453944</v>
      </c>
    </row>
    <row r="16" spans="1:11" x14ac:dyDescent="0.25">
      <c r="A16">
        <f t="shared" si="3"/>
        <v>3.5</v>
      </c>
      <c r="B16">
        <f t="shared" si="4"/>
        <v>2.7509851522224857</v>
      </c>
      <c r="C16">
        <f t="shared" si="5"/>
        <v>227.23613060025534</v>
      </c>
      <c r="D16">
        <f t="shared" si="6"/>
        <v>10.12220769005858</v>
      </c>
      <c r="E16">
        <f>$H$1*((1-(D16/$E$3))^0.52)*((B16*C16)/($H$2+C16))</f>
        <v>0.84867605834432047</v>
      </c>
      <c r="F16">
        <f t="shared" si="8"/>
        <v>8.2529554566674573E-2</v>
      </c>
      <c r="G16">
        <f t="shared" si="0"/>
        <v>2.7509851522224859E-2</v>
      </c>
      <c r="H16">
        <f t="shared" si="9"/>
        <v>0.82116620682209562</v>
      </c>
      <c r="I16">
        <f t="shared" si="1"/>
        <v>-10.69098028387068</v>
      </c>
      <c r="J16">
        <f t="shared" si="10"/>
        <v>4.7525859267281945</v>
      </c>
      <c r="K16">
        <f t="shared" si="2"/>
        <v>0.3108069038246839</v>
      </c>
    </row>
    <row r="17" spans="1:11" x14ac:dyDescent="0.25">
      <c r="A17">
        <f t="shared" si="3"/>
        <v>4</v>
      </c>
      <c r="B17">
        <f t="shared" si="4"/>
        <v>3.1615682556335334</v>
      </c>
      <c r="C17">
        <f t="shared" si="5"/>
        <v>221.89064045832001</v>
      </c>
      <c r="D17">
        <f t="shared" si="6"/>
        <v>12.498500653422678</v>
      </c>
      <c r="E17">
        <f t="shared" si="7"/>
        <v>0.96052527370432195</v>
      </c>
      <c r="F17">
        <f t="shared" si="8"/>
        <v>9.4847047669005993E-2</v>
      </c>
      <c r="G17">
        <f t="shared" si="0"/>
        <v>3.1615682556335331E-2</v>
      </c>
      <c r="H17">
        <f t="shared" si="9"/>
        <v>0.92890959114798666</v>
      </c>
      <c r="I17">
        <f t="shared" si="1"/>
        <v>-12.10141296897303</v>
      </c>
      <c r="J17">
        <f t="shared" si="10"/>
        <v>5.3789415327442027</v>
      </c>
      <c r="K17">
        <f t="shared" si="2"/>
        <v>0.30614055882477803</v>
      </c>
    </row>
    <row r="18" spans="1:11" x14ac:dyDescent="0.25">
      <c r="A18">
        <f t="shared" si="3"/>
        <v>4.5</v>
      </c>
      <c r="B18">
        <f t="shared" si="4"/>
        <v>3.6260230512075267</v>
      </c>
      <c r="C18">
        <f t="shared" si="5"/>
        <v>215.8399339738335</v>
      </c>
      <c r="D18">
        <f t="shared" si="6"/>
        <v>15.187971419794779</v>
      </c>
      <c r="E18">
        <f t="shared" si="7"/>
        <v>1.0821076764884481</v>
      </c>
      <c r="F18">
        <f t="shared" si="8"/>
        <v>0.1087806915362258</v>
      </c>
      <c r="G18">
        <f t="shared" si="0"/>
        <v>3.6260230512075269E-2</v>
      </c>
      <c r="H18">
        <f t="shared" si="9"/>
        <v>1.0458474459763729</v>
      </c>
      <c r="I18">
        <f t="shared" si="1"/>
        <v>-13.635126647641826</v>
      </c>
      <c r="J18">
        <f t="shared" si="10"/>
        <v>6.0598029883353091</v>
      </c>
      <c r="K18">
        <f t="shared" si="2"/>
        <v>0.30077872234909153</v>
      </c>
    </row>
    <row r="19" spans="1:11" x14ac:dyDescent="0.25">
      <c r="A19">
        <f>A18+$B$5</f>
        <v>5</v>
      </c>
      <c r="B19">
        <f t="shared" si="4"/>
        <v>4.1489467741957133</v>
      </c>
      <c r="C19">
        <f t="shared" si="5"/>
        <v>209.02237065001259</v>
      </c>
      <c r="D19">
        <f t="shared" si="6"/>
        <v>18.217872913962434</v>
      </c>
      <c r="E19">
        <f t="shared" si="7"/>
        <v>1.2125444240265113</v>
      </c>
      <c r="F19">
        <f t="shared" si="8"/>
        <v>0.1244684032258714</v>
      </c>
      <c r="G19">
        <f t="shared" si="0"/>
        <v>4.1489467741957137E-2</v>
      </c>
      <c r="H19">
        <f t="shared" si="9"/>
        <v>1.1710549562845542</v>
      </c>
      <c r="I19">
        <f t="shared" si="1"/>
        <v>-15.281273703557263</v>
      </c>
      <c r="J19">
        <f t="shared" si="10"/>
        <v>6.7902487745484628</v>
      </c>
      <c r="K19">
        <f t="shared" si="2"/>
        <v>0.2946304776905303</v>
      </c>
    </row>
    <row r="20" spans="1:11" x14ac:dyDescent="0.25">
      <c r="A20">
        <f t="shared" si="3"/>
        <v>5.5</v>
      </c>
      <c r="B20">
        <f t="shared" si="4"/>
        <v>4.7344742523379901</v>
      </c>
      <c r="C20">
        <f t="shared" si="5"/>
        <v>201.38173379823397</v>
      </c>
      <c r="D20">
        <f t="shared" si="6"/>
        <v>21.612997301236668</v>
      </c>
      <c r="E20">
        <f t="shared" si="7"/>
        <v>1.3502237275960989</v>
      </c>
      <c r="F20">
        <f t="shared" si="8"/>
        <v>0.1420342275701397</v>
      </c>
      <c r="G20">
        <f t="shared" si="0"/>
        <v>4.7344742523379904E-2</v>
      </c>
      <c r="H20">
        <f t="shared" si="9"/>
        <v>1.3028789850727189</v>
      </c>
      <c r="I20">
        <f t="shared" si="1"/>
        <v>-17.019830822521374</v>
      </c>
      <c r="J20">
        <f t="shared" si="10"/>
        <v>7.5612528745381535</v>
      </c>
      <c r="K20">
        <f t="shared" si="2"/>
        <v>0.28759727281738051</v>
      </c>
    </row>
    <row r="21" spans="1:11" x14ac:dyDescent="0.25">
      <c r="A21">
        <f t="shared" si="3"/>
        <v>6</v>
      </c>
      <c r="B21">
        <f t="shared" si="4"/>
        <v>5.3859137448743493</v>
      </c>
      <c r="C21">
        <f t="shared" si="5"/>
        <v>192.87181838697327</v>
      </c>
      <c r="D21">
        <f t="shared" si="6"/>
        <v>25.393623738505745</v>
      </c>
      <c r="E21">
        <f t="shared" si="7"/>
        <v>1.492604065316516</v>
      </c>
      <c r="F21">
        <f t="shared" si="8"/>
        <v>0.16157741234623046</v>
      </c>
      <c r="G21">
        <f t="shared" si="0"/>
        <v>5.3859137448743495E-2</v>
      </c>
      <c r="H21">
        <f t="shared" si="9"/>
        <v>1.4387449278677724</v>
      </c>
      <c r="I21">
        <f t="shared" si="1"/>
        <v>-18.819128228802679</v>
      </c>
      <c r="J21">
        <f t="shared" si="10"/>
        <v>8.3585827657724892</v>
      </c>
      <c r="K21">
        <f t="shared" si="2"/>
        <v>0.27957374810629826</v>
      </c>
    </row>
    <row r="22" spans="1:11" x14ac:dyDescent="0.25">
      <c r="A22">
        <f t="shared" si="3"/>
        <v>6.5</v>
      </c>
      <c r="B22">
        <f t="shared" ref="B22:B33" si="11">B21+(H21*$B$5)</f>
        <v>6.1052862088082351</v>
      </c>
      <c r="C22">
        <f t="shared" ref="C22:C33" si="12">C21+(I21*$B$5)</f>
        <v>183.46225427257193</v>
      </c>
      <c r="D22">
        <f t="shared" ref="D22:D33" si="13">D21+(J21*$B$5)</f>
        <v>29.57291512139199</v>
      </c>
      <c r="E22">
        <f t="shared" ref="E22:E33" si="14">$H$1*((1-(D22/$E$3))^0.52)*((B22*C22)/($H$2+C22))</f>
        <v>1.6360100661517922</v>
      </c>
      <c r="F22">
        <f t="shared" ref="F22:F33" si="15">$H$4*B22</f>
        <v>0.18315858626424705</v>
      </c>
      <c r="G22">
        <f t="shared" ref="G22:G33" si="16">$H$3*B22</f>
        <v>6.1052862088082353E-2</v>
      </c>
      <c r="H22">
        <f t="shared" ref="H22:H33" si="17">E22-G22</f>
        <v>1.5749572040637099</v>
      </c>
      <c r="I22">
        <f t="shared" si="1"/>
        <v>-20.63328441316165</v>
      </c>
      <c r="J22">
        <f t="shared" ref="J22:J33" si="18">$E$5*E22</f>
        <v>9.1616563704500358</v>
      </c>
      <c r="K22">
        <f t="shared" si="2"/>
        <v>0.27044918526663897</v>
      </c>
    </row>
    <row r="23" spans="1:11" x14ac:dyDescent="0.25">
      <c r="A23">
        <f t="shared" si="3"/>
        <v>7</v>
      </c>
      <c r="B23">
        <f t="shared" si="11"/>
        <v>6.8927648108400899</v>
      </c>
      <c r="C23">
        <f t="shared" si="12"/>
        <v>173.14561206599109</v>
      </c>
      <c r="D23">
        <f t="shared" si="13"/>
        <v>34.15374330661701</v>
      </c>
      <c r="E23">
        <f t="shared" si="14"/>
        <v>1.775443338364449</v>
      </c>
      <c r="F23">
        <f t="shared" si="15"/>
        <v>0.20678294432520269</v>
      </c>
      <c r="G23">
        <f t="shared" si="16"/>
        <v>6.8927648108400894E-2</v>
      </c>
      <c r="H23">
        <f t="shared" si="17"/>
        <v>1.7065156902560481</v>
      </c>
      <c r="I23">
        <f t="shared" si="1"/>
        <v>-22.399824673880815</v>
      </c>
      <c r="J23">
        <f t="shared" si="18"/>
        <v>9.9424826948409137</v>
      </c>
      <c r="K23">
        <f t="shared" si="2"/>
        <v>0.26010973366908541</v>
      </c>
    </row>
    <row r="24" spans="1:11" x14ac:dyDescent="0.25">
      <c r="A24">
        <f t="shared" si="3"/>
        <v>7.5</v>
      </c>
      <c r="B24">
        <f t="shared" si="11"/>
        <v>7.7460226559681136</v>
      </c>
      <c r="C24">
        <f t="shared" si="12"/>
        <v>161.94569972905069</v>
      </c>
      <c r="D24">
        <f t="shared" si="13"/>
        <v>39.124984654037469</v>
      </c>
      <c r="E24">
        <f t="shared" si="14"/>
        <v>1.904442409131444</v>
      </c>
      <c r="F24">
        <f t="shared" si="15"/>
        <v>0.23238067967904341</v>
      </c>
      <c r="G24">
        <f t="shared" si="16"/>
        <v>7.7460226559681142E-2</v>
      </c>
      <c r="H24">
        <f t="shared" si="17"/>
        <v>1.8269821825717629</v>
      </c>
      <c r="I24">
        <f t="shared" si="1"/>
        <v>-24.037910793822093</v>
      </c>
      <c r="J24">
        <f t="shared" si="18"/>
        <v>10.664877491136085</v>
      </c>
      <c r="K24">
        <f t="shared" si="2"/>
        <v>0.24844156607851153</v>
      </c>
    </row>
    <row r="25" spans="1:11" x14ac:dyDescent="0.25">
      <c r="A25">
        <f t="shared" si="3"/>
        <v>8</v>
      </c>
      <c r="B25">
        <f t="shared" si="11"/>
        <v>8.6595137472539943</v>
      </c>
      <c r="C25">
        <f t="shared" si="12"/>
        <v>149.92674433213963</v>
      </c>
      <c r="D25">
        <f t="shared" si="13"/>
        <v>44.45742339960551</v>
      </c>
      <c r="E25">
        <f t="shared" si="14"/>
        <v>2.0150391189037578</v>
      </c>
      <c r="F25">
        <f t="shared" si="15"/>
        <v>0.25978541241761982</v>
      </c>
      <c r="G25">
        <f t="shared" si="16"/>
        <v>8.659513747253994E-2</v>
      </c>
      <c r="H25">
        <f t="shared" si="17"/>
        <v>1.9284439814312178</v>
      </c>
      <c r="I25">
        <f t="shared" si="1"/>
        <v>-25.447774398714593</v>
      </c>
      <c r="J25">
        <f t="shared" si="18"/>
        <v>11.284219065861043</v>
      </c>
      <c r="K25">
        <f t="shared" si="2"/>
        <v>0.23533508310425194</v>
      </c>
    </row>
    <row r="26" spans="1:11" x14ac:dyDescent="0.25">
      <c r="A26">
        <f t="shared" si="3"/>
        <v>8.5</v>
      </c>
      <c r="B26">
        <f t="shared" si="11"/>
        <v>9.6237357379696036</v>
      </c>
      <c r="C26">
        <f t="shared" si="12"/>
        <v>137.20285713278233</v>
      </c>
      <c r="D26">
        <f t="shared" si="13"/>
        <v>50.099532932536029</v>
      </c>
      <c r="E26">
        <f t="shared" si="14"/>
        <v>2.0978707252001922</v>
      </c>
      <c r="F26">
        <f t="shared" si="15"/>
        <v>0.28871207213908812</v>
      </c>
      <c r="G26">
        <f t="shared" si="16"/>
        <v>9.6237357379696034E-2</v>
      </c>
      <c r="H26">
        <f t="shared" si="17"/>
        <v>2.0016333678204963</v>
      </c>
      <c r="I26">
        <f t="shared" si="1"/>
        <v>-26.512096137141491</v>
      </c>
      <c r="J26">
        <f t="shared" si="18"/>
        <v>11.748076061121075</v>
      </c>
      <c r="K26">
        <f t="shared" si="2"/>
        <v>0.22069020458842364</v>
      </c>
    </row>
    <row r="27" spans="1:11" x14ac:dyDescent="0.25">
      <c r="A27">
        <f t="shared" si="3"/>
        <v>9</v>
      </c>
      <c r="B27">
        <f t="shared" si="11"/>
        <v>10.624552421879851</v>
      </c>
      <c r="C27">
        <f t="shared" si="12"/>
        <v>123.94680906421158</v>
      </c>
      <c r="D27">
        <f t="shared" si="13"/>
        <v>55.973570963096563</v>
      </c>
      <c r="E27">
        <f t="shared" si="14"/>
        <v>2.1425131115943894</v>
      </c>
      <c r="F27">
        <f t="shared" si="15"/>
        <v>0.31873657265639554</v>
      </c>
      <c r="G27">
        <f t="shared" si="16"/>
        <v>0.10624552421879851</v>
      </c>
      <c r="H27">
        <f t="shared" si="17"/>
        <v>2.0362675873755909</v>
      </c>
      <c r="I27">
        <f t="shared" si="1"/>
        <v>-27.100150467586261</v>
      </c>
      <c r="J27">
        <f t="shared" si="18"/>
        <v>11.998073424928579</v>
      </c>
      <c r="K27">
        <f t="shared" si="2"/>
        <v>0.20442262358676777</v>
      </c>
    </row>
    <row r="28" spans="1:11" x14ac:dyDescent="0.25">
      <c r="A28">
        <f t="shared" si="3"/>
        <v>9.5</v>
      </c>
      <c r="B28">
        <f t="shared" si="11"/>
        <v>11.642686215567647</v>
      </c>
      <c r="C28">
        <f t="shared" si="12"/>
        <v>110.39673383041844</v>
      </c>
      <c r="D28">
        <f t="shared" si="13"/>
        <v>61.972607675560852</v>
      </c>
      <c r="E28">
        <f t="shared" si="14"/>
        <v>2.1380940726638795</v>
      </c>
      <c r="F28">
        <f t="shared" si="15"/>
        <v>0.34928058646702936</v>
      </c>
      <c r="G28">
        <f t="shared" si="16"/>
        <v>0.11642686215567646</v>
      </c>
      <c r="H28">
        <f t="shared" si="17"/>
        <v>2.0216672105082032</v>
      </c>
      <c r="I28">
        <f t="shared" si="1"/>
        <v>-27.075456494765522</v>
      </c>
      <c r="J28">
        <f t="shared" si="18"/>
        <v>11.973326806917724</v>
      </c>
      <c r="K28">
        <f t="shared" si="2"/>
        <v>0.18647059248755485</v>
      </c>
    </row>
    <row r="29" spans="1:11" x14ac:dyDescent="0.25">
      <c r="A29">
        <f t="shared" si="3"/>
        <v>10</v>
      </c>
      <c r="B29">
        <f t="shared" si="11"/>
        <v>12.653519820821748</v>
      </c>
      <c r="C29">
        <f t="shared" si="12"/>
        <v>96.859005583035682</v>
      </c>
      <c r="D29">
        <f t="shared" si="13"/>
        <v>67.959271079019715</v>
      </c>
      <c r="E29">
        <f t="shared" si="14"/>
        <v>2.0742173949455807</v>
      </c>
      <c r="F29">
        <f t="shared" si="15"/>
        <v>0.37960559462465243</v>
      </c>
      <c r="G29">
        <f t="shared" si="16"/>
        <v>0.12653519820821749</v>
      </c>
      <c r="H29">
        <f t="shared" si="17"/>
        <v>1.9476821967373632</v>
      </c>
      <c r="I29">
        <f t="shared" si="1"/>
        <v>-26.307323031444412</v>
      </c>
      <c r="J29">
        <f t="shared" si="18"/>
        <v>11.615617411695251</v>
      </c>
      <c r="K29">
        <f t="shared" si="2"/>
        <v>0.16680122252389767</v>
      </c>
    </row>
    <row r="30" spans="1:11" x14ac:dyDescent="0.25">
      <c r="A30">
        <f t="shared" si="3"/>
        <v>10.5</v>
      </c>
      <c r="B30">
        <f t="shared" si="11"/>
        <v>13.62736091919043</v>
      </c>
      <c r="C30">
        <f t="shared" si="12"/>
        <v>83.705344067313476</v>
      </c>
      <c r="D30">
        <f t="shared" si="13"/>
        <v>73.767079784867335</v>
      </c>
      <c r="E30">
        <f t="shared" si="14"/>
        <v>1.9421654490386875</v>
      </c>
      <c r="F30">
        <f t="shared" si="15"/>
        <v>0.40882082757571286</v>
      </c>
      <c r="G30">
        <f t="shared" si="16"/>
        <v>0.13627360919190432</v>
      </c>
      <c r="H30">
        <f t="shared" si="17"/>
        <v>1.8058918398467831</v>
      </c>
      <c r="I30">
        <f t="shared" si="1"/>
        <v>-24.685888940559305</v>
      </c>
      <c r="J30">
        <f t="shared" si="18"/>
        <v>10.876126514616649</v>
      </c>
      <c r="K30">
        <f t="shared" si="2"/>
        <v>0.14541403522252558</v>
      </c>
    </row>
    <row r="31" spans="1:11" x14ac:dyDescent="0.25">
      <c r="A31">
        <f t="shared" si="3"/>
        <v>11</v>
      </c>
      <c r="B31">
        <f t="shared" si="11"/>
        <v>14.530306839113821</v>
      </c>
      <c r="C31">
        <f t="shared" si="12"/>
        <v>71.362399597033829</v>
      </c>
      <c r="D31">
        <f t="shared" si="13"/>
        <v>79.205143042175663</v>
      </c>
      <c r="E31">
        <f t="shared" si="14"/>
        <v>1.7362251792181533</v>
      </c>
      <c r="F31">
        <f t="shared" si="15"/>
        <v>0.43590920517341464</v>
      </c>
      <c r="G31">
        <f t="shared" si="16"/>
        <v>0.14530306839113821</v>
      </c>
      <c r="H31">
        <f t="shared" si="17"/>
        <v>1.5909221108270151</v>
      </c>
      <c r="I31">
        <f t="shared" si="1"/>
        <v>-22.138723945400329</v>
      </c>
      <c r="J31">
        <f t="shared" si="18"/>
        <v>9.7228610036216576</v>
      </c>
      <c r="K31">
        <f t="shared" si="2"/>
        <v>0.12233641551716296</v>
      </c>
    </row>
    <row r="32" spans="1:11" x14ac:dyDescent="0.25">
      <c r="A32">
        <f t="shared" si="3"/>
        <v>11.5</v>
      </c>
      <c r="B32">
        <f t="shared" si="11"/>
        <v>15.325767894527329</v>
      </c>
      <c r="C32">
        <f t="shared" si="12"/>
        <v>60.293037624333664</v>
      </c>
      <c r="D32">
        <f t="shared" si="13"/>
        <v>84.066573543986493</v>
      </c>
      <c r="E32">
        <f t="shared" si="14"/>
        <v>1.4547175983275162</v>
      </c>
      <c r="F32">
        <f t="shared" si="15"/>
        <v>0.45977303683581988</v>
      </c>
      <c r="G32">
        <f t="shared" si="16"/>
        <v>0.15325767894527328</v>
      </c>
      <c r="H32">
        <f t="shared" si="17"/>
        <v>1.3014599193822429</v>
      </c>
      <c r="I32">
        <f t="shared" si="1"/>
        <v>-18.643743015929772</v>
      </c>
      <c r="J32">
        <f t="shared" si="18"/>
        <v>8.14641855063409</v>
      </c>
      <c r="K32">
        <f t="shared" si="2"/>
        <v>9.7596041087454968E-2</v>
      </c>
    </row>
    <row r="33" spans="1:11" x14ac:dyDescent="0.25">
      <c r="A33">
        <f t="shared" si="3"/>
        <v>12</v>
      </c>
      <c r="B33">
        <f t="shared" si="11"/>
        <v>15.976497854218451</v>
      </c>
      <c r="C33">
        <f t="shared" si="12"/>
        <v>50.971166116368778</v>
      </c>
      <c r="D33">
        <f t="shared" si="13"/>
        <v>88.139782819303534</v>
      </c>
      <c r="E33">
        <f t="shared" si="14"/>
        <v>1.0995044202172983</v>
      </c>
      <c r="F33">
        <f t="shared" si="15"/>
        <v>0.47929493562655351</v>
      </c>
      <c r="G33">
        <f t="shared" si="16"/>
        <v>0.15976497854218452</v>
      </c>
      <c r="H33">
        <f t="shared" si="17"/>
        <v>0.93973944167511381</v>
      </c>
      <c r="I33">
        <f t="shared" si="1"/>
        <v>-14.223100188342782</v>
      </c>
      <c r="J33">
        <f t="shared" si="18"/>
        <v>6.1572247532168705</v>
      </c>
      <c r="K33">
        <f t="shared" si="2"/>
        <v>7.1115416566909617E-2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4192A-FF90-4C2C-88FF-1AC7E5061A97}">
  <dimension ref="A1:H22"/>
  <sheetViews>
    <sheetView tabSelected="1" workbookViewId="0">
      <selection activeCell="G10" sqref="G10"/>
    </sheetView>
  </sheetViews>
  <sheetFormatPr baseColWidth="10" defaultRowHeight="15" x14ac:dyDescent="0.25"/>
  <sheetData>
    <row r="1" spans="1:8" x14ac:dyDescent="0.25">
      <c r="D1" s="45" t="s">
        <v>103</v>
      </c>
      <c r="E1" s="47">
        <v>10</v>
      </c>
      <c r="G1" t="s">
        <v>106</v>
      </c>
    </row>
    <row r="2" spans="1:8" ht="15.75" thickBot="1" x14ac:dyDescent="0.3">
      <c r="D2" s="48" t="s">
        <v>96</v>
      </c>
      <c r="E2" s="50">
        <v>50</v>
      </c>
    </row>
    <row r="3" spans="1:8" x14ac:dyDescent="0.25">
      <c r="A3" s="45" t="s">
        <v>94</v>
      </c>
      <c r="B3" s="47">
        <v>0</v>
      </c>
      <c r="D3" s="48" t="s">
        <v>97</v>
      </c>
      <c r="E3" s="50">
        <v>20</v>
      </c>
    </row>
    <row r="4" spans="1:8" ht="15.75" thickBot="1" x14ac:dyDescent="0.3">
      <c r="A4" s="51" t="s">
        <v>95</v>
      </c>
      <c r="B4" s="53">
        <v>0.25</v>
      </c>
      <c r="D4" s="48" t="s">
        <v>98</v>
      </c>
      <c r="E4" s="50">
        <v>2</v>
      </c>
    </row>
    <row r="5" spans="1:8" ht="15.75" thickBot="1" x14ac:dyDescent="0.3">
      <c r="D5" s="51" t="s">
        <v>99</v>
      </c>
      <c r="E5" s="53">
        <f>1/E4</f>
        <v>0.5</v>
      </c>
    </row>
    <row r="6" spans="1:8" ht="15.75" thickBot="1" x14ac:dyDescent="0.3"/>
    <row r="7" spans="1:8" x14ac:dyDescent="0.25">
      <c r="A7" s="45" t="s">
        <v>100</v>
      </c>
      <c r="B7" s="46" t="s">
        <v>78</v>
      </c>
      <c r="C7" s="47" t="s">
        <v>58</v>
      </c>
      <c r="D7" s="45" t="str">
        <f>A7</f>
        <v>D</v>
      </c>
      <c r="E7" s="47" t="s">
        <v>104</v>
      </c>
      <c r="F7" s="45" t="s">
        <v>101</v>
      </c>
      <c r="G7" s="46"/>
      <c r="H7" s="47" t="s">
        <v>102</v>
      </c>
    </row>
    <row r="8" spans="1:8" x14ac:dyDescent="0.25">
      <c r="A8" s="48">
        <f>$B$3</f>
        <v>0</v>
      </c>
      <c r="B8" s="49">
        <f>(A8*$E$2)/($E$3-A8)</f>
        <v>0</v>
      </c>
      <c r="C8" s="50">
        <f>$E$4*($E$1-(B8))</f>
        <v>20</v>
      </c>
      <c r="D8" s="48">
        <f t="shared" ref="D8:D22" si="0">A8</f>
        <v>0</v>
      </c>
      <c r="E8" s="50">
        <f>A8*C8</f>
        <v>0</v>
      </c>
      <c r="F8" s="54">
        <f>$E$3*(($E$1)/($E$2+$E$1))</f>
        <v>3.333333333333333</v>
      </c>
      <c r="G8" s="49"/>
      <c r="H8" s="55">
        <f>E3*(1-SQRT(E2/(E2+E1)))</f>
        <v>1.742581416494462</v>
      </c>
    </row>
    <row r="9" spans="1:8" x14ac:dyDescent="0.25">
      <c r="A9" s="48">
        <f>A8+$B$4</f>
        <v>0.25</v>
      </c>
      <c r="B9" s="49">
        <f t="shared" ref="B9:B23" si="1">(A9*$E$2)/($E$3-A9)</f>
        <v>0.63291139240506333</v>
      </c>
      <c r="C9" s="50">
        <f>$E$4*($E$1-(B9))</f>
        <v>18.734177215189874</v>
      </c>
      <c r="D9" s="48">
        <f t="shared" si="0"/>
        <v>0.25</v>
      </c>
      <c r="E9" s="50">
        <f t="shared" ref="E9:E22" si="2">A9*C9</f>
        <v>4.6835443037974684</v>
      </c>
      <c r="F9" s="48"/>
      <c r="G9" s="49" t="s">
        <v>105</v>
      </c>
      <c r="H9" s="50"/>
    </row>
    <row r="10" spans="1:8" ht="15.75" thickBot="1" x14ac:dyDescent="0.3">
      <c r="A10" s="48">
        <f t="shared" ref="A10:A22" si="3">A9+$B$4</f>
        <v>0.5</v>
      </c>
      <c r="B10" s="49">
        <f t="shared" si="1"/>
        <v>1.2820512820512822</v>
      </c>
      <c r="C10" s="50">
        <f>$E$4*($E$1-(B10))</f>
        <v>17.435897435897434</v>
      </c>
      <c r="D10" s="48">
        <f t="shared" si="0"/>
        <v>0.5</v>
      </c>
      <c r="E10" s="50">
        <f t="shared" si="2"/>
        <v>8.7179487179487172</v>
      </c>
      <c r="F10" s="51"/>
      <c r="G10" s="56">
        <f>F8/H8</f>
        <v>1.9128709291752777</v>
      </c>
      <c r="H10" s="53"/>
    </row>
    <row r="11" spans="1:8" x14ac:dyDescent="0.25">
      <c r="A11" s="48">
        <f t="shared" si="3"/>
        <v>0.75</v>
      </c>
      <c r="B11" s="49">
        <f t="shared" si="1"/>
        <v>1.948051948051948</v>
      </c>
      <c r="C11" s="50">
        <f>$E$4*($E$1-(B11))</f>
        <v>16.103896103896105</v>
      </c>
      <c r="D11" s="48">
        <f t="shared" si="0"/>
        <v>0.75</v>
      </c>
      <c r="E11" s="50">
        <f t="shared" si="2"/>
        <v>12.077922077922079</v>
      </c>
    </row>
    <row r="12" spans="1:8" x14ac:dyDescent="0.25">
      <c r="A12" s="48">
        <f t="shared" si="3"/>
        <v>1</v>
      </c>
      <c r="B12" s="49">
        <f t="shared" si="1"/>
        <v>2.6315789473684212</v>
      </c>
      <c r="C12" s="50">
        <f>$E$4*($E$1-(B12))</f>
        <v>14.736842105263158</v>
      </c>
      <c r="D12" s="48">
        <f t="shared" si="0"/>
        <v>1</v>
      </c>
      <c r="E12" s="50">
        <f t="shared" si="2"/>
        <v>14.736842105263158</v>
      </c>
    </row>
    <row r="13" spans="1:8" x14ac:dyDescent="0.25">
      <c r="A13" s="48">
        <f t="shared" si="3"/>
        <v>1.25</v>
      </c>
      <c r="B13" s="49">
        <f t="shared" si="1"/>
        <v>3.3333333333333335</v>
      </c>
      <c r="C13" s="50">
        <f>$E$4*($E$1-(B13))</f>
        <v>13.333333333333332</v>
      </c>
      <c r="D13" s="48">
        <f t="shared" si="0"/>
        <v>1.25</v>
      </c>
      <c r="E13" s="50">
        <f t="shared" si="2"/>
        <v>16.666666666666664</v>
      </c>
    </row>
    <row r="14" spans="1:8" x14ac:dyDescent="0.25">
      <c r="A14" s="48">
        <f t="shared" si="3"/>
        <v>1.5</v>
      </c>
      <c r="B14" s="49">
        <f t="shared" si="1"/>
        <v>4.0540540540540544</v>
      </c>
      <c r="C14" s="50">
        <f>$E$4*($E$1-(B14))</f>
        <v>11.891891891891891</v>
      </c>
      <c r="D14" s="48">
        <f t="shared" si="0"/>
        <v>1.5</v>
      </c>
      <c r="E14" s="50">
        <f t="shared" si="2"/>
        <v>17.837837837837839</v>
      </c>
    </row>
    <row r="15" spans="1:8" x14ac:dyDescent="0.25">
      <c r="A15" s="48">
        <f t="shared" si="3"/>
        <v>1.75</v>
      </c>
      <c r="B15" s="49">
        <f t="shared" si="1"/>
        <v>4.7945205479452051</v>
      </c>
      <c r="C15" s="50">
        <f>$E$4*($E$1-(B15))</f>
        <v>10.41095890410959</v>
      </c>
      <c r="D15" s="48">
        <f t="shared" si="0"/>
        <v>1.75</v>
      </c>
      <c r="E15" s="50">
        <f t="shared" si="2"/>
        <v>18.219178082191782</v>
      </c>
    </row>
    <row r="16" spans="1:8" x14ac:dyDescent="0.25">
      <c r="A16" s="48">
        <f t="shared" si="3"/>
        <v>2</v>
      </c>
      <c r="B16" s="49">
        <f>(A16*$E$2)/($E$3-A16)</f>
        <v>5.5555555555555554</v>
      </c>
      <c r="C16" s="50">
        <f>$E$4*($E$1-(B16))</f>
        <v>8.8888888888888893</v>
      </c>
      <c r="D16" s="48">
        <f t="shared" si="0"/>
        <v>2</v>
      </c>
      <c r="E16" s="50">
        <f t="shared" si="2"/>
        <v>17.777777777777779</v>
      </c>
    </row>
    <row r="17" spans="1:5" x14ac:dyDescent="0.25">
      <c r="A17" s="48">
        <f t="shared" si="3"/>
        <v>2.25</v>
      </c>
      <c r="B17" s="49">
        <f t="shared" si="1"/>
        <v>6.3380281690140849</v>
      </c>
      <c r="C17" s="50">
        <f>$E$4*($E$1-(B17))</f>
        <v>7.3239436619718301</v>
      </c>
      <c r="D17" s="48">
        <f t="shared" si="0"/>
        <v>2.25</v>
      </c>
      <c r="E17" s="50">
        <f t="shared" si="2"/>
        <v>16.478873239436616</v>
      </c>
    </row>
    <row r="18" spans="1:5" x14ac:dyDescent="0.25">
      <c r="A18" s="48">
        <f t="shared" si="3"/>
        <v>2.5</v>
      </c>
      <c r="B18" s="49">
        <f t="shared" si="1"/>
        <v>7.1428571428571432</v>
      </c>
      <c r="C18" s="50">
        <f>$E$4*($E$1-(B18))</f>
        <v>5.7142857142857135</v>
      </c>
      <c r="D18" s="48">
        <f t="shared" si="0"/>
        <v>2.5</v>
      </c>
      <c r="E18" s="50">
        <f t="shared" si="2"/>
        <v>14.285714285714285</v>
      </c>
    </row>
    <row r="19" spans="1:5" x14ac:dyDescent="0.25">
      <c r="A19" s="48">
        <f t="shared" si="3"/>
        <v>2.75</v>
      </c>
      <c r="B19" s="49">
        <f t="shared" si="1"/>
        <v>7.9710144927536231</v>
      </c>
      <c r="C19" s="50">
        <f>$E$4*($E$1-(B19))</f>
        <v>4.0579710144927539</v>
      </c>
      <c r="D19" s="48">
        <f t="shared" si="0"/>
        <v>2.75</v>
      </c>
      <c r="E19" s="50">
        <f t="shared" si="2"/>
        <v>11.159420289855074</v>
      </c>
    </row>
    <row r="20" spans="1:5" x14ac:dyDescent="0.25">
      <c r="A20" s="48">
        <f t="shared" si="3"/>
        <v>3</v>
      </c>
      <c r="B20" s="49">
        <f t="shared" si="1"/>
        <v>8.8235294117647065</v>
      </c>
      <c r="C20" s="50">
        <f>$E$4*($E$1-(B20))</f>
        <v>2.352941176470587</v>
      </c>
      <c r="D20" s="48">
        <f t="shared" si="0"/>
        <v>3</v>
      </c>
      <c r="E20" s="50">
        <f t="shared" si="2"/>
        <v>7.0588235294117609</v>
      </c>
    </row>
    <row r="21" spans="1:5" x14ac:dyDescent="0.25">
      <c r="A21" s="48">
        <f t="shared" si="3"/>
        <v>3.25</v>
      </c>
      <c r="B21" s="49">
        <f t="shared" si="1"/>
        <v>9.7014925373134329</v>
      </c>
      <c r="C21" s="50">
        <f>$E$4*($E$1-(B21))</f>
        <v>0.59701492537313428</v>
      </c>
      <c r="D21" s="48">
        <f t="shared" si="0"/>
        <v>3.25</v>
      </c>
      <c r="E21" s="50">
        <f t="shared" si="2"/>
        <v>1.9402985074626864</v>
      </c>
    </row>
    <row r="22" spans="1:5" ht="15.75" thickBot="1" x14ac:dyDescent="0.3">
      <c r="A22" s="51">
        <f t="shared" si="3"/>
        <v>3.5</v>
      </c>
      <c r="B22" s="52">
        <f t="shared" si="1"/>
        <v>10.606060606060606</v>
      </c>
      <c r="C22" s="53">
        <f>$E$4*($E$1-(B22))</f>
        <v>-1.212121212121211</v>
      </c>
      <c r="D22" s="51">
        <f t="shared" si="0"/>
        <v>3.5</v>
      </c>
      <c r="E22" s="53">
        <f t="shared" si="2"/>
        <v>-4.2424242424242387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EJERCICIO 2</vt:lpstr>
      <vt:lpstr>EJERCICIO 4</vt:lpstr>
      <vt:lpstr>EJERCICIO 5</vt:lpstr>
      <vt:lpstr>eje6</vt:lpstr>
      <vt:lpstr>bioreactor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79juanenrrique@hotmail.com.ar</cp:lastModifiedBy>
  <dcterms:created xsi:type="dcterms:W3CDTF">2021-10-11T23:18:07Z</dcterms:created>
  <dcterms:modified xsi:type="dcterms:W3CDTF">2024-05-05T18:09:45Z</dcterms:modified>
</cp:coreProperties>
</file>