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2\Tema 2 - Reactores ideales\"/>
    </mc:Choice>
  </mc:AlternateContent>
  <xr:revisionPtr revIDLastSave="0" documentId="13_ncr:1_{EC30D0B5-11DE-4395-8DD4-8067D801C8FA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eje8" sheetId="8" r:id="rId1"/>
    <sheet name="Hoja1" sheetId="1" r:id="rId2"/>
    <sheet name="nose" sheetId="2" r:id="rId3"/>
    <sheet name="Hoja3" sheetId="3" r:id="rId4"/>
    <sheet name="eje4" sheetId="5" r:id="rId5"/>
    <sheet name="eje5" sheetId="4" r:id="rId6"/>
    <sheet name="EJErcicio8" sheetId="6" r:id="rId7"/>
    <sheet name="eje9" sheetId="10" r:id="rId8"/>
    <sheet name="eje11" sheetId="7" r:id="rId9"/>
    <sheet name="rje10" sheetId="9" r:id="rId10"/>
  </sheets>
  <calcPr calcId="191029"/>
</workbook>
</file>

<file path=xl/calcChain.xml><?xml version="1.0" encoding="utf-8"?>
<calcChain xmlns="http://schemas.openxmlformats.org/spreadsheetml/2006/main">
  <c r="E11" i="4" l="1"/>
  <c r="I27" i="7"/>
  <c r="I28" i="7" s="1"/>
  <c r="K28" i="7" s="1"/>
  <c r="G10" i="10"/>
  <c r="F8" i="10"/>
  <c r="F7" i="10"/>
  <c r="F5" i="10"/>
  <c r="F3" i="10"/>
  <c r="I13" i="9"/>
  <c r="K3" i="9"/>
  <c r="I10" i="9"/>
  <c r="I9" i="9"/>
  <c r="I5" i="9"/>
  <c r="I6" i="9"/>
  <c r="I4" i="9"/>
  <c r="I3" i="9"/>
  <c r="D2" i="9"/>
  <c r="B9" i="9"/>
  <c r="D3" i="9"/>
  <c r="B21" i="9"/>
  <c r="D17" i="9"/>
  <c r="D4" i="9"/>
  <c r="I30" i="7"/>
  <c r="I21" i="7"/>
  <c r="I24" i="7" s="1"/>
  <c r="I26" i="7"/>
  <c r="I25" i="7"/>
  <c r="M5" i="7"/>
  <c r="K5" i="7"/>
  <c r="M2" i="7"/>
  <c r="G10" i="5"/>
  <c r="I15" i="7"/>
  <c r="I18" i="7"/>
  <c r="I16" i="7"/>
  <c r="K16" i="7"/>
  <c r="I17" i="7"/>
  <c r="I10" i="7"/>
  <c r="I3" i="7"/>
  <c r="K10" i="7"/>
  <c r="I11" i="7" s="1"/>
  <c r="D7" i="7"/>
  <c r="G8" i="6"/>
  <c r="I8" i="7"/>
  <c r="I5" i="7"/>
  <c r="D5" i="7"/>
  <c r="G2" i="6"/>
  <c r="G12" i="5"/>
  <c r="G8" i="5"/>
  <c r="D8" i="5"/>
  <c r="G6" i="5"/>
  <c r="D4" i="5"/>
  <c r="D5" i="5"/>
  <c r="D3" i="5"/>
  <c r="G4" i="5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1" i="4"/>
  <c r="F3" i="4"/>
  <c r="F4" i="4" s="1"/>
  <c r="C13" i="4"/>
  <c r="E13" i="4" s="1"/>
  <c r="C14" i="4"/>
  <c r="E14" i="4"/>
  <c r="C15" i="4"/>
  <c r="E15" i="4" s="1"/>
  <c r="C16" i="4"/>
  <c r="E16" i="4"/>
  <c r="C17" i="4"/>
  <c r="E17" i="4" s="1"/>
  <c r="C18" i="4"/>
  <c r="E18" i="4"/>
  <c r="C19" i="4"/>
  <c r="E19" i="4" s="1"/>
  <c r="C20" i="4"/>
  <c r="E20" i="4"/>
  <c r="C21" i="4"/>
  <c r="E21" i="4" s="1"/>
  <c r="C22" i="4"/>
  <c r="E22" i="4"/>
  <c r="C23" i="4"/>
  <c r="E23" i="4" s="1"/>
  <c r="C24" i="4"/>
  <c r="E24" i="4"/>
  <c r="C25" i="4"/>
  <c r="E25" i="4" s="1"/>
  <c r="C12" i="4"/>
  <c r="E12" i="4" s="1"/>
  <c r="C11" i="4"/>
  <c r="B18" i="3"/>
  <c r="B17" i="3"/>
  <c r="G6" i="3"/>
  <c r="G5" i="3"/>
  <c r="B10" i="3"/>
  <c r="B7" i="2"/>
  <c r="B8" i="2" s="1"/>
  <c r="B13" i="2"/>
  <c r="B10" i="2"/>
  <c r="B48" i="2"/>
  <c r="C48" i="2" s="1"/>
  <c r="B49" i="2"/>
  <c r="C49" i="2"/>
  <c r="E49" i="2" s="1"/>
  <c r="B50" i="2"/>
  <c r="C50" i="2" s="1"/>
  <c r="D50" i="2" s="1"/>
  <c r="F50" i="2" s="1"/>
  <c r="B51" i="2"/>
  <c r="C51" i="2" s="1"/>
  <c r="B52" i="2"/>
  <c r="C52" i="2" s="1"/>
  <c r="B53" i="2"/>
  <c r="C53" i="2"/>
  <c r="E53" i="2" s="1"/>
  <c r="D53" i="2"/>
  <c r="F53" i="2" s="1"/>
  <c r="B54" i="2"/>
  <c r="C54" i="2" s="1"/>
  <c r="D54" i="2" s="1"/>
  <c r="F54" i="2" s="1"/>
  <c r="B55" i="2"/>
  <c r="C55" i="2" s="1"/>
  <c r="B56" i="2"/>
  <c r="C56" i="2" s="1"/>
  <c r="B57" i="2"/>
  <c r="C57" i="2" s="1"/>
  <c r="B58" i="2"/>
  <c r="C58" i="2" s="1"/>
  <c r="D58" i="2" s="1"/>
  <c r="F58" i="2" s="1"/>
  <c r="B59" i="2"/>
  <c r="C59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26" i="2"/>
  <c r="C26" i="2" s="1"/>
  <c r="B27" i="2"/>
  <c r="C27" i="2" s="1"/>
  <c r="B28" i="2"/>
  <c r="C28" i="2"/>
  <c r="D28" i="2" s="1"/>
  <c r="F28" i="2" s="1"/>
  <c r="B29" i="2"/>
  <c r="C29" i="2" s="1"/>
  <c r="B30" i="2"/>
  <c r="C30" i="2" s="1"/>
  <c r="B31" i="2"/>
  <c r="C31" i="2" s="1"/>
  <c r="B32" i="2"/>
  <c r="C32" i="2" s="1"/>
  <c r="D32" i="2" s="1"/>
  <c r="F32" i="2" s="1"/>
  <c r="B33" i="2"/>
  <c r="C33" i="2" s="1"/>
  <c r="B34" i="2"/>
  <c r="C34" i="2" s="1"/>
  <c r="B35" i="2"/>
  <c r="C35" i="2" s="1"/>
  <c r="B36" i="2"/>
  <c r="C36" i="2"/>
  <c r="D36" i="2" s="1"/>
  <c r="F36" i="2" s="1"/>
  <c r="B37" i="2"/>
  <c r="C37" i="2" s="1"/>
  <c r="B38" i="2"/>
  <c r="C38" i="2" s="1"/>
  <c r="B39" i="2"/>
  <c r="C39" i="2" s="1"/>
  <c r="B40" i="2"/>
  <c r="C40" i="2"/>
  <c r="D40" i="2" s="1"/>
  <c r="F40" i="2" s="1"/>
  <c r="B41" i="2"/>
  <c r="C41" i="2" s="1"/>
  <c r="B25" i="2"/>
  <c r="C25" i="2" s="1"/>
  <c r="B24" i="2"/>
  <c r="C24" i="2" s="1"/>
  <c r="B16" i="2"/>
  <c r="C16" i="2" s="1"/>
  <c r="B17" i="2"/>
  <c r="C17" i="2" s="1"/>
  <c r="B18" i="2"/>
  <c r="C18" i="2" s="1"/>
  <c r="B19" i="2"/>
  <c r="C19" i="2"/>
  <c r="E19" i="2" s="1"/>
  <c r="D19" i="2"/>
  <c r="F19" i="2" s="1"/>
  <c r="B20" i="2"/>
  <c r="C20" i="2"/>
  <c r="D20" i="2" s="1"/>
  <c r="F20" i="2" s="1"/>
  <c r="B21" i="2"/>
  <c r="C21" i="2" s="1"/>
  <c r="B22" i="2"/>
  <c r="C22" i="2" s="1"/>
  <c r="B23" i="2"/>
  <c r="C23" i="2" s="1"/>
  <c r="C13" i="2"/>
  <c r="D13" i="2" s="1"/>
  <c r="F13" i="2" s="1"/>
  <c r="B14" i="2"/>
  <c r="C14" i="2" s="1"/>
  <c r="B15" i="2"/>
  <c r="C15" i="2" s="1"/>
  <c r="G24" i="1"/>
  <c r="G25" i="1"/>
  <c r="G26" i="1"/>
  <c r="G27" i="1"/>
  <c r="G28" i="1"/>
  <c r="G29" i="1"/>
  <c r="G30" i="1"/>
  <c r="G31" i="1"/>
  <c r="G23" i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23" i="1"/>
  <c r="F23" i="1" s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G3" i="6" l="1"/>
  <c r="G4" i="6" s="1"/>
  <c r="H3" i="4"/>
  <c r="J3" i="4" s="1"/>
  <c r="E23" i="2"/>
  <c r="D23" i="2"/>
  <c r="F23" i="2" s="1"/>
  <c r="E57" i="2"/>
  <c r="D57" i="2"/>
  <c r="F57" i="2" s="1"/>
  <c r="E14" i="2"/>
  <c r="D14" i="2"/>
  <c r="F14" i="2" s="1"/>
  <c r="E15" i="2"/>
  <c r="D15" i="2"/>
  <c r="F15" i="2" s="1"/>
  <c r="E22" i="2"/>
  <c r="D22" i="2"/>
  <c r="F22" i="2" s="1"/>
  <c r="E13" i="2"/>
  <c r="D49" i="2"/>
  <c r="F49" i="2" s="1"/>
  <c r="D56" i="2"/>
  <c r="F56" i="2" s="1"/>
  <c r="E56" i="2"/>
  <c r="D52" i="2"/>
  <c r="F52" i="2" s="1"/>
  <c r="E52" i="2"/>
  <c r="D51" i="2"/>
  <c r="F51" i="2" s="1"/>
  <c r="E51" i="2"/>
  <c r="D55" i="2"/>
  <c r="F55" i="2" s="1"/>
  <c r="E55" i="2"/>
  <c r="D59" i="2"/>
  <c r="F59" i="2" s="1"/>
  <c r="E59" i="2"/>
  <c r="E48" i="2"/>
  <c r="D48" i="2"/>
  <c r="F48" i="2" s="1"/>
  <c r="E58" i="2"/>
  <c r="E54" i="2"/>
  <c r="E50" i="2"/>
  <c r="D47" i="2"/>
  <c r="F47" i="2" s="1"/>
  <c r="E47" i="2"/>
  <c r="D46" i="2"/>
  <c r="F46" i="2" s="1"/>
  <c r="E46" i="2"/>
  <c r="D45" i="2"/>
  <c r="F45" i="2" s="1"/>
  <c r="E45" i="2"/>
  <c r="D44" i="2"/>
  <c r="F44" i="2" s="1"/>
  <c r="E44" i="2"/>
  <c r="D43" i="2"/>
  <c r="F43" i="2" s="1"/>
  <c r="E43" i="2"/>
  <c r="E42" i="2"/>
  <c r="D42" i="2"/>
  <c r="F42" i="2" s="1"/>
  <c r="D41" i="2"/>
  <c r="F41" i="2" s="1"/>
  <c r="E41" i="2"/>
  <c r="D38" i="2"/>
  <c r="F38" i="2" s="1"/>
  <c r="E38" i="2"/>
  <c r="D37" i="2"/>
  <c r="F37" i="2" s="1"/>
  <c r="E37" i="2"/>
  <c r="D34" i="2"/>
  <c r="F34" i="2" s="1"/>
  <c r="E34" i="2"/>
  <c r="E31" i="2"/>
  <c r="D31" i="2"/>
  <c r="F31" i="2" s="1"/>
  <c r="E35" i="2"/>
  <c r="D35" i="2"/>
  <c r="F35" i="2" s="1"/>
  <c r="D33" i="2"/>
  <c r="F33" i="2" s="1"/>
  <c r="E33" i="2"/>
  <c r="E30" i="2"/>
  <c r="D30" i="2"/>
  <c r="F30" i="2" s="1"/>
  <c r="E27" i="2"/>
  <c r="D27" i="2"/>
  <c r="F27" i="2" s="1"/>
  <c r="E39" i="2"/>
  <c r="D39" i="2"/>
  <c r="F39" i="2" s="1"/>
  <c r="D29" i="2"/>
  <c r="F29" i="2" s="1"/>
  <c r="E29" i="2"/>
  <c r="D26" i="2"/>
  <c r="F26" i="2" s="1"/>
  <c r="E26" i="2"/>
  <c r="E40" i="2"/>
  <c r="E36" i="2"/>
  <c r="E32" i="2"/>
  <c r="E28" i="2"/>
  <c r="D25" i="2"/>
  <c r="F25" i="2" s="1"/>
  <c r="E25" i="2"/>
  <c r="D24" i="2"/>
  <c r="F24" i="2" s="1"/>
  <c r="E24" i="2"/>
  <c r="D18" i="2"/>
  <c r="F18" i="2" s="1"/>
  <c r="E18" i="2"/>
  <c r="E17" i="2"/>
  <c r="D17" i="2"/>
  <c r="F17" i="2" s="1"/>
  <c r="E21" i="2"/>
  <c r="D21" i="2"/>
  <c r="F21" i="2" s="1"/>
  <c r="D16" i="2"/>
  <c r="F16" i="2" s="1"/>
  <c r="E16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B4" authorId="0" shapeId="0" xr:uid="{7285B475-4307-4EAA-BD6C-AE24D4E033DE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sale de que la conversión es del 90%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B3" authorId="0" shapeId="0" xr:uid="{663215EB-D189-4FDF-9015-82201E1DDAED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mal Ca=0.1Ca0</t>
        </r>
      </text>
    </comment>
  </commentList>
</comments>
</file>

<file path=xl/sharedStrings.xml><?xml version="1.0" encoding="utf-8"?>
<sst xmlns="http://schemas.openxmlformats.org/spreadsheetml/2006/main" count="248" uniqueCount="146">
  <si>
    <t>Reacción de 1er orden</t>
  </si>
  <si>
    <t>Xa</t>
  </si>
  <si>
    <t>Cao</t>
  </si>
  <si>
    <t>Ca</t>
  </si>
  <si>
    <t>k</t>
  </si>
  <si>
    <t>t</t>
  </si>
  <si>
    <t>k*t</t>
  </si>
  <si>
    <t>Reacción de 2do orden</t>
  </si>
  <si>
    <t>t*k</t>
  </si>
  <si>
    <t>1/Ca</t>
  </si>
  <si>
    <t>Ca0</t>
  </si>
  <si>
    <t xml:space="preserve">Ca </t>
  </si>
  <si>
    <t>seg</t>
  </si>
  <si>
    <t>min</t>
  </si>
  <si>
    <t>kt</t>
  </si>
  <si>
    <t>ca0/Ca0</t>
  </si>
  <si>
    <t>ca/Ca0</t>
  </si>
  <si>
    <t>X</t>
  </si>
  <si>
    <t>TAD</t>
  </si>
  <si>
    <t>1/seg</t>
  </si>
  <si>
    <t>mol/lt</t>
  </si>
  <si>
    <t>A=&gt;B</t>
  </si>
  <si>
    <t>TAC</t>
  </si>
  <si>
    <t>isotermico</t>
  </si>
  <si>
    <t>r=kCA2</t>
  </si>
  <si>
    <t>lt*mol/min</t>
  </si>
  <si>
    <t>CA0</t>
  </si>
  <si>
    <t>v0</t>
  </si>
  <si>
    <t>lt/min</t>
  </si>
  <si>
    <t>modificar k y ver como afecta a t el tiempo de reaccion</t>
  </si>
  <si>
    <t>Vol</t>
  </si>
  <si>
    <t>lt</t>
  </si>
  <si>
    <t>RFP</t>
  </si>
  <si>
    <t>CAO</t>
  </si>
  <si>
    <t>0.1CA</t>
  </si>
  <si>
    <t>Q</t>
  </si>
  <si>
    <t>m3/min</t>
  </si>
  <si>
    <t>1/min</t>
  </si>
  <si>
    <t>m3</t>
  </si>
  <si>
    <t>Ca/Ca0</t>
  </si>
  <si>
    <t>10 min</t>
  </si>
  <si>
    <t>dm3</t>
  </si>
  <si>
    <t>V(m3)</t>
  </si>
  <si>
    <t>V(lt)</t>
  </si>
  <si>
    <t>t(min)</t>
  </si>
  <si>
    <t>ro</t>
  </si>
  <si>
    <t>kg/m3</t>
  </si>
  <si>
    <t>1/h</t>
  </si>
  <si>
    <t>Mp</t>
  </si>
  <si>
    <t>ton</t>
  </si>
  <si>
    <t>t carga</t>
  </si>
  <si>
    <t>t descarga</t>
  </si>
  <si>
    <t>t calentam</t>
  </si>
  <si>
    <t>R=-Kca</t>
  </si>
  <si>
    <t>tr</t>
  </si>
  <si>
    <t>h</t>
  </si>
  <si>
    <t>T total</t>
  </si>
  <si>
    <t>kg</t>
  </si>
  <si>
    <t>lotes</t>
  </si>
  <si>
    <t>h operacion</t>
  </si>
  <si>
    <t>tanque</t>
  </si>
  <si>
    <t>anual</t>
  </si>
  <si>
    <t>Fa0</t>
  </si>
  <si>
    <t>mol/h</t>
  </si>
  <si>
    <t>lt/h</t>
  </si>
  <si>
    <t>1/hr</t>
  </si>
  <si>
    <t>rA = KCA</t>
  </si>
  <si>
    <t>V</t>
  </si>
  <si>
    <t>A=&gt;B+C</t>
  </si>
  <si>
    <t>lb/hr</t>
  </si>
  <si>
    <t>T</t>
  </si>
  <si>
    <t>c</t>
  </si>
  <si>
    <t>P</t>
  </si>
  <si>
    <t>atm</t>
  </si>
  <si>
    <t>D</t>
  </si>
  <si>
    <t>cm</t>
  </si>
  <si>
    <t>PMA</t>
  </si>
  <si>
    <t>lb/lbmol</t>
  </si>
  <si>
    <t>K</t>
  </si>
  <si>
    <t>lbmol/h</t>
  </si>
  <si>
    <t>mol/hr</t>
  </si>
  <si>
    <t>FA0</t>
  </si>
  <si>
    <t>mol/s</t>
  </si>
  <si>
    <t>1/s</t>
  </si>
  <si>
    <t>L</t>
  </si>
  <si>
    <t>m</t>
  </si>
  <si>
    <t>ESTA EN EL PDF</t>
  </si>
  <si>
    <t>A</t>
  </si>
  <si>
    <t>m2</t>
  </si>
  <si>
    <t>Q0</t>
  </si>
  <si>
    <t>m/s</t>
  </si>
  <si>
    <t>m3/s</t>
  </si>
  <si>
    <t>lt/s</t>
  </si>
  <si>
    <t>tiempo recorido</t>
  </si>
  <si>
    <t>s</t>
  </si>
  <si>
    <t>cinetica orden2</t>
  </si>
  <si>
    <t>convercion a la entrada</t>
  </si>
  <si>
    <t>lt/mol*min</t>
  </si>
  <si>
    <t>oredn 2</t>
  </si>
  <si>
    <t>convercion entrada</t>
  </si>
  <si>
    <t>no se ve un choto leandro</t>
  </si>
  <si>
    <t>A+B=&gt;C</t>
  </si>
  <si>
    <t>delta</t>
  </si>
  <si>
    <t>suma de tiempos</t>
  </si>
  <si>
    <t>Vol total</t>
  </si>
  <si>
    <t>masa total /caudal</t>
  </si>
  <si>
    <t>regla de tres</t>
  </si>
  <si>
    <t>mol/lbmol</t>
  </si>
  <si>
    <t>SIN EXPANCION</t>
  </si>
  <si>
    <t>CON EXPANCION</t>
  </si>
  <si>
    <t>landa</t>
  </si>
  <si>
    <t>T0</t>
  </si>
  <si>
    <t>P0</t>
  </si>
  <si>
    <t>CA</t>
  </si>
  <si>
    <t>integral</t>
  </si>
  <si>
    <t>VOL</t>
  </si>
  <si>
    <t>M3</t>
  </si>
  <si>
    <t xml:space="preserve">L </t>
  </si>
  <si>
    <t xml:space="preserve">m </t>
  </si>
  <si>
    <t>ya0</t>
  </si>
  <si>
    <t>yb0</t>
  </si>
  <si>
    <t>yc0</t>
  </si>
  <si>
    <t>yinierte0</t>
  </si>
  <si>
    <t>R</t>
  </si>
  <si>
    <t>dm3/molK</t>
  </si>
  <si>
    <t>atmL/molK</t>
  </si>
  <si>
    <t>Pam3/molK</t>
  </si>
  <si>
    <t>kpa</t>
  </si>
  <si>
    <t>Pa</t>
  </si>
  <si>
    <t>CB0</t>
  </si>
  <si>
    <t>CC0</t>
  </si>
  <si>
    <t>Cinerte0</t>
  </si>
  <si>
    <t>YC final</t>
  </si>
  <si>
    <t>yc cal</t>
  </si>
  <si>
    <t>XA sup</t>
  </si>
  <si>
    <t>yc real</t>
  </si>
  <si>
    <t>mol/m3</t>
  </si>
  <si>
    <t>V1</t>
  </si>
  <si>
    <t>falta orden 1 cero y dos pero esta en matlab</t>
  </si>
  <si>
    <t>kc</t>
  </si>
  <si>
    <t>x2</t>
  </si>
  <si>
    <t>xeq sup</t>
  </si>
  <si>
    <t>x1</t>
  </si>
  <si>
    <t>cosa1</t>
  </si>
  <si>
    <t>cosa2</t>
  </si>
  <si>
    <t>Q01 es funcion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</si>
</sst>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 vs 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 vs t</c:v>
          </c:tx>
          <c:marker>
            <c:symbol val="none"/>
          </c:marker>
          <c:xVal>
            <c:numRef>
              <c:f>Hoja1!$D$5:$D$13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Hoja1!$E$5:$E$13</c:f>
              <c:numCache>
                <c:formatCode>General</c:formatCode>
                <c:ptCount val="9"/>
                <c:pt idx="0">
                  <c:v>2</c:v>
                </c:pt>
                <c:pt idx="1">
                  <c:v>1.2130613194252668</c:v>
                </c:pt>
                <c:pt idx="2">
                  <c:v>0.73575888234288467</c:v>
                </c:pt>
                <c:pt idx="3">
                  <c:v>0.44626032029685964</c:v>
                </c:pt>
                <c:pt idx="4">
                  <c:v>0.2706705664732254</c:v>
                </c:pt>
                <c:pt idx="5">
                  <c:v>0.1641699972477976</c:v>
                </c:pt>
                <c:pt idx="6">
                  <c:v>9.9574136735727889E-2</c:v>
                </c:pt>
                <c:pt idx="7">
                  <c:v>6.0394766844637002E-2</c:v>
                </c:pt>
                <c:pt idx="8">
                  <c:v>3.6631277777468357E-2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1-4DB4-8116-94E8A26D4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1216"/>
        <c:axId val="40199680"/>
      </c:scatterChart>
      <c:valAx>
        <c:axId val="4020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199680"/>
        <c:crosses val="autoZero"/>
        <c:crossBetween val="midCat"/>
      </c:valAx>
      <c:valAx>
        <c:axId val="4019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2012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 vs t</c:v>
          </c:tx>
          <c:marker>
            <c:symbol val="none"/>
          </c:marker>
          <c:xVal>
            <c:numRef>
              <c:f>Hoja1!$D$23:$D$31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Hoja1!$F$23:$F$31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E-4657-98A5-CBA1FBD3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44800"/>
        <c:axId val="96722944"/>
      </c:scatterChart>
      <c:valAx>
        <c:axId val="98444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722944"/>
        <c:crosses val="autoZero"/>
        <c:crossBetween val="midCat"/>
      </c:valAx>
      <c:valAx>
        <c:axId val="9672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4448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Evolucion</a:t>
            </a:r>
            <a:r>
              <a:rPr lang="es-AR" baseline="0"/>
              <a:t> de la Reaccion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Ca0/Ca0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nose!$B$13:$B$59</c:f>
              <c:numCache>
                <c:formatCode>General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0.35000000000000003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0.6</c:v>
                </c:pt>
                <c:pt idx="21">
                  <c:v>0.65</c:v>
                </c:pt>
                <c:pt idx="22">
                  <c:v>0.70000000000000007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0.95000000000000007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  <c:pt idx="37">
                  <c:v>5.5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</c:v>
                </c:pt>
                <c:pt idx="43">
                  <c:v>8.5</c:v>
                </c:pt>
                <c:pt idx="44">
                  <c:v>9</c:v>
                </c:pt>
                <c:pt idx="45">
                  <c:v>9.5</c:v>
                </c:pt>
                <c:pt idx="46">
                  <c:v>10</c:v>
                </c:pt>
              </c:numCache>
            </c:numRef>
          </c:xVal>
          <c:yVal>
            <c:numRef>
              <c:f>nose!$E$13:$E$59</c:f>
              <c:numCache>
                <c:formatCode>General</c:formatCode>
                <c:ptCount val="47"/>
                <c:pt idx="0">
                  <c:v>1</c:v>
                </c:pt>
                <c:pt idx="1">
                  <c:v>0.99004983374916811</c:v>
                </c:pt>
                <c:pt idx="2">
                  <c:v>0.98019867330675525</c:v>
                </c:pt>
                <c:pt idx="3">
                  <c:v>0.97044553354850815</c:v>
                </c:pt>
                <c:pt idx="4">
                  <c:v>0.96078943915232318</c:v>
                </c:pt>
                <c:pt idx="5">
                  <c:v>0.95122942450071402</c:v>
                </c:pt>
                <c:pt idx="6">
                  <c:v>0.94176453358424872</c:v>
                </c:pt>
                <c:pt idx="7">
                  <c:v>0.93239381990594827</c:v>
                </c:pt>
                <c:pt idx="8">
                  <c:v>0.92311634638663576</c:v>
                </c:pt>
                <c:pt idx="9">
                  <c:v>0.91393118527122819</c:v>
                </c:pt>
                <c:pt idx="10">
                  <c:v>0.90483741803595952</c:v>
                </c:pt>
                <c:pt idx="11">
                  <c:v>0.86070797642505781</c:v>
                </c:pt>
                <c:pt idx="12">
                  <c:v>0.81873075307798182</c:v>
                </c:pt>
                <c:pt idx="13">
                  <c:v>0.77880078307140488</c:v>
                </c:pt>
                <c:pt idx="14">
                  <c:v>0.74081822068171788</c:v>
                </c:pt>
                <c:pt idx="15">
                  <c:v>0.70468808971871344</c:v>
                </c:pt>
                <c:pt idx="16">
                  <c:v>0.67032004603563933</c:v>
                </c:pt>
                <c:pt idx="17">
                  <c:v>0.63762815162177333</c:v>
                </c:pt>
                <c:pt idx="18">
                  <c:v>0.60653065971263342</c:v>
                </c:pt>
                <c:pt idx="19">
                  <c:v>0.57694981038048665</c:v>
                </c:pt>
                <c:pt idx="20">
                  <c:v>0.54881163609402639</c:v>
                </c:pt>
                <c:pt idx="21">
                  <c:v>0.52204577676101604</c:v>
                </c:pt>
                <c:pt idx="22">
                  <c:v>0.49658530379140947</c:v>
                </c:pt>
                <c:pt idx="23">
                  <c:v>0.47236655274101469</c:v>
                </c:pt>
                <c:pt idx="24">
                  <c:v>0.44932896411722156</c:v>
                </c:pt>
                <c:pt idx="25">
                  <c:v>0.42741493194872671</c:v>
                </c:pt>
                <c:pt idx="26">
                  <c:v>0.40656965974059911</c:v>
                </c:pt>
                <c:pt idx="27">
                  <c:v>0.38674102345450118</c:v>
                </c:pt>
                <c:pt idx="28">
                  <c:v>0.36787944117144233</c:v>
                </c:pt>
                <c:pt idx="29">
                  <c:v>0.22313016014842982</c:v>
                </c:pt>
                <c:pt idx="30">
                  <c:v>0.1353352832366127</c:v>
                </c:pt>
                <c:pt idx="31">
                  <c:v>8.20849986238988E-2</c:v>
                </c:pt>
                <c:pt idx="32">
                  <c:v>4.9787068367863944E-2</c:v>
                </c:pt>
                <c:pt idx="33">
                  <c:v>3.0197383422318501E-2</c:v>
                </c:pt>
                <c:pt idx="34">
                  <c:v>1.8315638888734179E-2</c:v>
                </c:pt>
                <c:pt idx="35">
                  <c:v>1.1108996538242306E-2</c:v>
                </c:pt>
                <c:pt idx="36">
                  <c:v>6.737946999085467E-3</c:v>
                </c:pt>
                <c:pt idx="37">
                  <c:v>4.0867714384640666E-3</c:v>
                </c:pt>
                <c:pt idx="38">
                  <c:v>2.4787521766663585E-3</c:v>
                </c:pt>
                <c:pt idx="39">
                  <c:v>1.5034391929775724E-3</c:v>
                </c:pt>
                <c:pt idx="40">
                  <c:v>9.1188196555451624E-4</c:v>
                </c:pt>
                <c:pt idx="41">
                  <c:v>5.5308437014783363E-4</c:v>
                </c:pt>
                <c:pt idx="42">
                  <c:v>3.3546262790251185E-4</c:v>
                </c:pt>
                <c:pt idx="43">
                  <c:v>2.0346836901064417E-4</c:v>
                </c:pt>
                <c:pt idx="44">
                  <c:v>1.2340980408667956E-4</c:v>
                </c:pt>
                <c:pt idx="45">
                  <c:v>7.4851829887700598E-5</c:v>
                </c:pt>
                <c:pt idx="46">
                  <c:v>4.5399929762484854E-5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B-4E20-A36E-B1FFB458AA35}"/>
            </c:ext>
          </c:extLst>
        </c:ser>
        <c:ser>
          <c:idx val="1"/>
          <c:order val="1"/>
          <c:tx>
            <c:v>Ca/Ca0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nose!$B$13:$B$59</c:f>
              <c:numCache>
                <c:formatCode>General</c:formatCode>
                <c:ptCount val="4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  <c:pt idx="15">
                  <c:v>0.35000000000000003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0.6</c:v>
                </c:pt>
                <c:pt idx="21">
                  <c:v>0.65</c:v>
                </c:pt>
                <c:pt idx="22">
                  <c:v>0.70000000000000007</c:v>
                </c:pt>
                <c:pt idx="23">
                  <c:v>0.75</c:v>
                </c:pt>
                <c:pt idx="24">
                  <c:v>0.8</c:v>
                </c:pt>
                <c:pt idx="25">
                  <c:v>0.85</c:v>
                </c:pt>
                <c:pt idx="26">
                  <c:v>0.9</c:v>
                </c:pt>
                <c:pt idx="27">
                  <c:v>0.95000000000000007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  <c:pt idx="37">
                  <c:v>5.5</c:v>
                </c:pt>
                <c:pt idx="38">
                  <c:v>6</c:v>
                </c:pt>
                <c:pt idx="39">
                  <c:v>6.5</c:v>
                </c:pt>
                <c:pt idx="40">
                  <c:v>7</c:v>
                </c:pt>
                <c:pt idx="41">
                  <c:v>7.5</c:v>
                </c:pt>
                <c:pt idx="42">
                  <c:v>8</c:v>
                </c:pt>
                <c:pt idx="43">
                  <c:v>8.5</c:v>
                </c:pt>
                <c:pt idx="44">
                  <c:v>9</c:v>
                </c:pt>
                <c:pt idx="45">
                  <c:v>9.5</c:v>
                </c:pt>
                <c:pt idx="46">
                  <c:v>10</c:v>
                </c:pt>
              </c:numCache>
            </c:numRef>
          </c:xVal>
          <c:yVal>
            <c:numRef>
              <c:f>nose!$F$13:$F$59</c:f>
              <c:numCache>
                <c:formatCode>General</c:formatCode>
                <c:ptCount val="47"/>
                <c:pt idx="0">
                  <c:v>0</c:v>
                </c:pt>
                <c:pt idx="1">
                  <c:v>9.9501662508318933E-3</c:v>
                </c:pt>
                <c:pt idx="2">
                  <c:v>1.9801326693244747E-2</c:v>
                </c:pt>
                <c:pt idx="3">
                  <c:v>2.9554466451491845E-2</c:v>
                </c:pt>
                <c:pt idx="4">
                  <c:v>3.9210560847676823E-2</c:v>
                </c:pt>
                <c:pt idx="5">
                  <c:v>4.8770575499285984E-2</c:v>
                </c:pt>
                <c:pt idx="6">
                  <c:v>5.823546641575128E-2</c:v>
                </c:pt>
                <c:pt idx="7">
                  <c:v>6.7606180094051727E-2</c:v>
                </c:pt>
                <c:pt idx="8">
                  <c:v>7.6883653613364245E-2</c:v>
                </c:pt>
                <c:pt idx="9">
                  <c:v>8.6068814728771814E-2</c:v>
                </c:pt>
                <c:pt idx="10">
                  <c:v>9.5162581964040482E-2</c:v>
                </c:pt>
                <c:pt idx="11">
                  <c:v>0.13929202357494219</c:v>
                </c:pt>
                <c:pt idx="12">
                  <c:v>0.18126924692201818</c:v>
                </c:pt>
                <c:pt idx="13">
                  <c:v>0.22119921692859512</c:v>
                </c:pt>
                <c:pt idx="14">
                  <c:v>0.25918177931828212</c:v>
                </c:pt>
                <c:pt idx="15">
                  <c:v>0.29531191028128656</c:v>
                </c:pt>
                <c:pt idx="16">
                  <c:v>0.32967995396436067</c:v>
                </c:pt>
                <c:pt idx="17">
                  <c:v>0.36237184837822667</c:v>
                </c:pt>
                <c:pt idx="18">
                  <c:v>0.39346934028736658</c:v>
                </c:pt>
                <c:pt idx="19">
                  <c:v>0.42305018961951335</c:v>
                </c:pt>
                <c:pt idx="20">
                  <c:v>0.45118836390597361</c:v>
                </c:pt>
                <c:pt idx="21">
                  <c:v>0.47795422323898396</c:v>
                </c:pt>
                <c:pt idx="22">
                  <c:v>0.50341469620859058</c:v>
                </c:pt>
                <c:pt idx="23">
                  <c:v>0.52763344725898531</c:v>
                </c:pt>
                <c:pt idx="24">
                  <c:v>0.55067103588277844</c:v>
                </c:pt>
                <c:pt idx="25">
                  <c:v>0.57258506805127329</c:v>
                </c:pt>
                <c:pt idx="26">
                  <c:v>0.59343034025940089</c:v>
                </c:pt>
                <c:pt idx="27">
                  <c:v>0.61325897654549877</c:v>
                </c:pt>
                <c:pt idx="28">
                  <c:v>0.63212055882855767</c:v>
                </c:pt>
                <c:pt idx="29">
                  <c:v>0.77686983985157021</c:v>
                </c:pt>
                <c:pt idx="30">
                  <c:v>0.8646647167633873</c:v>
                </c:pt>
                <c:pt idx="31">
                  <c:v>0.91791500137610116</c:v>
                </c:pt>
                <c:pt idx="32">
                  <c:v>0.95021293163213605</c:v>
                </c:pt>
                <c:pt idx="33">
                  <c:v>0.96980261657768152</c:v>
                </c:pt>
                <c:pt idx="34">
                  <c:v>0.98168436111126578</c:v>
                </c:pt>
                <c:pt idx="35">
                  <c:v>0.98889100346175773</c:v>
                </c:pt>
                <c:pt idx="36">
                  <c:v>0.99326205300091452</c:v>
                </c:pt>
                <c:pt idx="37">
                  <c:v>0.99591322856153597</c:v>
                </c:pt>
                <c:pt idx="38">
                  <c:v>0.99752124782333362</c:v>
                </c:pt>
                <c:pt idx="39">
                  <c:v>0.99849656080702243</c:v>
                </c:pt>
                <c:pt idx="40">
                  <c:v>0.99908811803444553</c:v>
                </c:pt>
                <c:pt idx="41">
                  <c:v>0.99944691562985222</c:v>
                </c:pt>
                <c:pt idx="42">
                  <c:v>0.99966453737209748</c:v>
                </c:pt>
                <c:pt idx="43">
                  <c:v>0.99979653163098936</c:v>
                </c:pt>
                <c:pt idx="44">
                  <c:v>0.99987659019591335</c:v>
                </c:pt>
                <c:pt idx="45">
                  <c:v>0.99992514817011235</c:v>
                </c:pt>
                <c:pt idx="46">
                  <c:v>0.99995460007023751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B-4E20-A36E-B1FFB458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496"/>
        <c:axId val="417772576"/>
      </c:scatterChart>
      <c:valAx>
        <c:axId val="4177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Kt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772576"/>
        <c:crosses val="autoZero"/>
        <c:crossBetween val="midCat"/>
      </c:valAx>
      <c:valAx>
        <c:axId val="4177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Cj/Ca0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77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'eje5'!$D$11:$D$25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'eje5'!$E$11:$E$25</c:f>
              <c:numCache>
                <c:formatCode>General</c:formatCode>
                <c:ptCount val="15"/>
                <c:pt idx="0">
                  <c:v>1</c:v>
                </c:pt>
                <c:pt idx="1">
                  <c:v>0.79453360250333405</c:v>
                </c:pt>
                <c:pt idx="2">
                  <c:v>0.63128364550692595</c:v>
                </c:pt>
                <c:pt idx="3">
                  <c:v>0.50157606906605556</c:v>
                </c:pt>
                <c:pt idx="4">
                  <c:v>0.39851904108451419</c:v>
                </c:pt>
                <c:pt idx="5">
                  <c:v>0.31663676937905316</c:v>
                </c:pt>
                <c:pt idx="6">
                  <c:v>0.25157855305975652</c:v>
                </c:pt>
                <c:pt idx="7">
                  <c:v>0.19988761407514444</c:v>
                </c:pt>
                <c:pt idx="8">
                  <c:v>0.15881742610692071</c:v>
                </c:pt>
                <c:pt idx="9">
                  <c:v>0.12618578170503877</c:v>
                </c:pt>
                <c:pt idx="10">
                  <c:v>0.10025884372280371</c:v>
                </c:pt>
                <c:pt idx="11">
                  <c:v>7.9659020285898038E-2</c:v>
                </c:pt>
                <c:pt idx="12">
                  <c:v>6.3291768359640732E-2</c:v>
                </c:pt>
                <c:pt idx="13">
                  <c:v>5.0287436723591865E-2</c:v>
                </c:pt>
                <c:pt idx="14">
                  <c:v>3.9955058260653882E-2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01-4FAE-8E73-65E4D605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1152"/>
        <c:axId val="411394032"/>
      </c:scatterChart>
      <c:valAx>
        <c:axId val="4113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Vol(lt)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1394032"/>
        <c:crosses val="autoZero"/>
        <c:crossBetween val="midCat"/>
      </c:valAx>
      <c:valAx>
        <c:axId val="411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Ca/Ca0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13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'eje5'!$B$11:$B$25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'eje5'!$E$11:$E$25</c:f>
              <c:numCache>
                <c:formatCode>General</c:formatCode>
                <c:ptCount val="15"/>
                <c:pt idx="0">
                  <c:v>1</c:v>
                </c:pt>
                <c:pt idx="1">
                  <c:v>0.79453360250333405</c:v>
                </c:pt>
                <c:pt idx="2">
                  <c:v>0.63128364550692595</c:v>
                </c:pt>
                <c:pt idx="3">
                  <c:v>0.50157606906605556</c:v>
                </c:pt>
                <c:pt idx="4">
                  <c:v>0.39851904108451419</c:v>
                </c:pt>
                <c:pt idx="5">
                  <c:v>0.31663676937905316</c:v>
                </c:pt>
                <c:pt idx="6">
                  <c:v>0.25157855305975652</c:v>
                </c:pt>
                <c:pt idx="7">
                  <c:v>0.19988761407514444</c:v>
                </c:pt>
                <c:pt idx="8">
                  <c:v>0.15881742610692071</c:v>
                </c:pt>
                <c:pt idx="9">
                  <c:v>0.12618578170503877</c:v>
                </c:pt>
                <c:pt idx="10">
                  <c:v>0.10025884372280371</c:v>
                </c:pt>
                <c:pt idx="11">
                  <c:v>7.9659020285898038E-2</c:v>
                </c:pt>
                <c:pt idx="12">
                  <c:v>6.3291768359640732E-2</c:v>
                </c:pt>
                <c:pt idx="13">
                  <c:v>5.0287436723591865E-2</c:v>
                </c:pt>
                <c:pt idx="14">
                  <c:v>3.9955058260653882E-2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C-4B6F-AB7F-DAF0F1FF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1152"/>
        <c:axId val="411394032"/>
      </c:scatterChart>
      <c:valAx>
        <c:axId val="4113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1394032"/>
        <c:crosses val="autoZero"/>
        <c:crossBetween val="midCat"/>
      </c:valAx>
      <c:valAx>
        <c:axId val="411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Ca/Ca0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139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33337</xdr:rowOff>
    </xdr:from>
    <xdr:to>
      <xdr:col>13</xdr:col>
      <xdr:colOff>361950</xdr:colOff>
      <xdr:row>16</xdr:row>
      <xdr:rowOff>109537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590551</xdr:colOff>
      <xdr:row>0</xdr:row>
      <xdr:rowOff>124754</xdr:rowOff>
    </xdr:from>
    <xdr:to>
      <xdr:col>4</xdr:col>
      <xdr:colOff>419101</xdr:colOff>
      <xdr:row>2</xdr:row>
      <xdr:rowOff>57221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1" y="124754"/>
          <a:ext cx="1352550" cy="313467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7</xdr:row>
      <xdr:rowOff>171450</xdr:rowOff>
    </xdr:from>
    <xdr:to>
      <xdr:col>1</xdr:col>
      <xdr:colOff>740552</xdr:colOff>
      <xdr:row>10</xdr:row>
      <xdr:rowOff>114388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504950"/>
          <a:ext cx="1169177" cy="514438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18</xdr:row>
      <xdr:rowOff>72689</xdr:rowOff>
    </xdr:from>
    <xdr:to>
      <xdr:col>4</xdr:col>
      <xdr:colOff>333375</xdr:colOff>
      <xdr:row>20</xdr:row>
      <xdr:rowOff>9578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3501689"/>
          <a:ext cx="1295400" cy="317889"/>
        </a:xfrm>
        <a:prstGeom prst="rect">
          <a:avLst/>
        </a:prstGeom>
      </xdr:spPr>
    </xdr:pic>
    <xdr:clientData/>
  </xdr:twoCellAnchor>
  <xdr:twoCellAnchor>
    <xdr:from>
      <xdr:col>7</xdr:col>
      <xdr:colOff>485775</xdr:colOff>
      <xdr:row>19</xdr:row>
      <xdr:rowOff>42862</xdr:rowOff>
    </xdr:from>
    <xdr:to>
      <xdr:col>13</xdr:col>
      <xdr:colOff>485775</xdr:colOff>
      <xdr:row>33</xdr:row>
      <xdr:rowOff>119062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42862</xdr:rowOff>
    </xdr:from>
    <xdr:to>
      <xdr:col>12</xdr:col>
      <xdr:colOff>419100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67DA0A-A358-9D5A-762B-EB8BD37F3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2</xdr:row>
      <xdr:rowOff>152400</xdr:rowOff>
    </xdr:from>
    <xdr:to>
      <xdr:col>9</xdr:col>
      <xdr:colOff>523875</xdr:colOff>
      <xdr:row>5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DE995-6B3A-1A6B-0A1F-EB1362BCB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533400"/>
          <a:ext cx="1028700" cy="4953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2</xdr:row>
      <xdr:rowOff>154000</xdr:rowOff>
    </xdr:from>
    <xdr:to>
      <xdr:col>11</xdr:col>
      <xdr:colOff>695325</xdr:colOff>
      <xdr:row>6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54E9AB-5AC4-614E-7C68-78D20C43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6675" y="535000"/>
          <a:ext cx="1390650" cy="684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4</xdr:row>
      <xdr:rowOff>52387</xdr:rowOff>
    </xdr:from>
    <xdr:to>
      <xdr:col>14</xdr:col>
      <xdr:colOff>514350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556E1-DE24-4659-BBE5-DB4494A8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21</xdr:row>
      <xdr:rowOff>38100</xdr:rowOff>
    </xdr:from>
    <xdr:to>
      <xdr:col>12</xdr:col>
      <xdr:colOff>161925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8B34DF-638F-4287-94F2-B050E48CB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17</xdr:row>
      <xdr:rowOff>114300</xdr:rowOff>
    </xdr:from>
    <xdr:to>
      <xdr:col>13</xdr:col>
      <xdr:colOff>304800</xdr:colOff>
      <xdr:row>24</xdr:row>
      <xdr:rowOff>123826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62E334-747F-3062-4E9E-1EBCC8F4E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42" t="52741" r="45747" b="28897"/>
        <a:stretch/>
      </xdr:blipFill>
      <xdr:spPr>
        <a:xfrm>
          <a:off x="8496300" y="3352800"/>
          <a:ext cx="1809750" cy="1343026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21</xdr:row>
      <xdr:rowOff>114300</xdr:rowOff>
    </xdr:from>
    <xdr:to>
      <xdr:col>15</xdr:col>
      <xdr:colOff>457020</xdr:colOff>
      <xdr:row>23</xdr:row>
      <xdr:rowOff>123776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195EAC-4331-51FB-9E50-7D110960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5" y="4114800"/>
          <a:ext cx="1438095" cy="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9</xdr:row>
      <xdr:rowOff>104775</xdr:rowOff>
    </xdr:from>
    <xdr:to>
      <xdr:col>13</xdr:col>
      <xdr:colOff>695009</xdr:colOff>
      <xdr:row>12</xdr:row>
      <xdr:rowOff>180894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0B7A6-7A21-1D7F-1D55-9061863D1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819275"/>
          <a:ext cx="2523809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11F4-E0BE-4653-B09C-279BF4045816}">
  <dimension ref="A2:C7"/>
  <sheetViews>
    <sheetView workbookViewId="0">
      <selection activeCell="A8" sqref="A8"/>
    </sheetView>
  </sheetViews>
  <sheetFormatPr baseColWidth="10" defaultRowHeight="15" x14ac:dyDescent="0.25"/>
  <sheetData>
    <row r="2" spans="1:3" x14ac:dyDescent="0.25">
      <c r="A2" t="s">
        <v>22</v>
      </c>
    </row>
    <row r="3" spans="1:3" x14ac:dyDescent="0.25">
      <c r="A3" t="s">
        <v>32</v>
      </c>
    </row>
    <row r="4" spans="1:3" x14ac:dyDescent="0.25">
      <c r="A4" t="s">
        <v>62</v>
      </c>
      <c r="B4">
        <v>5</v>
      </c>
      <c r="C4" t="s">
        <v>63</v>
      </c>
    </row>
    <row r="5" spans="1:3" x14ac:dyDescent="0.25">
      <c r="A5" t="s">
        <v>35</v>
      </c>
      <c r="B5">
        <v>10</v>
      </c>
      <c r="C5" t="s">
        <v>64</v>
      </c>
    </row>
    <row r="6" spans="1:3" x14ac:dyDescent="0.25">
      <c r="A6" t="s">
        <v>95</v>
      </c>
    </row>
    <row r="7" spans="1:3" x14ac:dyDescent="0.25">
      <c r="A7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F2BB-8BBA-4780-8252-DC51292FFF10}">
  <dimension ref="A1:L21"/>
  <sheetViews>
    <sheetView workbookViewId="0">
      <selection activeCell="I13" sqref="I13"/>
    </sheetView>
  </sheetViews>
  <sheetFormatPr baseColWidth="10" defaultRowHeight="15" x14ac:dyDescent="0.25"/>
  <sheetData>
    <row r="1" spans="1:12" x14ac:dyDescent="0.25">
      <c r="A1" t="s">
        <v>18</v>
      </c>
    </row>
    <row r="2" spans="1:12" x14ac:dyDescent="0.25">
      <c r="A2" t="s">
        <v>101</v>
      </c>
      <c r="D2">
        <f>D3*1000</f>
        <v>101300</v>
      </c>
      <c r="E2" t="s">
        <v>128</v>
      </c>
    </row>
    <row r="3" spans="1:12" x14ac:dyDescent="0.25">
      <c r="A3" t="s">
        <v>112</v>
      </c>
      <c r="B3">
        <v>1</v>
      </c>
      <c r="C3" t="s">
        <v>73</v>
      </c>
      <c r="D3">
        <f>B3*101.3</f>
        <v>101.3</v>
      </c>
      <c r="E3" t="s">
        <v>127</v>
      </c>
      <c r="H3" t="s">
        <v>26</v>
      </c>
      <c r="I3">
        <f>B11*D2/(B21*D4)</f>
        <v>7.2417637447853762</v>
      </c>
      <c r="J3" t="s">
        <v>136</v>
      </c>
      <c r="K3">
        <f>I3*(1/1000)</f>
        <v>7.2417637447853766E-3</v>
      </c>
      <c r="L3" t="s">
        <v>20</v>
      </c>
    </row>
    <row r="4" spans="1:12" x14ac:dyDescent="0.25">
      <c r="A4" t="s">
        <v>111</v>
      </c>
      <c r="B4">
        <v>400</v>
      </c>
      <c r="C4" t="s">
        <v>71</v>
      </c>
      <c r="D4">
        <f>B4+273</f>
        <v>673</v>
      </c>
      <c r="E4" t="s">
        <v>4</v>
      </c>
      <c r="H4" t="s">
        <v>129</v>
      </c>
      <c r="I4">
        <f>B12*$D$2/($B$21*$D$4)</f>
        <v>7.2417637447853762</v>
      </c>
      <c r="J4" t="s">
        <v>136</v>
      </c>
    </row>
    <row r="5" spans="1:12" x14ac:dyDescent="0.25">
      <c r="A5" t="s">
        <v>4</v>
      </c>
      <c r="B5">
        <v>2</v>
      </c>
      <c r="C5" t="s">
        <v>97</v>
      </c>
      <c r="H5" t="s">
        <v>130</v>
      </c>
      <c r="I5">
        <f t="shared" ref="I5:I6" si="0">B13*$D$2/($B$21*$D$4)</f>
        <v>1.9914850298159783</v>
      </c>
      <c r="J5" t="s">
        <v>136</v>
      </c>
    </row>
    <row r="6" spans="1:12" x14ac:dyDescent="0.25">
      <c r="A6" t="s">
        <v>98</v>
      </c>
      <c r="H6" t="s">
        <v>131</v>
      </c>
      <c r="I6">
        <f t="shared" si="0"/>
        <v>1.6293968425767096</v>
      </c>
      <c r="J6" t="s">
        <v>136</v>
      </c>
    </row>
    <row r="7" spans="1:12" x14ac:dyDescent="0.25">
      <c r="A7" t="s">
        <v>99</v>
      </c>
    </row>
    <row r="8" spans="1:12" x14ac:dyDescent="0.25">
      <c r="A8" t="s">
        <v>100</v>
      </c>
      <c r="H8" t="s">
        <v>134</v>
      </c>
      <c r="I8">
        <v>0.58599999999999997</v>
      </c>
    </row>
    <row r="9" spans="1:12" x14ac:dyDescent="0.25">
      <c r="A9" t="s">
        <v>102</v>
      </c>
      <c r="B9">
        <f>1-2</f>
        <v>-1</v>
      </c>
      <c r="H9" t="s">
        <v>135</v>
      </c>
      <c r="I9">
        <f>B16</f>
        <v>0.45</v>
      </c>
    </row>
    <row r="10" spans="1:12" x14ac:dyDescent="0.25">
      <c r="H10" t="s">
        <v>133</v>
      </c>
      <c r="I10">
        <f>(B13+(B11*I8))/(1-(B11*I8))</f>
        <v>0.44984326018808773</v>
      </c>
    </row>
    <row r="11" spans="1:12" x14ac:dyDescent="0.25">
      <c r="A11" t="s">
        <v>119</v>
      </c>
      <c r="B11">
        <v>0.4</v>
      </c>
    </row>
    <row r="12" spans="1:12" x14ac:dyDescent="0.25">
      <c r="A12" t="s">
        <v>120</v>
      </c>
      <c r="B12">
        <v>0.4</v>
      </c>
      <c r="H12" t="s">
        <v>114</v>
      </c>
      <c r="I12">
        <v>1.202</v>
      </c>
    </row>
    <row r="13" spans="1:12" x14ac:dyDescent="0.25">
      <c r="A13" t="s">
        <v>121</v>
      </c>
      <c r="B13">
        <v>0.11</v>
      </c>
      <c r="H13" t="s">
        <v>5</v>
      </c>
      <c r="I13">
        <f>I12/(B5*K3)</f>
        <v>82.990832230997029</v>
      </c>
      <c r="J13" t="s">
        <v>13</v>
      </c>
    </row>
    <row r="14" spans="1:12" x14ac:dyDescent="0.25">
      <c r="A14" t="s">
        <v>122</v>
      </c>
      <c r="B14">
        <v>0.09</v>
      </c>
    </row>
    <row r="16" spans="1:12" x14ac:dyDescent="0.25">
      <c r="A16" t="s">
        <v>132</v>
      </c>
      <c r="B16">
        <v>0.45</v>
      </c>
    </row>
    <row r="17" spans="1:5" x14ac:dyDescent="0.25">
      <c r="A17" t="s">
        <v>67</v>
      </c>
      <c r="B17">
        <v>5000</v>
      </c>
      <c r="C17" t="s">
        <v>31</v>
      </c>
      <c r="D17">
        <f>B17/1000</f>
        <v>5</v>
      </c>
      <c r="E17" t="s">
        <v>38</v>
      </c>
    </row>
    <row r="19" spans="1:5" x14ac:dyDescent="0.25">
      <c r="A19" t="s">
        <v>123</v>
      </c>
      <c r="B19">
        <v>8.2000000000000003E-2</v>
      </c>
      <c r="C19" t="s">
        <v>124</v>
      </c>
    </row>
    <row r="20" spans="1:5" x14ac:dyDescent="0.25">
      <c r="B20">
        <v>8.2000000000000003E-2</v>
      </c>
      <c r="C20" t="s">
        <v>125</v>
      </c>
    </row>
    <row r="21" spans="1:5" x14ac:dyDescent="0.25">
      <c r="B21">
        <f>8.314</f>
        <v>8.3140000000000001</v>
      </c>
      <c r="C21" t="s">
        <v>126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1"/>
  <sheetViews>
    <sheetView topLeftCell="A13" workbookViewId="0">
      <selection activeCell="O27" sqref="O27"/>
    </sheetView>
  </sheetViews>
  <sheetFormatPr baseColWidth="10" defaultRowHeight="15" x14ac:dyDescent="0.25"/>
  <sheetData>
    <row r="2" spans="1:6" x14ac:dyDescent="0.25">
      <c r="A2" s="6" t="s">
        <v>0</v>
      </c>
      <c r="B2" s="6"/>
      <c r="C2" s="6"/>
    </row>
    <row r="4" spans="1:6" x14ac:dyDescent="0.25">
      <c r="A4" s="1" t="s">
        <v>1</v>
      </c>
      <c r="B4" s="1">
        <v>0.8</v>
      </c>
      <c r="D4" s="1" t="s">
        <v>5</v>
      </c>
      <c r="E4" s="1" t="s">
        <v>3</v>
      </c>
      <c r="F4" s="1" t="s">
        <v>6</v>
      </c>
    </row>
    <row r="5" spans="1:6" x14ac:dyDescent="0.25">
      <c r="A5" s="1" t="s">
        <v>2</v>
      </c>
      <c r="B5" s="1">
        <v>2</v>
      </c>
      <c r="D5" s="1">
        <v>0</v>
      </c>
      <c r="E5" s="1">
        <f>$B$5*EXP(-$B$6*D5)</f>
        <v>2</v>
      </c>
      <c r="F5" s="1">
        <f>$B$6*D5</f>
        <v>0</v>
      </c>
    </row>
    <row r="6" spans="1:6" x14ac:dyDescent="0.25">
      <c r="A6" s="1" t="s">
        <v>4</v>
      </c>
      <c r="B6" s="1">
        <v>0.01</v>
      </c>
      <c r="D6" s="1">
        <v>50</v>
      </c>
      <c r="E6" s="1">
        <f t="shared" ref="E6:E13" si="0">$B$5*EXP(-$B$6*D6)</f>
        <v>1.2130613194252668</v>
      </c>
      <c r="F6" s="1">
        <f t="shared" ref="F6:F13" si="1">$B$6*D6</f>
        <v>0.5</v>
      </c>
    </row>
    <row r="7" spans="1:6" x14ac:dyDescent="0.25">
      <c r="A7" s="1"/>
      <c r="B7" s="1"/>
      <c r="D7" s="1">
        <v>100</v>
      </c>
      <c r="E7" s="1">
        <f t="shared" si="0"/>
        <v>0.73575888234288467</v>
      </c>
      <c r="F7" s="1">
        <f t="shared" si="1"/>
        <v>1</v>
      </c>
    </row>
    <row r="8" spans="1:6" x14ac:dyDescent="0.25">
      <c r="A8" s="1"/>
      <c r="B8" s="1"/>
      <c r="D8" s="1">
        <v>150</v>
      </c>
      <c r="E8" s="1">
        <f t="shared" si="0"/>
        <v>0.44626032029685964</v>
      </c>
      <c r="F8" s="1">
        <f t="shared" si="1"/>
        <v>1.5</v>
      </c>
    </row>
    <row r="9" spans="1:6" x14ac:dyDescent="0.25">
      <c r="A9" s="1"/>
      <c r="B9" s="1"/>
      <c r="D9" s="1">
        <v>200</v>
      </c>
      <c r="E9" s="1">
        <f t="shared" si="0"/>
        <v>0.2706705664732254</v>
      </c>
      <c r="F9" s="1">
        <f t="shared" si="1"/>
        <v>2</v>
      </c>
    </row>
    <row r="10" spans="1:6" x14ac:dyDescent="0.25">
      <c r="A10" s="1"/>
      <c r="B10" s="1"/>
      <c r="D10" s="1">
        <v>250</v>
      </c>
      <c r="E10" s="1">
        <f t="shared" si="0"/>
        <v>0.1641699972477976</v>
      </c>
      <c r="F10" s="1">
        <f t="shared" si="1"/>
        <v>2.5</v>
      </c>
    </row>
    <row r="11" spans="1:6" x14ac:dyDescent="0.25">
      <c r="A11" s="1"/>
      <c r="B11" s="1"/>
      <c r="D11" s="1">
        <v>300</v>
      </c>
      <c r="E11" s="1">
        <f t="shared" si="0"/>
        <v>9.9574136735727889E-2</v>
      </c>
      <c r="F11" s="1">
        <f t="shared" si="1"/>
        <v>3</v>
      </c>
    </row>
    <row r="12" spans="1:6" x14ac:dyDescent="0.25">
      <c r="A12" s="1"/>
      <c r="B12" s="1"/>
      <c r="D12" s="1">
        <v>350</v>
      </c>
      <c r="E12" s="1">
        <f t="shared" si="0"/>
        <v>6.0394766844637002E-2</v>
      </c>
      <c r="F12" s="1">
        <f t="shared" si="1"/>
        <v>3.5</v>
      </c>
    </row>
    <row r="13" spans="1:6" x14ac:dyDescent="0.25">
      <c r="A13" s="1"/>
      <c r="B13" s="1"/>
      <c r="D13" s="1">
        <v>400</v>
      </c>
      <c r="E13" s="1">
        <f t="shared" si="0"/>
        <v>3.6631277777468357E-2</v>
      </c>
      <c r="F13" s="1">
        <f t="shared" si="1"/>
        <v>4</v>
      </c>
    </row>
    <row r="20" spans="1:7" x14ac:dyDescent="0.25">
      <c r="A20" s="6" t="s">
        <v>7</v>
      </c>
      <c r="B20" s="6"/>
      <c r="C20" s="6"/>
    </row>
    <row r="22" spans="1:7" x14ac:dyDescent="0.25">
      <c r="A22" t="s">
        <v>1</v>
      </c>
      <c r="B22">
        <v>0.3</v>
      </c>
      <c r="D22" s="2" t="s">
        <v>5</v>
      </c>
      <c r="E22" s="2" t="s">
        <v>9</v>
      </c>
      <c r="F22" s="2" t="s">
        <v>3</v>
      </c>
      <c r="G22" s="2" t="s">
        <v>8</v>
      </c>
    </row>
    <row r="23" spans="1:7" x14ac:dyDescent="0.25">
      <c r="A23" t="s">
        <v>2</v>
      </c>
      <c r="B23">
        <v>2</v>
      </c>
      <c r="D23" s="2">
        <v>0</v>
      </c>
      <c r="E23" s="2">
        <f>1/$B$23+$B$24*D23</f>
        <v>0.5</v>
      </c>
      <c r="F23" s="2">
        <f>1/E23</f>
        <v>2</v>
      </c>
      <c r="G23" s="2">
        <f>D23*$B$24</f>
        <v>0</v>
      </c>
    </row>
    <row r="24" spans="1:7" x14ac:dyDescent="0.25">
      <c r="A24" t="s">
        <v>4</v>
      </c>
      <c r="B24">
        <v>0.01</v>
      </c>
      <c r="D24" s="2">
        <v>50</v>
      </c>
      <c r="E24" s="2">
        <f t="shared" ref="E24:E31" si="2">1/$B$23+$B$24*D24</f>
        <v>1</v>
      </c>
      <c r="F24" s="2">
        <f t="shared" ref="F24:F31" si="3">1/E24</f>
        <v>1</v>
      </c>
      <c r="G24" s="2">
        <f t="shared" ref="G24:G31" si="4">D24*$B$24</f>
        <v>0.5</v>
      </c>
    </row>
    <row r="25" spans="1:7" x14ac:dyDescent="0.25">
      <c r="D25" s="2">
        <v>100</v>
      </c>
      <c r="E25" s="2">
        <f t="shared" si="2"/>
        <v>1.5</v>
      </c>
      <c r="F25" s="2">
        <f t="shared" si="3"/>
        <v>0.66666666666666663</v>
      </c>
      <c r="G25" s="2">
        <f t="shared" si="4"/>
        <v>1</v>
      </c>
    </row>
    <row r="26" spans="1:7" x14ac:dyDescent="0.25">
      <c r="D26" s="2">
        <v>150</v>
      </c>
      <c r="E26" s="2">
        <f t="shared" si="2"/>
        <v>2</v>
      </c>
      <c r="F26" s="2">
        <f t="shared" si="3"/>
        <v>0.5</v>
      </c>
      <c r="G26" s="2">
        <f t="shared" si="4"/>
        <v>1.5</v>
      </c>
    </row>
    <row r="27" spans="1:7" x14ac:dyDescent="0.25">
      <c r="D27" s="2">
        <v>200</v>
      </c>
      <c r="E27" s="2">
        <f t="shared" si="2"/>
        <v>2.5</v>
      </c>
      <c r="F27" s="2">
        <f t="shared" si="3"/>
        <v>0.4</v>
      </c>
      <c r="G27" s="2">
        <f t="shared" si="4"/>
        <v>2</v>
      </c>
    </row>
    <row r="28" spans="1:7" x14ac:dyDescent="0.25">
      <c r="D28" s="2">
        <v>250</v>
      </c>
      <c r="E28" s="2">
        <f t="shared" si="2"/>
        <v>3</v>
      </c>
      <c r="F28" s="2">
        <f t="shared" si="3"/>
        <v>0.33333333333333331</v>
      </c>
      <c r="G28" s="2">
        <f t="shared" si="4"/>
        <v>2.5</v>
      </c>
    </row>
    <row r="29" spans="1:7" x14ac:dyDescent="0.25">
      <c r="D29" s="2">
        <v>300</v>
      </c>
      <c r="E29" s="2">
        <f t="shared" si="2"/>
        <v>3.5</v>
      </c>
      <c r="F29" s="2">
        <f t="shared" si="3"/>
        <v>0.2857142857142857</v>
      </c>
      <c r="G29" s="2">
        <f t="shared" si="4"/>
        <v>3</v>
      </c>
    </row>
    <row r="30" spans="1:7" x14ac:dyDescent="0.25">
      <c r="D30" s="2">
        <v>350</v>
      </c>
      <c r="E30" s="2">
        <f t="shared" si="2"/>
        <v>4</v>
      </c>
      <c r="F30" s="2">
        <f t="shared" si="3"/>
        <v>0.25</v>
      </c>
      <c r="G30" s="2">
        <f t="shared" si="4"/>
        <v>3.5</v>
      </c>
    </row>
    <row r="31" spans="1:7" x14ac:dyDescent="0.25">
      <c r="D31" s="2">
        <v>400</v>
      </c>
      <c r="E31" s="2">
        <f t="shared" si="2"/>
        <v>4.5</v>
      </c>
      <c r="F31" s="2">
        <f t="shared" si="3"/>
        <v>0.22222222222222221</v>
      </c>
      <c r="G31" s="2">
        <f t="shared" si="4"/>
        <v>4</v>
      </c>
    </row>
  </sheetData>
  <mergeCells count="2">
    <mergeCell ref="A2:C2"/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>
      <selection activeCell="F5" sqref="F5"/>
    </sheetView>
  </sheetViews>
  <sheetFormatPr baseColWidth="10" defaultRowHeight="15" x14ac:dyDescent="0.25"/>
  <sheetData>
    <row r="1" spans="1:6" x14ac:dyDescent="0.25">
      <c r="A1" t="s">
        <v>18</v>
      </c>
      <c r="D1" t="s">
        <v>21</v>
      </c>
    </row>
    <row r="2" spans="1:6" x14ac:dyDescent="0.25">
      <c r="A2" t="s">
        <v>4</v>
      </c>
      <c r="B2">
        <v>0.01</v>
      </c>
      <c r="C2" t="s">
        <v>19</v>
      </c>
    </row>
    <row r="3" spans="1:6" x14ac:dyDescent="0.25">
      <c r="A3" t="s">
        <v>10</v>
      </c>
      <c r="B3">
        <v>2</v>
      </c>
      <c r="C3" t="s">
        <v>20</v>
      </c>
    </row>
    <row r="4" spans="1:6" x14ac:dyDescent="0.25">
      <c r="A4" t="s">
        <v>11</v>
      </c>
      <c r="B4">
        <v>0.2</v>
      </c>
      <c r="C4" t="s">
        <v>20</v>
      </c>
      <c r="F4" t="s">
        <v>29</v>
      </c>
    </row>
    <row r="7" spans="1:6" x14ac:dyDescent="0.25">
      <c r="A7" t="s">
        <v>5</v>
      </c>
      <c r="B7">
        <f>(1/B2)*LN(B3/B4)</f>
        <v>230.25850929940458</v>
      </c>
      <c r="C7" t="s">
        <v>12</v>
      </c>
    </row>
    <row r="8" spans="1:6" x14ac:dyDescent="0.25">
      <c r="A8" t="s">
        <v>5</v>
      </c>
      <c r="B8">
        <f>B7*(1/60)</f>
        <v>3.8376418216567427</v>
      </c>
      <c r="C8" t="s">
        <v>13</v>
      </c>
    </row>
    <row r="10" spans="1:6" x14ac:dyDescent="0.25">
      <c r="A10" t="s">
        <v>17</v>
      </c>
      <c r="B10">
        <f>(B3-B4)/B3</f>
        <v>0.9</v>
      </c>
    </row>
    <row r="12" spans="1:6" x14ac:dyDescent="0.25">
      <c r="A12" t="s">
        <v>5</v>
      </c>
      <c r="B12" t="s">
        <v>14</v>
      </c>
      <c r="C12" t="s">
        <v>10</v>
      </c>
      <c r="D12" t="s">
        <v>3</v>
      </c>
      <c r="E12" t="s">
        <v>15</v>
      </c>
      <c r="F12" t="s">
        <v>16</v>
      </c>
    </row>
    <row r="13" spans="1:6" x14ac:dyDescent="0.25">
      <c r="A13">
        <v>0</v>
      </c>
      <c r="B13">
        <f>A13*$B$2</f>
        <v>0</v>
      </c>
      <c r="C13">
        <f>$B$3*EXP(-B13)</f>
        <v>2</v>
      </c>
      <c r="D13">
        <f>$B$3-C13</f>
        <v>0</v>
      </c>
      <c r="E13">
        <f>C13/$B$3</f>
        <v>1</v>
      </c>
      <c r="F13">
        <f>D13/$B$3</f>
        <v>0</v>
      </c>
    </row>
    <row r="14" spans="1:6" x14ac:dyDescent="0.25">
      <c r="A14">
        <v>1</v>
      </c>
      <c r="B14">
        <f t="shared" ref="B14:B59" si="0">A14*$B$2</f>
        <v>0.01</v>
      </c>
      <c r="C14">
        <f t="shared" ref="C14:C59" si="1">$B$3*EXP(-B14)</f>
        <v>1.9800996674983362</v>
      </c>
      <c r="D14">
        <f t="shared" ref="D14:D59" si="2">$B$3-C14</f>
        <v>1.9900332501663787E-2</v>
      </c>
      <c r="E14">
        <f t="shared" ref="E14:E15" si="3">C14/$B$3</f>
        <v>0.99004983374916811</v>
      </c>
      <c r="F14">
        <f t="shared" ref="F14:F15" si="4">D14/$B$3</f>
        <v>9.9501662508318933E-3</v>
      </c>
    </row>
    <row r="15" spans="1:6" x14ac:dyDescent="0.25">
      <c r="A15">
        <v>2</v>
      </c>
      <c r="B15">
        <f t="shared" si="0"/>
        <v>0.02</v>
      </c>
      <c r="C15">
        <f t="shared" si="1"/>
        <v>1.9603973466135105</v>
      </c>
      <c r="D15">
        <f t="shared" si="2"/>
        <v>3.9602653386489495E-2</v>
      </c>
      <c r="E15">
        <f t="shared" si="3"/>
        <v>0.98019867330675525</v>
      </c>
      <c r="F15">
        <f t="shared" si="4"/>
        <v>1.9801326693244747E-2</v>
      </c>
    </row>
    <row r="16" spans="1:6" x14ac:dyDescent="0.25">
      <c r="A16">
        <v>3</v>
      </c>
      <c r="B16">
        <f t="shared" si="0"/>
        <v>0.03</v>
      </c>
      <c r="C16">
        <f t="shared" si="1"/>
        <v>1.9408910670970163</v>
      </c>
      <c r="D16">
        <f t="shared" si="2"/>
        <v>5.9108932902983691E-2</v>
      </c>
      <c r="E16">
        <f t="shared" ref="E16:E25" si="5">C16/$B$3</f>
        <v>0.97044553354850815</v>
      </c>
      <c r="F16">
        <f t="shared" ref="F16:F25" si="6">D16/$B$3</f>
        <v>2.9554466451491845E-2</v>
      </c>
    </row>
    <row r="17" spans="1:6" x14ac:dyDescent="0.25">
      <c r="A17">
        <v>4</v>
      </c>
      <c r="B17">
        <f t="shared" si="0"/>
        <v>0.04</v>
      </c>
      <c r="C17">
        <f t="shared" si="1"/>
        <v>1.9215788783046464</v>
      </c>
      <c r="D17">
        <f t="shared" si="2"/>
        <v>7.8421121695353646E-2</v>
      </c>
      <c r="E17">
        <f t="shared" si="5"/>
        <v>0.96078943915232318</v>
      </c>
      <c r="F17">
        <f t="shared" si="6"/>
        <v>3.9210560847676823E-2</v>
      </c>
    </row>
    <row r="18" spans="1:6" x14ac:dyDescent="0.25">
      <c r="A18">
        <v>5</v>
      </c>
      <c r="B18">
        <f t="shared" si="0"/>
        <v>0.05</v>
      </c>
      <c r="C18">
        <f t="shared" si="1"/>
        <v>1.902458849001428</v>
      </c>
      <c r="D18">
        <f t="shared" si="2"/>
        <v>9.7541150998571968E-2</v>
      </c>
      <c r="E18">
        <f t="shared" si="5"/>
        <v>0.95122942450071402</v>
      </c>
      <c r="F18">
        <f t="shared" si="6"/>
        <v>4.8770575499285984E-2</v>
      </c>
    </row>
    <row r="19" spans="1:6" x14ac:dyDescent="0.25">
      <c r="A19">
        <v>6</v>
      </c>
      <c r="B19">
        <f t="shared" si="0"/>
        <v>0.06</v>
      </c>
      <c r="C19">
        <f t="shared" si="1"/>
        <v>1.8835290671684974</v>
      </c>
      <c r="D19">
        <f t="shared" si="2"/>
        <v>0.11647093283150256</v>
      </c>
      <c r="E19">
        <f t="shared" si="5"/>
        <v>0.94176453358424872</v>
      </c>
      <c r="F19">
        <f t="shared" si="6"/>
        <v>5.823546641575128E-2</v>
      </c>
    </row>
    <row r="20" spans="1:6" x14ac:dyDescent="0.25">
      <c r="A20">
        <v>7</v>
      </c>
      <c r="B20">
        <f t="shared" si="0"/>
        <v>7.0000000000000007E-2</v>
      </c>
      <c r="C20">
        <f t="shared" si="1"/>
        <v>1.8647876398118965</v>
      </c>
      <c r="D20">
        <f t="shared" si="2"/>
        <v>0.13521236018810345</v>
      </c>
      <c r="E20">
        <f t="shared" si="5"/>
        <v>0.93239381990594827</v>
      </c>
      <c r="F20">
        <f t="shared" si="6"/>
        <v>6.7606180094051727E-2</v>
      </c>
    </row>
    <row r="21" spans="1:6" x14ac:dyDescent="0.25">
      <c r="A21">
        <v>8</v>
      </c>
      <c r="B21">
        <f t="shared" si="0"/>
        <v>0.08</v>
      </c>
      <c r="C21">
        <f t="shared" si="1"/>
        <v>1.8462326927732715</v>
      </c>
      <c r="D21">
        <f t="shared" si="2"/>
        <v>0.15376730722672849</v>
      </c>
      <c r="E21">
        <f t="shared" si="5"/>
        <v>0.92311634638663576</v>
      </c>
      <c r="F21">
        <f t="shared" si="6"/>
        <v>7.6883653613364245E-2</v>
      </c>
    </row>
    <row r="22" spans="1:6" x14ac:dyDescent="0.25">
      <c r="A22">
        <v>9</v>
      </c>
      <c r="B22">
        <f t="shared" si="0"/>
        <v>0.09</v>
      </c>
      <c r="C22">
        <f t="shared" si="1"/>
        <v>1.8278623705424564</v>
      </c>
      <c r="D22">
        <f t="shared" si="2"/>
        <v>0.17213762945754363</v>
      </c>
      <c r="E22">
        <f t="shared" si="5"/>
        <v>0.91393118527122819</v>
      </c>
      <c r="F22">
        <f t="shared" si="6"/>
        <v>8.6068814728771814E-2</v>
      </c>
    </row>
    <row r="23" spans="1:6" x14ac:dyDescent="0.25">
      <c r="A23">
        <v>10</v>
      </c>
      <c r="B23">
        <f t="shared" si="0"/>
        <v>0.1</v>
      </c>
      <c r="C23">
        <f t="shared" si="1"/>
        <v>1.809674836071919</v>
      </c>
      <c r="D23">
        <f t="shared" si="2"/>
        <v>0.19032516392808096</v>
      </c>
      <c r="E23">
        <f t="shared" si="5"/>
        <v>0.90483741803595952</v>
      </c>
      <c r="F23">
        <f t="shared" si="6"/>
        <v>9.5162581964040482E-2</v>
      </c>
    </row>
    <row r="24" spans="1:6" x14ac:dyDescent="0.25">
      <c r="A24">
        <v>15</v>
      </c>
      <c r="B24">
        <f t="shared" si="0"/>
        <v>0.15</v>
      </c>
      <c r="C24">
        <f t="shared" si="1"/>
        <v>1.7214159528501156</v>
      </c>
      <c r="D24">
        <f t="shared" si="2"/>
        <v>0.27858404714988438</v>
      </c>
      <c r="E24">
        <f t="shared" si="5"/>
        <v>0.86070797642505781</v>
      </c>
      <c r="F24">
        <f t="shared" si="6"/>
        <v>0.13929202357494219</v>
      </c>
    </row>
    <row r="25" spans="1:6" x14ac:dyDescent="0.25">
      <c r="A25">
        <v>20</v>
      </c>
      <c r="B25">
        <f t="shared" si="0"/>
        <v>0.2</v>
      </c>
      <c r="C25">
        <f t="shared" si="1"/>
        <v>1.6374615061559636</v>
      </c>
      <c r="D25">
        <f t="shared" si="2"/>
        <v>0.36253849384403636</v>
      </c>
      <c r="E25">
        <f t="shared" si="5"/>
        <v>0.81873075307798182</v>
      </c>
      <c r="F25">
        <f t="shared" si="6"/>
        <v>0.18126924692201818</v>
      </c>
    </row>
    <row r="26" spans="1:6" x14ac:dyDescent="0.25">
      <c r="A26">
        <v>25</v>
      </c>
      <c r="B26">
        <f t="shared" si="0"/>
        <v>0.25</v>
      </c>
      <c r="C26">
        <f t="shared" si="1"/>
        <v>1.5576015661428098</v>
      </c>
      <c r="D26">
        <f t="shared" si="2"/>
        <v>0.44239843385719024</v>
      </c>
      <c r="E26">
        <f t="shared" ref="E26:E47" si="7">C26/$B$3</f>
        <v>0.77880078307140488</v>
      </c>
      <c r="F26">
        <f t="shared" ref="F26:F47" si="8">D26/$B$3</f>
        <v>0.22119921692859512</v>
      </c>
    </row>
    <row r="27" spans="1:6" x14ac:dyDescent="0.25">
      <c r="A27">
        <v>30</v>
      </c>
      <c r="B27">
        <f t="shared" si="0"/>
        <v>0.3</v>
      </c>
      <c r="C27">
        <f t="shared" si="1"/>
        <v>1.4816364413634358</v>
      </c>
      <c r="D27">
        <f t="shared" si="2"/>
        <v>0.51836355863656425</v>
      </c>
      <c r="E27">
        <f t="shared" si="7"/>
        <v>0.74081822068171788</v>
      </c>
      <c r="F27">
        <f t="shared" si="8"/>
        <v>0.25918177931828212</v>
      </c>
    </row>
    <row r="28" spans="1:6" x14ac:dyDescent="0.25">
      <c r="A28">
        <v>35</v>
      </c>
      <c r="B28">
        <f t="shared" si="0"/>
        <v>0.35000000000000003</v>
      </c>
      <c r="C28">
        <f t="shared" si="1"/>
        <v>1.4093761794374269</v>
      </c>
      <c r="D28">
        <f t="shared" si="2"/>
        <v>0.59062382056257312</v>
      </c>
      <c r="E28">
        <f t="shared" si="7"/>
        <v>0.70468808971871344</v>
      </c>
      <c r="F28">
        <f t="shared" si="8"/>
        <v>0.29531191028128656</v>
      </c>
    </row>
    <row r="29" spans="1:6" x14ac:dyDescent="0.25">
      <c r="A29">
        <v>40</v>
      </c>
      <c r="B29">
        <f t="shared" si="0"/>
        <v>0.4</v>
      </c>
      <c r="C29">
        <f t="shared" si="1"/>
        <v>1.3406400920712787</v>
      </c>
      <c r="D29">
        <f t="shared" si="2"/>
        <v>0.65935990792872134</v>
      </c>
      <c r="E29">
        <f t="shared" si="7"/>
        <v>0.67032004603563933</v>
      </c>
      <c r="F29">
        <f t="shared" si="8"/>
        <v>0.32967995396436067</v>
      </c>
    </row>
    <row r="30" spans="1:6" x14ac:dyDescent="0.25">
      <c r="A30">
        <v>45</v>
      </c>
      <c r="B30">
        <f t="shared" si="0"/>
        <v>0.45</v>
      </c>
      <c r="C30">
        <f t="shared" si="1"/>
        <v>1.2752563032435467</v>
      </c>
      <c r="D30">
        <f t="shared" si="2"/>
        <v>0.72474369675645334</v>
      </c>
      <c r="E30">
        <f t="shared" si="7"/>
        <v>0.63762815162177333</v>
      </c>
      <c r="F30">
        <f t="shared" si="8"/>
        <v>0.36237184837822667</v>
      </c>
    </row>
    <row r="31" spans="1:6" x14ac:dyDescent="0.25">
      <c r="A31">
        <v>50</v>
      </c>
      <c r="B31">
        <f t="shared" si="0"/>
        <v>0.5</v>
      </c>
      <c r="C31">
        <f t="shared" si="1"/>
        <v>1.2130613194252668</v>
      </c>
      <c r="D31">
        <f t="shared" si="2"/>
        <v>0.78693868057473315</v>
      </c>
      <c r="E31">
        <f t="shared" si="7"/>
        <v>0.60653065971263342</v>
      </c>
      <c r="F31">
        <f t="shared" si="8"/>
        <v>0.39346934028736658</v>
      </c>
    </row>
    <row r="32" spans="1:6" x14ac:dyDescent="0.25">
      <c r="A32">
        <v>55</v>
      </c>
      <c r="B32">
        <f t="shared" si="0"/>
        <v>0.55000000000000004</v>
      </c>
      <c r="C32">
        <f t="shared" si="1"/>
        <v>1.1538996207609733</v>
      </c>
      <c r="D32">
        <f t="shared" si="2"/>
        <v>0.8461003792390267</v>
      </c>
      <c r="E32">
        <f t="shared" si="7"/>
        <v>0.57694981038048665</v>
      </c>
      <c r="F32">
        <f t="shared" si="8"/>
        <v>0.42305018961951335</v>
      </c>
    </row>
    <row r="33" spans="1:6" x14ac:dyDescent="0.25">
      <c r="A33">
        <v>60</v>
      </c>
      <c r="B33">
        <f t="shared" si="0"/>
        <v>0.6</v>
      </c>
      <c r="C33">
        <f t="shared" si="1"/>
        <v>1.0976232721880528</v>
      </c>
      <c r="D33">
        <f t="shared" si="2"/>
        <v>0.90237672781194722</v>
      </c>
      <c r="E33">
        <f t="shared" si="7"/>
        <v>0.54881163609402639</v>
      </c>
      <c r="F33">
        <f t="shared" si="8"/>
        <v>0.45118836390597361</v>
      </c>
    </row>
    <row r="34" spans="1:6" x14ac:dyDescent="0.25">
      <c r="A34">
        <v>65</v>
      </c>
      <c r="B34">
        <f t="shared" si="0"/>
        <v>0.65</v>
      </c>
      <c r="C34">
        <f t="shared" si="1"/>
        <v>1.0440915535220321</v>
      </c>
      <c r="D34">
        <f t="shared" si="2"/>
        <v>0.95590844647796791</v>
      </c>
      <c r="E34">
        <f t="shared" si="7"/>
        <v>0.52204577676101604</v>
      </c>
      <c r="F34">
        <f t="shared" si="8"/>
        <v>0.47795422323898396</v>
      </c>
    </row>
    <row r="35" spans="1:6" x14ac:dyDescent="0.25">
      <c r="A35">
        <v>70</v>
      </c>
      <c r="B35">
        <f t="shared" si="0"/>
        <v>0.70000000000000007</v>
      </c>
      <c r="C35">
        <f t="shared" si="1"/>
        <v>0.99317060758281894</v>
      </c>
      <c r="D35">
        <f t="shared" si="2"/>
        <v>1.0068293924171812</v>
      </c>
      <c r="E35">
        <f t="shared" si="7"/>
        <v>0.49658530379140947</v>
      </c>
      <c r="F35">
        <f t="shared" si="8"/>
        <v>0.50341469620859058</v>
      </c>
    </row>
    <row r="36" spans="1:6" x14ac:dyDescent="0.25">
      <c r="A36">
        <v>75</v>
      </c>
      <c r="B36">
        <f t="shared" si="0"/>
        <v>0.75</v>
      </c>
      <c r="C36">
        <f t="shared" si="1"/>
        <v>0.94473310548202938</v>
      </c>
      <c r="D36">
        <f t="shared" si="2"/>
        <v>1.0552668945179706</v>
      </c>
      <c r="E36">
        <f t="shared" si="7"/>
        <v>0.47236655274101469</v>
      </c>
      <c r="F36">
        <f t="shared" si="8"/>
        <v>0.52763344725898531</v>
      </c>
    </row>
    <row r="37" spans="1:6" x14ac:dyDescent="0.25">
      <c r="A37">
        <v>80</v>
      </c>
      <c r="B37">
        <f t="shared" si="0"/>
        <v>0.8</v>
      </c>
      <c r="C37">
        <f t="shared" si="1"/>
        <v>0.89865792823444313</v>
      </c>
      <c r="D37">
        <f t="shared" si="2"/>
        <v>1.1013420717655569</v>
      </c>
      <c r="E37">
        <f t="shared" si="7"/>
        <v>0.44932896411722156</v>
      </c>
      <c r="F37">
        <f t="shared" si="8"/>
        <v>0.55067103588277844</v>
      </c>
    </row>
    <row r="38" spans="1:6" x14ac:dyDescent="0.25">
      <c r="A38">
        <v>85</v>
      </c>
      <c r="B38">
        <f t="shared" si="0"/>
        <v>0.85</v>
      </c>
      <c r="C38">
        <f t="shared" si="1"/>
        <v>0.85482986389745341</v>
      </c>
      <c r="D38">
        <f t="shared" si="2"/>
        <v>1.1451701361025466</v>
      </c>
      <c r="E38">
        <f t="shared" si="7"/>
        <v>0.42741493194872671</v>
      </c>
      <c r="F38">
        <f t="shared" si="8"/>
        <v>0.57258506805127329</v>
      </c>
    </row>
    <row r="39" spans="1:6" x14ac:dyDescent="0.25">
      <c r="A39">
        <v>90</v>
      </c>
      <c r="B39">
        <f t="shared" si="0"/>
        <v>0.9</v>
      </c>
      <c r="C39">
        <f t="shared" si="1"/>
        <v>0.81313931948119822</v>
      </c>
      <c r="D39">
        <f t="shared" si="2"/>
        <v>1.1868606805188018</v>
      </c>
      <c r="E39">
        <f t="shared" si="7"/>
        <v>0.40656965974059911</v>
      </c>
      <c r="F39">
        <f t="shared" si="8"/>
        <v>0.59343034025940089</v>
      </c>
    </row>
    <row r="40" spans="1:6" x14ac:dyDescent="0.25">
      <c r="A40">
        <v>95</v>
      </c>
      <c r="B40">
        <f t="shared" si="0"/>
        <v>0.95000000000000007</v>
      </c>
      <c r="C40">
        <f t="shared" si="1"/>
        <v>0.77348204690900235</v>
      </c>
      <c r="D40">
        <f t="shared" si="2"/>
        <v>1.2265179530909975</v>
      </c>
      <c r="E40">
        <f t="shared" si="7"/>
        <v>0.38674102345450118</v>
      </c>
      <c r="F40">
        <f t="shared" si="8"/>
        <v>0.61325897654549877</v>
      </c>
    </row>
    <row r="41" spans="1:6" x14ac:dyDescent="0.25">
      <c r="A41">
        <v>100</v>
      </c>
      <c r="B41">
        <f t="shared" si="0"/>
        <v>1</v>
      </c>
      <c r="C41">
        <f t="shared" si="1"/>
        <v>0.73575888234288467</v>
      </c>
      <c r="D41">
        <f t="shared" si="2"/>
        <v>1.2642411176571153</v>
      </c>
      <c r="E41">
        <f t="shared" si="7"/>
        <v>0.36787944117144233</v>
      </c>
      <c r="F41">
        <f t="shared" si="8"/>
        <v>0.63212055882855767</v>
      </c>
    </row>
    <row r="42" spans="1:6" x14ac:dyDescent="0.25">
      <c r="A42">
        <v>150</v>
      </c>
      <c r="B42">
        <f t="shared" si="0"/>
        <v>1.5</v>
      </c>
      <c r="C42">
        <f t="shared" si="1"/>
        <v>0.44626032029685964</v>
      </c>
      <c r="D42">
        <f t="shared" si="2"/>
        <v>1.5537396797031404</v>
      </c>
      <c r="E42">
        <f t="shared" si="7"/>
        <v>0.22313016014842982</v>
      </c>
      <c r="F42">
        <f t="shared" si="8"/>
        <v>0.77686983985157021</v>
      </c>
    </row>
    <row r="43" spans="1:6" x14ac:dyDescent="0.25">
      <c r="A43" s="3">
        <v>200</v>
      </c>
      <c r="B43">
        <f t="shared" si="0"/>
        <v>2</v>
      </c>
      <c r="C43">
        <f t="shared" si="1"/>
        <v>0.2706705664732254</v>
      </c>
      <c r="D43">
        <f t="shared" si="2"/>
        <v>1.7293294335267746</v>
      </c>
      <c r="E43">
        <f t="shared" si="7"/>
        <v>0.1353352832366127</v>
      </c>
      <c r="F43">
        <f t="shared" si="8"/>
        <v>0.8646647167633873</v>
      </c>
    </row>
    <row r="44" spans="1:6" x14ac:dyDescent="0.25">
      <c r="A44" s="3">
        <v>250</v>
      </c>
      <c r="B44">
        <f t="shared" si="0"/>
        <v>2.5</v>
      </c>
      <c r="C44">
        <f t="shared" si="1"/>
        <v>0.1641699972477976</v>
      </c>
      <c r="D44">
        <f t="shared" si="2"/>
        <v>1.8358300027522023</v>
      </c>
      <c r="E44">
        <f t="shared" si="7"/>
        <v>8.20849986238988E-2</v>
      </c>
      <c r="F44">
        <f t="shared" si="8"/>
        <v>0.91791500137610116</v>
      </c>
    </row>
    <row r="45" spans="1:6" x14ac:dyDescent="0.25">
      <c r="A45">
        <v>300</v>
      </c>
      <c r="B45">
        <f t="shared" si="0"/>
        <v>3</v>
      </c>
      <c r="C45">
        <f t="shared" si="1"/>
        <v>9.9574136735727889E-2</v>
      </c>
      <c r="D45">
        <f t="shared" si="2"/>
        <v>1.9004258632642721</v>
      </c>
      <c r="E45">
        <f t="shared" si="7"/>
        <v>4.9787068367863944E-2</v>
      </c>
      <c r="F45">
        <f t="shared" si="8"/>
        <v>0.95021293163213605</v>
      </c>
    </row>
    <row r="46" spans="1:6" x14ac:dyDescent="0.25">
      <c r="A46">
        <v>350</v>
      </c>
      <c r="B46">
        <f t="shared" si="0"/>
        <v>3.5</v>
      </c>
      <c r="C46">
        <f t="shared" si="1"/>
        <v>6.0394766844637002E-2</v>
      </c>
      <c r="D46">
        <f t="shared" si="2"/>
        <v>1.939605233155363</v>
      </c>
      <c r="E46">
        <f t="shared" si="7"/>
        <v>3.0197383422318501E-2</v>
      </c>
      <c r="F46">
        <f t="shared" si="8"/>
        <v>0.96980261657768152</v>
      </c>
    </row>
    <row r="47" spans="1:6" x14ac:dyDescent="0.25">
      <c r="A47">
        <v>400</v>
      </c>
      <c r="B47">
        <f t="shared" si="0"/>
        <v>4</v>
      </c>
      <c r="C47">
        <f t="shared" si="1"/>
        <v>3.6631277777468357E-2</v>
      </c>
      <c r="D47">
        <f t="shared" si="2"/>
        <v>1.9633687222225316</v>
      </c>
      <c r="E47">
        <f t="shared" si="7"/>
        <v>1.8315638888734179E-2</v>
      </c>
      <c r="F47">
        <f t="shared" si="8"/>
        <v>0.98168436111126578</v>
      </c>
    </row>
    <row r="48" spans="1:6" x14ac:dyDescent="0.25">
      <c r="A48">
        <v>450</v>
      </c>
      <c r="B48">
        <f t="shared" si="0"/>
        <v>4.5</v>
      </c>
      <c r="C48">
        <f t="shared" si="1"/>
        <v>2.2217993076484612E-2</v>
      </c>
      <c r="D48">
        <f t="shared" si="2"/>
        <v>1.9777820069235155</v>
      </c>
      <c r="E48">
        <f t="shared" ref="E48:E59" si="9">C48/$B$3</f>
        <v>1.1108996538242306E-2</v>
      </c>
      <c r="F48">
        <f t="shared" ref="F48:F59" si="10">D48/$B$3</f>
        <v>0.98889100346175773</v>
      </c>
    </row>
    <row r="49" spans="1:6" x14ac:dyDescent="0.25">
      <c r="A49">
        <v>500</v>
      </c>
      <c r="B49">
        <f t="shared" si="0"/>
        <v>5</v>
      </c>
      <c r="C49">
        <f t="shared" si="1"/>
        <v>1.3475893998170934E-2</v>
      </c>
      <c r="D49">
        <f t="shared" si="2"/>
        <v>1.986524106001829</v>
      </c>
      <c r="E49">
        <f t="shared" si="9"/>
        <v>6.737946999085467E-3</v>
      </c>
      <c r="F49">
        <f t="shared" si="10"/>
        <v>0.99326205300091452</v>
      </c>
    </row>
    <row r="50" spans="1:6" x14ac:dyDescent="0.25">
      <c r="A50">
        <v>550</v>
      </c>
      <c r="B50">
        <f t="shared" si="0"/>
        <v>5.5</v>
      </c>
      <c r="C50">
        <f t="shared" si="1"/>
        <v>8.1735428769281332E-3</v>
      </c>
      <c r="D50">
        <f t="shared" si="2"/>
        <v>1.9918264571230719</v>
      </c>
      <c r="E50">
        <f t="shared" si="9"/>
        <v>4.0867714384640666E-3</v>
      </c>
      <c r="F50">
        <f t="shared" si="10"/>
        <v>0.99591322856153597</v>
      </c>
    </row>
    <row r="51" spans="1:6" x14ac:dyDescent="0.25">
      <c r="A51">
        <v>600</v>
      </c>
      <c r="B51">
        <f t="shared" si="0"/>
        <v>6</v>
      </c>
      <c r="C51">
        <f t="shared" si="1"/>
        <v>4.957504353332717E-3</v>
      </c>
      <c r="D51">
        <f t="shared" si="2"/>
        <v>1.9950424956466672</v>
      </c>
      <c r="E51">
        <f t="shared" si="9"/>
        <v>2.4787521766663585E-3</v>
      </c>
      <c r="F51">
        <f t="shared" si="10"/>
        <v>0.99752124782333362</v>
      </c>
    </row>
    <row r="52" spans="1:6" x14ac:dyDescent="0.25">
      <c r="A52">
        <v>650</v>
      </c>
      <c r="B52">
        <f t="shared" si="0"/>
        <v>6.5</v>
      </c>
      <c r="C52">
        <f t="shared" si="1"/>
        <v>3.0068783859551447E-3</v>
      </c>
      <c r="D52">
        <f t="shared" si="2"/>
        <v>1.9969931216140449</v>
      </c>
      <c r="E52">
        <f t="shared" si="9"/>
        <v>1.5034391929775724E-3</v>
      </c>
      <c r="F52">
        <f t="shared" si="10"/>
        <v>0.99849656080702243</v>
      </c>
    </row>
    <row r="53" spans="1:6" x14ac:dyDescent="0.25">
      <c r="A53">
        <v>700</v>
      </c>
      <c r="B53">
        <f t="shared" si="0"/>
        <v>7</v>
      </c>
      <c r="C53">
        <f t="shared" si="1"/>
        <v>1.8237639311090325E-3</v>
      </c>
      <c r="D53">
        <f t="shared" si="2"/>
        <v>1.9981762360688911</v>
      </c>
      <c r="E53">
        <f t="shared" si="9"/>
        <v>9.1188196555451624E-4</v>
      </c>
      <c r="F53">
        <f t="shared" si="10"/>
        <v>0.99908811803444553</v>
      </c>
    </row>
    <row r="54" spans="1:6" x14ac:dyDescent="0.25">
      <c r="A54">
        <v>750</v>
      </c>
      <c r="B54">
        <f t="shared" si="0"/>
        <v>7.5</v>
      </c>
      <c r="C54">
        <f t="shared" si="1"/>
        <v>1.1061687402956673E-3</v>
      </c>
      <c r="D54">
        <f t="shared" si="2"/>
        <v>1.9988938312597044</v>
      </c>
      <c r="E54">
        <f t="shared" si="9"/>
        <v>5.5308437014783363E-4</v>
      </c>
      <c r="F54">
        <f t="shared" si="10"/>
        <v>0.99944691562985222</v>
      </c>
    </row>
    <row r="55" spans="1:6" x14ac:dyDescent="0.25">
      <c r="A55">
        <v>800</v>
      </c>
      <c r="B55">
        <f t="shared" si="0"/>
        <v>8</v>
      </c>
      <c r="C55">
        <f t="shared" si="1"/>
        <v>6.7092525580502371E-4</v>
      </c>
      <c r="D55">
        <f t="shared" si="2"/>
        <v>1.999329074744195</v>
      </c>
      <c r="E55">
        <f t="shared" si="9"/>
        <v>3.3546262790251185E-4</v>
      </c>
      <c r="F55">
        <f t="shared" si="10"/>
        <v>0.99966453737209748</v>
      </c>
    </row>
    <row r="56" spans="1:6" x14ac:dyDescent="0.25">
      <c r="A56">
        <v>850</v>
      </c>
      <c r="B56">
        <f t="shared" si="0"/>
        <v>8.5</v>
      </c>
      <c r="C56">
        <f t="shared" si="1"/>
        <v>4.0693673802128834E-4</v>
      </c>
      <c r="D56">
        <f t="shared" si="2"/>
        <v>1.9995930632619787</v>
      </c>
      <c r="E56">
        <f t="shared" si="9"/>
        <v>2.0346836901064417E-4</v>
      </c>
      <c r="F56">
        <f t="shared" si="10"/>
        <v>0.99979653163098936</v>
      </c>
    </row>
    <row r="57" spans="1:6" x14ac:dyDescent="0.25">
      <c r="A57">
        <v>900</v>
      </c>
      <c r="B57">
        <f t="shared" si="0"/>
        <v>9</v>
      </c>
      <c r="C57">
        <f t="shared" si="1"/>
        <v>2.4681960817335912E-4</v>
      </c>
      <c r="D57">
        <f t="shared" si="2"/>
        <v>1.9997531803918267</v>
      </c>
      <c r="E57">
        <f t="shared" si="9"/>
        <v>1.2340980408667956E-4</v>
      </c>
      <c r="F57">
        <f t="shared" si="10"/>
        <v>0.99987659019591335</v>
      </c>
    </row>
    <row r="58" spans="1:6" x14ac:dyDescent="0.25">
      <c r="A58">
        <v>950</v>
      </c>
      <c r="B58">
        <f t="shared" si="0"/>
        <v>9.5</v>
      </c>
      <c r="C58">
        <f t="shared" si="1"/>
        <v>1.497036597754012E-4</v>
      </c>
      <c r="D58">
        <f t="shared" si="2"/>
        <v>1.9998502963402247</v>
      </c>
      <c r="E58">
        <f t="shared" si="9"/>
        <v>7.4851829887700598E-5</v>
      </c>
      <c r="F58">
        <f t="shared" si="10"/>
        <v>0.99992514817011235</v>
      </c>
    </row>
    <row r="59" spans="1:6" x14ac:dyDescent="0.25">
      <c r="A59">
        <v>1000</v>
      </c>
      <c r="B59">
        <f t="shared" si="0"/>
        <v>10</v>
      </c>
      <c r="C59">
        <f t="shared" si="1"/>
        <v>9.0799859524969708E-5</v>
      </c>
      <c r="D59">
        <f t="shared" si="2"/>
        <v>1.999909200140475</v>
      </c>
      <c r="E59">
        <f t="shared" si="9"/>
        <v>4.5399929762484854E-5</v>
      </c>
      <c r="F59">
        <f t="shared" si="10"/>
        <v>0.99995460007023751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workbookViewId="0">
      <selection activeCell="C19" sqref="C19"/>
    </sheetView>
  </sheetViews>
  <sheetFormatPr baseColWidth="10" defaultRowHeight="15" x14ac:dyDescent="0.25"/>
  <sheetData>
    <row r="1" spans="1:8" x14ac:dyDescent="0.25">
      <c r="A1" t="s">
        <v>22</v>
      </c>
      <c r="B1" t="s">
        <v>21</v>
      </c>
    </row>
    <row r="2" spans="1:8" x14ac:dyDescent="0.25">
      <c r="A2" t="s">
        <v>23</v>
      </c>
    </row>
    <row r="3" spans="1:8" x14ac:dyDescent="0.25">
      <c r="A3" t="s">
        <v>24</v>
      </c>
    </row>
    <row r="5" spans="1:8" x14ac:dyDescent="0.25">
      <c r="A5" t="s">
        <v>4</v>
      </c>
      <c r="B5">
        <v>0.5</v>
      </c>
      <c r="C5" t="s">
        <v>25</v>
      </c>
      <c r="F5" t="s">
        <v>5</v>
      </c>
      <c r="G5">
        <f>(B6*B8)/(B5*(B10^2))</f>
        <v>90.000000000000043</v>
      </c>
      <c r="H5" t="s">
        <v>13</v>
      </c>
    </row>
    <row r="6" spans="1:8" x14ac:dyDescent="0.25">
      <c r="A6" t="s">
        <v>26</v>
      </c>
      <c r="B6">
        <v>2</v>
      </c>
      <c r="C6" t="s">
        <v>20</v>
      </c>
      <c r="F6" t="s">
        <v>30</v>
      </c>
      <c r="G6">
        <f>B7*G5</f>
        <v>360.00000000000017</v>
      </c>
      <c r="H6" t="s">
        <v>31</v>
      </c>
    </row>
    <row r="7" spans="1:8" x14ac:dyDescent="0.25">
      <c r="A7" t="s">
        <v>27</v>
      </c>
      <c r="B7">
        <v>4</v>
      </c>
      <c r="C7" t="s">
        <v>28</v>
      </c>
    </row>
    <row r="8" spans="1:8" x14ac:dyDescent="0.25">
      <c r="A8" t="s">
        <v>17</v>
      </c>
      <c r="B8">
        <v>0.9</v>
      </c>
    </row>
    <row r="10" spans="1:8" x14ac:dyDescent="0.25">
      <c r="A10" t="s">
        <v>3</v>
      </c>
      <c r="B10">
        <f>(1-B8)*B6</f>
        <v>0.19999999999999996</v>
      </c>
      <c r="C10" t="s">
        <v>20</v>
      </c>
    </row>
    <row r="15" spans="1:8" x14ac:dyDescent="0.25">
      <c r="A15" t="s">
        <v>32</v>
      </c>
    </row>
    <row r="17" spans="1:3" x14ac:dyDescent="0.25">
      <c r="A17" t="s">
        <v>5</v>
      </c>
      <c r="B17">
        <f>(1/B5)*((1/B10)-(1/B6))</f>
        <v>9.0000000000000018</v>
      </c>
      <c r="C17" t="s">
        <v>13</v>
      </c>
    </row>
    <row r="18" spans="1:3" x14ac:dyDescent="0.25">
      <c r="A18" t="s">
        <v>30</v>
      </c>
      <c r="B18">
        <f>B17*B7</f>
        <v>36.000000000000007</v>
      </c>
      <c r="C18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2FDD-2E35-416F-A08C-9EA0D2663FF0}">
  <dimension ref="A2:I13"/>
  <sheetViews>
    <sheetView workbookViewId="0">
      <selection activeCell="H15" sqref="H15"/>
    </sheetView>
  </sheetViews>
  <sheetFormatPr baseColWidth="10" defaultRowHeight="15" x14ac:dyDescent="0.25"/>
  <sheetData>
    <row r="2" spans="1:9" x14ac:dyDescent="0.25">
      <c r="A2" t="s">
        <v>45</v>
      </c>
      <c r="B2">
        <v>900</v>
      </c>
      <c r="C2" t="s">
        <v>46</v>
      </c>
    </row>
    <row r="3" spans="1:9" x14ac:dyDescent="0.25">
      <c r="A3" t="s">
        <v>50</v>
      </c>
      <c r="B3">
        <v>10</v>
      </c>
      <c r="C3" t="s">
        <v>13</v>
      </c>
      <c r="D3">
        <f>B3/60</f>
        <v>0.16666666666666666</v>
      </c>
      <c r="E3" t="s">
        <v>55</v>
      </c>
    </row>
    <row r="4" spans="1:9" x14ac:dyDescent="0.25">
      <c r="A4" t="s">
        <v>51</v>
      </c>
      <c r="B4">
        <v>12</v>
      </c>
      <c r="C4" t="s">
        <v>13</v>
      </c>
      <c r="D4">
        <f t="shared" ref="D4:D5" si="0">B4/60</f>
        <v>0.2</v>
      </c>
      <c r="E4" t="s">
        <v>55</v>
      </c>
      <c r="F4" t="s">
        <v>54</v>
      </c>
      <c r="G4">
        <f>(1/B6)*LN(1/(1-B7))</f>
        <v>4.3831973716499757</v>
      </c>
      <c r="H4" t="s">
        <v>55</v>
      </c>
    </row>
    <row r="5" spans="1:9" x14ac:dyDescent="0.25">
      <c r="A5" t="s">
        <v>52</v>
      </c>
      <c r="B5">
        <v>14</v>
      </c>
      <c r="C5" t="s">
        <v>13</v>
      </c>
      <c r="D5">
        <f t="shared" si="0"/>
        <v>0.23333333333333334</v>
      </c>
      <c r="E5" t="s">
        <v>55</v>
      </c>
      <c r="F5" t="s">
        <v>103</v>
      </c>
    </row>
    <row r="6" spans="1:9" x14ac:dyDescent="0.25">
      <c r="A6" t="s">
        <v>4</v>
      </c>
      <c r="B6">
        <v>0.8</v>
      </c>
      <c r="C6" t="s">
        <v>47</v>
      </c>
      <c r="F6" t="s">
        <v>56</v>
      </c>
      <c r="G6">
        <f>G4+D3+D4+D5</f>
        <v>4.9831973716499762</v>
      </c>
      <c r="H6" t="s">
        <v>55</v>
      </c>
    </row>
    <row r="7" spans="1:9" x14ac:dyDescent="0.25">
      <c r="A7" t="s">
        <v>17</v>
      </c>
      <c r="B7">
        <v>0.97</v>
      </c>
      <c r="F7" t="s">
        <v>105</v>
      </c>
    </row>
    <row r="8" spans="1:9" x14ac:dyDescent="0.25">
      <c r="A8" t="s">
        <v>48</v>
      </c>
      <c r="B8">
        <v>900</v>
      </c>
      <c r="C8" t="s">
        <v>49</v>
      </c>
      <c r="D8">
        <f>B8*10^3</f>
        <v>900000</v>
      </c>
      <c r="E8" t="s">
        <v>57</v>
      </c>
      <c r="F8" t="s">
        <v>104</v>
      </c>
      <c r="G8">
        <f>D8/B2</f>
        <v>1000</v>
      </c>
      <c r="H8" t="s">
        <v>38</v>
      </c>
      <c r="I8" t="s">
        <v>61</v>
      </c>
    </row>
    <row r="9" spans="1:9" x14ac:dyDescent="0.25">
      <c r="F9" t="s">
        <v>106</v>
      </c>
    </row>
    <row r="10" spans="1:9" x14ac:dyDescent="0.25">
      <c r="A10" t="s">
        <v>21</v>
      </c>
      <c r="F10" t="s">
        <v>30</v>
      </c>
      <c r="G10">
        <f>G8*G6/B13</f>
        <v>0.71188533880713945</v>
      </c>
      <c r="H10" t="s">
        <v>38</v>
      </c>
      <c r="I10" t="s">
        <v>60</v>
      </c>
    </row>
    <row r="11" spans="1:9" x14ac:dyDescent="0.25">
      <c r="A11" t="s">
        <v>53</v>
      </c>
    </row>
    <row r="12" spans="1:9" x14ac:dyDescent="0.25">
      <c r="F12" t="s">
        <v>58</v>
      </c>
      <c r="G12">
        <f>G8/G10</f>
        <v>1404.7205996342554</v>
      </c>
      <c r="H12" t="s">
        <v>58</v>
      </c>
    </row>
    <row r="13" spans="1:9" x14ac:dyDescent="0.25">
      <c r="A13" t="s">
        <v>59</v>
      </c>
      <c r="B13">
        <v>7000</v>
      </c>
      <c r="C13" t="s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B2A8-E235-469B-8A11-AEC3FD6AA6DD}">
  <dimension ref="A1:K25"/>
  <sheetViews>
    <sheetView tabSelected="1" topLeftCell="A7" workbookViewId="0">
      <selection activeCell="D11" sqref="D11"/>
    </sheetView>
  </sheetViews>
  <sheetFormatPr baseColWidth="10" defaultRowHeight="15" x14ac:dyDescent="0.25"/>
  <sheetData>
    <row r="1" spans="1:11" x14ac:dyDescent="0.25">
      <c r="A1" t="s">
        <v>21</v>
      </c>
    </row>
    <row r="2" spans="1:11" x14ac:dyDescent="0.25">
      <c r="A2" t="s">
        <v>32</v>
      </c>
    </row>
    <row r="3" spans="1:11" x14ac:dyDescent="0.25">
      <c r="A3" t="s">
        <v>33</v>
      </c>
      <c r="B3" t="s">
        <v>34</v>
      </c>
      <c r="E3" t="s">
        <v>30</v>
      </c>
      <c r="F3">
        <f>(-B4/B5)*(LN(0.1/1))</f>
        <v>0.10011239534756719</v>
      </c>
      <c r="G3" t="s">
        <v>38</v>
      </c>
      <c r="H3">
        <f>F3*1000</f>
        <v>100.11239534756719</v>
      </c>
      <c r="I3" t="s">
        <v>41</v>
      </c>
      <c r="J3">
        <f>H3</f>
        <v>100.11239534756719</v>
      </c>
      <c r="K3" t="s">
        <v>31</v>
      </c>
    </row>
    <row r="4" spans="1:11" x14ac:dyDescent="0.25">
      <c r="A4" t="s">
        <v>35</v>
      </c>
      <c r="B4">
        <v>0.01</v>
      </c>
      <c r="C4" t="s">
        <v>36</v>
      </c>
      <c r="E4" t="s">
        <v>5</v>
      </c>
      <c r="F4">
        <f>F3/B4</f>
        <v>10.011239534756719</v>
      </c>
      <c r="G4" t="s">
        <v>13</v>
      </c>
      <c r="H4" t="s">
        <v>40</v>
      </c>
    </row>
    <row r="5" spans="1:11" x14ac:dyDescent="0.25">
      <c r="A5" t="s">
        <v>4</v>
      </c>
      <c r="B5">
        <v>0.23</v>
      </c>
      <c r="C5" t="s">
        <v>37</v>
      </c>
    </row>
    <row r="6" spans="1:11" x14ac:dyDescent="0.25">
      <c r="A6" t="s">
        <v>17</v>
      </c>
      <c r="B6">
        <v>0.9</v>
      </c>
    </row>
    <row r="10" spans="1:11" x14ac:dyDescent="0.25">
      <c r="B10" t="s">
        <v>44</v>
      </c>
      <c r="C10" t="s">
        <v>42</v>
      </c>
      <c r="D10" t="s">
        <v>43</v>
      </c>
      <c r="E10" t="s">
        <v>39</v>
      </c>
    </row>
    <row r="11" spans="1:11" x14ac:dyDescent="0.25">
      <c r="B11">
        <v>0</v>
      </c>
      <c r="C11">
        <f>B11*$B$4</f>
        <v>0</v>
      </c>
      <c r="D11">
        <f>C11*1000</f>
        <v>0</v>
      </c>
      <c r="E11">
        <f>EXP(-C11*$B$5/$B$4)</f>
        <v>1</v>
      </c>
    </row>
    <row r="12" spans="1:11" x14ac:dyDescent="0.25">
      <c r="B12">
        <v>1</v>
      </c>
      <c r="C12">
        <f>B12*$B$4</f>
        <v>0.01</v>
      </c>
      <c r="D12">
        <f t="shared" ref="D12:D25" si="0">C12*1000</f>
        <v>10</v>
      </c>
      <c r="E12">
        <f t="shared" ref="E11:E25" si="1">EXP(-C12*$B$5/$B$4)</f>
        <v>0.79453360250333405</v>
      </c>
    </row>
    <row r="13" spans="1:11" x14ac:dyDescent="0.25">
      <c r="B13">
        <v>2</v>
      </c>
      <c r="C13">
        <f t="shared" ref="C13:C25" si="2">B13*$B$4</f>
        <v>0.02</v>
      </c>
      <c r="D13">
        <f t="shared" si="0"/>
        <v>20</v>
      </c>
      <c r="E13">
        <f t="shared" si="1"/>
        <v>0.63128364550692595</v>
      </c>
    </row>
    <row r="14" spans="1:11" x14ac:dyDescent="0.25">
      <c r="B14">
        <v>3</v>
      </c>
      <c r="C14">
        <f t="shared" si="2"/>
        <v>0.03</v>
      </c>
      <c r="D14">
        <f t="shared" si="0"/>
        <v>30</v>
      </c>
      <c r="E14">
        <f t="shared" si="1"/>
        <v>0.50157606906605556</v>
      </c>
    </row>
    <row r="15" spans="1:11" x14ac:dyDescent="0.25">
      <c r="B15">
        <v>4</v>
      </c>
      <c r="C15">
        <f t="shared" si="2"/>
        <v>0.04</v>
      </c>
      <c r="D15">
        <f t="shared" si="0"/>
        <v>40</v>
      </c>
      <c r="E15">
        <f t="shared" si="1"/>
        <v>0.39851904108451419</v>
      </c>
    </row>
    <row r="16" spans="1:11" x14ac:dyDescent="0.25">
      <c r="B16">
        <v>5</v>
      </c>
      <c r="C16">
        <f t="shared" si="2"/>
        <v>0.05</v>
      </c>
      <c r="D16">
        <f t="shared" si="0"/>
        <v>50</v>
      </c>
      <c r="E16">
        <f t="shared" si="1"/>
        <v>0.31663676937905316</v>
      </c>
    </row>
    <row r="17" spans="2:5" x14ac:dyDescent="0.25">
      <c r="B17">
        <v>6</v>
      </c>
      <c r="C17">
        <f t="shared" si="2"/>
        <v>0.06</v>
      </c>
      <c r="D17">
        <f t="shared" si="0"/>
        <v>60</v>
      </c>
      <c r="E17">
        <f t="shared" si="1"/>
        <v>0.25157855305975652</v>
      </c>
    </row>
    <row r="18" spans="2:5" x14ac:dyDescent="0.25">
      <c r="B18">
        <v>7</v>
      </c>
      <c r="C18">
        <f t="shared" si="2"/>
        <v>7.0000000000000007E-2</v>
      </c>
      <c r="D18">
        <f t="shared" si="0"/>
        <v>70</v>
      </c>
      <c r="E18">
        <f t="shared" si="1"/>
        <v>0.19988761407514444</v>
      </c>
    </row>
    <row r="19" spans="2:5" x14ac:dyDescent="0.25">
      <c r="B19">
        <v>8</v>
      </c>
      <c r="C19">
        <f t="shared" si="2"/>
        <v>0.08</v>
      </c>
      <c r="D19">
        <f t="shared" si="0"/>
        <v>80</v>
      </c>
      <c r="E19">
        <f t="shared" si="1"/>
        <v>0.15881742610692071</v>
      </c>
    </row>
    <row r="20" spans="2:5" x14ac:dyDescent="0.25">
      <c r="B20">
        <v>9</v>
      </c>
      <c r="C20">
        <f t="shared" si="2"/>
        <v>0.09</v>
      </c>
      <c r="D20">
        <f t="shared" si="0"/>
        <v>90</v>
      </c>
      <c r="E20">
        <f t="shared" si="1"/>
        <v>0.12618578170503877</v>
      </c>
    </row>
    <row r="21" spans="2:5" x14ac:dyDescent="0.25">
      <c r="B21" s="3">
        <v>10</v>
      </c>
      <c r="C21">
        <f t="shared" si="2"/>
        <v>0.1</v>
      </c>
      <c r="D21">
        <f t="shared" si="0"/>
        <v>100</v>
      </c>
      <c r="E21">
        <f t="shared" si="1"/>
        <v>0.10025884372280371</v>
      </c>
    </row>
    <row r="22" spans="2:5" x14ac:dyDescent="0.25">
      <c r="B22">
        <v>11</v>
      </c>
      <c r="C22">
        <f t="shared" si="2"/>
        <v>0.11</v>
      </c>
      <c r="D22">
        <f t="shared" si="0"/>
        <v>110</v>
      </c>
      <c r="E22">
        <f t="shared" si="1"/>
        <v>7.9659020285898038E-2</v>
      </c>
    </row>
    <row r="23" spans="2:5" x14ac:dyDescent="0.25">
      <c r="B23">
        <v>12</v>
      </c>
      <c r="C23">
        <f t="shared" si="2"/>
        <v>0.12</v>
      </c>
      <c r="D23">
        <f t="shared" si="0"/>
        <v>120</v>
      </c>
      <c r="E23">
        <f t="shared" si="1"/>
        <v>6.3291768359640732E-2</v>
      </c>
    </row>
    <row r="24" spans="2:5" x14ac:dyDescent="0.25">
      <c r="B24">
        <v>13</v>
      </c>
      <c r="C24">
        <f t="shared" si="2"/>
        <v>0.13</v>
      </c>
      <c r="D24">
        <f t="shared" si="0"/>
        <v>130</v>
      </c>
      <c r="E24">
        <f t="shared" si="1"/>
        <v>5.0287436723591865E-2</v>
      </c>
    </row>
    <row r="25" spans="2:5" x14ac:dyDescent="0.25">
      <c r="B25">
        <v>14</v>
      </c>
      <c r="C25">
        <f t="shared" si="2"/>
        <v>0.14000000000000001</v>
      </c>
      <c r="D25">
        <f t="shared" si="0"/>
        <v>140</v>
      </c>
      <c r="E25">
        <f t="shared" si="1"/>
        <v>3.9955058260653882E-2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0224-92A3-4F23-AD86-3224FC064FC0}">
  <dimension ref="A1:H9"/>
  <sheetViews>
    <sheetView workbookViewId="0">
      <selection activeCell="C9" sqref="C9"/>
    </sheetView>
  </sheetViews>
  <sheetFormatPr baseColWidth="10" defaultRowHeight="15" x14ac:dyDescent="0.25"/>
  <cols>
    <col min="1" max="1" width="11.85546875" bestFit="1" customWidth="1"/>
  </cols>
  <sheetData>
    <row r="1" spans="1:8" x14ac:dyDescent="0.25">
      <c r="A1" t="s">
        <v>21</v>
      </c>
      <c r="F1" t="s">
        <v>18</v>
      </c>
    </row>
    <row r="2" spans="1:8" x14ac:dyDescent="0.25">
      <c r="A2" t="s">
        <v>62</v>
      </c>
      <c r="B2">
        <v>5</v>
      </c>
      <c r="C2" t="s">
        <v>63</v>
      </c>
      <c r="F2" t="s">
        <v>26</v>
      </c>
      <c r="G2">
        <f>B2/B3</f>
        <v>0.5</v>
      </c>
      <c r="H2" t="s">
        <v>20</v>
      </c>
    </row>
    <row r="3" spans="1:8" x14ac:dyDescent="0.25">
      <c r="A3" t="s">
        <v>35</v>
      </c>
      <c r="B3">
        <v>10</v>
      </c>
      <c r="C3" t="s">
        <v>64</v>
      </c>
      <c r="F3" t="s">
        <v>11</v>
      </c>
      <c r="G3">
        <f>G2*(1-B4)</f>
        <v>4.9999999999999989E-2</v>
      </c>
      <c r="H3" t="s">
        <v>20</v>
      </c>
    </row>
    <row r="4" spans="1:8" x14ac:dyDescent="0.25">
      <c r="A4" t="s">
        <v>17</v>
      </c>
      <c r="B4">
        <v>0.9</v>
      </c>
      <c r="F4" t="s">
        <v>137</v>
      </c>
      <c r="G4">
        <f>B2*B4/(B5*G3)</f>
        <v>1800.0000000000002</v>
      </c>
      <c r="H4" t="s">
        <v>31</v>
      </c>
    </row>
    <row r="5" spans="1:8" x14ac:dyDescent="0.25">
      <c r="A5" t="s">
        <v>4</v>
      </c>
      <c r="B5">
        <v>0.05</v>
      </c>
      <c r="C5" t="s">
        <v>65</v>
      </c>
    </row>
    <row r="6" spans="1:8" x14ac:dyDescent="0.25">
      <c r="A6" t="s">
        <v>66</v>
      </c>
    </row>
    <row r="7" spans="1:8" x14ac:dyDescent="0.25">
      <c r="F7" t="s">
        <v>32</v>
      </c>
    </row>
    <row r="8" spans="1:8" x14ac:dyDescent="0.25">
      <c r="F8" t="s">
        <v>67</v>
      </c>
      <c r="G8">
        <f>((-B2)/(B5*G2))*LN(1-B4)</f>
        <v>460.51701859880916</v>
      </c>
      <c r="H8" t="s">
        <v>31</v>
      </c>
    </row>
    <row r="9" spans="1:8" x14ac:dyDescent="0.25">
      <c r="C9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35D-80F6-4A7D-8054-7FBA602DF409}">
  <dimension ref="A2:G10"/>
  <sheetViews>
    <sheetView workbookViewId="0">
      <selection activeCell="G11" sqref="G11"/>
    </sheetView>
  </sheetViews>
  <sheetFormatPr baseColWidth="10" defaultRowHeight="15" x14ac:dyDescent="0.25"/>
  <sheetData>
    <row r="2" spans="1:7" x14ac:dyDescent="0.25">
      <c r="A2" t="s">
        <v>139</v>
      </c>
      <c r="B2">
        <v>2</v>
      </c>
      <c r="E2" t="s">
        <v>141</v>
      </c>
      <c r="F2">
        <v>0.66666506278437498</v>
      </c>
    </row>
    <row r="3" spans="1:7" x14ac:dyDescent="0.25">
      <c r="A3" t="s">
        <v>140</v>
      </c>
      <c r="B3">
        <v>0.5</v>
      </c>
      <c r="E3" t="s">
        <v>139</v>
      </c>
      <c r="F3">
        <f>F2/(1-F2)</f>
        <v>1.9999855651288303</v>
      </c>
    </row>
    <row r="5" spans="1:7" x14ac:dyDescent="0.25">
      <c r="E5" t="s">
        <v>142</v>
      </c>
      <c r="F5">
        <f>F2*0.5</f>
        <v>0.33333253139218749</v>
      </c>
    </row>
    <row r="7" spans="1:7" x14ac:dyDescent="0.25">
      <c r="E7" t="s">
        <v>143</v>
      </c>
      <c r="F7">
        <f>(1-F5)-(F5/F3)</f>
        <v>0.49999999999999994</v>
      </c>
    </row>
    <row r="8" spans="1:7" x14ac:dyDescent="0.25">
      <c r="E8" t="s">
        <v>144</v>
      </c>
      <c r="F8">
        <f>(1-B3)-(B3/F3)</f>
        <v>0.24999819562808084</v>
      </c>
    </row>
    <row r="10" spans="1:7" x14ac:dyDescent="0.25">
      <c r="E10" t="s">
        <v>145</v>
      </c>
      <c r="G10">
        <f>(F7/F8)*(B3/F5)</f>
        <v>3.0000288701590758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C83E-9C96-4C23-8CAB-84A23BA075AE}">
  <dimension ref="A1:N30"/>
  <sheetViews>
    <sheetView topLeftCell="A13" workbookViewId="0">
      <selection activeCell="I28" sqref="I28"/>
    </sheetView>
  </sheetViews>
  <sheetFormatPr baseColWidth="10" defaultRowHeight="15" x14ac:dyDescent="0.25"/>
  <cols>
    <col min="9" max="9" width="12" bestFit="1" customWidth="1"/>
    <col min="11" max="11" width="12.28515625" bestFit="1" customWidth="1"/>
  </cols>
  <sheetData>
    <row r="1" spans="1:14" x14ac:dyDescent="0.25">
      <c r="A1" t="s">
        <v>68</v>
      </c>
    </row>
    <row r="2" spans="1:14" x14ac:dyDescent="0.25">
      <c r="A2" t="s">
        <v>32</v>
      </c>
      <c r="M2">
        <f>4.536E+39</f>
        <v>4.536E+39</v>
      </c>
    </row>
    <row r="3" spans="1:14" x14ac:dyDescent="0.25">
      <c r="A3" t="s">
        <v>35</v>
      </c>
      <c r="B3">
        <v>500</v>
      </c>
      <c r="C3" t="s">
        <v>69</v>
      </c>
      <c r="H3" t="s">
        <v>78</v>
      </c>
      <c r="I3">
        <f>(7.8*(10^9))*EXP(-19220/D5)</f>
        <v>0.12408654441731637</v>
      </c>
      <c r="J3" t="s">
        <v>83</v>
      </c>
      <c r="M3">
        <v>453.59300000000002</v>
      </c>
      <c r="N3" t="s">
        <v>107</v>
      </c>
    </row>
    <row r="4" spans="1:14" x14ac:dyDescent="0.25">
      <c r="A4" t="s">
        <v>17</v>
      </c>
      <c r="B4">
        <v>0.9</v>
      </c>
    </row>
    <row r="5" spans="1:14" x14ac:dyDescent="0.25">
      <c r="A5" t="s">
        <v>70</v>
      </c>
      <c r="B5">
        <v>500</v>
      </c>
      <c r="C5" t="s">
        <v>71</v>
      </c>
      <c r="D5">
        <f>B5+273</f>
        <v>773</v>
      </c>
      <c r="E5" t="s">
        <v>78</v>
      </c>
      <c r="H5" t="s">
        <v>62</v>
      </c>
      <c r="I5">
        <f>B3/B8</f>
        <v>1.392757660167131</v>
      </c>
      <c r="J5" t="s">
        <v>79</v>
      </c>
      <c r="K5" s="4">
        <f>I5*M3</f>
        <v>631.7451253481895</v>
      </c>
      <c r="L5" t="s">
        <v>80</v>
      </c>
      <c r="M5" s="5">
        <f>K5/(60*60)</f>
        <v>0.17548475704116376</v>
      </c>
      <c r="N5" t="s">
        <v>82</v>
      </c>
    </row>
    <row r="6" spans="1:14" x14ac:dyDescent="0.25">
      <c r="A6" t="s">
        <v>72</v>
      </c>
      <c r="B6">
        <v>5</v>
      </c>
      <c r="C6" t="s">
        <v>73</v>
      </c>
      <c r="H6" t="s">
        <v>81</v>
      </c>
      <c r="I6" s="3">
        <v>0.17599999999999999</v>
      </c>
      <c r="J6" t="s">
        <v>82</v>
      </c>
    </row>
    <row r="7" spans="1:14" x14ac:dyDescent="0.25">
      <c r="A7" t="s">
        <v>74</v>
      </c>
      <c r="B7">
        <v>15.25</v>
      </c>
      <c r="C7" t="s">
        <v>75</v>
      </c>
      <c r="D7">
        <f>B7/100</f>
        <v>0.1525</v>
      </c>
      <c r="E7" t="s">
        <v>85</v>
      </c>
      <c r="H7" t="s">
        <v>108</v>
      </c>
    </row>
    <row r="8" spans="1:14" x14ac:dyDescent="0.25">
      <c r="A8" t="s">
        <v>76</v>
      </c>
      <c r="B8">
        <v>359</v>
      </c>
      <c r="C8" t="s">
        <v>77</v>
      </c>
      <c r="H8" t="s">
        <v>26</v>
      </c>
      <c r="I8">
        <f>B6/(0.082*D5)</f>
        <v>7.8881772000126207E-2</v>
      </c>
      <c r="J8" t="s">
        <v>20</v>
      </c>
    </row>
    <row r="10" spans="1:14" x14ac:dyDescent="0.25">
      <c r="H10" t="s">
        <v>67</v>
      </c>
      <c r="I10">
        <f>((-I6)/(I3*I8))*LN(1-B4)</f>
        <v>41.402542157360479</v>
      </c>
      <c r="J10" t="s">
        <v>31</v>
      </c>
      <c r="K10">
        <f>I10*(1/1000)</f>
        <v>4.1402542157360479E-2</v>
      </c>
      <c r="L10" t="s">
        <v>38</v>
      </c>
    </row>
    <row r="11" spans="1:14" x14ac:dyDescent="0.25">
      <c r="H11" t="s">
        <v>84</v>
      </c>
      <c r="I11">
        <f>(4*K10)/(PI()*(D7^2))</f>
        <v>2.2667177179173787</v>
      </c>
      <c r="J11" t="s">
        <v>85</v>
      </c>
    </row>
    <row r="14" spans="1:14" x14ac:dyDescent="0.25">
      <c r="H14" t="s">
        <v>86</v>
      </c>
    </row>
    <row r="15" spans="1:14" x14ac:dyDescent="0.25">
      <c r="H15" t="s">
        <v>87</v>
      </c>
      <c r="I15">
        <f>PI()*(D7^2)/4</f>
        <v>1.8265416037511906E-2</v>
      </c>
      <c r="J15" t="s">
        <v>88</v>
      </c>
    </row>
    <row r="16" spans="1:14" x14ac:dyDescent="0.25">
      <c r="H16" t="s">
        <v>89</v>
      </c>
      <c r="I16">
        <f>K16/1000</f>
        <v>2.2311872E-3</v>
      </c>
      <c r="J16" t="s">
        <v>91</v>
      </c>
      <c r="K16">
        <f>I6/I8</f>
        <v>2.2311871999999999</v>
      </c>
      <c r="L16" t="s">
        <v>92</v>
      </c>
    </row>
    <row r="17" spans="8:12" x14ac:dyDescent="0.25">
      <c r="H17" t="s">
        <v>27</v>
      </c>
      <c r="I17">
        <f>I16/I15</f>
        <v>0.12215364793321892</v>
      </c>
      <c r="J17" t="s">
        <v>90</v>
      </c>
    </row>
    <row r="18" spans="8:12" x14ac:dyDescent="0.25">
      <c r="H18" t="s">
        <v>93</v>
      </c>
      <c r="I18">
        <f>I11/I17</f>
        <v>18.556283469787061</v>
      </c>
      <c r="J18" t="s">
        <v>94</v>
      </c>
    </row>
    <row r="20" spans="8:12" x14ac:dyDescent="0.25">
      <c r="H20" t="s">
        <v>109</v>
      </c>
    </row>
    <row r="21" spans="8:12" x14ac:dyDescent="0.25">
      <c r="H21" t="s">
        <v>110</v>
      </c>
      <c r="I21">
        <f>(2/1)-1</f>
        <v>1</v>
      </c>
    </row>
    <row r="22" spans="8:12" x14ac:dyDescent="0.25">
      <c r="H22" t="s">
        <v>111</v>
      </c>
      <c r="I22">
        <v>273</v>
      </c>
    </row>
    <row r="23" spans="8:12" x14ac:dyDescent="0.25">
      <c r="H23" t="s">
        <v>112</v>
      </c>
      <c r="I23">
        <v>1</v>
      </c>
    </row>
    <row r="24" spans="8:12" x14ac:dyDescent="0.25">
      <c r="H24" t="s">
        <v>35</v>
      </c>
      <c r="I24">
        <f>B3*(I23/B6)*(D5/I22)*(1+I21*B4)</f>
        <v>537.98534798534797</v>
      </c>
    </row>
    <row r="25" spans="8:12" x14ac:dyDescent="0.25">
      <c r="H25" t="s">
        <v>35</v>
      </c>
      <c r="I25">
        <f>B3*(1-B4)</f>
        <v>49.999999999999986</v>
      </c>
    </row>
    <row r="26" spans="8:12" x14ac:dyDescent="0.25">
      <c r="H26" t="s">
        <v>113</v>
      </c>
      <c r="I26">
        <f>I8*(1-B4)/(1+B4)</f>
        <v>4.1516722105329577E-3</v>
      </c>
    </row>
    <row r="27" spans="8:12" x14ac:dyDescent="0.25">
      <c r="H27" t="s">
        <v>114</v>
      </c>
      <c r="I27">
        <f>2*LN(B4+1)-B4</f>
        <v>0.38370777234478937</v>
      </c>
    </row>
    <row r="28" spans="8:12" x14ac:dyDescent="0.25">
      <c r="H28" t="s">
        <v>67</v>
      </c>
      <c r="I28">
        <f>I27*I25/I3</f>
        <v>154.61296555021264</v>
      </c>
      <c r="J28" t="s">
        <v>31</v>
      </c>
      <c r="K28">
        <f>I28*(1/1000)</f>
        <v>0.15461296555021264</v>
      </c>
      <c r="L28" t="s">
        <v>38</v>
      </c>
    </row>
    <row r="29" spans="8:12" x14ac:dyDescent="0.25">
      <c r="H29" t="s">
        <v>115</v>
      </c>
      <c r="I29" s="3">
        <v>6.7000000000000004E-2</v>
      </c>
      <c r="J29" t="s">
        <v>116</v>
      </c>
    </row>
    <row r="30" spans="8:12" x14ac:dyDescent="0.25">
      <c r="H30" t="s">
        <v>117</v>
      </c>
      <c r="I30">
        <f>(4*I29)/(PI()*(D7^2))</f>
        <v>3.6681343508629256</v>
      </c>
      <c r="J30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eje8</vt:lpstr>
      <vt:lpstr>Hoja1</vt:lpstr>
      <vt:lpstr>nose</vt:lpstr>
      <vt:lpstr>Hoja3</vt:lpstr>
      <vt:lpstr>eje4</vt:lpstr>
      <vt:lpstr>eje5</vt:lpstr>
      <vt:lpstr>EJErcicio8</vt:lpstr>
      <vt:lpstr>eje9</vt:lpstr>
      <vt:lpstr>eje11</vt:lpstr>
      <vt:lpstr>rje10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2021-04-15T17:27:30Z</dcterms:created>
  <dcterms:modified xsi:type="dcterms:W3CDTF">2024-04-09T13:50:10Z</dcterms:modified>
</cp:coreProperties>
</file>