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79jua\Downloads\procesos unitarios pato\tema3\Tema 3 - Seleccion del reactor ideal más adecuado\"/>
    </mc:Choice>
  </mc:AlternateContent>
  <xr:revisionPtr revIDLastSave="0" documentId="13_ncr:1_{8C7E4AAD-F6D4-4206-BFCB-9CBD0D688E6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eje5" sheetId="1" r:id="rId1"/>
    <sheet name="eje1" sheetId="2" r:id="rId2"/>
    <sheet name="eje3" sheetId="3" r:id="rId3"/>
    <sheet name="eje8" sheetId="4" r:id="rId4"/>
    <sheet name="eje9" sheetId="5" r:id="rId5"/>
    <sheet name="eje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6" l="1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7" i="6"/>
  <c r="L9" i="4"/>
  <c r="L10" i="4"/>
  <c r="L11" i="4"/>
  <c r="L12" i="4"/>
  <c r="L13" i="4"/>
  <c r="L8" i="4"/>
  <c r="K9" i="4"/>
  <c r="K10" i="4"/>
  <c r="K11" i="4"/>
  <c r="K12" i="4"/>
  <c r="K13" i="4"/>
  <c r="K8" i="4"/>
  <c r="J9" i="4"/>
  <c r="J10" i="4"/>
  <c r="J11" i="4"/>
  <c r="J12" i="4"/>
  <c r="J13" i="4"/>
  <c r="J8" i="4"/>
  <c r="I9" i="4"/>
  <c r="I10" i="4"/>
  <c r="I11" i="4"/>
  <c r="I12" i="4"/>
  <c r="I13" i="4"/>
  <c r="I8" i="4"/>
  <c r="H9" i="4"/>
  <c r="H10" i="4"/>
  <c r="H11" i="4"/>
  <c r="H12" i="4"/>
  <c r="H13" i="4"/>
  <c r="H8" i="4"/>
  <c r="G8" i="4"/>
  <c r="B8" i="4"/>
  <c r="E10" i="4"/>
  <c r="D9" i="4"/>
  <c r="D10" i="4"/>
  <c r="D11" i="4"/>
  <c r="D12" i="4"/>
  <c r="D13" i="4"/>
  <c r="D8" i="4"/>
  <c r="C9" i="4"/>
  <c r="C10" i="4"/>
  <c r="C11" i="4"/>
  <c r="C12" i="4"/>
  <c r="C13" i="4"/>
  <c r="C8" i="4"/>
  <c r="E8" i="4"/>
  <c r="G44" i="6"/>
  <c r="G43" i="6"/>
  <c r="G42" i="6"/>
  <c r="G9" i="6"/>
  <c r="G14" i="6" s="1"/>
  <c r="G15" i="6" s="1"/>
  <c r="G8" i="6"/>
  <c r="H7" i="6"/>
  <c r="G7" i="6"/>
  <c r="G6" i="6"/>
  <c r="G4" i="6"/>
  <c r="G3" i="6"/>
  <c r="B10" i="6"/>
  <c r="B9" i="6"/>
  <c r="G10" i="4"/>
  <c r="F3" i="4"/>
  <c r="G11" i="4" s="1"/>
  <c r="E9" i="4"/>
  <c r="E11" i="4"/>
  <c r="E12" i="4"/>
  <c r="E13" i="4"/>
  <c r="B10" i="4"/>
  <c r="B11" i="4"/>
  <c r="B12" i="4"/>
  <c r="B13" i="4"/>
  <c r="B9" i="4"/>
  <c r="H8" i="2"/>
  <c r="H4" i="2"/>
  <c r="B9" i="2"/>
  <c r="J10" i="1"/>
  <c r="J11" i="1" s="1"/>
  <c r="J15" i="1" s="1"/>
  <c r="B15" i="1"/>
  <c r="J8" i="1"/>
  <c r="L6" i="1"/>
  <c r="J6" i="1"/>
  <c r="J4" i="1"/>
  <c r="J3" i="1"/>
  <c r="D7" i="1"/>
  <c r="D4" i="1"/>
  <c r="G13" i="4" l="1"/>
  <c r="G9" i="4"/>
  <c r="G12" i="4"/>
  <c r="G27" i="6"/>
  <c r="G17" i="6"/>
  <c r="G28" i="6" s="1"/>
  <c r="G20" i="6"/>
  <c r="G25" i="6" s="1"/>
  <c r="G26" i="6" s="1"/>
  <c r="G32" i="6"/>
  <c r="G21" i="6" l="1"/>
  <c r="G33" i="6"/>
  <c r="G37" i="6" s="1"/>
  <c r="G41" i="6" s="1"/>
  <c r="G34" i="6"/>
  <c r="G38" i="6" l="1"/>
</calcChain>
</file>

<file path=xl/sharedStrings.xml><?xml version="1.0" encoding="utf-8"?>
<sst xmlns="http://schemas.openxmlformats.org/spreadsheetml/2006/main" count="142" uniqueCount="98">
  <si>
    <t>Diam</t>
  </si>
  <si>
    <t>cm</t>
  </si>
  <si>
    <t>m</t>
  </si>
  <si>
    <t>L</t>
  </si>
  <si>
    <t>P</t>
  </si>
  <si>
    <t>atm</t>
  </si>
  <si>
    <t>T</t>
  </si>
  <si>
    <t xml:space="preserve">C </t>
  </si>
  <si>
    <t>K</t>
  </si>
  <si>
    <t>X</t>
  </si>
  <si>
    <t>RFP</t>
  </si>
  <si>
    <t>A=&gt;3B</t>
  </si>
  <si>
    <t>Vol</t>
  </si>
  <si>
    <t>m3</t>
  </si>
  <si>
    <t>area</t>
  </si>
  <si>
    <t>m2</t>
  </si>
  <si>
    <t>vel</t>
  </si>
  <si>
    <t>m3/h</t>
  </si>
  <si>
    <t>Q</t>
  </si>
  <si>
    <t>m/h</t>
  </si>
  <si>
    <t>m/s</t>
  </si>
  <si>
    <t>reactivo</t>
  </si>
  <si>
    <t>producto</t>
  </si>
  <si>
    <t>delta</t>
  </si>
  <si>
    <t>Ca0</t>
  </si>
  <si>
    <t>R</t>
  </si>
  <si>
    <t>mol/m3</t>
  </si>
  <si>
    <t>atm*m3/mol*K</t>
  </si>
  <si>
    <t>integral</t>
  </si>
  <si>
    <t>k</t>
  </si>
  <si>
    <t>m3/mol*hr</t>
  </si>
  <si>
    <t>ya0</t>
  </si>
  <si>
    <t>Xa</t>
  </si>
  <si>
    <t>mol/lt</t>
  </si>
  <si>
    <t>1/hr</t>
  </si>
  <si>
    <t>A=&gt;P</t>
  </si>
  <si>
    <t>TAC</t>
  </si>
  <si>
    <t>MATLAB</t>
  </si>
  <si>
    <t>Q0</t>
  </si>
  <si>
    <t>XA0</t>
  </si>
  <si>
    <t>XAS</t>
  </si>
  <si>
    <t>V</t>
  </si>
  <si>
    <t>1/h</t>
  </si>
  <si>
    <t>V mal</t>
  </si>
  <si>
    <t>CA0</t>
  </si>
  <si>
    <t xml:space="preserve">CA </t>
  </si>
  <si>
    <t>bien</t>
  </si>
  <si>
    <t>CB0</t>
  </si>
  <si>
    <t>mol/dm3</t>
  </si>
  <si>
    <t>dm3/molmin</t>
  </si>
  <si>
    <t xml:space="preserve">dm3 </t>
  </si>
  <si>
    <t>dm3/min</t>
  </si>
  <si>
    <t>Q'2</t>
  </si>
  <si>
    <t>Q'3</t>
  </si>
  <si>
    <t>TAC1</t>
  </si>
  <si>
    <t>FA0</t>
  </si>
  <si>
    <t>xA sup</t>
  </si>
  <si>
    <t>FA0 cal</t>
  </si>
  <si>
    <t>CA1</t>
  </si>
  <si>
    <t>CB1</t>
  </si>
  <si>
    <t>CC1</t>
  </si>
  <si>
    <t>balance en punto de mezcla</t>
  </si>
  <si>
    <t>C*A02</t>
  </si>
  <si>
    <t>Q01</t>
  </si>
  <si>
    <t>Q*02</t>
  </si>
  <si>
    <t>mol/min</t>
  </si>
  <si>
    <t>diluyendo A con el caudal que ingresa</t>
  </si>
  <si>
    <t>agragando B con el caudal que ingresa</t>
  </si>
  <si>
    <t>C*B02</t>
  </si>
  <si>
    <t>TAC2</t>
  </si>
  <si>
    <t>F*A02</t>
  </si>
  <si>
    <t>F*A02 cal</t>
  </si>
  <si>
    <t>FA2</t>
  </si>
  <si>
    <t>conversion global y parcial</t>
  </si>
  <si>
    <t>convercion parcial</t>
  </si>
  <si>
    <t>XA2</t>
  </si>
  <si>
    <t>convercion global</t>
  </si>
  <si>
    <t>Q*03</t>
  </si>
  <si>
    <t>C*A03</t>
  </si>
  <si>
    <t>CA2</t>
  </si>
  <si>
    <t>CB2</t>
  </si>
  <si>
    <t>C*B03</t>
  </si>
  <si>
    <t>TAC3</t>
  </si>
  <si>
    <t>F*A03</t>
  </si>
  <si>
    <t>FA3</t>
  </si>
  <si>
    <t>XA3</t>
  </si>
  <si>
    <t>CA3</t>
  </si>
  <si>
    <t>F*A03 cal</t>
  </si>
  <si>
    <t>CB3</t>
  </si>
  <si>
    <t>X'A2 sup</t>
  </si>
  <si>
    <t>X'A3 sup</t>
  </si>
  <si>
    <t>Q1</t>
  </si>
  <si>
    <t>t RFP</t>
  </si>
  <si>
    <t>t RTR</t>
  </si>
  <si>
    <t>primer orden</t>
  </si>
  <si>
    <t>segundo orden</t>
  </si>
  <si>
    <t>notas de cosas</t>
  </si>
  <si>
    <t>no prestar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</si>
</sst>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'eje8'!$A$8:$A$13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'eje8'!$D$8:$D$13</c:f>
              <c:numCache>
                <c:formatCode>General</c:formatCode>
                <c:ptCount val="6"/>
                <c:pt idx="0">
                  <c:v>8.7498233533773746</c:v>
                </c:pt>
                <c:pt idx="1">
                  <c:v>2.9321303419972962</c:v>
                </c:pt>
                <c:pt idx="2">
                  <c:v>1.7337273021912998</c:v>
                </c:pt>
                <c:pt idx="3">
                  <c:v>0.37379353784488234</c:v>
                </c:pt>
                <c:pt idx="4">
                  <c:v>0.18468767318523005</c:v>
                </c:pt>
                <c:pt idx="5">
                  <c:v>9.1359755830362321E-2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26-4FEC-B096-0EDA08E8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849640"/>
        <c:axId val="390843520"/>
      </c:scatterChart>
      <c:valAx>
        <c:axId val="39084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0843520"/>
        <c:crosses val="autoZero"/>
        <c:crossBetween val="midCat"/>
      </c:valAx>
      <c:valAx>
        <c:axId val="3908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V(lt)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084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nose2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'eje8'!$A$8:$A$13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'eje8'!$I$8:$I$13</c:f>
              <c:numCache>
                <c:formatCode>General</c:formatCode>
                <c:ptCount val="6"/>
                <c:pt idx="0">
                  <c:v>4.6051701859880918</c:v>
                </c:pt>
                <c:pt idx="1">
                  <c:v>27.631021115928554</c:v>
                </c:pt>
                <c:pt idx="2">
                  <c:v>50.656872045869015</c:v>
                </c:pt>
                <c:pt idx="3">
                  <c:v>234.86367948539271</c:v>
                </c:pt>
                <c:pt idx="4">
                  <c:v>465.12218878479734</c:v>
                </c:pt>
                <c:pt idx="5">
                  <c:v>925.6392073836065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90-4660-8F85-DA3629B18067}"/>
            </c:ext>
          </c:extLst>
        </c:ser>
        <c:ser>
          <c:idx val="1"/>
          <c:order val="1"/>
          <c:tx>
            <c:v>orden2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'eje8'!$A$8:$A$13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'eje8'!$L$8:$L$13</c:f>
              <c:numCache>
                <c:formatCode>General</c:formatCode>
                <c:ptCount val="6"/>
                <c:pt idx="0">
                  <c:v>18.000000000000007</c:v>
                </c:pt>
                <c:pt idx="1">
                  <c:v>108.00000000000004</c:v>
                </c:pt>
                <c:pt idx="2">
                  <c:v>198.00000000000009</c:v>
                </c:pt>
                <c:pt idx="3">
                  <c:v>918.00000000000034</c:v>
                </c:pt>
                <c:pt idx="4">
                  <c:v>1818.0000000000007</c:v>
                </c:pt>
                <c:pt idx="5">
                  <c:v>3618.0000000000014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90-4660-8F85-DA3629B1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14016"/>
        <c:axId val="390857920"/>
      </c:scatterChart>
      <c:valAx>
        <c:axId val="3983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0857920"/>
        <c:crosses val="autoZero"/>
        <c:crossBetween val="midCat"/>
      </c:valAx>
      <c:valAx>
        <c:axId val="39085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V(lt)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83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14</xdr:row>
      <xdr:rowOff>61912</xdr:rowOff>
    </xdr:from>
    <xdr:to>
      <xdr:col>6</xdr:col>
      <xdr:colOff>333375</xdr:colOff>
      <xdr:row>28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11806C-A504-917F-0A31-7CA53442B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14</xdr:row>
      <xdr:rowOff>52387</xdr:rowOff>
    </xdr:from>
    <xdr:to>
      <xdr:col>13</xdr:col>
      <xdr:colOff>114300</xdr:colOff>
      <xdr:row>28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7F29FF-4463-9FC3-D9AB-A97213543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"/>
  <sheetViews>
    <sheetView workbookViewId="0">
      <selection activeCell="I18" sqref="I18"/>
    </sheetView>
  </sheetViews>
  <sheetFormatPr baseColWidth="10" defaultColWidth="9.140625" defaultRowHeight="15" x14ac:dyDescent="0.25"/>
  <sheetData>
    <row r="2" spans="1:13" x14ac:dyDescent="0.25">
      <c r="A2" t="s">
        <v>10</v>
      </c>
    </row>
    <row r="3" spans="1:13" x14ac:dyDescent="0.25">
      <c r="A3" t="s">
        <v>11</v>
      </c>
      <c r="I3" t="s">
        <v>12</v>
      </c>
      <c r="J3">
        <f>PI()*(D4^2)*B5/4</f>
        <v>9.8174770424681044E-4</v>
      </c>
      <c r="K3" t="s">
        <v>13</v>
      </c>
    </row>
    <row r="4" spans="1:13" x14ac:dyDescent="0.25">
      <c r="A4" t="s">
        <v>0</v>
      </c>
      <c r="B4">
        <v>2.5</v>
      </c>
      <c r="C4" t="s">
        <v>1</v>
      </c>
      <c r="D4">
        <f>B4/100</f>
        <v>2.5000000000000001E-2</v>
      </c>
      <c r="E4" t="s">
        <v>2</v>
      </c>
      <c r="I4" t="s">
        <v>14</v>
      </c>
      <c r="J4">
        <f>PI()*(D4^2)/4</f>
        <v>4.9087385212340522E-4</v>
      </c>
      <c r="K4" t="s">
        <v>15</v>
      </c>
    </row>
    <row r="5" spans="1:13" x14ac:dyDescent="0.25">
      <c r="A5" t="s">
        <v>3</v>
      </c>
      <c r="B5">
        <v>2</v>
      </c>
      <c r="C5" t="s">
        <v>2</v>
      </c>
    </row>
    <row r="6" spans="1:13" x14ac:dyDescent="0.25">
      <c r="A6" t="s">
        <v>4</v>
      </c>
      <c r="B6">
        <v>5</v>
      </c>
      <c r="C6" t="s">
        <v>5</v>
      </c>
      <c r="I6" t="s">
        <v>16</v>
      </c>
      <c r="J6">
        <f>B9/J4</f>
        <v>8148.7330863050411</v>
      </c>
      <c r="K6" t="s">
        <v>19</v>
      </c>
      <c r="L6">
        <f>J6*(1/3600)</f>
        <v>2.2635369684180668</v>
      </c>
      <c r="M6" t="s">
        <v>20</v>
      </c>
    </row>
    <row r="7" spans="1:13" x14ac:dyDescent="0.25">
      <c r="A7" t="s">
        <v>6</v>
      </c>
      <c r="B7">
        <v>350</v>
      </c>
      <c r="C7" t="s">
        <v>7</v>
      </c>
      <c r="D7">
        <f>B7+273</f>
        <v>623</v>
      </c>
      <c r="E7" t="s">
        <v>8</v>
      </c>
    </row>
    <row r="8" spans="1:13" x14ac:dyDescent="0.25">
      <c r="A8" t="s">
        <v>9</v>
      </c>
      <c r="B8">
        <v>0.6</v>
      </c>
      <c r="I8" t="s">
        <v>23</v>
      </c>
      <c r="J8">
        <f>-B11+B12</f>
        <v>2</v>
      </c>
    </row>
    <row r="9" spans="1:13" x14ac:dyDescent="0.25">
      <c r="A9" t="s">
        <v>18</v>
      </c>
      <c r="B9">
        <v>4</v>
      </c>
      <c r="C9" t="s">
        <v>17</v>
      </c>
    </row>
    <row r="10" spans="1:13" x14ac:dyDescent="0.25">
      <c r="I10" t="s">
        <v>24</v>
      </c>
      <c r="J10">
        <f>B6*B15/(B14*D7)</f>
        <v>9.7874172963238457E-2</v>
      </c>
      <c r="K10" t="s">
        <v>26</v>
      </c>
    </row>
    <row r="11" spans="1:13" x14ac:dyDescent="0.25">
      <c r="A11" t="s">
        <v>21</v>
      </c>
      <c r="B11">
        <v>1</v>
      </c>
      <c r="J11">
        <f>J10*1000</f>
        <v>97.874172963238451</v>
      </c>
    </row>
    <row r="12" spans="1:13" x14ac:dyDescent="0.25">
      <c r="A12" t="s">
        <v>22</v>
      </c>
      <c r="B12">
        <v>3</v>
      </c>
    </row>
    <row r="13" spans="1:13" x14ac:dyDescent="0.25">
      <c r="I13" t="s">
        <v>28</v>
      </c>
      <c r="J13">
        <v>4.9000000000000004</v>
      </c>
    </row>
    <row r="14" spans="1:13" x14ac:dyDescent="0.25">
      <c r="A14" t="s">
        <v>25</v>
      </c>
      <c r="B14">
        <v>8.2000000000000003E-2</v>
      </c>
      <c r="C14" t="s">
        <v>27</v>
      </c>
    </row>
    <row r="15" spans="1:13" x14ac:dyDescent="0.25">
      <c r="A15" t="s">
        <v>31</v>
      </c>
      <c r="B15">
        <f>1</f>
        <v>1</v>
      </c>
      <c r="I15" t="s">
        <v>29</v>
      </c>
      <c r="J15">
        <f>(B9*J13)/(J3*J11)</f>
        <v>203.9802274390199</v>
      </c>
      <c r="K15" t="s">
        <v>30</v>
      </c>
    </row>
    <row r="17" spans="9:9" x14ac:dyDescent="0.25">
      <c r="I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0DB6-E8BE-47C2-953E-F3939C2E37F1}">
  <dimension ref="A3:I9"/>
  <sheetViews>
    <sheetView workbookViewId="0">
      <selection activeCell="I9" sqref="I9"/>
    </sheetView>
  </sheetViews>
  <sheetFormatPr baseColWidth="10" defaultRowHeight="15" x14ac:dyDescent="0.25"/>
  <sheetData>
    <row r="3" spans="1:9" x14ac:dyDescent="0.25">
      <c r="A3" t="s">
        <v>35</v>
      </c>
      <c r="G3" t="s">
        <v>36</v>
      </c>
    </row>
    <row r="4" spans="1:9" x14ac:dyDescent="0.25">
      <c r="A4" t="s">
        <v>18</v>
      </c>
      <c r="B4">
        <v>5</v>
      </c>
      <c r="C4" t="s">
        <v>17</v>
      </c>
      <c r="G4" t="s">
        <v>12</v>
      </c>
      <c r="H4">
        <f>(B4*B5)/(B8*(1-B5))</f>
        <v>18.000000000000004</v>
      </c>
      <c r="I4" t="s">
        <v>13</v>
      </c>
    </row>
    <row r="5" spans="1:9" x14ac:dyDescent="0.25">
      <c r="A5" t="s">
        <v>32</v>
      </c>
      <c r="B5">
        <v>0.9</v>
      </c>
    </row>
    <row r="6" spans="1:9" x14ac:dyDescent="0.25">
      <c r="A6" t="s">
        <v>24</v>
      </c>
      <c r="B6">
        <v>2</v>
      </c>
      <c r="C6" t="s">
        <v>33</v>
      </c>
    </row>
    <row r="7" spans="1:9" x14ac:dyDescent="0.25">
      <c r="G7" t="s">
        <v>10</v>
      </c>
    </row>
    <row r="8" spans="1:9" x14ac:dyDescent="0.25">
      <c r="A8" t="s">
        <v>29</v>
      </c>
      <c r="B8">
        <v>2.5</v>
      </c>
      <c r="C8" t="s">
        <v>34</v>
      </c>
      <c r="G8" t="s">
        <v>12</v>
      </c>
      <c r="H8">
        <f>(B4/B8)*(-1)*LN(1-B5)</f>
        <v>4.6051701859880918</v>
      </c>
      <c r="I8" t="s">
        <v>13</v>
      </c>
    </row>
    <row r="9" spans="1:9" x14ac:dyDescent="0.25">
      <c r="A9" t="s">
        <v>23</v>
      </c>
      <c r="B9">
        <f>-1+1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6C84-B78E-45D7-B37F-64DC1BC488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7558-088A-4E38-9BA1-71EBA45FE71E}">
  <dimension ref="A2:L13"/>
  <sheetViews>
    <sheetView topLeftCell="A4" workbookViewId="0">
      <selection activeCell="M10" sqref="M10"/>
    </sheetView>
  </sheetViews>
  <sheetFormatPr baseColWidth="10" defaultRowHeight="15" x14ac:dyDescent="0.25"/>
  <cols>
    <col min="5" max="5" width="12" bestFit="1" customWidth="1"/>
  </cols>
  <sheetData>
    <row r="2" spans="1:12" x14ac:dyDescent="0.25">
      <c r="A2" t="s">
        <v>29</v>
      </c>
      <c r="B2">
        <v>2.5</v>
      </c>
      <c r="C2" t="s">
        <v>42</v>
      </c>
      <c r="E2" t="s">
        <v>44</v>
      </c>
      <c r="F2">
        <v>1</v>
      </c>
    </row>
    <row r="3" spans="1:12" x14ac:dyDescent="0.25">
      <c r="A3" t="s">
        <v>38</v>
      </c>
      <c r="B3">
        <v>5</v>
      </c>
      <c r="C3" t="s">
        <v>17</v>
      </c>
      <c r="E3" t="s">
        <v>45</v>
      </c>
      <c r="F3">
        <f>F2*(1-B4)</f>
        <v>9.9999999999999978E-2</v>
      </c>
    </row>
    <row r="4" spans="1:12" x14ac:dyDescent="0.25">
      <c r="A4" t="s">
        <v>39</v>
      </c>
      <c r="B4">
        <v>0.9</v>
      </c>
    </row>
    <row r="5" spans="1:12" x14ac:dyDescent="0.25">
      <c r="G5" t="s">
        <v>94</v>
      </c>
      <c r="J5" t="s">
        <v>95</v>
      </c>
    </row>
    <row r="6" spans="1:12" x14ac:dyDescent="0.25">
      <c r="G6" t="s">
        <v>46</v>
      </c>
    </row>
    <row r="7" spans="1:12" x14ac:dyDescent="0.25">
      <c r="A7" t="s">
        <v>25</v>
      </c>
      <c r="B7" t="s">
        <v>40</v>
      </c>
      <c r="C7" t="s">
        <v>91</v>
      </c>
      <c r="D7" t="s">
        <v>41</v>
      </c>
      <c r="E7" t="s">
        <v>43</v>
      </c>
      <c r="F7" t="s">
        <v>58</v>
      </c>
      <c r="G7" t="s">
        <v>93</v>
      </c>
      <c r="H7" t="s">
        <v>92</v>
      </c>
      <c r="I7" t="s">
        <v>41</v>
      </c>
      <c r="J7" t="s">
        <v>93</v>
      </c>
      <c r="K7" t="s">
        <v>92</v>
      </c>
      <c r="L7" t="s">
        <v>41</v>
      </c>
    </row>
    <row r="8" spans="1:12" x14ac:dyDescent="0.25">
      <c r="A8">
        <v>0</v>
      </c>
      <c r="B8">
        <f>$B$4/(1+(A8*(1-$B$4)))</f>
        <v>0.9</v>
      </c>
      <c r="C8">
        <f>$B$3*(1+B8)</f>
        <v>9.5</v>
      </c>
      <c r="D8">
        <f>(C8/$B$2)*(-1)*LN(1-B8)</f>
        <v>8.7498233533773746</v>
      </c>
      <c r="E8">
        <f t="shared" ref="E8:E13" si="0">$B$3*((1+A8)/$B$2)*LN((1+A8-(A8*$B$4))/(1+(A8*(1-$B$4))))</f>
        <v>0</v>
      </c>
      <c r="G8">
        <f t="shared" ref="G8:G13" si="1">((1+A8)/$B$2)*LN(($F$2+(A8*$F$3))/((A8+1)*$F$3))</f>
        <v>0.92103403719761845</v>
      </c>
      <c r="H8">
        <f>$G$8</f>
        <v>0.92103403719761845</v>
      </c>
      <c r="I8">
        <f>(1+A8)*$B$3*H8</f>
        <v>4.6051701859880918</v>
      </c>
      <c r="J8">
        <f>((1+A8)/$B$2)*($F$2-$F$3)/($F$3*($F$2+(A8*$F$3)))</f>
        <v>3.6000000000000014</v>
      </c>
      <c r="K8">
        <f>$J$8</f>
        <v>3.6000000000000014</v>
      </c>
      <c r="L8">
        <f>(1+A8)*$B$3*K8</f>
        <v>18.000000000000007</v>
      </c>
    </row>
    <row r="9" spans="1:12" x14ac:dyDescent="0.25">
      <c r="A9">
        <v>5</v>
      </c>
      <c r="B9">
        <f>$B$4/(1+(A9*(1-$B$4)))</f>
        <v>0.6</v>
      </c>
      <c r="C9">
        <f t="shared" ref="C9:C13" si="2">$B$3*(1+B9)</f>
        <v>8</v>
      </c>
      <c r="D9">
        <f t="shared" ref="D9:D13" si="3">(C9/$B$2)*(-1)*LN(1-B9)</f>
        <v>2.9321303419972962</v>
      </c>
      <c r="E9">
        <f t="shared" si="0"/>
        <v>0</v>
      </c>
      <c r="G9">
        <f t="shared" si="1"/>
        <v>2.1990977564979723</v>
      </c>
      <c r="H9">
        <f t="shared" ref="H9:H13" si="4">$G$8</f>
        <v>0.92103403719761845</v>
      </c>
      <c r="I9">
        <f t="shared" ref="I9:I13" si="5">(1+A9)*$B$3*H9</f>
        <v>27.631021115928554</v>
      </c>
      <c r="J9">
        <f t="shared" ref="J9:J13" si="6">((1+A9)/$B$2)*($F$2-$F$3)/($F$3*($F$2+(A9*$F$3)))</f>
        <v>14.400000000000004</v>
      </c>
      <c r="K9">
        <f t="shared" ref="K9:K13" si="7">$J$8</f>
        <v>3.6000000000000014</v>
      </c>
      <c r="L9">
        <f t="shared" ref="L9:L13" si="8">(1+A9)*$B$3*K9</f>
        <v>108.00000000000004</v>
      </c>
    </row>
    <row r="10" spans="1:12" x14ac:dyDescent="0.25">
      <c r="A10">
        <v>10</v>
      </c>
      <c r="B10">
        <f t="shared" ref="B10:B13" si="9">$B$4/(1+(A10*(1-$B$4)))</f>
        <v>0.45000000000000007</v>
      </c>
      <c r="C10">
        <f t="shared" si="2"/>
        <v>7.2500000000000009</v>
      </c>
      <c r="D10">
        <f t="shared" si="3"/>
        <v>1.7337273021912998</v>
      </c>
      <c r="E10">
        <f t="shared" si="0"/>
        <v>4.884981308350688E-15</v>
      </c>
      <c r="G10">
        <f t="shared" si="1"/>
        <v>2.6304828033247309</v>
      </c>
      <c r="H10">
        <f t="shared" si="4"/>
        <v>0.92103403719761845</v>
      </c>
      <c r="I10">
        <f t="shared" si="5"/>
        <v>50.656872045869015</v>
      </c>
      <c r="J10">
        <f t="shared" si="6"/>
        <v>19.800000000000008</v>
      </c>
      <c r="K10">
        <f t="shared" si="7"/>
        <v>3.6000000000000014</v>
      </c>
      <c r="L10">
        <f t="shared" si="8"/>
        <v>198.00000000000009</v>
      </c>
    </row>
    <row r="11" spans="1:12" x14ac:dyDescent="0.25">
      <c r="A11">
        <v>50</v>
      </c>
      <c r="B11">
        <f t="shared" si="9"/>
        <v>0.15000000000000002</v>
      </c>
      <c r="C11">
        <f t="shared" si="2"/>
        <v>5.75</v>
      </c>
      <c r="D11">
        <f t="shared" si="3"/>
        <v>0.37379353784488234</v>
      </c>
      <c r="E11">
        <f t="shared" si="0"/>
        <v>2.264854970235319E-14</v>
      </c>
      <c r="G11">
        <f t="shared" si="1"/>
        <v>3.3153861617546085</v>
      </c>
      <c r="H11">
        <f t="shared" si="4"/>
        <v>0.92103403719761845</v>
      </c>
      <c r="I11">
        <f t="shared" si="5"/>
        <v>234.86367948539271</v>
      </c>
      <c r="J11">
        <f t="shared" si="6"/>
        <v>30.600000000000012</v>
      </c>
      <c r="K11">
        <f t="shared" si="7"/>
        <v>3.6000000000000014</v>
      </c>
      <c r="L11">
        <f t="shared" si="8"/>
        <v>918.00000000000034</v>
      </c>
    </row>
    <row r="12" spans="1:12" x14ac:dyDescent="0.25">
      <c r="A12">
        <v>100</v>
      </c>
      <c r="B12">
        <f t="shared" si="9"/>
        <v>8.1818181818181832E-2</v>
      </c>
      <c r="C12">
        <f t="shared" si="2"/>
        <v>5.4090909090909092</v>
      </c>
      <c r="D12">
        <f t="shared" si="3"/>
        <v>0.18468767318523005</v>
      </c>
      <c r="E12">
        <f t="shared" si="0"/>
        <v>4.4853010194856318E-14</v>
      </c>
      <c r="G12">
        <f t="shared" si="1"/>
        <v>3.4485378976267365</v>
      </c>
      <c r="H12">
        <f t="shared" si="4"/>
        <v>0.92103403719761845</v>
      </c>
      <c r="I12">
        <f t="shared" si="5"/>
        <v>465.12218878479734</v>
      </c>
      <c r="J12">
        <f t="shared" si="6"/>
        <v>33.054545454545462</v>
      </c>
      <c r="K12">
        <f t="shared" si="7"/>
        <v>3.6000000000000014</v>
      </c>
      <c r="L12">
        <f t="shared" si="8"/>
        <v>1818.0000000000007</v>
      </c>
    </row>
    <row r="13" spans="1:12" x14ac:dyDescent="0.25">
      <c r="A13">
        <v>200</v>
      </c>
      <c r="B13">
        <f t="shared" si="9"/>
        <v>4.2857142857142864E-2</v>
      </c>
      <c r="C13">
        <f t="shared" si="2"/>
        <v>5.2142857142857144</v>
      </c>
      <c r="D13">
        <f t="shared" si="3"/>
        <v>9.1359755830362321E-2</v>
      </c>
      <c r="E13">
        <f t="shared" si="0"/>
        <v>8.9261931179862573E-14</v>
      </c>
      <c r="G13">
        <f t="shared" si="1"/>
        <v>3.521730861734802</v>
      </c>
      <c r="H13">
        <f t="shared" si="4"/>
        <v>0.92103403719761845</v>
      </c>
      <c r="I13">
        <f t="shared" si="5"/>
        <v>925.6392073836065</v>
      </c>
      <c r="J13">
        <f t="shared" si="6"/>
        <v>34.457142857142877</v>
      </c>
      <c r="K13">
        <f t="shared" si="7"/>
        <v>3.6000000000000014</v>
      </c>
      <c r="L13">
        <f t="shared" si="8"/>
        <v>3618.0000000000014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E648-4126-42FF-8FEB-0CDB68DC93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B1BD-08A2-4F29-99BB-2B6DD24F8B99}">
  <dimension ref="A2:N44"/>
  <sheetViews>
    <sheetView tabSelected="1" workbookViewId="0">
      <selection activeCell="G25" sqref="G25"/>
    </sheetView>
  </sheetViews>
  <sheetFormatPr baseColWidth="10" defaultRowHeight="15" x14ac:dyDescent="0.25"/>
  <sheetData>
    <row r="2" spans="1:14" x14ac:dyDescent="0.25">
      <c r="F2" t="s">
        <v>54</v>
      </c>
      <c r="M2" t="s">
        <v>96</v>
      </c>
    </row>
    <row r="3" spans="1:14" x14ac:dyDescent="0.25">
      <c r="F3" t="s">
        <v>55</v>
      </c>
      <c r="G3">
        <f>B4*B8</f>
        <v>20</v>
      </c>
      <c r="H3" t="s">
        <v>65</v>
      </c>
    </row>
    <row r="4" spans="1:14" x14ac:dyDescent="0.25">
      <c r="A4" t="s">
        <v>44</v>
      </c>
      <c r="B4">
        <v>2</v>
      </c>
      <c r="C4" t="s">
        <v>48</v>
      </c>
      <c r="F4" t="s">
        <v>57</v>
      </c>
      <c r="G4">
        <f>(B6*(B4^2)*((1-G5)^2)*B7)/G5</f>
        <v>19.999953895403749</v>
      </c>
      <c r="H4" t="s">
        <v>65</v>
      </c>
      <c r="M4" t="s">
        <v>97</v>
      </c>
    </row>
    <row r="5" spans="1:14" x14ac:dyDescent="0.25">
      <c r="A5" t="s">
        <v>47</v>
      </c>
      <c r="B5">
        <v>2</v>
      </c>
      <c r="C5" t="s">
        <v>48</v>
      </c>
      <c r="F5" t="s">
        <v>56</v>
      </c>
      <c r="G5">
        <v>0.38196640503084361</v>
      </c>
      <c r="I5" t="s">
        <v>73</v>
      </c>
    </row>
    <row r="6" spans="1:14" x14ac:dyDescent="0.25">
      <c r="A6" t="s">
        <v>29</v>
      </c>
      <c r="B6">
        <v>2.5000000000000001E-2</v>
      </c>
      <c r="C6" t="s">
        <v>49</v>
      </c>
      <c r="F6" t="s">
        <v>58</v>
      </c>
      <c r="G6">
        <f>B4*(1-G5)</f>
        <v>1.2360671899383129</v>
      </c>
      <c r="H6" t="s">
        <v>48</v>
      </c>
      <c r="M6" t="s">
        <v>9</v>
      </c>
      <c r="N6" t="s">
        <v>70</v>
      </c>
    </row>
    <row r="7" spans="1:14" x14ac:dyDescent="0.25">
      <c r="A7" t="s">
        <v>12</v>
      </c>
      <c r="B7">
        <v>200</v>
      </c>
      <c r="C7" t="s">
        <v>50</v>
      </c>
      <c r="F7" t="s">
        <v>59</v>
      </c>
      <c r="G7">
        <f>B4*(1-G5)</f>
        <v>1.2360671899383129</v>
      </c>
      <c r="H7">
        <f>B5-(B4*G5)</f>
        <v>1.2360671899383129</v>
      </c>
      <c r="I7" t="s">
        <v>48</v>
      </c>
      <c r="M7">
        <v>0</v>
      </c>
      <c r="N7" t="e">
        <f>($B$6*$G$15*(1-M7)*($G$17-($G$15*M7))*$B$7)/M7</f>
        <v>#DIV/0!</v>
      </c>
    </row>
    <row r="8" spans="1:14" x14ac:dyDescent="0.25">
      <c r="A8" t="s">
        <v>38</v>
      </c>
      <c r="B8">
        <v>10</v>
      </c>
      <c r="C8" t="s">
        <v>51</v>
      </c>
      <c r="F8" t="s">
        <v>60</v>
      </c>
      <c r="G8">
        <f>B4*G5</f>
        <v>0.76393281006168723</v>
      </c>
      <c r="H8" t="s">
        <v>48</v>
      </c>
      <c r="M8">
        <v>0.05</v>
      </c>
      <c r="N8">
        <f t="shared" ref="N8:N27" si="0">($B$6*$G$15*(1-M8)*($G$17-($G$15*M8))*$B$7)/M8</f>
        <v>133.3676288901803</v>
      </c>
    </row>
    <row r="9" spans="1:14" x14ac:dyDescent="0.25">
      <c r="A9" t="s">
        <v>52</v>
      </c>
      <c r="B9">
        <f>0.1*B8</f>
        <v>1</v>
      </c>
      <c r="C9" t="s">
        <v>51</v>
      </c>
      <c r="F9" t="s">
        <v>63</v>
      </c>
      <c r="G9">
        <f>B8</f>
        <v>10</v>
      </c>
      <c r="H9" t="s">
        <v>51</v>
      </c>
      <c r="M9">
        <v>0.1</v>
      </c>
      <c r="N9">
        <f t="shared" si="0"/>
        <v>60.333074115822889</v>
      </c>
    </row>
    <row r="10" spans="1:14" x14ac:dyDescent="0.25">
      <c r="A10" t="s">
        <v>53</v>
      </c>
      <c r="B10">
        <f>0.1*B8</f>
        <v>1</v>
      </c>
      <c r="C10" t="s">
        <v>51</v>
      </c>
      <c r="M10">
        <v>0.15</v>
      </c>
      <c r="N10">
        <f t="shared" si="0"/>
        <v>36.198671849169585</v>
      </c>
    </row>
    <row r="11" spans="1:14" x14ac:dyDescent="0.25">
      <c r="M11">
        <v>0.2</v>
      </c>
      <c r="N11">
        <f t="shared" si="0"/>
        <v>24.289307709442323</v>
      </c>
    </row>
    <row r="12" spans="1:14" x14ac:dyDescent="0.25">
      <c r="F12" s="1" t="s">
        <v>61</v>
      </c>
      <c r="M12">
        <v>0.25</v>
      </c>
      <c r="N12">
        <f t="shared" si="0"/>
        <v>17.26995882048546</v>
      </c>
    </row>
    <row r="13" spans="1:14" x14ac:dyDescent="0.25">
      <c r="F13" t="s">
        <v>66</v>
      </c>
      <c r="M13">
        <v>0.3</v>
      </c>
      <c r="N13">
        <f t="shared" si="0"/>
        <v>12.695617556913808</v>
      </c>
    </row>
    <row r="14" spans="1:14" x14ac:dyDescent="0.25">
      <c r="F14" t="s">
        <v>64</v>
      </c>
      <c r="G14">
        <f>G9+B9</f>
        <v>11</v>
      </c>
      <c r="H14" t="s">
        <v>51</v>
      </c>
      <c r="M14">
        <v>0.35</v>
      </c>
      <c r="N14">
        <f t="shared" si="0"/>
        <v>9.5184235078479862</v>
      </c>
    </row>
    <row r="15" spans="1:14" x14ac:dyDescent="0.25">
      <c r="F15" t="s">
        <v>62</v>
      </c>
      <c r="G15">
        <f>B4*(1-G5)*G9/G14</f>
        <v>1.1236974453984663</v>
      </c>
      <c r="H15" t="s">
        <v>48</v>
      </c>
      <c r="M15">
        <v>0.4</v>
      </c>
      <c r="N15">
        <f t="shared" si="0"/>
        <v>7.2144464678483109</v>
      </c>
    </row>
    <row r="16" spans="1:14" x14ac:dyDescent="0.25">
      <c r="F16" t="s">
        <v>67</v>
      </c>
      <c r="M16">
        <v>0.45</v>
      </c>
      <c r="N16">
        <f t="shared" si="0"/>
        <v>5.4926141005593996</v>
      </c>
    </row>
    <row r="17" spans="6:14" x14ac:dyDescent="0.25">
      <c r="F17" t="s">
        <v>68</v>
      </c>
      <c r="G17">
        <f>((G9*G7)+(B5*B9))/G14</f>
        <v>1.3055156272166479</v>
      </c>
      <c r="H17" t="s">
        <v>48</v>
      </c>
      <c r="M17">
        <v>0.5</v>
      </c>
      <c r="N17">
        <f t="shared" si="0"/>
        <v>4.178283004168021</v>
      </c>
    </row>
    <row r="18" spans="6:14" x14ac:dyDescent="0.25">
      <c r="M18">
        <v>0.55000000000000004</v>
      </c>
      <c r="N18">
        <f t="shared" si="0"/>
        <v>3.1603164684293943</v>
      </c>
    </row>
    <row r="19" spans="6:14" x14ac:dyDescent="0.25">
      <c r="F19" s="1" t="s">
        <v>69</v>
      </c>
      <c r="M19">
        <v>0.6</v>
      </c>
      <c r="N19">
        <f t="shared" si="0"/>
        <v>2.3646233531803347</v>
      </c>
    </row>
    <row r="20" spans="6:14" x14ac:dyDescent="0.25">
      <c r="F20" t="s">
        <v>70</v>
      </c>
      <c r="G20">
        <f>G14*G15</f>
        <v>12.36067189938313</v>
      </c>
      <c r="H20" t="s">
        <v>65</v>
      </c>
      <c r="M20">
        <v>0.65</v>
      </c>
      <c r="N20">
        <f t="shared" si="0"/>
        <v>1.7399097921540141</v>
      </c>
    </row>
    <row r="21" spans="6:14" x14ac:dyDescent="0.25">
      <c r="F21" t="s">
        <v>71</v>
      </c>
      <c r="G21">
        <f>(B6*G15*(1-G22)*(G17-(G15*G22))*B7)/G22</f>
        <v>12.360327315067103</v>
      </c>
      <c r="H21" t="s">
        <v>65</v>
      </c>
      <c r="M21">
        <v>0.7</v>
      </c>
      <c r="N21">
        <f t="shared" si="0"/>
        <v>1.2495373094455642</v>
      </c>
    </row>
    <row r="22" spans="6:14" x14ac:dyDescent="0.25">
      <c r="F22" t="s">
        <v>89</v>
      </c>
      <c r="G22">
        <v>0.30453255686656666</v>
      </c>
      <c r="I22" t="s">
        <v>74</v>
      </c>
      <c r="M22">
        <v>0.75</v>
      </c>
      <c r="N22">
        <f t="shared" si="0"/>
        <v>0.8666376893914074</v>
      </c>
    </row>
    <row r="23" spans="6:14" x14ac:dyDescent="0.25">
      <c r="M23">
        <v>0.8</v>
      </c>
      <c r="N23">
        <f t="shared" si="0"/>
        <v>0.57105977024386534</v>
      </c>
    </row>
    <row r="24" spans="6:14" x14ac:dyDescent="0.25">
      <c r="F24" s="1" t="s">
        <v>61</v>
      </c>
      <c r="M24">
        <v>0.85</v>
      </c>
      <c r="N24">
        <f t="shared" si="0"/>
        <v>0.34739384007824176</v>
      </c>
    </row>
    <row r="25" spans="6:14" x14ac:dyDescent="0.25">
      <c r="F25" t="s">
        <v>72</v>
      </c>
      <c r="G25">
        <f>G20*(1-G22)</f>
        <v>8.5964448812752643</v>
      </c>
      <c r="H25" t="s">
        <v>65</v>
      </c>
      <c r="M25">
        <v>0.9</v>
      </c>
      <c r="N25">
        <f t="shared" si="0"/>
        <v>0.1836545673975491</v>
      </c>
    </row>
    <row r="26" spans="6:14" x14ac:dyDescent="0.25">
      <c r="F26" t="s">
        <v>75</v>
      </c>
      <c r="G26">
        <f>(G3-G25)/G3</f>
        <v>0.57017775593623676</v>
      </c>
      <c r="I26" t="s">
        <v>76</v>
      </c>
      <c r="M26">
        <v>0.95</v>
      </c>
      <c r="N26">
        <f t="shared" si="0"/>
        <v>7.0379848388378144E-2</v>
      </c>
    </row>
    <row r="27" spans="6:14" x14ac:dyDescent="0.25">
      <c r="F27" t="s">
        <v>79</v>
      </c>
      <c r="G27">
        <f>G15*(1-G22)</f>
        <v>0.78149498920684213</v>
      </c>
      <c r="M27">
        <v>1</v>
      </c>
      <c r="N27">
        <f t="shared" si="0"/>
        <v>0</v>
      </c>
    </row>
    <row r="28" spans="6:14" x14ac:dyDescent="0.25">
      <c r="F28" t="s">
        <v>80</v>
      </c>
      <c r="G28">
        <f>G17-(G15*G22)</f>
        <v>0.96331317102502378</v>
      </c>
    </row>
    <row r="31" spans="6:14" x14ac:dyDescent="0.25">
      <c r="F31" s="1" t="s">
        <v>61</v>
      </c>
    </row>
    <row r="32" spans="6:14" x14ac:dyDescent="0.25">
      <c r="F32" t="s">
        <v>77</v>
      </c>
      <c r="G32">
        <f>G14+B10</f>
        <v>12</v>
      </c>
      <c r="H32" t="s">
        <v>51</v>
      </c>
    </row>
    <row r="33" spans="6:9" x14ac:dyDescent="0.25">
      <c r="F33" t="s">
        <v>78</v>
      </c>
      <c r="G33">
        <f>G25/G32</f>
        <v>0.71637040677293873</v>
      </c>
    </row>
    <row r="34" spans="6:9" x14ac:dyDescent="0.25">
      <c r="F34" t="s">
        <v>81</v>
      </c>
      <c r="G34">
        <f>((G14*G28)+(B5*B10))/G32</f>
        <v>1.0497037401062717</v>
      </c>
    </row>
    <row r="36" spans="6:9" x14ac:dyDescent="0.25">
      <c r="F36" s="1" t="s">
        <v>82</v>
      </c>
    </row>
    <row r="37" spans="6:9" x14ac:dyDescent="0.25">
      <c r="F37" t="s">
        <v>83</v>
      </c>
      <c r="G37">
        <f>G32*G33</f>
        <v>8.5964448812752643</v>
      </c>
    </row>
    <row r="38" spans="6:9" x14ac:dyDescent="0.25">
      <c r="F38" t="s">
        <v>87</v>
      </c>
      <c r="G38">
        <f>(B6*G33*(1-G39)*(G34-(G33*G39))*B7)/G39</f>
        <v>8.5964153657344777</v>
      </c>
    </row>
    <row r="39" spans="6:9" x14ac:dyDescent="0.25">
      <c r="F39" t="s">
        <v>90</v>
      </c>
      <c r="G39">
        <v>0.26394468981121466</v>
      </c>
      <c r="I39" t="s">
        <v>74</v>
      </c>
    </row>
    <row r="41" spans="6:9" x14ac:dyDescent="0.25">
      <c r="F41" t="s">
        <v>84</v>
      </c>
      <c r="G41">
        <f>G37*(1-G39)</f>
        <v>6.3274589036078606</v>
      </c>
    </row>
    <row r="42" spans="6:9" x14ac:dyDescent="0.25">
      <c r="F42" t="s">
        <v>85</v>
      </c>
      <c r="G42">
        <f>(G3-G41)/G3</f>
        <v>0.68362705481960695</v>
      </c>
      <c r="I42" t="s">
        <v>76</v>
      </c>
    </row>
    <row r="43" spans="6:9" x14ac:dyDescent="0.25">
      <c r="F43" t="s">
        <v>86</v>
      </c>
      <c r="G43">
        <f>G33*(1-G39)</f>
        <v>0.52728824196732171</v>
      </c>
    </row>
    <row r="44" spans="6:9" x14ac:dyDescent="0.25">
      <c r="F44" t="s">
        <v>88</v>
      </c>
      <c r="G44">
        <f>G34-(G33*G39)</f>
        <v>0.86062157530065464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eje5</vt:lpstr>
      <vt:lpstr>eje1</vt:lpstr>
      <vt:lpstr>eje3</vt:lpstr>
      <vt:lpstr>eje8</vt:lpstr>
      <vt:lpstr>eje9</vt:lpstr>
      <vt:lpstr>eje4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estergaard</dc:creator>
  <cp:lastModifiedBy>79juanenrrique@hotmail.com.ar</cp:lastModifiedBy>
  <dcterms:created xsi:type="dcterms:W3CDTF">2015-06-05T18:17:20Z</dcterms:created>
  <dcterms:modified xsi:type="dcterms:W3CDTF">2024-04-20T03:20:31Z</dcterms:modified>
</cp:coreProperties>
</file>