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6\Tema 6 - Reactores no isotérmicos\"/>
    </mc:Choice>
  </mc:AlternateContent>
  <xr:revisionPtr revIDLastSave="0" documentId="13_ncr:1_{C84F8230-5D27-4501-994A-A32A91CE201B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eje3" sheetId="4" r:id="rId1"/>
    <sheet name="ejercicio 4" sheetId="1" r:id="rId2"/>
    <sheet name="ejercicio 5" sheetId="2" r:id="rId3"/>
    <sheet name="eje6" sheetId="5" r:id="rId4"/>
    <sheet name="tarea" sheetId="3" r:id="rId5"/>
    <sheet name="eje10" sheetId="6" r:id="rId6"/>
    <sheet name="curbas G y R" sheetId="7" r:id="rId7"/>
  </sheets>
  <calcPr calcId="191029"/>
</workbook>
</file>

<file path=xl/calcChain.xml><?xml version="1.0" encoding="utf-8"?>
<calcChain xmlns="http://schemas.openxmlformats.org/spreadsheetml/2006/main">
  <c r="H38" i="7" l="1"/>
  <c r="I38" i="7" s="1"/>
  <c r="J38" i="7" s="1"/>
  <c r="H39" i="7"/>
  <c r="I39" i="7" s="1"/>
  <c r="J39" i="7" s="1"/>
  <c r="H40" i="7"/>
  <c r="I40" i="7" s="1"/>
  <c r="J40" i="7" s="1"/>
  <c r="H41" i="7"/>
  <c r="I41" i="7" s="1"/>
  <c r="J41" i="7" s="1"/>
  <c r="H42" i="7"/>
  <c r="I42" i="7" s="1"/>
  <c r="J42" i="7" s="1"/>
  <c r="H43" i="7"/>
  <c r="I43" i="7" s="1"/>
  <c r="J43" i="7" s="1"/>
  <c r="H44" i="7"/>
  <c r="I44" i="7" s="1"/>
  <c r="J44" i="7" s="1"/>
  <c r="H45" i="7"/>
  <c r="I45" i="7" s="1"/>
  <c r="J45" i="7" s="1"/>
  <c r="H46" i="7"/>
  <c r="I46" i="7" s="1"/>
  <c r="J46" i="7" s="1"/>
  <c r="H47" i="7"/>
  <c r="I47" i="7" s="1"/>
  <c r="J47" i="7" s="1"/>
  <c r="H48" i="7"/>
  <c r="I48" i="7" s="1"/>
  <c r="J48" i="7" s="1"/>
  <c r="H49" i="7"/>
  <c r="I49" i="7" s="1"/>
  <c r="J49" i="7" s="1"/>
  <c r="H50" i="7"/>
  <c r="I50" i="7" s="1"/>
  <c r="J50" i="7" s="1"/>
  <c r="H51" i="7"/>
  <c r="I51" i="7" s="1"/>
  <c r="J51" i="7" s="1"/>
  <c r="H52" i="7"/>
  <c r="I52" i="7" s="1"/>
  <c r="J52" i="7" s="1"/>
  <c r="H53" i="7"/>
  <c r="I53" i="7" s="1"/>
  <c r="J53" i="7" s="1"/>
  <c r="H54" i="7"/>
  <c r="I54" i="7" s="1"/>
  <c r="J54" i="7" s="1"/>
  <c r="H55" i="7"/>
  <c r="I55" i="7" s="1"/>
  <c r="J55" i="7" s="1"/>
  <c r="H56" i="7"/>
  <c r="I56" i="7" s="1"/>
  <c r="J56" i="7" s="1"/>
  <c r="H57" i="7"/>
  <c r="I57" i="7" s="1"/>
  <c r="J57" i="7" s="1"/>
  <c r="H37" i="7"/>
  <c r="I37" i="7" s="1"/>
  <c r="J37" i="7" s="1"/>
  <c r="E9" i="6"/>
  <c r="G19" i="6"/>
  <c r="I3" i="6"/>
  <c r="D37" i="7"/>
  <c r="C37" i="7"/>
  <c r="E24" i="7"/>
  <c r="F24" i="7" s="1"/>
  <c r="E10" i="7"/>
  <c r="F10" i="7" s="1"/>
  <c r="E11" i="7"/>
  <c r="F11" i="7" s="1"/>
  <c r="E12" i="7"/>
  <c r="F12" i="7" s="1"/>
  <c r="G12" i="7" s="1"/>
  <c r="E13" i="7"/>
  <c r="F13" i="7" s="1"/>
  <c r="E14" i="7"/>
  <c r="F14" i="7" s="1"/>
  <c r="E15" i="7"/>
  <c r="F15" i="7" s="1"/>
  <c r="E16" i="7"/>
  <c r="F16" i="7" s="1"/>
  <c r="G16" i="7" s="1"/>
  <c r="E17" i="7"/>
  <c r="F17" i="7" s="1"/>
  <c r="E18" i="7"/>
  <c r="F18" i="7" s="1"/>
  <c r="E19" i="7"/>
  <c r="F19" i="7" s="1"/>
  <c r="E20" i="7"/>
  <c r="F20" i="7" s="1"/>
  <c r="G20" i="7" s="1"/>
  <c r="E21" i="7"/>
  <c r="F21" i="7" s="1"/>
  <c r="E22" i="7"/>
  <c r="F22" i="7" s="1"/>
  <c r="E23" i="7"/>
  <c r="F23" i="7" s="1"/>
  <c r="E9" i="7"/>
  <c r="F9" i="7" s="1"/>
  <c r="G9" i="7" s="1"/>
  <c r="B10" i="7"/>
  <c r="C10" i="7" s="1"/>
  <c r="B11" i="7"/>
  <c r="C11" i="7" s="1"/>
  <c r="B12" i="7"/>
  <c r="C12" i="7" s="1"/>
  <c r="B13" i="7"/>
  <c r="C13" i="7" s="1"/>
  <c r="D13" i="7" s="1"/>
  <c r="B14" i="7"/>
  <c r="C14" i="7" s="1"/>
  <c r="B15" i="7"/>
  <c r="C15" i="7" s="1"/>
  <c r="B16" i="7"/>
  <c r="C16" i="7" s="1"/>
  <c r="B17" i="7"/>
  <c r="C17" i="7" s="1"/>
  <c r="D17" i="7" s="1"/>
  <c r="B18" i="7"/>
  <c r="C18" i="7" s="1"/>
  <c r="B19" i="7"/>
  <c r="C19" i="7" s="1"/>
  <c r="B20" i="7"/>
  <c r="C20" i="7" s="1"/>
  <c r="B21" i="7"/>
  <c r="C21" i="7" s="1"/>
  <c r="D21" i="7" s="1"/>
  <c r="B22" i="7"/>
  <c r="C22" i="7" s="1"/>
  <c r="B23" i="7"/>
  <c r="C23" i="7" s="1"/>
  <c r="B24" i="7"/>
  <c r="C24" i="7" s="1"/>
  <c r="B9" i="7"/>
  <c r="C9" i="7" s="1"/>
  <c r="D9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37" i="7"/>
  <c r="B37" i="7" s="1"/>
  <c r="B22" i="6"/>
  <c r="C22" i="6" s="1"/>
  <c r="E22" i="6" s="1"/>
  <c r="D22" i="6"/>
  <c r="F22" i="6"/>
  <c r="B23" i="6"/>
  <c r="C23" i="6"/>
  <c r="E23" i="6" s="1"/>
  <c r="D23" i="6"/>
  <c r="F23" i="6"/>
  <c r="B24" i="6"/>
  <c r="D24" i="6" s="1"/>
  <c r="C24" i="6"/>
  <c r="F24" i="6"/>
  <c r="B25" i="6"/>
  <c r="C25" i="6" s="1"/>
  <c r="F25" i="6"/>
  <c r="B26" i="6"/>
  <c r="C26" i="6" s="1"/>
  <c r="E26" i="6" s="1"/>
  <c r="D26" i="6"/>
  <c r="F26" i="6"/>
  <c r="B27" i="6"/>
  <c r="C27" i="6"/>
  <c r="E27" i="6" s="1"/>
  <c r="D27" i="6"/>
  <c r="F27" i="6"/>
  <c r="B28" i="6"/>
  <c r="D28" i="6" s="1"/>
  <c r="C28" i="6"/>
  <c r="F28" i="6"/>
  <c r="B29" i="6"/>
  <c r="C29" i="6" s="1"/>
  <c r="F29" i="6"/>
  <c r="B30" i="6"/>
  <c r="C30" i="6" s="1"/>
  <c r="E30" i="6" s="1"/>
  <c r="D30" i="6"/>
  <c r="F30" i="6"/>
  <c r="B31" i="6"/>
  <c r="C31" i="6"/>
  <c r="E31" i="6" s="1"/>
  <c r="D31" i="6"/>
  <c r="F31" i="6"/>
  <c r="B32" i="6"/>
  <c r="D32" i="6" s="1"/>
  <c r="C32" i="6"/>
  <c r="F32" i="6"/>
  <c r="B33" i="6"/>
  <c r="C33" i="6" s="1"/>
  <c r="F33" i="6"/>
  <c r="A22" i="6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F10" i="6"/>
  <c r="F11" i="6"/>
  <c r="F12" i="6"/>
  <c r="F13" i="6"/>
  <c r="F14" i="6"/>
  <c r="F15" i="6"/>
  <c r="F16" i="6"/>
  <c r="F17" i="6"/>
  <c r="F18" i="6"/>
  <c r="F19" i="6"/>
  <c r="F20" i="6"/>
  <c r="F21" i="6"/>
  <c r="F9" i="6"/>
  <c r="E10" i="6"/>
  <c r="E11" i="6"/>
  <c r="E12" i="6"/>
  <c r="E13" i="6"/>
  <c r="E14" i="6"/>
  <c r="E15" i="6"/>
  <c r="E16" i="6"/>
  <c r="E17" i="6"/>
  <c r="E18" i="6"/>
  <c r="E19" i="6"/>
  <c r="E20" i="6"/>
  <c r="E21" i="6"/>
  <c r="D10" i="6"/>
  <c r="D11" i="6"/>
  <c r="D12" i="6"/>
  <c r="D13" i="6"/>
  <c r="D14" i="6"/>
  <c r="D15" i="6"/>
  <c r="D16" i="6"/>
  <c r="D17" i="6"/>
  <c r="D18" i="6"/>
  <c r="D19" i="6"/>
  <c r="D20" i="6"/>
  <c r="D21" i="6"/>
  <c r="C10" i="6"/>
  <c r="C11" i="6"/>
  <c r="C12" i="6"/>
  <c r="C13" i="6"/>
  <c r="C14" i="6"/>
  <c r="C15" i="6"/>
  <c r="C16" i="6"/>
  <c r="C17" i="6"/>
  <c r="C18" i="6"/>
  <c r="C19" i="6"/>
  <c r="C20" i="6"/>
  <c r="C21" i="6"/>
  <c r="C9" i="6"/>
  <c r="D9" i="6"/>
  <c r="B10" i="6"/>
  <c r="B11" i="6"/>
  <c r="B12" i="6"/>
  <c r="B13" i="6"/>
  <c r="B14" i="6"/>
  <c r="B15" i="6"/>
  <c r="B16" i="6"/>
  <c r="B17" i="6"/>
  <c r="B18" i="6"/>
  <c r="B19" i="6"/>
  <c r="B20" i="6"/>
  <c r="B21" i="6"/>
  <c r="B9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10" i="6"/>
  <c r="A9" i="6"/>
  <c r="B16" i="5"/>
  <c r="B18" i="5" s="1"/>
  <c r="B20" i="5" s="1"/>
  <c r="B14" i="5"/>
  <c r="B13" i="5"/>
  <c r="B12" i="5"/>
  <c r="I6" i="5"/>
  <c r="H6" i="5"/>
  <c r="M3" i="5" s="1"/>
  <c r="I5" i="5"/>
  <c r="H5" i="5"/>
  <c r="I4" i="5"/>
  <c r="H4" i="5"/>
  <c r="H3" i="5"/>
  <c r="H8" i="5" s="1"/>
  <c r="H10" i="5" s="1"/>
  <c r="H12" i="5" s="1"/>
  <c r="G23" i="7" l="1"/>
  <c r="G19" i="7"/>
  <c r="G15" i="7"/>
  <c r="G11" i="7"/>
  <c r="D24" i="7"/>
  <c r="D20" i="7"/>
  <c r="D16" i="7"/>
  <c r="D12" i="7"/>
  <c r="G22" i="7"/>
  <c r="G18" i="7"/>
  <c r="G14" i="7"/>
  <c r="G10" i="7"/>
  <c r="D23" i="7"/>
  <c r="D19" i="7"/>
  <c r="D15" i="7"/>
  <c r="D11" i="7"/>
  <c r="G21" i="7"/>
  <c r="G17" i="7"/>
  <c r="G13" i="7"/>
  <c r="G24" i="7"/>
  <c r="D22" i="7"/>
  <c r="D18" i="7"/>
  <c r="D14" i="7"/>
  <c r="D10" i="7"/>
  <c r="E37" i="7"/>
  <c r="F37" i="7" s="1"/>
  <c r="G37" i="7" s="1"/>
  <c r="A38" i="7"/>
  <c r="E32" i="6"/>
  <c r="E28" i="6"/>
  <c r="E24" i="6"/>
  <c r="D33" i="6"/>
  <c r="E33" i="6" s="1"/>
  <c r="D29" i="6"/>
  <c r="E29" i="6" s="1"/>
  <c r="D25" i="6"/>
  <c r="E25" i="6" s="1"/>
  <c r="N32" i="2"/>
  <c r="N30" i="2"/>
  <c r="A43" i="2"/>
  <c r="B43" i="2" s="1"/>
  <c r="C43" i="2" s="1"/>
  <c r="D43" i="2" s="1"/>
  <c r="E43" i="2" s="1"/>
  <c r="E32" i="2"/>
  <c r="C32" i="2"/>
  <c r="C33" i="2" s="1"/>
  <c r="C34" i="2" s="1"/>
  <c r="C36" i="2" s="1"/>
  <c r="E31" i="2"/>
  <c r="C26" i="2"/>
  <c r="C27" i="2" s="1"/>
  <c r="C25" i="2"/>
  <c r="D19" i="2"/>
  <c r="M2" i="2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N3" i="1"/>
  <c r="N4" i="1" s="1"/>
  <c r="E4" i="1"/>
  <c r="B14" i="4"/>
  <c r="A15" i="4"/>
  <c r="D8" i="4"/>
  <c r="H4" i="4"/>
  <c r="B15" i="4" s="1"/>
  <c r="H2" i="3"/>
  <c r="I2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D11" i="3" s="1"/>
  <c r="B10" i="3"/>
  <c r="D10" i="3" s="1"/>
  <c r="B9" i="3"/>
  <c r="A29" i="3"/>
  <c r="A30" i="3" s="1"/>
  <c r="A31" i="3" s="1"/>
  <c r="A32" i="3" s="1"/>
  <c r="A33" i="3" s="1"/>
  <c r="A21" i="3"/>
  <c r="A22" i="3"/>
  <c r="A23" i="3" s="1"/>
  <c r="A24" i="3" s="1"/>
  <c r="A25" i="3" s="1"/>
  <c r="A26" i="3" s="1"/>
  <c r="A27" i="3" s="1"/>
  <c r="A28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10" i="3"/>
  <c r="A9" i="3"/>
  <c r="A6" i="2"/>
  <c r="B14" i="2" s="1"/>
  <c r="E14" i="2" s="1"/>
  <c r="B13" i="2"/>
  <c r="E13" i="2" s="1"/>
  <c r="B11" i="2"/>
  <c r="E11" i="2" s="1"/>
  <c r="B9" i="2"/>
  <c r="E9" i="2" s="1"/>
  <c r="D9" i="2"/>
  <c r="D10" i="2"/>
  <c r="D11" i="2"/>
  <c r="D12" i="2"/>
  <c r="D13" i="2"/>
  <c r="D14" i="2"/>
  <c r="D8" i="2"/>
  <c r="B38" i="7" l="1"/>
  <c r="C38" i="7" s="1"/>
  <c r="D38" i="7" s="1"/>
  <c r="E38" i="7"/>
  <c r="F38" i="7" s="1"/>
  <c r="G38" i="7" s="1"/>
  <c r="A39" i="7"/>
  <c r="B39" i="7" s="1"/>
  <c r="C39" i="7" s="1"/>
  <c r="D39" i="7" s="1"/>
  <c r="A44" i="2"/>
  <c r="A45" i="2" s="1"/>
  <c r="B44" i="2"/>
  <c r="C44" i="2" s="1"/>
  <c r="D44" i="2" s="1"/>
  <c r="E44" i="2" s="1"/>
  <c r="E11" i="3"/>
  <c r="B8" i="2"/>
  <c r="E8" i="2" s="1"/>
  <c r="B10" i="2"/>
  <c r="E10" i="2" s="1"/>
  <c r="B12" i="2"/>
  <c r="E12" i="2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8" i="1"/>
  <c r="C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7" i="1"/>
  <c r="A40" i="7" l="1"/>
  <c r="E40" i="7" s="1"/>
  <c r="F40" i="7" s="1"/>
  <c r="G40" i="7" s="1"/>
  <c r="E39" i="7"/>
  <c r="F39" i="7" s="1"/>
  <c r="G39" i="7" s="1"/>
  <c r="A46" i="2"/>
  <c r="B45" i="2"/>
  <c r="C45" i="2" s="1"/>
  <c r="D45" i="2" s="1"/>
  <c r="E45" i="2" s="1"/>
  <c r="A41" i="7" l="1"/>
  <c r="E41" i="7" s="1"/>
  <c r="F41" i="7" s="1"/>
  <c r="G41" i="7" s="1"/>
  <c r="B40" i="7"/>
  <c r="C40" i="7" s="1"/>
  <c r="D40" i="7" s="1"/>
  <c r="A42" i="7"/>
  <c r="E42" i="7" s="1"/>
  <c r="F42" i="7" s="1"/>
  <c r="G42" i="7" s="1"/>
  <c r="A47" i="2"/>
  <c r="B46" i="2"/>
  <c r="C46" i="2" s="1"/>
  <c r="D46" i="2" s="1"/>
  <c r="E46" i="2" s="1"/>
  <c r="B41" i="7" l="1"/>
  <c r="C41" i="7" s="1"/>
  <c r="D41" i="7" s="1"/>
  <c r="A43" i="7"/>
  <c r="E43" i="7" s="1"/>
  <c r="F43" i="7" s="1"/>
  <c r="G43" i="7" s="1"/>
  <c r="B42" i="7"/>
  <c r="C42" i="7" s="1"/>
  <c r="D42" i="7" s="1"/>
  <c r="A48" i="2"/>
  <c r="B47" i="2"/>
  <c r="C47" i="2" s="1"/>
  <c r="D47" i="2" s="1"/>
  <c r="E47" i="2" s="1"/>
  <c r="A44" i="7" l="1"/>
  <c r="E44" i="7" s="1"/>
  <c r="F44" i="7" s="1"/>
  <c r="G44" i="7" s="1"/>
  <c r="B43" i="7"/>
  <c r="C43" i="7" s="1"/>
  <c r="D43" i="7" s="1"/>
  <c r="A49" i="2"/>
  <c r="B48" i="2"/>
  <c r="C48" i="2" s="1"/>
  <c r="D48" i="2" s="1"/>
  <c r="E48" i="2" s="1"/>
  <c r="A45" i="7" l="1"/>
  <c r="E45" i="7" s="1"/>
  <c r="F45" i="7" s="1"/>
  <c r="G45" i="7" s="1"/>
  <c r="B44" i="7"/>
  <c r="C44" i="7" s="1"/>
  <c r="D44" i="7" s="1"/>
  <c r="A50" i="2"/>
  <c r="B49" i="2"/>
  <c r="C49" i="2" s="1"/>
  <c r="D49" i="2" s="1"/>
  <c r="E49" i="2" s="1"/>
  <c r="A46" i="7" l="1"/>
  <c r="E46" i="7" s="1"/>
  <c r="F46" i="7" s="1"/>
  <c r="G46" i="7" s="1"/>
  <c r="B45" i="7"/>
  <c r="C45" i="7" s="1"/>
  <c r="D45" i="7" s="1"/>
  <c r="A51" i="2"/>
  <c r="B50" i="2"/>
  <c r="C50" i="2" s="1"/>
  <c r="D50" i="2" s="1"/>
  <c r="E50" i="2" s="1"/>
  <c r="A47" i="7" l="1"/>
  <c r="E47" i="7" s="1"/>
  <c r="F47" i="7" s="1"/>
  <c r="G47" i="7" s="1"/>
  <c r="B46" i="7"/>
  <c r="C46" i="7" s="1"/>
  <c r="D46" i="7" s="1"/>
  <c r="B51" i="2"/>
  <c r="C51" i="2" s="1"/>
  <c r="D51" i="2" s="1"/>
  <c r="E51" i="2" s="1"/>
  <c r="A52" i="2"/>
  <c r="A48" i="7" l="1"/>
  <c r="E48" i="7" s="1"/>
  <c r="F48" i="7" s="1"/>
  <c r="G48" i="7" s="1"/>
  <c r="B47" i="7"/>
  <c r="C47" i="7" s="1"/>
  <c r="D47" i="7" s="1"/>
  <c r="B52" i="2"/>
  <c r="C52" i="2" s="1"/>
  <c r="D52" i="2" s="1"/>
  <c r="E52" i="2" s="1"/>
  <c r="A53" i="2"/>
  <c r="A49" i="7" l="1"/>
  <c r="E49" i="7" s="1"/>
  <c r="F49" i="7" s="1"/>
  <c r="G49" i="7" s="1"/>
  <c r="B48" i="7"/>
  <c r="C48" i="7" s="1"/>
  <c r="D48" i="7" s="1"/>
  <c r="B53" i="2"/>
  <c r="C53" i="2" s="1"/>
  <c r="D53" i="2" s="1"/>
  <c r="E53" i="2" s="1"/>
  <c r="A50" i="7" l="1"/>
  <c r="E50" i="7" s="1"/>
  <c r="F50" i="7" s="1"/>
  <c r="G50" i="7" s="1"/>
  <c r="B49" i="7"/>
  <c r="C49" i="7" s="1"/>
  <c r="D49" i="7" s="1"/>
  <c r="A51" i="7" l="1"/>
  <c r="E51" i="7" s="1"/>
  <c r="F51" i="7" s="1"/>
  <c r="G51" i="7" s="1"/>
  <c r="B50" i="7"/>
  <c r="C50" i="7" s="1"/>
  <c r="D50" i="7" s="1"/>
  <c r="A52" i="7" l="1"/>
  <c r="E52" i="7" s="1"/>
  <c r="F52" i="7" s="1"/>
  <c r="G52" i="7" s="1"/>
  <c r="B51" i="7"/>
  <c r="C51" i="7" s="1"/>
  <c r="D51" i="7" s="1"/>
  <c r="A53" i="7" l="1"/>
  <c r="E53" i="7" s="1"/>
  <c r="F53" i="7" s="1"/>
  <c r="G53" i="7" s="1"/>
  <c r="B52" i="7"/>
  <c r="C52" i="7" s="1"/>
  <c r="D52" i="7" s="1"/>
  <c r="A54" i="7" l="1"/>
  <c r="E54" i="7" s="1"/>
  <c r="F54" i="7" s="1"/>
  <c r="G54" i="7" s="1"/>
  <c r="B53" i="7"/>
  <c r="C53" i="7" s="1"/>
  <c r="D53" i="7" s="1"/>
  <c r="A55" i="7" l="1"/>
  <c r="E55" i="7" s="1"/>
  <c r="F55" i="7" s="1"/>
  <c r="G55" i="7" s="1"/>
  <c r="B54" i="7"/>
  <c r="C54" i="7" s="1"/>
  <c r="D54" i="7" s="1"/>
  <c r="B55" i="7" l="1"/>
  <c r="C55" i="7" s="1"/>
  <c r="D55" i="7" s="1"/>
  <c r="A56" i="7"/>
  <c r="E56" i="7" s="1"/>
  <c r="F56" i="7" s="1"/>
  <c r="G56" i="7" s="1"/>
  <c r="A57" i="7" l="1"/>
  <c r="B56" i="7"/>
  <c r="C56" i="7" s="1"/>
  <c r="D56" i="7" s="1"/>
  <c r="B57" i="7" l="1"/>
  <c r="C57" i="7" s="1"/>
  <c r="D57" i="7" s="1"/>
  <c r="E57" i="7"/>
  <c r="F57" i="7" s="1"/>
  <c r="G5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B8" authorId="0" shapeId="0" xr:uid="{03C02E3F-45AD-4043-BB07-D0082F0FD672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cambiar de + a - y ver la magia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E10" authorId="0" shapeId="0" xr:uid="{C450363C-07BD-4617-8DBA-0195B0BBB9B1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T0 en K</t>
        </r>
      </text>
    </comment>
    <comment ref="D11" authorId="0" shapeId="0" xr:uid="{A94362A3-88C6-4167-9A15-C9427412BD19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Xa</t>
        </r>
      </text>
    </comment>
    <comment ref="E11" authorId="0" shapeId="0" xr:uid="{5CA8FF2E-9A5E-455B-AD77-D98F24C06990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Ahr en J/mol
Cpmedio en J/molK</t>
        </r>
      </text>
    </comment>
  </commentList>
</comments>
</file>

<file path=xl/sharedStrings.xml><?xml version="1.0" encoding="utf-8"?>
<sst xmlns="http://schemas.openxmlformats.org/spreadsheetml/2006/main" count="201" uniqueCount="140">
  <si>
    <t>xa</t>
  </si>
  <si>
    <t>Cpa</t>
  </si>
  <si>
    <t>ΔHr</t>
  </si>
  <si>
    <t>K10</t>
  </si>
  <si>
    <t>E1</t>
  </si>
  <si>
    <t>R</t>
  </si>
  <si>
    <t>ζ</t>
  </si>
  <si>
    <t>To</t>
  </si>
  <si>
    <t>Xa (BE)</t>
  </si>
  <si>
    <t>T</t>
  </si>
  <si>
    <t>Xa (BM)</t>
  </si>
  <si>
    <t>DATOS</t>
  </si>
  <si>
    <t>T [R]</t>
  </si>
  <si>
    <r>
      <t>k [H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</si>
  <si>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Reacción de cracking térmico de etano en fase gaseosa</t>
  </si>
  <si>
    <r>
      <t>Cp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</si>
  <si>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Cp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</si>
  <si>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t>cal/(mol.K)</t>
  </si>
  <si>
    <r>
      <t>Cp H</t>
    </r>
    <r>
      <rPr>
        <vertAlign val="subscript"/>
        <sz val="11"/>
        <color theme="1"/>
        <rFont val="Calibri"/>
        <family val="2"/>
        <scheme val="minor"/>
      </rPr>
      <t>2</t>
    </r>
  </si>
  <si>
    <t>ΔHr°</t>
  </si>
  <si>
    <t>cal/mol</t>
  </si>
  <si>
    <t>COND INICIALES</t>
  </si>
  <si>
    <t>V</t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</si>
  <si>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</si>
  <si>
    <t>P</t>
  </si>
  <si>
    <t>atm</t>
  </si>
  <si>
    <t>°C</t>
  </si>
  <si>
    <t>t</t>
  </si>
  <si>
    <t>hr</t>
  </si>
  <si>
    <t>ln(k)</t>
  </si>
  <si>
    <t>1/T</t>
  </si>
  <si>
    <t>E2</t>
  </si>
  <si>
    <t>K20</t>
  </si>
  <si>
    <t>Xae</t>
  </si>
  <si>
    <t>T inicio</t>
  </si>
  <si>
    <t>T paso</t>
  </si>
  <si>
    <t>Ahr</t>
  </si>
  <si>
    <t>TAC</t>
  </si>
  <si>
    <t>ADIABATICO</t>
  </si>
  <si>
    <t>datos</t>
  </si>
  <si>
    <t>Xa</t>
  </si>
  <si>
    <t>Ahrxn</t>
  </si>
  <si>
    <t>J/mol</t>
  </si>
  <si>
    <t>Cp medio</t>
  </si>
  <si>
    <t>J/molK</t>
  </si>
  <si>
    <t>T0</t>
  </si>
  <si>
    <t>K</t>
  </si>
  <si>
    <t>supuesta</t>
  </si>
  <si>
    <t>ADIBATICA</t>
  </si>
  <si>
    <t>X</t>
  </si>
  <si>
    <t xml:space="preserve">T </t>
  </si>
  <si>
    <t>lo puse de onda</t>
  </si>
  <si>
    <t>1/min</t>
  </si>
  <si>
    <t>min</t>
  </si>
  <si>
    <t>cal/molK</t>
  </si>
  <si>
    <t>Cal/molK</t>
  </si>
  <si>
    <t>paso</t>
  </si>
  <si>
    <t>T inicial</t>
  </si>
  <si>
    <t>Acp</t>
  </si>
  <si>
    <t>Ea/R</t>
  </si>
  <si>
    <t>k inf</t>
  </si>
  <si>
    <t>ln (k inf)</t>
  </si>
  <si>
    <t>k</t>
  </si>
  <si>
    <t>isotermico</t>
  </si>
  <si>
    <t>adiabatico</t>
  </si>
  <si>
    <t>1/hr</t>
  </si>
  <si>
    <t>error</t>
  </si>
  <si>
    <t>XA</t>
  </si>
  <si>
    <t>ENDOTERMICA</t>
  </si>
  <si>
    <t>si se pasa de isotermico a abibatico la convercion baja y la temp baja</t>
  </si>
  <si>
    <t>cosas de otro ejercicico</t>
  </si>
  <si>
    <t xml:space="preserve">formula de selectividad </t>
  </si>
  <si>
    <t>flujo mol T de A</t>
  </si>
  <si>
    <t>kmo/h</t>
  </si>
  <si>
    <t>Q</t>
  </si>
  <si>
    <t>kj/h</t>
  </si>
  <si>
    <t>caudal Vol</t>
  </si>
  <si>
    <t>m3/h</t>
  </si>
  <si>
    <t>conversion</t>
  </si>
  <si>
    <t>FAO</t>
  </si>
  <si>
    <t>volumen reactor</t>
  </si>
  <si>
    <t>m3</t>
  </si>
  <si>
    <t>v</t>
  </si>
  <si>
    <t>calor</t>
  </si>
  <si>
    <t>kj/kmolA</t>
  </si>
  <si>
    <t>concentracion</t>
  </si>
  <si>
    <t>coso</t>
  </si>
  <si>
    <t>FAO-FA</t>
  </si>
  <si>
    <t>(1-xa)2</t>
  </si>
  <si>
    <t>Cao2</t>
  </si>
  <si>
    <t>en matlab como eje7</t>
  </si>
  <si>
    <t>noda deberia ser Xa 0.137 y  T 281.9</t>
  </si>
  <si>
    <t>Ca0</t>
  </si>
  <si>
    <t>mol/gal</t>
  </si>
  <si>
    <t>t inicio</t>
  </si>
  <si>
    <t>t paso</t>
  </si>
  <si>
    <t>CA1</t>
  </si>
  <si>
    <t>k1</t>
  </si>
  <si>
    <t>k2</t>
  </si>
  <si>
    <t>CA2</t>
  </si>
  <si>
    <t>CB0</t>
  </si>
  <si>
    <t>CB1</t>
  </si>
  <si>
    <t>CB2</t>
  </si>
  <si>
    <t>CB22</t>
  </si>
  <si>
    <t>t inicial</t>
  </si>
  <si>
    <t>G(T)</t>
  </si>
  <si>
    <t>X1</t>
  </si>
  <si>
    <t>Ahr1</t>
  </si>
  <si>
    <t>Ea1</t>
  </si>
  <si>
    <t>k01</t>
  </si>
  <si>
    <t>tao1</t>
  </si>
  <si>
    <t>Ahr2</t>
  </si>
  <si>
    <t>Ea2</t>
  </si>
  <si>
    <t>k02</t>
  </si>
  <si>
    <t>tao2</t>
  </si>
  <si>
    <t>X2</t>
  </si>
  <si>
    <t>G(T)2</t>
  </si>
  <si>
    <t>G(T)1</t>
  </si>
  <si>
    <t>R(T)</t>
  </si>
  <si>
    <t>U</t>
  </si>
  <si>
    <t>Ac</t>
  </si>
  <si>
    <t>Cp0</t>
  </si>
  <si>
    <t>FA0</t>
  </si>
  <si>
    <t>TC</t>
  </si>
  <si>
    <t>R(T)2</t>
  </si>
  <si>
    <t>TC2</t>
  </si>
  <si>
    <t>U2</t>
  </si>
  <si>
    <t>Ac2</t>
  </si>
  <si>
    <t>Cp02</t>
  </si>
  <si>
    <t>FA02</t>
  </si>
  <si>
    <t>Ta</t>
  </si>
  <si>
    <t>Ta2</t>
  </si>
  <si>
    <t>T02</t>
  </si>
  <si>
    <t>v0</t>
  </si>
  <si>
    <t>gal/h</t>
  </si>
  <si>
    <t>Fa0</t>
  </si>
  <si>
    <t>mol/h</t>
  </si>
  <si>
    <t>Vol( gal)</t>
  </si>
  <si>
    <t>CA0</t>
  </si>
  <si>
    <t>orden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</si>
</sst>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2" borderId="0" xfId="0" applyFont="1" applyFill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23" xfId="0" applyBorder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0" borderId="24" xfId="0" applyBorder="1"/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'eje3'!$D$8</c:f>
              <c:strCache>
                <c:ptCount val="1"/>
                <c:pt idx="0">
                  <c:v>exotermica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'eje3'!$B$14:$B$15</c:f>
              <c:numCache>
                <c:formatCode>General</c:formatCode>
                <c:ptCount val="2"/>
                <c:pt idx="0">
                  <c:v>273</c:v>
                </c:pt>
                <c:pt idx="1">
                  <c:v>1173</c:v>
                </c:pt>
              </c:numCache>
            </c:numRef>
          </c:xVal>
          <c:yVal>
            <c:numRef>
              <c:f>'eje3'!$A$14:$A$15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C-481E-932E-36A8552D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15776"/>
        <c:axId val="376816496"/>
      </c:scatterChart>
      <c:valAx>
        <c:axId val="3768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T,</a:t>
                </a:r>
                <a:r>
                  <a:rPr lang="es-AR" baseline="0"/>
                  <a:t> temperatura, K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816496"/>
        <c:crosses val="autoZero"/>
        <c:crossBetween val="midCat"/>
      </c:valAx>
      <c:valAx>
        <c:axId val="3768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  <a:r>
                  <a:rPr lang="es-AR" baseline="0"/>
                  <a:t> convercion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68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Ejercicio</a:t>
            </a:r>
            <a:r>
              <a:rPr lang="es-AR" baseline="0"/>
              <a:t> 4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marker>
            <c:symbol val="none"/>
          </c:marker>
          <c:xVal>
            <c:numRef>
              <c:f>'ejercicio 4'!$B$17:$B$32</c:f>
              <c:numCache>
                <c:formatCode>General</c:formatCode>
                <c:ptCount val="16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</c:numCache>
            </c:numRef>
          </c:xVal>
          <c:yVal>
            <c:numRef>
              <c:f>'ejercicio 4'!$C$17:$C$32</c:f>
              <c:numCache>
                <c:formatCode>0.00</c:formatCode>
                <c:ptCount val="16"/>
                <c:pt idx="0">
                  <c:v>0</c:v>
                </c:pt>
                <c:pt idx="1">
                  <c:v>2.3333333333333334E-2</c:v>
                </c:pt>
                <c:pt idx="2">
                  <c:v>4.6666666666666669E-2</c:v>
                </c:pt>
                <c:pt idx="3">
                  <c:v>7.0000000000000007E-2</c:v>
                </c:pt>
                <c:pt idx="4">
                  <c:v>9.3333333333333338E-2</c:v>
                </c:pt>
                <c:pt idx="5">
                  <c:v>0.11666666666666668</c:v>
                </c:pt>
                <c:pt idx="6">
                  <c:v>0.14000000000000001</c:v>
                </c:pt>
                <c:pt idx="7">
                  <c:v>0.16333333333333336</c:v>
                </c:pt>
                <c:pt idx="8">
                  <c:v>0.18666666666666668</c:v>
                </c:pt>
                <c:pt idx="9">
                  <c:v>0.21000000000000002</c:v>
                </c:pt>
                <c:pt idx="10">
                  <c:v>0.23333333333333336</c:v>
                </c:pt>
                <c:pt idx="11">
                  <c:v>0.25666666666666671</c:v>
                </c:pt>
                <c:pt idx="12">
                  <c:v>0.28000000000000003</c:v>
                </c:pt>
                <c:pt idx="13">
                  <c:v>0.30333333333333334</c:v>
                </c:pt>
                <c:pt idx="14">
                  <c:v>0.32666666666666672</c:v>
                </c:pt>
                <c:pt idx="15">
                  <c:v>0.35000000000000003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7-44B5-93F5-7620670A47D5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'ejercicio 4'!$B$17:$B$32</c:f>
              <c:numCache>
                <c:formatCode>General</c:formatCode>
                <c:ptCount val="16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</c:numCache>
            </c:numRef>
          </c:xVal>
          <c:yVal>
            <c:numRef>
              <c:f>'ejercicio 4'!$D$17:$D$32</c:f>
              <c:numCache>
                <c:formatCode>0.00</c:formatCode>
                <c:ptCount val="16"/>
                <c:pt idx="0">
                  <c:v>0.15741739275032626</c:v>
                </c:pt>
                <c:pt idx="1">
                  <c:v>0.16472883982983938</c:v>
                </c:pt>
                <c:pt idx="2">
                  <c:v>0.17182859600439193</c:v>
                </c:pt>
                <c:pt idx="3">
                  <c:v>0.17871696602424358</c:v>
                </c:pt>
                <c:pt idx="4">
                  <c:v>0.1853957628893185</c:v>
                </c:pt>
                <c:pt idx="5">
                  <c:v>0.19186798155398641</c:v>
                </c:pt>
                <c:pt idx="6">
                  <c:v>0.19813752883949212</c:v>
                </c:pt>
                <c:pt idx="7">
                  <c:v>0.20420900098900496</c:v>
                </c:pt>
                <c:pt idx="8">
                  <c:v>0.2100875013523637</c:v>
                </c:pt>
                <c:pt idx="9">
                  <c:v>0.21577849169906094</c:v>
                </c:pt>
                <c:pt idx="10">
                  <c:v>0.22128767159057328</c:v>
                </c:pt>
                <c:pt idx="11">
                  <c:v>0.22662088107939252</c:v>
                </c:pt>
                <c:pt idx="12">
                  <c:v>0.23178402273752438</c:v>
                </c:pt>
                <c:pt idx="13">
                  <c:v>0.23678299965482549</c:v>
                </c:pt>
                <c:pt idx="14">
                  <c:v>0.24162366659453247</c:v>
                </c:pt>
                <c:pt idx="15">
                  <c:v>0.24631179195878167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7-44B5-93F5-7620670A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6320"/>
        <c:axId val="85658240"/>
      </c:scatterChart>
      <c:valAx>
        <c:axId val="85656320"/>
        <c:scaling>
          <c:orientation val="minMax"/>
          <c:min val="3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Temperatura</a:t>
                </a:r>
                <a:r>
                  <a:rPr lang="es-AR" baseline="0"/>
                  <a:t> [K]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658240"/>
        <c:crosses val="autoZero"/>
        <c:crossBetween val="midCat"/>
      </c:valAx>
      <c:valAx>
        <c:axId val="85658240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Xa</a:t>
                </a:r>
                <a:r>
                  <a:rPr lang="es-AR" baseline="0"/>
                  <a:t> (BE) - Xa (BM)</a:t>
                </a:r>
                <a:endParaRPr lang="es-A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856563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Ejercicio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78827646544181E-2"/>
                  <c:y val="-0.3493307086614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5'!$E$8:$E$14</c:f>
              <c:numCache>
                <c:formatCode>General</c:formatCode>
                <c:ptCount val="7"/>
                <c:pt idx="0">
                  <c:v>2.9999999999999996E-3</c:v>
                </c:pt>
                <c:pt idx="1">
                  <c:v>2.9508196721311471E-3</c:v>
                </c:pt>
                <c:pt idx="2">
                  <c:v>2.9032258064516127E-3</c:v>
                </c:pt>
                <c:pt idx="3">
                  <c:v>2.8571428571428571E-3</c:v>
                </c:pt>
                <c:pt idx="4">
                  <c:v>2.8124999999999999E-3</c:v>
                </c:pt>
                <c:pt idx="5">
                  <c:v>2.7692307692307691E-3</c:v>
                </c:pt>
                <c:pt idx="6">
                  <c:v>2.7272727272727271E-3</c:v>
                </c:pt>
              </c:numCache>
            </c:numRef>
          </c:xVal>
          <c:yVal>
            <c:numRef>
              <c:f>'ejercicio 5'!$D$8:$D$14</c:f>
              <c:numCache>
                <c:formatCode>General</c:formatCode>
                <c:ptCount val="7"/>
                <c:pt idx="0">
                  <c:v>0.18232155679395459</c:v>
                </c:pt>
                <c:pt idx="1">
                  <c:v>0.51879379341516751</c:v>
                </c:pt>
                <c:pt idx="2">
                  <c:v>0.84586826757760925</c:v>
                </c:pt>
                <c:pt idx="3">
                  <c:v>1.1878434223960523</c:v>
                </c:pt>
                <c:pt idx="4">
                  <c:v>1.5282278570085572</c:v>
                </c:pt>
                <c:pt idx="5">
                  <c:v>1.9740810260220096</c:v>
                </c:pt>
                <c:pt idx="6">
                  <c:v>2.2417729535972883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2B-46E3-BA06-918D1B9D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3584"/>
        <c:axId val="85795968"/>
      </c:scatterChart>
      <c:valAx>
        <c:axId val="856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795968"/>
        <c:crosses val="autoZero"/>
        <c:crossBetween val="midCat"/>
      </c:valAx>
      <c:valAx>
        <c:axId val="85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6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5'!$A$43:$A$53</c:f>
              <c:numCache>
                <c:formatCode>General</c:formatCode>
                <c:ptCount val="11"/>
                <c:pt idx="0">
                  <c:v>0.10979999999999999</c:v>
                </c:pt>
                <c:pt idx="1">
                  <c:v>0.1099</c:v>
                </c:pt>
                <c:pt idx="2">
                  <c:v>0.11</c:v>
                </c:pt>
                <c:pt idx="3">
                  <c:v>0.1101</c:v>
                </c:pt>
                <c:pt idx="4">
                  <c:v>0.11020000000000001</c:v>
                </c:pt>
                <c:pt idx="5">
                  <c:v>0.11030000000000001</c:v>
                </c:pt>
                <c:pt idx="6">
                  <c:v>0.11040000000000001</c:v>
                </c:pt>
                <c:pt idx="7">
                  <c:v>0.11050000000000001</c:v>
                </c:pt>
                <c:pt idx="8">
                  <c:v>0.11060000000000002</c:v>
                </c:pt>
                <c:pt idx="9">
                  <c:v>0.11070000000000002</c:v>
                </c:pt>
                <c:pt idx="10">
                  <c:v>0.11080000000000002</c:v>
                </c:pt>
              </c:numCache>
            </c:numRef>
          </c:xVal>
          <c:yVal>
            <c:numRef>
              <c:f>'ejercicio 5'!$E$43:$E$53</c:f>
              <c:numCache>
                <c:formatCode>General</c:formatCode>
                <c:ptCount val="11"/>
                <c:pt idx="0">
                  <c:v>5.9275141583016444E-4</c:v>
                </c:pt>
                <c:pt idx="1">
                  <c:v>3.7879226151116274E-4</c:v>
                </c:pt>
                <c:pt idx="2">
                  <c:v>1.6493624546286278E-4</c:v>
                </c:pt>
                <c:pt idx="3">
                  <c:v>4.8816703083348623E-5</c:v>
                </c:pt>
                <c:pt idx="4">
                  <c:v>2.6246665488764698E-4</c:v>
                </c:pt>
                <c:pt idx="5">
                  <c:v>4.7601368070054884E-4</c:v>
                </c:pt>
                <c:pt idx="6">
                  <c:v>6.8945785126590942E-4</c:v>
                </c:pt>
                <c:pt idx="7">
                  <c:v>9.027992373114857E-4</c:v>
                </c:pt>
                <c:pt idx="8">
                  <c:v>1.1160379095633693E-3</c:v>
                </c:pt>
                <c:pt idx="9">
                  <c:v>1.3291739387319979E-3</c:v>
                </c:pt>
                <c:pt idx="10">
                  <c:v>1.5422073955220356E-3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0-457E-806E-17BA07A8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23552"/>
        <c:axId val="516522832"/>
      </c:scatterChart>
      <c:valAx>
        <c:axId val="5165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522832"/>
        <c:crosses val="autoZero"/>
        <c:crossBetween val="midCat"/>
      </c:valAx>
      <c:valAx>
        <c:axId val="5165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5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reaccion</a:t>
            </a:r>
            <a:r>
              <a:rPr lang="en-US" baseline="0"/>
              <a:t> reversible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tarea!$I$2</c:f>
              <c:strCache>
                <c:ptCount val="1"/>
                <c:pt idx="0">
                  <c:v>endotermica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tarea!$A$10:$A$33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tarea!$B$10:$B$33</c:f>
              <c:numCache>
                <c:formatCode>General</c:formatCode>
                <c:ptCount val="24"/>
                <c:pt idx="0">
                  <c:v>0.30869881909363306</c:v>
                </c:pt>
                <c:pt idx="1">
                  <c:v>0.32089139452921578</c:v>
                </c:pt>
                <c:pt idx="2">
                  <c:v>0.32501160353867387</c:v>
                </c:pt>
                <c:pt idx="3">
                  <c:v>0.32708196017112418</c:v>
                </c:pt>
                <c:pt idx="4">
                  <c:v>0.32832742131994641</c:v>
                </c:pt>
                <c:pt idx="5">
                  <c:v>0.32915907385095888</c:v>
                </c:pt>
                <c:pt idx="6">
                  <c:v>0.32975376768933695</c:v>
                </c:pt>
                <c:pt idx="7">
                  <c:v>0.33020014602523584</c:v>
                </c:pt>
                <c:pt idx="8">
                  <c:v>0.33054754087231641</c:v>
                </c:pt>
                <c:pt idx="9">
                  <c:v>0.33082558991144179</c:v>
                </c:pt>
                <c:pt idx="10">
                  <c:v>0.33105317251099153</c:v>
                </c:pt>
                <c:pt idx="11">
                  <c:v>0.33124288506852356</c:v>
                </c:pt>
                <c:pt idx="12">
                  <c:v>0.33140345392379317</c:v>
                </c:pt>
                <c:pt idx="13">
                  <c:v>0.33154111560817606</c:v>
                </c:pt>
                <c:pt idx="14">
                  <c:v>0.33166044571062153</c:v>
                </c:pt>
                <c:pt idx="15">
                  <c:v>0.33176487729595389</c:v>
                </c:pt>
                <c:pt idx="16">
                  <c:v>0.33185703656046445</c:v>
                </c:pt>
                <c:pt idx="17">
                  <c:v>0.33193896672246581</c:v>
                </c:pt>
                <c:pt idx="18">
                  <c:v>0.33201228128238197</c:v>
                </c:pt>
                <c:pt idx="19">
                  <c:v>0.33207827134911472</c:v>
                </c:pt>
                <c:pt idx="20">
                  <c:v>0.33213798232983849</c:v>
                </c:pt>
                <c:pt idx="21">
                  <c:v>0.3321922697226744</c:v>
                </c:pt>
                <c:pt idx="22">
                  <c:v>0.33224184036690635</c:v>
                </c:pt>
                <c:pt idx="23">
                  <c:v>0.33228728338888824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C-449F-9CA8-205B5C297635}"/>
            </c:ext>
          </c:extLst>
        </c:ser>
        <c:ser>
          <c:idx val="1"/>
          <c:order val="1"/>
          <c:tx>
            <c:v>adibatica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tarea!$E$10:$E$11</c:f>
              <c:numCache>
                <c:formatCode>General</c:formatCode>
                <c:ptCount val="2"/>
                <c:pt idx="0">
                  <c:v>200</c:v>
                </c:pt>
                <c:pt idx="1">
                  <c:v>192.19124884036114</c:v>
                </c:pt>
              </c:numCache>
            </c:numRef>
          </c:xVal>
          <c:yVal>
            <c:numRef>
              <c:f>tarea!$D$10:$D$11</c:f>
              <c:numCache>
                <c:formatCode>General</c:formatCode>
                <c:ptCount val="2"/>
                <c:pt idx="0">
                  <c:v>0.30869881909363306</c:v>
                </c:pt>
                <c:pt idx="1">
                  <c:v>0.33228728338888824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0-463A-B888-2A94421A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51816"/>
        <c:axId val="340179528"/>
      </c:scatterChart>
      <c:valAx>
        <c:axId val="39335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T,</a:t>
                </a:r>
                <a:r>
                  <a:rPr lang="es-AR" baseline="0"/>
                  <a:t> Temperatura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0179528"/>
        <c:crosses val="autoZero"/>
        <c:crossBetween val="midCat"/>
      </c:valAx>
      <c:valAx>
        <c:axId val="3401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Xa,</a:t>
                </a:r>
                <a:r>
                  <a:rPr lang="es-AR" baseline="0"/>
                  <a:t> Convercion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5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'eje10'!$A$9:$A$33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'eje10'!$F$9:$F$33</c:f>
              <c:numCache>
                <c:formatCode>General</c:formatCode>
                <c:ptCount val="25"/>
                <c:pt idx="0">
                  <c:v>0</c:v>
                </c:pt>
                <c:pt idx="1">
                  <c:v>0.51830255911888568</c:v>
                </c:pt>
                <c:pt idx="2">
                  <c:v>0.90157776108189314</c:v>
                </c:pt>
                <c:pt idx="3">
                  <c:v>1.1835292183775792</c:v>
                </c:pt>
                <c:pt idx="4">
                  <c:v>1.3888888888888891</c:v>
                </c:pt>
                <c:pt idx="5">
                  <c:v>1.536</c:v>
                </c:pt>
                <c:pt idx="6">
                  <c:v>1.6385980883022297</c:v>
                </c:pt>
                <c:pt idx="7">
                  <c:v>1.7070568510897723</c:v>
                </c:pt>
                <c:pt idx="8">
                  <c:v>1.7492711370262395</c:v>
                </c:pt>
                <c:pt idx="9">
                  <c:v>1.7712903358071261</c:v>
                </c:pt>
                <c:pt idx="10">
                  <c:v>1.7777777777777775</c:v>
                </c:pt>
                <c:pt idx="11">
                  <c:v>1.7723473532274854</c:v>
                </c:pt>
                <c:pt idx="12">
                  <c:v>1.7578124999999993</c:v>
                </c:pt>
                <c:pt idx="13">
                  <c:v>1.7363719843058689</c:v>
                </c:pt>
                <c:pt idx="14">
                  <c:v>1.7097496438021573</c:v>
                </c:pt>
                <c:pt idx="15">
                  <c:v>1.6793002915451898</c:v>
                </c:pt>
                <c:pt idx="16">
                  <c:v>1.6460905349794235</c:v>
                </c:pt>
                <c:pt idx="17">
                  <c:v>1.610960851282254</c:v>
                </c:pt>
                <c:pt idx="18">
                  <c:v>1.5745735529960632</c:v>
                </c:pt>
                <c:pt idx="19">
                  <c:v>1.5374500581601174</c:v>
                </c:pt>
                <c:pt idx="20">
                  <c:v>1.5000000000000004</c:v>
                </c:pt>
                <c:pt idx="21">
                  <c:v>1.4625440721986038</c:v>
                </c:pt>
                <c:pt idx="22">
                  <c:v>1.4253320375769349</c:v>
                </c:pt>
                <c:pt idx="23">
                  <c:v>1.3885569824040649</c:v>
                </c:pt>
                <c:pt idx="24">
                  <c:v>1.3523666416228401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A-4BE9-A3E8-529D2A88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68128"/>
        <c:axId val="387781056"/>
      </c:scatterChart>
      <c:valAx>
        <c:axId val="382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T,</a:t>
                </a:r>
                <a:r>
                  <a:rPr lang="es-AR" baseline="0"/>
                  <a:t> tiempo hr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7781056"/>
        <c:crosses val="autoZero"/>
        <c:crossBetween val="midCat"/>
      </c:valAx>
      <c:valAx>
        <c:axId val="3877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Cb(mol/gal)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20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Conc</a:t>
            </a:r>
            <a:r>
              <a:rPr lang="es-AR" baseline="0"/>
              <a:t> vs Tiempo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'eje10'!$A$9:$A$33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'eje10'!$B$9:$B$33</c:f>
              <c:numCache>
                <c:formatCode>General</c:formatCode>
                <c:ptCount val="25"/>
                <c:pt idx="0">
                  <c:v>6</c:v>
                </c:pt>
                <c:pt idx="1">
                  <c:v>5.7142857142857144</c:v>
                </c:pt>
                <c:pt idx="2">
                  <c:v>5.4545454545454541</c:v>
                </c:pt>
                <c:pt idx="3">
                  <c:v>5.2173913043478262</c:v>
                </c:pt>
                <c:pt idx="4">
                  <c:v>5</c:v>
                </c:pt>
                <c:pt idx="5">
                  <c:v>4.8</c:v>
                </c:pt>
                <c:pt idx="6">
                  <c:v>4.615384615384615</c:v>
                </c:pt>
                <c:pt idx="7">
                  <c:v>4.4444444444444438</c:v>
                </c:pt>
                <c:pt idx="8">
                  <c:v>4.2857142857142856</c:v>
                </c:pt>
                <c:pt idx="9">
                  <c:v>4.1379310344827589</c:v>
                </c:pt>
                <c:pt idx="10">
                  <c:v>4</c:v>
                </c:pt>
                <c:pt idx="11">
                  <c:v>3.8709677419354844</c:v>
                </c:pt>
                <c:pt idx="12">
                  <c:v>3.75</c:v>
                </c:pt>
                <c:pt idx="13">
                  <c:v>3.6363636363636367</c:v>
                </c:pt>
                <c:pt idx="14">
                  <c:v>3.5294117647058818</c:v>
                </c:pt>
                <c:pt idx="15">
                  <c:v>3.4285714285714284</c:v>
                </c:pt>
                <c:pt idx="16">
                  <c:v>3.333333333333333</c:v>
                </c:pt>
                <c:pt idx="17">
                  <c:v>3.243243243243243</c:v>
                </c:pt>
                <c:pt idx="18">
                  <c:v>3.1578947368421049</c:v>
                </c:pt>
                <c:pt idx="19">
                  <c:v>3.0769230769230766</c:v>
                </c:pt>
                <c:pt idx="20">
                  <c:v>3</c:v>
                </c:pt>
                <c:pt idx="21">
                  <c:v>2.9268292682926824</c:v>
                </c:pt>
                <c:pt idx="22">
                  <c:v>2.8571428571428563</c:v>
                </c:pt>
                <c:pt idx="23">
                  <c:v>2.7906976744186043</c:v>
                </c:pt>
                <c:pt idx="24">
                  <c:v>2.7272727272727271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8-497E-A5D6-6BF1614A8215}"/>
            </c:ext>
          </c:extLst>
        </c:ser>
        <c:ser>
          <c:idx val="1"/>
          <c:order val="1"/>
          <c:tx>
            <c:v>CA2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'eje10'!$A$9:$A$33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'eje10'!$C$9:$C$33</c:f>
              <c:numCache>
                <c:formatCode>General</c:formatCode>
                <c:ptCount val="25"/>
                <c:pt idx="0">
                  <c:v>6</c:v>
                </c:pt>
                <c:pt idx="1">
                  <c:v>5.4421768707482991</c:v>
                </c:pt>
                <c:pt idx="2">
                  <c:v>4.9586776859504127</c:v>
                </c:pt>
                <c:pt idx="3">
                  <c:v>4.536862003780719</c:v>
                </c:pt>
                <c:pt idx="4">
                  <c:v>4.166666666666667</c:v>
                </c:pt>
                <c:pt idx="5">
                  <c:v>3.84</c:v>
                </c:pt>
                <c:pt idx="6">
                  <c:v>3.5502958579881652</c:v>
                </c:pt>
                <c:pt idx="7">
                  <c:v>3.292181069958847</c:v>
                </c:pt>
                <c:pt idx="8">
                  <c:v>3.0612244897959187</c:v>
                </c:pt>
                <c:pt idx="9">
                  <c:v>2.8537455410225925</c:v>
                </c:pt>
                <c:pt idx="10">
                  <c:v>2.6666666666666665</c:v>
                </c:pt>
                <c:pt idx="11">
                  <c:v>2.4973985431841839</c:v>
                </c:pt>
                <c:pt idx="12">
                  <c:v>2.34375</c:v>
                </c:pt>
                <c:pt idx="13">
                  <c:v>2.2038567493112953</c:v>
                </c:pt>
                <c:pt idx="14">
                  <c:v>2.0761245674740478</c:v>
                </c:pt>
                <c:pt idx="15">
                  <c:v>1.9591836734693877</c:v>
                </c:pt>
                <c:pt idx="16">
                  <c:v>1.8518518518518514</c:v>
                </c:pt>
                <c:pt idx="17">
                  <c:v>1.7531044558071582</c:v>
                </c:pt>
                <c:pt idx="18">
                  <c:v>1.6620498614958443</c:v>
                </c:pt>
                <c:pt idx="19">
                  <c:v>1.5779092702169621</c:v>
                </c:pt>
                <c:pt idx="20">
                  <c:v>1.5</c:v>
                </c:pt>
                <c:pt idx="21">
                  <c:v>1.4277215942891133</c:v>
                </c:pt>
                <c:pt idx="22">
                  <c:v>1.3605442176870741</c:v>
                </c:pt>
                <c:pt idx="23">
                  <c:v>1.2979989183342344</c:v>
                </c:pt>
                <c:pt idx="24">
                  <c:v>1.2396694214876032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8-497E-A5D6-6BF1614A8215}"/>
            </c:ext>
          </c:extLst>
        </c:ser>
        <c:ser>
          <c:idx val="2"/>
          <c:order val="2"/>
          <c:tx>
            <c:v>CB1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'eje10'!$A$9:$A$33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'eje10'!$D$9:$D$33</c:f>
              <c:numCache>
                <c:formatCode>General</c:formatCode>
                <c:ptCount val="25"/>
                <c:pt idx="0">
                  <c:v>0</c:v>
                </c:pt>
                <c:pt idx="1">
                  <c:v>0.27210884353741499</c:v>
                </c:pt>
                <c:pt idx="2">
                  <c:v>0.49586776859504123</c:v>
                </c:pt>
                <c:pt idx="3">
                  <c:v>0.68052930056710792</c:v>
                </c:pt>
                <c:pt idx="4">
                  <c:v>0.83333333333333337</c:v>
                </c:pt>
                <c:pt idx="5">
                  <c:v>0.96</c:v>
                </c:pt>
                <c:pt idx="6">
                  <c:v>1.0650887573964494</c:v>
                </c:pt>
                <c:pt idx="7">
                  <c:v>1.1522633744855963</c:v>
                </c:pt>
                <c:pt idx="8">
                  <c:v>1.2244897959183674</c:v>
                </c:pt>
                <c:pt idx="9">
                  <c:v>1.2841854934601664</c:v>
                </c:pt>
                <c:pt idx="10">
                  <c:v>1.3333333333333333</c:v>
                </c:pt>
                <c:pt idx="11">
                  <c:v>1.3735691987513008</c:v>
                </c:pt>
                <c:pt idx="12">
                  <c:v>1.40625</c:v>
                </c:pt>
                <c:pt idx="13">
                  <c:v>1.4325068870523416</c:v>
                </c:pt>
                <c:pt idx="14">
                  <c:v>1.4532871972318335</c:v>
                </c:pt>
                <c:pt idx="15">
                  <c:v>1.4693877551020409</c:v>
                </c:pt>
                <c:pt idx="16">
                  <c:v>1.4814814814814814</c:v>
                </c:pt>
                <c:pt idx="17">
                  <c:v>1.4901387874360847</c:v>
                </c:pt>
                <c:pt idx="18">
                  <c:v>1.4958448753462603</c:v>
                </c:pt>
                <c:pt idx="19">
                  <c:v>1.4990138067061147</c:v>
                </c:pt>
                <c:pt idx="20">
                  <c:v>1.5000000000000004</c:v>
                </c:pt>
                <c:pt idx="21">
                  <c:v>1.4991076740035691</c:v>
                </c:pt>
                <c:pt idx="22">
                  <c:v>1.496598639455782</c:v>
                </c:pt>
                <c:pt idx="23">
                  <c:v>1.4926987560843699</c:v>
                </c:pt>
                <c:pt idx="24">
                  <c:v>1.4876033057851241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38-497E-A5D6-6BF1614A8215}"/>
            </c:ext>
          </c:extLst>
        </c:ser>
        <c:ser>
          <c:idx val="3"/>
          <c:order val="3"/>
          <c:tx>
            <c:v>CB2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'eje10'!$A$9:$A$33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'eje10'!$E$9:$E$33</c:f>
              <c:numCache>
                <c:formatCode>General</c:formatCode>
                <c:ptCount val="25"/>
                <c:pt idx="0">
                  <c:v>0</c:v>
                </c:pt>
                <c:pt idx="1">
                  <c:v>0.51830255911888568</c:v>
                </c:pt>
                <c:pt idx="2">
                  <c:v>0.90157776108189303</c:v>
                </c:pt>
                <c:pt idx="3">
                  <c:v>1.1835292183775792</c:v>
                </c:pt>
                <c:pt idx="4">
                  <c:v>1.3888888888888893</c:v>
                </c:pt>
                <c:pt idx="5">
                  <c:v>1.536</c:v>
                </c:pt>
                <c:pt idx="6">
                  <c:v>1.6385980883022297</c:v>
                </c:pt>
                <c:pt idx="7">
                  <c:v>1.7070568510897723</c:v>
                </c:pt>
                <c:pt idx="8">
                  <c:v>1.7492711370262393</c:v>
                </c:pt>
                <c:pt idx="9">
                  <c:v>1.7712903358071261</c:v>
                </c:pt>
                <c:pt idx="10">
                  <c:v>1.7777777777777775</c:v>
                </c:pt>
                <c:pt idx="11">
                  <c:v>1.7723473532274854</c:v>
                </c:pt>
                <c:pt idx="12">
                  <c:v>1.7578125</c:v>
                </c:pt>
                <c:pt idx="13">
                  <c:v>1.7363719843058689</c:v>
                </c:pt>
                <c:pt idx="14">
                  <c:v>1.7097496438021569</c:v>
                </c:pt>
                <c:pt idx="15">
                  <c:v>1.6793002915451896</c:v>
                </c:pt>
                <c:pt idx="16">
                  <c:v>1.6460905349794235</c:v>
                </c:pt>
                <c:pt idx="17">
                  <c:v>1.6109608512822537</c:v>
                </c:pt>
                <c:pt idx="18">
                  <c:v>1.5745735529960632</c:v>
                </c:pt>
                <c:pt idx="19">
                  <c:v>1.5374500581601174</c:v>
                </c:pt>
                <c:pt idx="20">
                  <c:v>1.5000000000000004</c:v>
                </c:pt>
                <c:pt idx="21">
                  <c:v>1.4625440721986041</c:v>
                </c:pt>
                <c:pt idx="22">
                  <c:v>1.4253320375769349</c:v>
                </c:pt>
                <c:pt idx="23">
                  <c:v>1.3885569824040649</c:v>
                </c:pt>
                <c:pt idx="24">
                  <c:v>1.3523666416228401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38-497E-A5D6-6BF1614A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7120"/>
        <c:axId val="516286040"/>
      </c:scatterChart>
      <c:valAx>
        <c:axId val="5162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  <a:r>
                  <a:rPr lang="es-AR" baseline="0"/>
                  <a:t> hr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286040"/>
        <c:crosses val="autoZero"/>
        <c:crossBetween val="midCat"/>
      </c:valAx>
      <c:valAx>
        <c:axId val="5162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Concentracion</a:t>
                </a:r>
                <a:r>
                  <a:rPr lang="es-AR" baseline="0"/>
                  <a:t> (mol/gal)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28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'curbas G y R'!$A$37:$A$57</c:f>
              <c:numCache>
                <c:formatCode>General</c:formatCode>
                <c:ptCount val="21"/>
                <c:pt idx="0">
                  <c:v>50</c:v>
                </c:pt>
                <c:pt idx="1">
                  <c:v>90</c:v>
                </c:pt>
                <c:pt idx="2">
                  <c:v>130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410</c:v>
                </c:pt>
                <c:pt idx="10">
                  <c:v>450</c:v>
                </c:pt>
                <c:pt idx="11">
                  <c:v>490</c:v>
                </c:pt>
                <c:pt idx="12">
                  <c:v>530</c:v>
                </c:pt>
                <c:pt idx="13">
                  <c:v>570</c:v>
                </c:pt>
                <c:pt idx="14">
                  <c:v>610</c:v>
                </c:pt>
                <c:pt idx="15">
                  <c:v>650</c:v>
                </c:pt>
                <c:pt idx="16">
                  <c:v>690</c:v>
                </c:pt>
                <c:pt idx="17">
                  <c:v>730</c:v>
                </c:pt>
                <c:pt idx="18">
                  <c:v>770</c:v>
                </c:pt>
                <c:pt idx="19">
                  <c:v>810</c:v>
                </c:pt>
                <c:pt idx="20">
                  <c:v>850</c:v>
                </c:pt>
              </c:numCache>
            </c:numRef>
          </c:xVal>
          <c:yVal>
            <c:numRef>
              <c:f>'curbas G y R'!$D$37:$D$57</c:f>
              <c:numCache>
                <c:formatCode>General</c:formatCode>
                <c:ptCount val="21"/>
                <c:pt idx="0">
                  <c:v>1.9787695600376863E-6</c:v>
                </c:pt>
                <c:pt idx="1">
                  <c:v>2.9874756398736716E-2</c:v>
                </c:pt>
                <c:pt idx="2">
                  <c:v>1.2080089145994608</c:v>
                </c:pt>
                <c:pt idx="3">
                  <c:v>8.5073894591965171</c:v>
                </c:pt>
                <c:pt idx="4">
                  <c:v>28.048291372210553</c:v>
                </c:pt>
                <c:pt idx="5">
                  <c:v>61.768233466885313</c:v>
                </c:pt>
                <c:pt idx="6">
                  <c:v>106.84698894408223</c:v>
                </c:pt>
                <c:pt idx="7">
                  <c:v>158.30425652369505</c:v>
                </c:pt>
                <c:pt idx="8">
                  <c:v>211.43976346605797</c:v>
                </c:pt>
                <c:pt idx="9">
                  <c:v>262.92247504173929</c:v>
                </c:pt>
                <c:pt idx="10">
                  <c:v>310.85116495486278</c:v>
                </c:pt>
                <c:pt idx="11">
                  <c:v>354.39652630657037</c:v>
                </c:pt>
                <c:pt idx="12">
                  <c:v>393.40148243275263</c:v>
                </c:pt>
                <c:pt idx="13">
                  <c:v>428.07610390857531</c:v>
                </c:pt>
                <c:pt idx="14">
                  <c:v>458.80087590188407</c:v>
                </c:pt>
                <c:pt idx="15">
                  <c:v>486.01257997812445</c:v>
                </c:pt>
                <c:pt idx="16">
                  <c:v>510.14380111264012</c:v>
                </c:pt>
                <c:pt idx="17">
                  <c:v>531.59423616947993</c:v>
                </c:pt>
                <c:pt idx="18">
                  <c:v>550.71967966586976</c:v>
                </c:pt>
                <c:pt idx="19">
                  <c:v>567.83024631975422</c:v>
                </c:pt>
                <c:pt idx="20">
                  <c:v>583.19304005015886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0-41CC-973A-CA8D611A5B5A}"/>
            </c:ext>
          </c:extLst>
        </c:ser>
        <c:ser>
          <c:idx val="1"/>
          <c:order val="1"/>
          <c:tx>
            <c:v>G(T)2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'curbas G y R'!$A$37:$A$57</c:f>
              <c:numCache>
                <c:formatCode>General</c:formatCode>
                <c:ptCount val="21"/>
                <c:pt idx="0">
                  <c:v>50</c:v>
                </c:pt>
                <c:pt idx="1">
                  <c:v>90</c:v>
                </c:pt>
                <c:pt idx="2">
                  <c:v>130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410</c:v>
                </c:pt>
                <c:pt idx="10">
                  <c:v>450</c:v>
                </c:pt>
                <c:pt idx="11">
                  <c:v>490</c:v>
                </c:pt>
                <c:pt idx="12">
                  <c:v>530</c:v>
                </c:pt>
                <c:pt idx="13">
                  <c:v>570</c:v>
                </c:pt>
                <c:pt idx="14">
                  <c:v>610</c:v>
                </c:pt>
                <c:pt idx="15">
                  <c:v>650</c:v>
                </c:pt>
                <c:pt idx="16">
                  <c:v>690</c:v>
                </c:pt>
                <c:pt idx="17">
                  <c:v>730</c:v>
                </c:pt>
                <c:pt idx="18">
                  <c:v>770</c:v>
                </c:pt>
                <c:pt idx="19">
                  <c:v>810</c:v>
                </c:pt>
                <c:pt idx="20">
                  <c:v>850</c:v>
                </c:pt>
              </c:numCache>
            </c:numRef>
          </c:xVal>
          <c:yVal>
            <c:numRef>
              <c:f>'curbas G y R'!$G$37:$G$57</c:f>
              <c:numCache>
                <c:formatCode>General</c:formatCode>
                <c:ptCount val="21"/>
                <c:pt idx="0">
                  <c:v>310.85116495486267</c:v>
                </c:pt>
                <c:pt idx="1">
                  <c:v>567.83024631975422</c:v>
                </c:pt>
                <c:pt idx="2">
                  <c:v>664.67867361671756</c:v>
                </c:pt>
                <c:pt idx="3">
                  <c:v>711.34269275619943</c:v>
                </c:pt>
                <c:pt idx="4">
                  <c:v>738.20900716374786</c:v>
                </c:pt>
                <c:pt idx="5">
                  <c:v>755.52904602775652</c:v>
                </c:pt>
                <c:pt idx="6">
                  <c:v>767.57749307276129</c:v>
                </c:pt>
                <c:pt idx="7">
                  <c:v>776.42549094555329</c:v>
                </c:pt>
                <c:pt idx="8">
                  <c:v>783.19093000066039</c:v>
                </c:pt>
                <c:pt idx="9">
                  <c:v>788.52784458658255</c:v>
                </c:pt>
                <c:pt idx="10">
                  <c:v>792.84347312759496</c:v>
                </c:pt>
                <c:pt idx="11">
                  <c:v>796.4042451820817</c:v>
                </c:pt>
                <c:pt idx="12">
                  <c:v>799.39161992884408</c:v>
                </c:pt>
                <c:pt idx="13">
                  <c:v>801.93337070570794</c:v>
                </c:pt>
                <c:pt idx="14">
                  <c:v>804.12202578581264</c:v>
                </c:pt>
                <c:pt idx="15">
                  <c:v>806.02621162552566</c:v>
                </c:pt>
                <c:pt idx="16">
                  <c:v>807.69788803258939</c:v>
                </c:pt>
                <c:pt idx="17">
                  <c:v>809.17710950086132</c:v>
                </c:pt>
                <c:pt idx="18">
                  <c:v>810.49524492759349</c:v>
                </c:pt>
                <c:pt idx="19">
                  <c:v>811.67720746998327</c:v>
                </c:pt>
                <c:pt idx="20">
                  <c:v>812.74303184806138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0-41CC-973A-CA8D611A5B5A}"/>
            </c:ext>
          </c:extLst>
        </c:ser>
        <c:ser>
          <c:idx val="2"/>
          <c:order val="2"/>
          <c:tx>
            <c:v>G(T)orden2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'curbas G y R'!$A$37:$A$57</c:f>
              <c:numCache>
                <c:formatCode>General</c:formatCode>
                <c:ptCount val="21"/>
                <c:pt idx="0">
                  <c:v>50</c:v>
                </c:pt>
                <c:pt idx="1">
                  <c:v>90</c:v>
                </c:pt>
                <c:pt idx="2">
                  <c:v>130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370</c:v>
                </c:pt>
                <c:pt idx="9">
                  <c:v>410</c:v>
                </c:pt>
                <c:pt idx="10">
                  <c:v>450</c:v>
                </c:pt>
                <c:pt idx="11">
                  <c:v>490</c:v>
                </c:pt>
                <c:pt idx="12">
                  <c:v>530</c:v>
                </c:pt>
                <c:pt idx="13">
                  <c:v>570</c:v>
                </c:pt>
                <c:pt idx="14">
                  <c:v>610</c:v>
                </c:pt>
                <c:pt idx="15">
                  <c:v>650</c:v>
                </c:pt>
                <c:pt idx="16">
                  <c:v>690</c:v>
                </c:pt>
                <c:pt idx="17">
                  <c:v>730</c:v>
                </c:pt>
                <c:pt idx="18">
                  <c:v>770</c:v>
                </c:pt>
                <c:pt idx="19">
                  <c:v>810</c:v>
                </c:pt>
                <c:pt idx="20">
                  <c:v>850</c:v>
                </c:pt>
              </c:numCache>
            </c:numRef>
          </c:xVal>
          <c:yVal>
            <c:numRef>
              <c:f>'curbas G y R'!$J$37:$J$57</c:f>
              <c:numCache>
                <c:formatCode>General</c:formatCode>
                <c:ptCount val="21"/>
                <c:pt idx="0">
                  <c:v>0</c:v>
                </c:pt>
                <c:pt idx="1">
                  <c:v>5.9744158647882115E-2</c:v>
                </c:pt>
                <c:pt idx="2">
                  <c:v>2.4073076829226614</c:v>
                </c:pt>
                <c:pt idx="3">
                  <c:v>16.59590179609976</c:v>
                </c:pt>
                <c:pt idx="4">
                  <c:v>51.881977658912326</c:v>
                </c:pt>
                <c:pt idx="5">
                  <c:v>105.38079636647974</c:v>
                </c:pt>
                <c:pt idx="6">
                  <c:v>166.29829488159055</c:v>
                </c:pt>
                <c:pt idx="7">
                  <c:v>225.58655955935347</c:v>
                </c:pt>
                <c:pt idx="8">
                  <c:v>278.87257650339774</c:v>
                </c:pt>
                <c:pt idx="9">
                  <c:v>325.02619969886331</c:v>
                </c:pt>
                <c:pt idx="10">
                  <c:v>364.42301371966835</c:v>
                </c:pt>
                <c:pt idx="11">
                  <c:v>397.94613505252829</c:v>
                </c:pt>
                <c:pt idx="12">
                  <c:v>426.54439796431302</c:v>
                </c:pt>
                <c:pt idx="13">
                  <c:v>451.07107160496042</c:v>
                </c:pt>
                <c:pt idx="14">
                  <c:v>472.24285364807486</c:v>
                </c:pt>
                <c:pt idx="15">
                  <c:v>490.64453160606575</c:v>
                </c:pt>
                <c:pt idx="16">
                  <c:v>506.74787306177507</c:v>
                </c:pt>
                <c:pt idx="17">
                  <c:v>520.93249774188746</c:v>
                </c:pt>
                <c:pt idx="18">
                  <c:v>533.50450987585771</c:v>
                </c:pt>
                <c:pt idx="19">
                  <c:v>544.71185727109173</c:v>
                </c:pt>
                <c:pt idx="20">
                  <c:v>554.75655204645352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C-41B1-8C10-9AB83E04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5528"/>
        <c:axId val="141812288"/>
      </c:scatterChart>
      <c:valAx>
        <c:axId val="1418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12288"/>
        <c:crosses val="autoZero"/>
        <c:crossBetween val="midCat"/>
      </c:valAx>
      <c:valAx>
        <c:axId val="141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1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'curbas G y R'!$A$9:$A$24</c:f>
              <c:numCache>
                <c:formatCode>General</c:formatCode>
                <c:ptCount val="16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</c:numCache>
            </c:numRef>
          </c:xVal>
          <c:yVal>
            <c:numRef>
              <c:f>'curbas G y R'!$D$9:$D$24</c:f>
              <c:numCache>
                <c:formatCode>General</c:formatCode>
                <c:ptCount val="16"/>
                <c:pt idx="0">
                  <c:v>-410</c:v>
                </c:pt>
                <c:pt idx="1">
                  <c:v>-390</c:v>
                </c:pt>
                <c:pt idx="2">
                  <c:v>-370</c:v>
                </c:pt>
                <c:pt idx="3">
                  <c:v>-350</c:v>
                </c:pt>
                <c:pt idx="4">
                  <c:v>-330</c:v>
                </c:pt>
                <c:pt idx="5">
                  <c:v>-310</c:v>
                </c:pt>
                <c:pt idx="6">
                  <c:v>-290</c:v>
                </c:pt>
                <c:pt idx="7">
                  <c:v>-270</c:v>
                </c:pt>
                <c:pt idx="8">
                  <c:v>-250</c:v>
                </c:pt>
                <c:pt idx="9">
                  <c:v>-230</c:v>
                </c:pt>
                <c:pt idx="10">
                  <c:v>-210</c:v>
                </c:pt>
                <c:pt idx="11">
                  <c:v>-190</c:v>
                </c:pt>
                <c:pt idx="12">
                  <c:v>-170</c:v>
                </c:pt>
                <c:pt idx="13">
                  <c:v>-150</c:v>
                </c:pt>
                <c:pt idx="14">
                  <c:v>-130</c:v>
                </c:pt>
                <c:pt idx="15">
                  <c:v>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F-49D0-8F33-38DB43B25F65}"/>
            </c:ext>
          </c:extLst>
        </c:ser>
        <c:ser>
          <c:idx val="1"/>
          <c:order val="1"/>
          <c:tx>
            <c:v>R(T)2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'curbas G y R'!$A$9:$A$24</c:f>
              <c:numCache>
                <c:formatCode>General</c:formatCode>
                <c:ptCount val="16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</c:numCache>
            </c:numRef>
          </c:xVal>
          <c:yVal>
            <c:numRef>
              <c:f>'curbas G y R'!$G$9:$G$24</c:f>
              <c:numCache>
                <c:formatCode>General</c:formatCode>
                <c:ptCount val="16"/>
                <c:pt idx="0">
                  <c:v>-510</c:v>
                </c:pt>
                <c:pt idx="1">
                  <c:v>-490</c:v>
                </c:pt>
                <c:pt idx="2">
                  <c:v>-470</c:v>
                </c:pt>
                <c:pt idx="3">
                  <c:v>-450</c:v>
                </c:pt>
                <c:pt idx="4">
                  <c:v>-430</c:v>
                </c:pt>
                <c:pt idx="5">
                  <c:v>-410</c:v>
                </c:pt>
                <c:pt idx="6">
                  <c:v>-390</c:v>
                </c:pt>
                <c:pt idx="7">
                  <c:v>-370</c:v>
                </c:pt>
                <c:pt idx="8">
                  <c:v>-350</c:v>
                </c:pt>
                <c:pt idx="9">
                  <c:v>-330</c:v>
                </c:pt>
                <c:pt idx="10">
                  <c:v>-310</c:v>
                </c:pt>
                <c:pt idx="11">
                  <c:v>-290</c:v>
                </c:pt>
                <c:pt idx="12">
                  <c:v>-270</c:v>
                </c:pt>
                <c:pt idx="13">
                  <c:v>-250</c:v>
                </c:pt>
                <c:pt idx="14">
                  <c:v>-230</c:v>
                </c:pt>
                <c:pt idx="15">
                  <c:v>-210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F-49D0-8F33-38DB43B2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2840"/>
        <c:axId val="426928376"/>
      </c:scatterChart>
      <c:valAx>
        <c:axId val="14072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928376"/>
        <c:crosses val="autoZero"/>
        <c:crossBetween val="midCat"/>
      </c:valAx>
      <c:valAx>
        <c:axId val="4269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72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6</xdr:row>
      <xdr:rowOff>90487</xdr:rowOff>
    </xdr:from>
    <xdr:to>
      <xdr:col>11</xdr:col>
      <xdr:colOff>371475</xdr:colOff>
      <xdr:row>20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BC7D49-89BA-7B7B-72B8-5A519081A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12</xdr:row>
      <xdr:rowOff>38100</xdr:rowOff>
    </xdr:from>
    <xdr:to>
      <xdr:col>15</xdr:col>
      <xdr:colOff>257175</xdr:colOff>
      <xdr:row>34</xdr:row>
      <xdr:rowOff>14287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695325</xdr:colOff>
      <xdr:row>1</xdr:row>
      <xdr:rowOff>123825</xdr:rowOff>
    </xdr:from>
    <xdr:to>
      <xdr:col>10</xdr:col>
      <xdr:colOff>67119</xdr:colOff>
      <xdr:row>10</xdr:row>
      <xdr:rowOff>47856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314325"/>
          <a:ext cx="3181794" cy="1657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</xdr:row>
      <xdr:rowOff>161925</xdr:rowOff>
    </xdr:from>
    <xdr:to>
      <xdr:col>4</xdr:col>
      <xdr:colOff>38375</xdr:colOff>
      <xdr:row>4</xdr:row>
      <xdr:rowOff>85778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542925"/>
          <a:ext cx="1971950" cy="381053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10</xdr:row>
      <xdr:rowOff>109537</xdr:rowOff>
    </xdr:from>
    <xdr:to>
      <xdr:col>11</xdr:col>
      <xdr:colOff>695325</xdr:colOff>
      <xdr:row>24</xdr:row>
      <xdr:rowOff>185737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39</xdr:row>
      <xdr:rowOff>147637</xdr:rowOff>
    </xdr:from>
    <xdr:to>
      <xdr:col>13</xdr:col>
      <xdr:colOff>123825</xdr:colOff>
      <xdr:row>54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D4A248-79F2-D2AF-293B-CFE53B867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4</xdr:row>
      <xdr:rowOff>119062</xdr:rowOff>
    </xdr:from>
    <xdr:to>
      <xdr:col>13</xdr:col>
      <xdr:colOff>666750</xdr:colOff>
      <xdr:row>19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84260D-7F97-AFB0-B3E2-2CF7E8A0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157162</xdr:rowOff>
    </xdr:from>
    <xdr:to>
      <xdr:col>15</xdr:col>
      <xdr:colOff>457200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6401CA-7D94-4314-5B6B-DB3357CD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147637</xdr:rowOff>
    </xdr:from>
    <xdr:to>
      <xdr:col>16</xdr:col>
      <xdr:colOff>0</xdr:colOff>
      <xdr:row>31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03C267-6F4A-81E8-4DA8-C0132DBE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32</xdr:row>
      <xdr:rowOff>14287</xdr:rowOff>
    </xdr:from>
    <xdr:to>
      <xdr:col>17</xdr:col>
      <xdr:colOff>209550</xdr:colOff>
      <xdr:row>46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432BB8-3555-2534-CE51-4FD166BA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2</xdr:row>
      <xdr:rowOff>80962</xdr:rowOff>
    </xdr:from>
    <xdr:to>
      <xdr:col>15</xdr:col>
      <xdr:colOff>247650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D99CE6-FF44-D6AE-F667-888FD12B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BFF3-C57C-4E48-988F-BCC8A3144E31}">
  <dimension ref="A3:I15"/>
  <sheetViews>
    <sheetView workbookViewId="0">
      <selection activeCell="H4" sqref="H4"/>
    </sheetView>
  </sheetViews>
  <sheetFormatPr baseColWidth="10" defaultRowHeight="15" x14ac:dyDescent="0.25"/>
  <sheetData>
    <row r="3" spans="1:9" x14ac:dyDescent="0.25">
      <c r="A3" t="s">
        <v>37</v>
      </c>
    </row>
    <row r="4" spans="1:9" x14ac:dyDescent="0.25">
      <c r="A4" t="s">
        <v>38</v>
      </c>
      <c r="G4" t="s">
        <v>9</v>
      </c>
      <c r="H4">
        <f>B10-((B8*B7)/B9)</f>
        <v>1173</v>
      </c>
      <c r="I4" t="s">
        <v>46</v>
      </c>
    </row>
    <row r="6" spans="1:9" x14ac:dyDescent="0.25">
      <c r="A6" t="s">
        <v>39</v>
      </c>
    </row>
    <row r="7" spans="1:9" x14ac:dyDescent="0.25">
      <c r="A7" t="s">
        <v>40</v>
      </c>
      <c r="B7">
        <v>1</v>
      </c>
    </row>
    <row r="8" spans="1:9" x14ac:dyDescent="0.25">
      <c r="A8" t="s">
        <v>41</v>
      </c>
      <c r="B8">
        <v>-72000</v>
      </c>
      <c r="C8" t="s">
        <v>42</v>
      </c>
      <c r="D8" t="str">
        <f>IF(B8&gt;0,"endotermica","exotermica")</f>
        <v>exotermica</v>
      </c>
    </row>
    <row r="9" spans="1:9" x14ac:dyDescent="0.25">
      <c r="A9" t="s">
        <v>43</v>
      </c>
      <c r="B9">
        <v>80</v>
      </c>
      <c r="C9" t="s">
        <v>44</v>
      </c>
    </row>
    <row r="10" spans="1:9" x14ac:dyDescent="0.25">
      <c r="A10" t="s">
        <v>45</v>
      </c>
      <c r="B10">
        <v>273</v>
      </c>
      <c r="C10" t="s">
        <v>46</v>
      </c>
      <c r="D10" t="s">
        <v>47</v>
      </c>
    </row>
    <row r="13" spans="1:9" x14ac:dyDescent="0.25">
      <c r="A13" t="s">
        <v>40</v>
      </c>
      <c r="B13" t="s">
        <v>9</v>
      </c>
    </row>
    <row r="14" spans="1:9" x14ac:dyDescent="0.25">
      <c r="A14">
        <v>0</v>
      </c>
      <c r="B14">
        <f>B10</f>
        <v>273</v>
      </c>
    </row>
    <row r="15" spans="1:9" x14ac:dyDescent="0.25">
      <c r="A15">
        <f>B7</f>
        <v>1</v>
      </c>
      <c r="B15">
        <f>H4</f>
        <v>1173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"/>
  <sheetViews>
    <sheetView workbookViewId="0">
      <selection activeCell="E21" sqref="E21"/>
    </sheetView>
  </sheetViews>
  <sheetFormatPr baseColWidth="10" defaultRowHeight="15" x14ac:dyDescent="0.25"/>
  <sheetData>
    <row r="2" spans="2:15" x14ac:dyDescent="0.25">
      <c r="M2" t="s">
        <v>0</v>
      </c>
      <c r="N2">
        <v>0.21761812790439999</v>
      </c>
      <c r="O2">
        <v>0.218</v>
      </c>
    </row>
    <row r="3" spans="2:15" x14ac:dyDescent="0.25">
      <c r="D3" s="14" t="s">
        <v>0</v>
      </c>
      <c r="E3" s="14">
        <v>0.218</v>
      </c>
      <c r="M3" t="s">
        <v>9</v>
      </c>
      <c r="N3">
        <f>D13-((D8/D7)*N2)</f>
        <v>393.26491195902855</v>
      </c>
    </row>
    <row r="4" spans="2:15" x14ac:dyDescent="0.25">
      <c r="D4">
        <v>1</v>
      </c>
      <c r="E4">
        <f>E3/(D9*EXP((-D10/(D11*(D13+428.6*E3))))*(1-E3))</f>
        <v>1.0018151959429762</v>
      </c>
      <c r="M4" t="s">
        <v>27</v>
      </c>
      <c r="N4">
        <f>N2/(D9*EXP((-D10/(D11*N3)))*(1-N2))</f>
        <v>1.0001247020773181</v>
      </c>
    </row>
    <row r="5" spans="2:15" ht="15.75" thickBot="1" x14ac:dyDescent="0.3"/>
    <row r="6" spans="2:15" ht="15.75" thickBot="1" x14ac:dyDescent="0.3">
      <c r="C6" s="45" t="s">
        <v>11</v>
      </c>
      <c r="D6" s="46"/>
    </row>
    <row r="7" spans="2:15" x14ac:dyDescent="0.25">
      <c r="C7" s="1" t="s">
        <v>1</v>
      </c>
      <c r="D7" s="4">
        <v>7</v>
      </c>
      <c r="E7" t="s">
        <v>55</v>
      </c>
    </row>
    <row r="8" spans="2:15" x14ac:dyDescent="0.25">
      <c r="C8" s="2" t="s">
        <v>2</v>
      </c>
      <c r="D8" s="5">
        <v>-3000</v>
      </c>
      <c r="E8" t="s">
        <v>20</v>
      </c>
    </row>
    <row r="9" spans="2:15" x14ac:dyDescent="0.25">
      <c r="C9" s="1" t="s">
        <v>3</v>
      </c>
      <c r="D9" s="5">
        <v>1</v>
      </c>
      <c r="E9" t="s">
        <v>52</v>
      </c>
    </row>
    <row r="10" spans="2:15" x14ac:dyDescent="0.25">
      <c r="C10" s="1" t="s">
        <v>4</v>
      </c>
      <c r="D10" s="5">
        <v>1000</v>
      </c>
      <c r="E10" t="s">
        <v>20</v>
      </c>
    </row>
    <row r="11" spans="2:15" x14ac:dyDescent="0.25">
      <c r="C11" s="1" t="s">
        <v>5</v>
      </c>
      <c r="D11" s="5">
        <v>1.9870000000000001</v>
      </c>
      <c r="E11" t="s">
        <v>54</v>
      </c>
    </row>
    <row r="12" spans="2:15" x14ac:dyDescent="0.25">
      <c r="C12" s="2" t="s">
        <v>6</v>
      </c>
      <c r="D12" s="5">
        <v>1</v>
      </c>
      <c r="E12" t="s">
        <v>53</v>
      </c>
    </row>
    <row r="13" spans="2:15" ht="15.75" thickBot="1" x14ac:dyDescent="0.3">
      <c r="C13" s="3" t="s">
        <v>7</v>
      </c>
      <c r="D13" s="6">
        <v>300</v>
      </c>
      <c r="E13" t="s">
        <v>46</v>
      </c>
    </row>
    <row r="15" spans="2:15" ht="15.75" thickBot="1" x14ac:dyDescent="0.3"/>
    <row r="16" spans="2:15" ht="15.75" thickBot="1" x14ac:dyDescent="0.3">
      <c r="B16" s="8" t="s">
        <v>9</v>
      </c>
      <c r="C16" s="10" t="s">
        <v>8</v>
      </c>
      <c r="D16" s="9" t="s">
        <v>10</v>
      </c>
      <c r="F16" s="35" t="s">
        <v>57</v>
      </c>
    </row>
    <row r="17" spans="2:6" x14ac:dyDescent="0.25">
      <c r="B17" s="7">
        <f>F17</f>
        <v>300</v>
      </c>
      <c r="C17" s="11">
        <f>($D$7/$D$8)*(B17-$D$13)</f>
        <v>0</v>
      </c>
      <c r="D17" s="11">
        <f>($D$12*$D$9*EXP(-$D$10/($D$11*B17)))/(1+($D$12*$D$9*EXP(-$D$10/($D$11*B17))))</f>
        <v>0.15741739275032626</v>
      </c>
      <c r="F17">
        <v>300</v>
      </c>
    </row>
    <row r="18" spans="2:6" x14ac:dyDescent="0.25">
      <c r="B18" s="7">
        <f>B17+$F$19</f>
        <v>310</v>
      </c>
      <c r="C18" s="12">
        <f>-($D$7/$D$8)*(B18-$D$13)</f>
        <v>2.3333333333333334E-2</v>
      </c>
      <c r="D18" s="12">
        <f t="shared" ref="D18:D32" si="0">($D$12*$D$9*EXP(-$D$10/($D$11*B18)))/(1+($D$12*$D$9*EXP(-$D$10/($D$11*B18))))</f>
        <v>0.16472883982983938</v>
      </c>
      <c r="F18" t="s">
        <v>35</v>
      </c>
    </row>
    <row r="19" spans="2:6" x14ac:dyDescent="0.25">
      <c r="B19" s="7">
        <f t="shared" ref="B19:B32" si="1">B18+$F$19</f>
        <v>320</v>
      </c>
      <c r="C19" s="12">
        <f t="shared" ref="C19:C32" si="2">-($D$7/$D$8)*(B19-$D$13)</f>
        <v>4.6666666666666669E-2</v>
      </c>
      <c r="D19" s="12">
        <f t="shared" si="0"/>
        <v>0.17182859600439193</v>
      </c>
      <c r="F19">
        <v>10</v>
      </c>
    </row>
    <row r="20" spans="2:6" x14ac:dyDescent="0.25">
      <c r="B20" s="7">
        <f t="shared" si="1"/>
        <v>330</v>
      </c>
      <c r="C20" s="12">
        <f t="shared" si="2"/>
        <v>7.0000000000000007E-2</v>
      </c>
      <c r="D20" s="12">
        <f t="shared" si="0"/>
        <v>0.17871696602424358</v>
      </c>
    </row>
    <row r="21" spans="2:6" x14ac:dyDescent="0.25">
      <c r="B21" s="7">
        <f t="shared" si="1"/>
        <v>340</v>
      </c>
      <c r="C21" s="12">
        <f t="shared" si="2"/>
        <v>9.3333333333333338E-2</v>
      </c>
      <c r="D21" s="12">
        <f t="shared" si="0"/>
        <v>0.1853957628893185</v>
      </c>
    </row>
    <row r="22" spans="2:6" x14ac:dyDescent="0.25">
      <c r="B22" s="7">
        <f t="shared" si="1"/>
        <v>350</v>
      </c>
      <c r="C22" s="12">
        <f t="shared" si="2"/>
        <v>0.11666666666666668</v>
      </c>
      <c r="D22" s="12">
        <f t="shared" si="0"/>
        <v>0.19186798155398641</v>
      </c>
    </row>
    <row r="23" spans="2:6" x14ac:dyDescent="0.25">
      <c r="B23" s="7">
        <f t="shared" si="1"/>
        <v>360</v>
      </c>
      <c r="C23" s="12">
        <f t="shared" si="2"/>
        <v>0.14000000000000001</v>
      </c>
      <c r="D23" s="12">
        <f t="shared" si="0"/>
        <v>0.19813752883949212</v>
      </c>
    </row>
    <row r="24" spans="2:6" x14ac:dyDescent="0.25">
      <c r="B24" s="7">
        <f t="shared" si="1"/>
        <v>370</v>
      </c>
      <c r="C24" s="12">
        <f t="shared" si="2"/>
        <v>0.16333333333333336</v>
      </c>
      <c r="D24" s="12">
        <f t="shared" si="0"/>
        <v>0.20420900098900496</v>
      </c>
    </row>
    <row r="25" spans="2:6" x14ac:dyDescent="0.25">
      <c r="B25" s="7">
        <f t="shared" si="1"/>
        <v>380</v>
      </c>
      <c r="C25" s="12">
        <f t="shared" si="2"/>
        <v>0.18666666666666668</v>
      </c>
      <c r="D25" s="12">
        <f t="shared" si="0"/>
        <v>0.2100875013523637</v>
      </c>
    </row>
    <row r="26" spans="2:6" x14ac:dyDescent="0.25">
      <c r="B26" s="7">
        <f t="shared" si="1"/>
        <v>390</v>
      </c>
      <c r="C26" s="12">
        <f t="shared" si="2"/>
        <v>0.21000000000000002</v>
      </c>
      <c r="D26" s="12">
        <f t="shared" si="0"/>
        <v>0.21577849169906094</v>
      </c>
    </row>
    <row r="27" spans="2:6" x14ac:dyDescent="0.25">
      <c r="B27" s="7">
        <f t="shared" si="1"/>
        <v>400</v>
      </c>
      <c r="C27" s="12">
        <f t="shared" si="2"/>
        <v>0.23333333333333336</v>
      </c>
      <c r="D27" s="12">
        <f t="shared" si="0"/>
        <v>0.22128767159057328</v>
      </c>
    </row>
    <row r="28" spans="2:6" x14ac:dyDescent="0.25">
      <c r="B28" s="7">
        <f t="shared" si="1"/>
        <v>410</v>
      </c>
      <c r="C28" s="12">
        <f t="shared" si="2"/>
        <v>0.25666666666666671</v>
      </c>
      <c r="D28" s="12">
        <f t="shared" si="0"/>
        <v>0.22662088107939252</v>
      </c>
    </row>
    <row r="29" spans="2:6" x14ac:dyDescent="0.25">
      <c r="B29" s="7">
        <f t="shared" si="1"/>
        <v>420</v>
      </c>
      <c r="C29" s="12">
        <f t="shared" si="2"/>
        <v>0.28000000000000003</v>
      </c>
      <c r="D29" s="12">
        <f t="shared" si="0"/>
        <v>0.23178402273752438</v>
      </c>
    </row>
    <row r="30" spans="2:6" x14ac:dyDescent="0.25">
      <c r="B30" s="7">
        <f t="shared" si="1"/>
        <v>430</v>
      </c>
      <c r="C30" s="12">
        <f t="shared" si="2"/>
        <v>0.30333333333333334</v>
      </c>
      <c r="D30" s="12">
        <f t="shared" si="0"/>
        <v>0.23678299965482549</v>
      </c>
    </row>
    <row r="31" spans="2:6" x14ac:dyDescent="0.25">
      <c r="B31" s="7">
        <f t="shared" si="1"/>
        <v>440</v>
      </c>
      <c r="C31" s="12">
        <f t="shared" si="2"/>
        <v>0.32666666666666672</v>
      </c>
      <c r="D31" s="12">
        <f t="shared" si="0"/>
        <v>0.24162366659453247</v>
      </c>
    </row>
    <row r="32" spans="2:6" ht="15.75" thickBot="1" x14ac:dyDescent="0.3">
      <c r="B32" s="7">
        <f t="shared" si="1"/>
        <v>450</v>
      </c>
      <c r="C32" s="13">
        <f t="shared" si="2"/>
        <v>0.35000000000000003</v>
      </c>
      <c r="D32" s="13">
        <f t="shared" si="0"/>
        <v>0.24631179195878167</v>
      </c>
    </row>
  </sheetData>
  <mergeCells count="1">
    <mergeCell ref="C6:D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3"/>
  <sheetViews>
    <sheetView topLeftCell="A13" workbookViewId="0">
      <selection activeCell="D37" sqref="D37"/>
    </sheetView>
  </sheetViews>
  <sheetFormatPr baseColWidth="10" defaultRowHeight="15" x14ac:dyDescent="0.25"/>
  <cols>
    <col min="4" max="4" width="12" bestFit="1" customWidth="1"/>
    <col min="7" max="7" width="15.140625" customWidth="1"/>
  </cols>
  <sheetData>
    <row r="2" spans="1:14" ht="18" x14ac:dyDescent="0.35">
      <c r="B2" s="47" t="s">
        <v>14</v>
      </c>
      <c r="C2" s="47"/>
      <c r="D2" s="47"/>
      <c r="E2" s="47"/>
      <c r="F2" s="47"/>
      <c r="G2" s="21" t="s">
        <v>11</v>
      </c>
      <c r="H2" s="23" t="s">
        <v>15</v>
      </c>
      <c r="I2" s="22">
        <v>12.65</v>
      </c>
      <c r="J2" s="22" t="s">
        <v>17</v>
      </c>
      <c r="L2" t="s">
        <v>58</v>
      </c>
      <c r="M2">
        <f>(I3+I4)-(I2)</f>
        <v>1.2300000000000004</v>
      </c>
      <c r="N2" t="s">
        <v>54</v>
      </c>
    </row>
    <row r="3" spans="1:14" ht="18" x14ac:dyDescent="0.35">
      <c r="H3" s="23" t="s">
        <v>16</v>
      </c>
      <c r="I3" s="22">
        <v>10.47</v>
      </c>
      <c r="J3" s="22" t="s">
        <v>17</v>
      </c>
    </row>
    <row r="4" spans="1:14" ht="18" x14ac:dyDescent="0.35">
      <c r="H4" s="23" t="s">
        <v>18</v>
      </c>
      <c r="I4" s="22">
        <v>3.41</v>
      </c>
      <c r="J4" s="22" t="s">
        <v>17</v>
      </c>
    </row>
    <row r="5" spans="1:14" x14ac:dyDescent="0.25">
      <c r="H5" s="24" t="s">
        <v>19</v>
      </c>
      <c r="I5" s="22">
        <v>1500</v>
      </c>
      <c r="J5" s="22" t="s">
        <v>20</v>
      </c>
    </row>
    <row r="6" spans="1:14" ht="17.25" x14ac:dyDescent="0.25">
      <c r="A6">
        <f>1/1.8</f>
        <v>0.55555555555555558</v>
      </c>
      <c r="G6" s="21" t="s">
        <v>21</v>
      </c>
      <c r="H6" s="24" t="s">
        <v>22</v>
      </c>
      <c r="I6" s="22">
        <v>10</v>
      </c>
      <c r="J6" s="22" t="s">
        <v>23</v>
      </c>
    </row>
    <row r="7" spans="1:14" ht="17.25" x14ac:dyDescent="0.25">
      <c r="B7" s="15" t="s">
        <v>12</v>
      </c>
      <c r="C7" s="16" t="s">
        <v>13</v>
      </c>
      <c r="D7" s="16" t="s">
        <v>29</v>
      </c>
      <c r="E7" s="25" t="s">
        <v>30</v>
      </c>
      <c r="H7" s="24" t="s">
        <v>24</v>
      </c>
      <c r="I7" s="22">
        <v>5</v>
      </c>
      <c r="J7" s="22" t="s">
        <v>25</v>
      </c>
    </row>
    <row r="8" spans="1:14" x14ac:dyDescent="0.25">
      <c r="B8" s="17">
        <f>$A$6*600</f>
        <v>333.33333333333337</v>
      </c>
      <c r="C8" s="18">
        <v>1.2</v>
      </c>
      <c r="D8" s="28">
        <f>LN(C8)</f>
        <v>0.18232155679395459</v>
      </c>
      <c r="E8" s="29">
        <f>1/B8</f>
        <v>2.9999999999999996E-3</v>
      </c>
      <c r="H8" s="24" t="s">
        <v>9</v>
      </c>
      <c r="I8" s="22">
        <v>25</v>
      </c>
      <c r="J8" s="22" t="s">
        <v>26</v>
      </c>
    </row>
    <row r="9" spans="1:14" x14ac:dyDescent="0.25">
      <c r="B9" s="17">
        <f>$A$6*610</f>
        <v>338.88888888888891</v>
      </c>
      <c r="C9" s="18">
        <v>1.68</v>
      </c>
      <c r="D9" s="18">
        <f t="shared" ref="D9:D14" si="0">LN(C9)</f>
        <v>0.51879379341516751</v>
      </c>
      <c r="E9" s="26">
        <f t="shared" ref="E9:E14" si="1">1/B9</f>
        <v>2.9508196721311471E-3</v>
      </c>
      <c r="H9" s="24" t="s">
        <v>27</v>
      </c>
      <c r="I9" s="22">
        <v>5</v>
      </c>
      <c r="J9" s="22" t="s">
        <v>28</v>
      </c>
    </row>
    <row r="10" spans="1:14" x14ac:dyDescent="0.25">
      <c r="B10" s="17">
        <f>$A$6*620</f>
        <v>344.44444444444446</v>
      </c>
      <c r="C10" s="18">
        <v>2.33</v>
      </c>
      <c r="D10" s="18">
        <f t="shared" si="0"/>
        <v>0.84586826757760925</v>
      </c>
      <c r="E10" s="26">
        <f t="shared" si="1"/>
        <v>2.9032258064516127E-3</v>
      </c>
    </row>
    <row r="11" spans="1:14" x14ac:dyDescent="0.25">
      <c r="B11" s="17">
        <f>$A$6*630</f>
        <v>350</v>
      </c>
      <c r="C11" s="18">
        <v>3.28</v>
      </c>
      <c r="D11" s="18">
        <f t="shared" si="0"/>
        <v>1.1878434223960523</v>
      </c>
      <c r="E11" s="26">
        <f t="shared" si="1"/>
        <v>2.8571428571428571E-3</v>
      </c>
    </row>
    <row r="12" spans="1:14" x14ac:dyDescent="0.25">
      <c r="B12" s="17">
        <f>$A$6*640</f>
        <v>355.55555555555554</v>
      </c>
      <c r="C12" s="18">
        <v>4.6100000000000003</v>
      </c>
      <c r="D12" s="18">
        <f t="shared" si="0"/>
        <v>1.5282278570085572</v>
      </c>
      <c r="E12" s="26">
        <f t="shared" si="1"/>
        <v>2.8124999999999999E-3</v>
      </c>
    </row>
    <row r="13" spans="1:14" x14ac:dyDescent="0.25">
      <c r="B13" s="17">
        <f>$A$6*650</f>
        <v>361.11111111111114</v>
      </c>
      <c r="C13" s="18">
        <v>7.2</v>
      </c>
      <c r="D13" s="18">
        <f t="shared" si="0"/>
        <v>1.9740810260220096</v>
      </c>
      <c r="E13" s="26">
        <f t="shared" si="1"/>
        <v>2.7692307692307691E-3</v>
      </c>
    </row>
    <row r="14" spans="1:14" x14ac:dyDescent="0.25">
      <c r="B14" s="19">
        <f>$A$6*660</f>
        <v>366.66666666666669</v>
      </c>
      <c r="C14" s="20">
        <v>9.41</v>
      </c>
      <c r="D14" s="20">
        <f t="shared" si="0"/>
        <v>2.2417729535972883</v>
      </c>
      <c r="E14" s="27">
        <f t="shared" si="1"/>
        <v>2.7272727272727271E-3</v>
      </c>
    </row>
    <row r="17" spans="2:17" x14ac:dyDescent="0.25">
      <c r="C17" t="s">
        <v>59</v>
      </c>
      <c r="D17">
        <v>-7672.3</v>
      </c>
    </row>
    <row r="18" spans="2:17" x14ac:dyDescent="0.25">
      <c r="C18" t="s">
        <v>61</v>
      </c>
      <c r="D18">
        <v>23.154</v>
      </c>
    </row>
    <row r="19" spans="2:17" x14ac:dyDescent="0.25">
      <c r="C19" t="s">
        <v>60</v>
      </c>
      <c r="D19" s="36">
        <f>EXP(D18)</f>
        <v>11367224413.496475</v>
      </c>
    </row>
    <row r="24" spans="2:17" x14ac:dyDescent="0.25">
      <c r="B24" t="s">
        <v>63</v>
      </c>
    </row>
    <row r="25" spans="2:17" x14ac:dyDescent="0.25">
      <c r="B25" t="s">
        <v>9</v>
      </c>
      <c r="C25">
        <f>273+I8</f>
        <v>298</v>
      </c>
      <c r="D25" t="s">
        <v>46</v>
      </c>
    </row>
    <row r="26" spans="2:17" x14ac:dyDescent="0.25">
      <c r="B26" t="s">
        <v>62</v>
      </c>
      <c r="C26">
        <f>D19*(EXP(D17/C25))</f>
        <v>7.4872159909150193E-2</v>
      </c>
      <c r="D26" t="s">
        <v>65</v>
      </c>
    </row>
    <row r="27" spans="2:17" x14ac:dyDescent="0.25">
      <c r="B27" t="s">
        <v>40</v>
      </c>
      <c r="C27">
        <f>1-(EXP(-C26*I9))</f>
        <v>0.31227126515453196</v>
      </c>
    </row>
    <row r="28" spans="2:17" x14ac:dyDescent="0.25">
      <c r="N28" t="s">
        <v>70</v>
      </c>
    </row>
    <row r="29" spans="2:17" x14ac:dyDescent="0.25">
      <c r="N29">
        <v>-13000</v>
      </c>
    </row>
    <row r="30" spans="2:17" x14ac:dyDescent="0.25">
      <c r="B30" t="s">
        <v>64</v>
      </c>
      <c r="G30" t="s">
        <v>68</v>
      </c>
      <c r="N30">
        <f>10^15</f>
        <v>1000000000000000</v>
      </c>
    </row>
    <row r="31" spans="2:17" x14ac:dyDescent="0.25">
      <c r="B31" t="s">
        <v>40</v>
      </c>
      <c r="C31">
        <v>0.11</v>
      </c>
      <c r="E31">
        <f>(I5-(M2*(I8+273)))/I2</f>
        <v>89.601581027667962</v>
      </c>
      <c r="G31" t="s">
        <v>69</v>
      </c>
    </row>
    <row r="32" spans="2:17" x14ac:dyDescent="0.25">
      <c r="B32" t="s">
        <v>9</v>
      </c>
      <c r="C32">
        <f>((I8+273)-(((I5-(M2*(I8+273)))/I2)*C31))/(1+((M2/I2)*C31))</f>
        <v>285.09455390174656</v>
      </c>
      <c r="E32">
        <f>M2/I2</f>
        <v>9.7233201581027703E-2</v>
      </c>
      <c r="N32">
        <f>N30*(EXP(N29/382.44))</f>
        <v>1.7272251669835668</v>
      </c>
      <c r="P32">
        <v>358</v>
      </c>
      <c r="Q32">
        <v>0.1696</v>
      </c>
    </row>
    <row r="33" spans="1:17" x14ac:dyDescent="0.25">
      <c r="B33" t="s">
        <v>62</v>
      </c>
      <c r="C33" s="36">
        <f>D19*(EXP(D17/C32))</f>
        <v>2.3343831010848231E-2</v>
      </c>
      <c r="P33">
        <v>382.44</v>
      </c>
      <c r="Q33">
        <v>1.7272000000000001</v>
      </c>
    </row>
    <row r="34" spans="1:17" x14ac:dyDescent="0.25">
      <c r="B34" t="s">
        <v>40</v>
      </c>
      <c r="C34">
        <f>1-(EXP(-C33*I9))</f>
        <v>0.11016493624546286</v>
      </c>
      <c r="D34" t="s">
        <v>91</v>
      </c>
    </row>
    <row r="36" spans="1:17" x14ac:dyDescent="0.25">
      <c r="B36" t="s">
        <v>66</v>
      </c>
      <c r="C36">
        <f>SQRT((C31-C34)^2)</f>
        <v>1.6493624546286278E-4</v>
      </c>
    </row>
    <row r="39" spans="1:17" x14ac:dyDescent="0.25">
      <c r="A39" t="s">
        <v>67</v>
      </c>
      <c r="B39">
        <v>0.10979999999999999</v>
      </c>
    </row>
    <row r="40" spans="1:17" x14ac:dyDescent="0.25">
      <c r="A40" t="s">
        <v>56</v>
      </c>
      <c r="B40">
        <v>1E-4</v>
      </c>
    </row>
    <row r="42" spans="1:17" x14ac:dyDescent="0.25">
      <c r="A42" t="s">
        <v>40</v>
      </c>
      <c r="B42" t="s">
        <v>9</v>
      </c>
      <c r="C42" t="s">
        <v>62</v>
      </c>
      <c r="D42" t="s">
        <v>40</v>
      </c>
      <c r="E42" t="s">
        <v>66</v>
      </c>
    </row>
    <row r="43" spans="1:17" x14ac:dyDescent="0.25">
      <c r="A43">
        <f>B39</f>
        <v>0.10979999999999999</v>
      </c>
      <c r="B43">
        <f>(($I$8+273)-((($I$5-($M$2*($I$8+273)))/$I$2)*A43))/(1+(($M$2/$I$2)*A43))</f>
        <v>285.11777048419191</v>
      </c>
      <c r="C43" s="36">
        <f>$D$19*(EXP($D$17/B43))</f>
        <v>2.3395041476066972E-2</v>
      </c>
      <c r="D43" s="36">
        <f>1-(EXP(-C43*$I$9))</f>
        <v>0.11039275141583016</v>
      </c>
      <c r="E43">
        <f>SQRT((A43-D43)^2)</f>
        <v>5.9275141583016444E-4</v>
      </c>
    </row>
    <row r="44" spans="1:17" x14ac:dyDescent="0.25">
      <c r="A44">
        <f>A43+$B$40</f>
        <v>0.1099</v>
      </c>
      <c r="B44">
        <f t="shared" ref="B44:B53" si="2">(($I$8+273)-((($I$5-($M$2*($I$8+273)))/$I$2)*A44))/(1+(($M$2/$I$2)*A44))</f>
        <v>285.10616208129153</v>
      </c>
      <c r="C44" s="36">
        <f t="shared" ref="C44:C53" si="3">$D$19*(EXP($D$17/B44))</f>
        <v>2.3369423012186443E-2</v>
      </c>
      <c r="D44" s="36">
        <f t="shared" ref="D44:D53" si="4">1-(EXP(-C44*$I$9))</f>
        <v>0.11027879226151116</v>
      </c>
      <c r="E44">
        <f t="shared" ref="E44:E53" si="5">SQRT((A44-D44)^2)</f>
        <v>3.7879226151116274E-4</v>
      </c>
    </row>
    <row r="45" spans="1:17" x14ac:dyDescent="0.25">
      <c r="A45">
        <f t="shared" ref="A45:A53" si="6">A44+$B$40</f>
        <v>0.11</v>
      </c>
      <c r="B45">
        <f t="shared" si="2"/>
        <v>285.09455390174656</v>
      </c>
      <c r="C45" s="36">
        <f t="shared" si="3"/>
        <v>2.3343831010848231E-2</v>
      </c>
      <c r="D45" s="36">
        <f t="shared" si="4"/>
        <v>0.11016493624546286</v>
      </c>
      <c r="E45">
        <f t="shared" si="5"/>
        <v>1.6493624546286278E-4</v>
      </c>
    </row>
    <row r="46" spans="1:17" x14ac:dyDescent="0.25">
      <c r="A46">
        <f t="shared" si="6"/>
        <v>0.1101</v>
      </c>
      <c r="B46">
        <f t="shared" si="2"/>
        <v>285.08294594555065</v>
      </c>
      <c r="C46" s="36">
        <f t="shared" si="3"/>
        <v>2.3318265446410854E-2</v>
      </c>
      <c r="D46" s="36">
        <f t="shared" si="4"/>
        <v>0.11005118329691665</v>
      </c>
      <c r="E46">
        <f t="shared" si="5"/>
        <v>4.8816703083348623E-5</v>
      </c>
    </row>
    <row r="47" spans="1:17" x14ac:dyDescent="0.25">
      <c r="A47">
        <f t="shared" si="6"/>
        <v>0.11020000000000001</v>
      </c>
      <c r="B47">
        <f t="shared" si="2"/>
        <v>285.07133821269736</v>
      </c>
      <c r="C47" s="36">
        <f t="shared" si="3"/>
        <v>2.3292726293255763E-2</v>
      </c>
      <c r="D47" s="36">
        <f t="shared" si="4"/>
        <v>0.10993753334511236</v>
      </c>
      <c r="E47">
        <f t="shared" si="5"/>
        <v>2.6246665488764698E-4</v>
      </c>
    </row>
    <row r="48" spans="1:17" x14ac:dyDescent="0.25">
      <c r="A48">
        <f t="shared" si="6"/>
        <v>0.11030000000000001</v>
      </c>
      <c r="B48">
        <f t="shared" si="2"/>
        <v>285.05973070318026</v>
      </c>
      <c r="C48" s="36">
        <f t="shared" si="3"/>
        <v>2.3267213525787544E-2</v>
      </c>
      <c r="D48" s="36">
        <f t="shared" si="4"/>
        <v>0.10982398631929946</v>
      </c>
      <c r="E48">
        <f t="shared" si="5"/>
        <v>4.7601368070054884E-4</v>
      </c>
    </row>
    <row r="49" spans="1:5" x14ac:dyDescent="0.25">
      <c r="A49">
        <f t="shared" si="6"/>
        <v>0.11040000000000001</v>
      </c>
      <c r="B49">
        <f t="shared" si="2"/>
        <v>285.04812341699278</v>
      </c>
      <c r="C49" s="36">
        <f t="shared" si="3"/>
        <v>2.3241727118433343E-2</v>
      </c>
      <c r="D49" s="36">
        <f t="shared" si="4"/>
        <v>0.1097105421487341</v>
      </c>
      <c r="E49">
        <f t="shared" si="5"/>
        <v>6.8945785126590942E-4</v>
      </c>
    </row>
    <row r="50" spans="1:5" x14ac:dyDescent="0.25">
      <c r="A50">
        <f t="shared" si="6"/>
        <v>0.11050000000000001</v>
      </c>
      <c r="B50">
        <f t="shared" si="2"/>
        <v>285.03651635412876</v>
      </c>
      <c r="C50" s="36">
        <f t="shared" si="3"/>
        <v>2.3216267045644806E-2</v>
      </c>
      <c r="D50" s="36">
        <f t="shared" si="4"/>
        <v>0.10959720076268853</v>
      </c>
      <c r="E50">
        <f t="shared" si="5"/>
        <v>9.027992373114857E-4</v>
      </c>
    </row>
    <row r="51" spans="1:5" x14ac:dyDescent="0.25">
      <c r="A51">
        <f t="shared" si="6"/>
        <v>0.11060000000000002</v>
      </c>
      <c r="B51">
        <f t="shared" si="2"/>
        <v>285.02490951458145</v>
      </c>
      <c r="C51" s="36">
        <f t="shared" si="3"/>
        <v>2.319083328189488E-2</v>
      </c>
      <c r="D51" s="36">
        <f t="shared" si="4"/>
        <v>0.10948396209043665</v>
      </c>
      <c r="E51">
        <f t="shared" si="5"/>
        <v>1.1160379095633693E-3</v>
      </c>
    </row>
    <row r="52" spans="1:5" x14ac:dyDescent="0.25">
      <c r="A52">
        <f>A51+$B$40</f>
        <v>0.11070000000000002</v>
      </c>
      <c r="B52">
        <f t="shared" si="2"/>
        <v>285.01330289834459</v>
      </c>
      <c r="C52" s="36">
        <f t="shared" si="3"/>
        <v>2.3165425801680864E-2</v>
      </c>
      <c r="D52" s="36">
        <f t="shared" si="4"/>
        <v>0.10937082606126802</v>
      </c>
      <c r="E52">
        <f t="shared" si="5"/>
        <v>1.3291739387319979E-3</v>
      </c>
    </row>
    <row r="53" spans="1:5" x14ac:dyDescent="0.25">
      <c r="A53">
        <f t="shared" si="6"/>
        <v>0.11080000000000002</v>
      </c>
      <c r="B53">
        <f t="shared" si="2"/>
        <v>285.00169650541153</v>
      </c>
      <c r="C53" s="36">
        <f t="shared" si="3"/>
        <v>2.3140044579522234E-2</v>
      </c>
      <c r="D53" s="36">
        <f t="shared" si="4"/>
        <v>0.10925779260447799</v>
      </c>
      <c r="E53">
        <f t="shared" si="5"/>
        <v>1.5422073955220356E-3</v>
      </c>
    </row>
  </sheetData>
  <mergeCells count="1">
    <mergeCell ref="B2:F2"/>
  </mergeCells>
  <conditionalFormatting sqref="E43:E53">
    <cfRule type="top10" dxfId="1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920-198E-47B2-8661-5544197367FA}">
  <dimension ref="A1:N20"/>
  <sheetViews>
    <sheetView workbookViewId="0">
      <selection activeCell="M3" sqref="M3"/>
    </sheetView>
  </sheetViews>
  <sheetFormatPr baseColWidth="10" defaultColWidth="9.140625" defaultRowHeight="15" x14ac:dyDescent="0.25"/>
  <cols>
    <col min="1" max="1" width="22.5703125" bestFit="1" customWidth="1"/>
  </cols>
  <sheetData>
    <row r="1" spans="1:14" x14ac:dyDescent="0.25">
      <c r="A1" t="s">
        <v>71</v>
      </c>
    </row>
    <row r="3" spans="1:14" x14ac:dyDescent="0.25">
      <c r="A3" t="s">
        <v>72</v>
      </c>
      <c r="B3">
        <v>3</v>
      </c>
      <c r="C3" t="s">
        <v>73</v>
      </c>
      <c r="G3" t="s">
        <v>40</v>
      </c>
      <c r="H3">
        <f>B5</f>
        <v>0.7</v>
      </c>
      <c r="L3" t="s">
        <v>74</v>
      </c>
      <c r="M3">
        <f>(H6*B7*H3)</f>
        <v>36750</v>
      </c>
      <c r="N3" t="s">
        <v>75</v>
      </c>
    </row>
    <row r="4" spans="1:14" x14ac:dyDescent="0.25">
      <c r="A4" t="s">
        <v>76</v>
      </c>
      <c r="B4">
        <v>1</v>
      </c>
      <c r="C4" t="s">
        <v>77</v>
      </c>
      <c r="G4" t="s">
        <v>74</v>
      </c>
      <c r="H4">
        <f>B4</f>
        <v>1</v>
      </c>
      <c r="I4" t="str">
        <f>C4</f>
        <v>m3/h</v>
      </c>
    </row>
    <row r="5" spans="1:14" x14ac:dyDescent="0.25">
      <c r="A5" t="s">
        <v>78</v>
      </c>
      <c r="B5">
        <v>0.7</v>
      </c>
      <c r="G5" t="s">
        <v>79</v>
      </c>
      <c r="H5">
        <f>B3</f>
        <v>3</v>
      </c>
      <c r="I5" t="str">
        <f>C3</f>
        <v>kmo/h</v>
      </c>
    </row>
    <row r="6" spans="1:14" x14ac:dyDescent="0.25">
      <c r="A6" t="s">
        <v>80</v>
      </c>
      <c r="B6">
        <v>3</v>
      </c>
      <c r="C6" t="s">
        <v>81</v>
      </c>
      <c r="G6" t="s">
        <v>82</v>
      </c>
      <c r="H6">
        <f>B8*B3</f>
        <v>1.5</v>
      </c>
      <c r="I6" t="str">
        <f>C3</f>
        <v>kmo/h</v>
      </c>
    </row>
    <row r="7" spans="1:14" x14ac:dyDescent="0.25">
      <c r="A7" t="s">
        <v>83</v>
      </c>
      <c r="B7">
        <v>35000</v>
      </c>
      <c r="C7" t="s">
        <v>84</v>
      </c>
    </row>
    <row r="8" spans="1:14" x14ac:dyDescent="0.25">
      <c r="A8" t="s">
        <v>85</v>
      </c>
      <c r="B8">
        <v>0.5</v>
      </c>
      <c r="G8" t="s">
        <v>62</v>
      </c>
      <c r="H8" s="37">
        <f>(H3*(H4^2))/(H5*((1-B5)^2)*H6)</f>
        <v>1.7283950617283943</v>
      </c>
    </row>
    <row r="10" spans="1:14" x14ac:dyDescent="0.25">
      <c r="G10" t="s">
        <v>86</v>
      </c>
      <c r="H10">
        <f>LN(H8/(10^15))</f>
        <v>-33.991583126973822</v>
      </c>
    </row>
    <row r="12" spans="1:14" x14ac:dyDescent="0.25">
      <c r="A12" s="38" t="s">
        <v>87</v>
      </c>
      <c r="B12" s="38">
        <f>B3*(1-B5)</f>
        <v>0.90000000000000013</v>
      </c>
      <c r="G12" t="s">
        <v>9</v>
      </c>
      <c r="H12">
        <f>-13000/H10</f>
        <v>382.44761803059197</v>
      </c>
      <c r="I12" t="s">
        <v>62</v>
      </c>
    </row>
    <row r="13" spans="1:14" x14ac:dyDescent="0.25">
      <c r="A13" s="38" t="s">
        <v>88</v>
      </c>
      <c r="B13" s="38">
        <f>(1-B5)^2</f>
        <v>9.0000000000000024E-2</v>
      </c>
    </row>
    <row r="14" spans="1:14" x14ac:dyDescent="0.25">
      <c r="A14" s="38" t="s">
        <v>89</v>
      </c>
      <c r="B14" s="38">
        <f>B8^2</f>
        <v>0.25</v>
      </c>
      <c r="G14" t="s">
        <v>90</v>
      </c>
    </row>
    <row r="15" spans="1:14" x14ac:dyDescent="0.25">
      <c r="A15" s="38"/>
      <c r="B15" s="38"/>
    </row>
    <row r="16" spans="1:14" x14ac:dyDescent="0.25">
      <c r="A16" s="38" t="s">
        <v>62</v>
      </c>
      <c r="B16" s="38">
        <f>B12/(B14*B13)</f>
        <v>39.999999999999993</v>
      </c>
    </row>
    <row r="17" spans="1:2" x14ac:dyDescent="0.25">
      <c r="A17" s="38"/>
      <c r="B17" s="38"/>
    </row>
    <row r="18" spans="1:2" x14ac:dyDescent="0.25">
      <c r="A18" s="38" t="s">
        <v>86</v>
      </c>
      <c r="B18" s="38">
        <f>LN(B16/(10^15))</f>
        <v>-30.84989694079675</v>
      </c>
    </row>
    <row r="19" spans="1:2" x14ac:dyDescent="0.25">
      <c r="A19" s="38"/>
      <c r="B19" s="38"/>
    </row>
    <row r="20" spans="1:2" x14ac:dyDescent="0.25">
      <c r="A20" s="38" t="s">
        <v>9</v>
      </c>
      <c r="B20" s="38">
        <f>-13000/B18</f>
        <v>421.3952489030342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3"/>
  <sheetViews>
    <sheetView workbookViewId="0">
      <selection activeCell="D1" sqref="D1"/>
    </sheetView>
  </sheetViews>
  <sheetFormatPr baseColWidth="10" defaultRowHeight="15" x14ac:dyDescent="0.25"/>
  <cols>
    <col min="9" max="9" width="12.28515625" bestFit="1" customWidth="1"/>
  </cols>
  <sheetData>
    <row r="2" spans="1:9" x14ac:dyDescent="0.25">
      <c r="A2" t="s">
        <v>4</v>
      </c>
      <c r="B2">
        <v>50</v>
      </c>
      <c r="D2" t="s">
        <v>34</v>
      </c>
      <c r="E2">
        <v>0</v>
      </c>
      <c r="G2" t="s">
        <v>36</v>
      </c>
      <c r="H2">
        <f>B2-B4</f>
        <v>47</v>
      </c>
      <c r="I2" t="str">
        <f>IF(H2&gt;0,"endotermica","exotermica")</f>
        <v>endotermica</v>
      </c>
    </row>
    <row r="3" spans="1:9" x14ac:dyDescent="0.25">
      <c r="A3" t="s">
        <v>3</v>
      </c>
      <c r="B3">
        <v>2</v>
      </c>
      <c r="D3" t="s">
        <v>35</v>
      </c>
      <c r="E3">
        <v>50</v>
      </c>
    </row>
    <row r="4" spans="1:9" x14ac:dyDescent="0.25">
      <c r="A4" t="s">
        <v>31</v>
      </c>
      <c r="B4">
        <v>3</v>
      </c>
      <c r="D4" t="s">
        <v>5</v>
      </c>
      <c r="E4">
        <v>8.3140000000000001</v>
      </c>
    </row>
    <row r="5" spans="1:9" x14ac:dyDescent="0.25">
      <c r="A5" t="s">
        <v>32</v>
      </c>
      <c r="B5">
        <v>4</v>
      </c>
    </row>
    <row r="6" spans="1:9" ht="15.75" thickBot="1" x14ac:dyDescent="0.3"/>
    <row r="7" spans="1:9" x14ac:dyDescent="0.25">
      <c r="D7" s="30" t="s">
        <v>43</v>
      </c>
      <c r="E7" s="31">
        <v>2</v>
      </c>
    </row>
    <row r="8" spans="1:9" x14ac:dyDescent="0.25">
      <c r="A8" t="s">
        <v>9</v>
      </c>
      <c r="B8" t="s">
        <v>33</v>
      </c>
      <c r="D8" s="1" t="s">
        <v>48</v>
      </c>
      <c r="E8" s="32" t="s">
        <v>37</v>
      </c>
    </row>
    <row r="9" spans="1:9" x14ac:dyDescent="0.25">
      <c r="A9">
        <f>E2</f>
        <v>0</v>
      </c>
      <c r="B9" t="e">
        <f>1/(1+(($B$5/$B$3)*EXP(-($B$4-$B$2)/($E$4*A9))))</f>
        <v>#DIV/0!</v>
      </c>
      <c r="D9" s="1" t="s">
        <v>49</v>
      </c>
      <c r="E9" s="32" t="s">
        <v>50</v>
      </c>
    </row>
    <row r="10" spans="1:9" x14ac:dyDescent="0.25">
      <c r="A10">
        <f>A9+$E$3</f>
        <v>50</v>
      </c>
      <c r="B10">
        <f>1/(1+(($B$5/$B$3)*EXP(-($B$4-$B$2)/($E$4*A10))))</f>
        <v>0.30869881909363306</v>
      </c>
      <c r="D10" s="1">
        <f>B10</f>
        <v>0.30869881909363306</v>
      </c>
      <c r="E10" s="32">
        <v>200</v>
      </c>
    </row>
    <row r="11" spans="1:9" ht="15.75" thickBot="1" x14ac:dyDescent="0.3">
      <c r="A11">
        <f t="shared" ref="A11:A33" si="0">A10+$E$3</f>
        <v>100</v>
      </c>
      <c r="B11">
        <f t="shared" ref="B11:B33" si="1">1/(1+(($B$5/$B$3)*EXP(-($B$4-$B$2)/($E$4*A11))))</f>
        <v>0.32089139452921578</v>
      </c>
      <c r="D11" s="33">
        <f>B33</f>
        <v>0.33228728338888824</v>
      </c>
      <c r="E11" s="34">
        <f>E10-((H2*D11)/E7)</f>
        <v>192.19124884036114</v>
      </c>
    </row>
    <row r="12" spans="1:9" x14ac:dyDescent="0.25">
      <c r="A12">
        <f t="shared" si="0"/>
        <v>150</v>
      </c>
      <c r="B12">
        <f t="shared" si="1"/>
        <v>0.32501160353867387</v>
      </c>
      <c r="D12" s="1" t="s">
        <v>51</v>
      </c>
    </row>
    <row r="13" spans="1:9" x14ac:dyDescent="0.25">
      <c r="A13">
        <f t="shared" si="0"/>
        <v>200</v>
      </c>
      <c r="B13">
        <f t="shared" si="1"/>
        <v>0.32708196017112418</v>
      </c>
    </row>
    <row r="14" spans="1:9" x14ac:dyDescent="0.25">
      <c r="A14">
        <f t="shared" si="0"/>
        <v>250</v>
      </c>
      <c r="B14">
        <f t="shared" si="1"/>
        <v>0.32832742131994641</v>
      </c>
    </row>
    <row r="15" spans="1:9" x14ac:dyDescent="0.25">
      <c r="A15">
        <f t="shared" si="0"/>
        <v>300</v>
      </c>
      <c r="B15">
        <f t="shared" si="1"/>
        <v>0.32915907385095888</v>
      </c>
    </row>
    <row r="16" spans="1:9" x14ac:dyDescent="0.25">
      <c r="A16">
        <f t="shared" si="0"/>
        <v>350</v>
      </c>
      <c r="B16">
        <f t="shared" si="1"/>
        <v>0.32975376768933695</v>
      </c>
    </row>
    <row r="17" spans="1:2" x14ac:dyDescent="0.25">
      <c r="A17">
        <f t="shared" si="0"/>
        <v>400</v>
      </c>
      <c r="B17">
        <f t="shared" si="1"/>
        <v>0.33020014602523584</v>
      </c>
    </row>
    <row r="18" spans="1:2" x14ac:dyDescent="0.25">
      <c r="A18">
        <f t="shared" si="0"/>
        <v>450</v>
      </c>
      <c r="B18">
        <f t="shared" si="1"/>
        <v>0.33054754087231641</v>
      </c>
    </row>
    <row r="19" spans="1:2" x14ac:dyDescent="0.25">
      <c r="A19">
        <f t="shared" si="0"/>
        <v>500</v>
      </c>
      <c r="B19">
        <f t="shared" si="1"/>
        <v>0.33082558991144179</v>
      </c>
    </row>
    <row r="20" spans="1:2" x14ac:dyDescent="0.25">
      <c r="A20">
        <f t="shared" si="0"/>
        <v>550</v>
      </c>
      <c r="B20">
        <f t="shared" si="1"/>
        <v>0.33105317251099153</v>
      </c>
    </row>
    <row r="21" spans="1:2" x14ac:dyDescent="0.25">
      <c r="A21">
        <f>A20+$E$3</f>
        <v>600</v>
      </c>
      <c r="B21">
        <f t="shared" si="1"/>
        <v>0.33124288506852356</v>
      </c>
    </row>
    <row r="22" spans="1:2" x14ac:dyDescent="0.25">
      <c r="A22">
        <f t="shared" si="0"/>
        <v>650</v>
      </c>
      <c r="B22">
        <f t="shared" si="1"/>
        <v>0.33140345392379317</v>
      </c>
    </row>
    <row r="23" spans="1:2" x14ac:dyDescent="0.25">
      <c r="A23">
        <f t="shared" si="0"/>
        <v>700</v>
      </c>
      <c r="B23">
        <f t="shared" si="1"/>
        <v>0.33154111560817606</v>
      </c>
    </row>
    <row r="24" spans="1:2" x14ac:dyDescent="0.25">
      <c r="A24">
        <f t="shared" si="0"/>
        <v>750</v>
      </c>
      <c r="B24">
        <f t="shared" si="1"/>
        <v>0.33166044571062153</v>
      </c>
    </row>
    <row r="25" spans="1:2" x14ac:dyDescent="0.25">
      <c r="A25">
        <f t="shared" si="0"/>
        <v>800</v>
      </c>
      <c r="B25">
        <f t="shared" si="1"/>
        <v>0.33176487729595389</v>
      </c>
    </row>
    <row r="26" spans="1:2" x14ac:dyDescent="0.25">
      <c r="A26">
        <f t="shared" si="0"/>
        <v>850</v>
      </c>
      <c r="B26">
        <f t="shared" si="1"/>
        <v>0.33185703656046445</v>
      </c>
    </row>
    <row r="27" spans="1:2" x14ac:dyDescent="0.25">
      <c r="A27">
        <f t="shared" si="0"/>
        <v>900</v>
      </c>
      <c r="B27">
        <f t="shared" si="1"/>
        <v>0.33193896672246581</v>
      </c>
    </row>
    <row r="28" spans="1:2" x14ac:dyDescent="0.25">
      <c r="A28">
        <f t="shared" si="0"/>
        <v>950</v>
      </c>
      <c r="B28">
        <f t="shared" si="1"/>
        <v>0.33201228128238197</v>
      </c>
    </row>
    <row r="29" spans="1:2" x14ac:dyDescent="0.25">
      <c r="A29">
        <f>A28+$E$3</f>
        <v>1000</v>
      </c>
      <c r="B29">
        <f t="shared" si="1"/>
        <v>0.33207827134911472</v>
      </c>
    </row>
    <row r="30" spans="1:2" x14ac:dyDescent="0.25">
      <c r="A30">
        <f t="shared" si="0"/>
        <v>1050</v>
      </c>
      <c r="B30">
        <f t="shared" si="1"/>
        <v>0.33213798232983849</v>
      </c>
    </row>
    <row r="31" spans="1:2" x14ac:dyDescent="0.25">
      <c r="A31">
        <f t="shared" si="0"/>
        <v>1100</v>
      </c>
      <c r="B31">
        <f t="shared" si="1"/>
        <v>0.3321922697226744</v>
      </c>
    </row>
    <row r="32" spans="1:2" x14ac:dyDescent="0.25">
      <c r="A32">
        <f t="shared" si="0"/>
        <v>1150</v>
      </c>
      <c r="B32">
        <f t="shared" si="1"/>
        <v>0.33224184036690635</v>
      </c>
    </row>
    <row r="33" spans="1:2" x14ac:dyDescent="0.25">
      <c r="A33">
        <f t="shared" si="0"/>
        <v>1200</v>
      </c>
      <c r="B33">
        <f t="shared" si="1"/>
        <v>0.33228728338888824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70C7-BC5B-4983-ABB4-11CAA225BCAA}">
  <dimension ref="A2:J33"/>
  <sheetViews>
    <sheetView topLeftCell="A7" workbookViewId="0">
      <selection activeCell="H23" sqref="H23"/>
    </sheetView>
  </sheetViews>
  <sheetFormatPr baseColWidth="10" defaultRowHeight="15" x14ac:dyDescent="0.25"/>
  <sheetData>
    <row r="2" spans="1:10" x14ac:dyDescent="0.25">
      <c r="A2" t="s">
        <v>92</v>
      </c>
      <c r="B2">
        <v>6</v>
      </c>
      <c r="C2" t="s">
        <v>93</v>
      </c>
      <c r="E2" t="s">
        <v>97</v>
      </c>
      <c r="F2">
        <v>0.5</v>
      </c>
      <c r="H2" t="s">
        <v>133</v>
      </c>
      <c r="I2">
        <v>500</v>
      </c>
      <c r="J2" t="s">
        <v>134</v>
      </c>
    </row>
    <row r="3" spans="1:10" x14ac:dyDescent="0.25">
      <c r="A3" t="s">
        <v>100</v>
      </c>
      <c r="B3">
        <v>0</v>
      </c>
      <c r="E3" t="s">
        <v>98</v>
      </c>
      <c r="F3">
        <v>0.5</v>
      </c>
      <c r="H3" t="s">
        <v>135</v>
      </c>
      <c r="I3">
        <f>B2*I2</f>
        <v>3000</v>
      </c>
      <c r="J3" t="s">
        <v>136</v>
      </c>
    </row>
    <row r="5" spans="1:10" x14ac:dyDescent="0.25">
      <c r="A5" t="s">
        <v>94</v>
      </c>
      <c r="B5">
        <v>0</v>
      </c>
    </row>
    <row r="6" spans="1:10" x14ac:dyDescent="0.25">
      <c r="A6" t="s">
        <v>95</v>
      </c>
      <c r="B6">
        <v>0.1</v>
      </c>
    </row>
    <row r="8" spans="1:10" x14ac:dyDescent="0.25">
      <c r="A8" t="s">
        <v>27</v>
      </c>
      <c r="B8" t="s">
        <v>96</v>
      </c>
      <c r="C8" t="s">
        <v>99</v>
      </c>
      <c r="D8" t="s">
        <v>101</v>
      </c>
      <c r="E8" t="s">
        <v>102</v>
      </c>
      <c r="F8" t="s">
        <v>103</v>
      </c>
    </row>
    <row r="9" spans="1:10" x14ac:dyDescent="0.25">
      <c r="A9">
        <f>B5</f>
        <v>0</v>
      </c>
      <c r="B9">
        <f>$B$2/(1+($F$2*A9))</f>
        <v>6</v>
      </c>
      <c r="C9">
        <f>B9/(1+($F$2*A9))</f>
        <v>6</v>
      </c>
      <c r="D9">
        <f>(($F$2*B9*A9)+$B$3)/(1+($F$2*A9))</f>
        <v>0</v>
      </c>
      <c r="E9">
        <f>(($F$2*C9*A9)+D9)/(1+($F$2*A9))</f>
        <v>0</v>
      </c>
      <c r="F9">
        <f>(2*$F$2*$B$2*A9)/((1+($F$2*A9))^3)</f>
        <v>0</v>
      </c>
    </row>
    <row r="10" spans="1:10" x14ac:dyDescent="0.25">
      <c r="A10">
        <f>A9+$B$6</f>
        <v>0.1</v>
      </c>
      <c r="B10">
        <f t="shared" ref="B10:B33" si="0">$B$2/(1+($F$2*A10))</f>
        <v>5.7142857142857144</v>
      </c>
      <c r="C10">
        <f t="shared" ref="C10:C21" si="1">B10/(1+($F$2*A10))</f>
        <v>5.4421768707482991</v>
      </c>
      <c r="D10">
        <f t="shared" ref="D10:D21" si="2">(($F$2*B10*A10)+$B$3)/(1+($F$2*A10))</f>
        <v>0.27210884353741499</v>
      </c>
      <c r="E10">
        <f t="shared" ref="E10:E21" si="3">(($F$2*C10*A10)+D10)/(1+($F$2*A10))</f>
        <v>0.51830255911888568</v>
      </c>
      <c r="F10">
        <f t="shared" ref="F10:F21" si="4">(2*$F$2*$B$2*A10)/((1+($F$2*A10))^3)</f>
        <v>0.51830255911888568</v>
      </c>
    </row>
    <row r="11" spans="1:10" x14ac:dyDescent="0.25">
      <c r="A11">
        <f t="shared" ref="A11:A33" si="5">A10+$B$6</f>
        <v>0.2</v>
      </c>
      <c r="B11">
        <f t="shared" si="0"/>
        <v>5.4545454545454541</v>
      </c>
      <c r="C11">
        <f t="shared" si="1"/>
        <v>4.9586776859504127</v>
      </c>
      <c r="D11">
        <f t="shared" si="2"/>
        <v>0.49586776859504123</v>
      </c>
      <c r="E11">
        <f t="shared" si="3"/>
        <v>0.90157776108189303</v>
      </c>
      <c r="F11">
        <f t="shared" si="4"/>
        <v>0.90157776108189314</v>
      </c>
    </row>
    <row r="12" spans="1:10" x14ac:dyDescent="0.25">
      <c r="A12">
        <f t="shared" si="5"/>
        <v>0.30000000000000004</v>
      </c>
      <c r="B12">
        <f t="shared" si="0"/>
        <v>5.2173913043478262</v>
      </c>
      <c r="C12">
        <f t="shared" si="1"/>
        <v>4.536862003780719</v>
      </c>
      <c r="D12">
        <f t="shared" si="2"/>
        <v>0.68052930056710792</v>
      </c>
      <c r="E12">
        <f t="shared" si="3"/>
        <v>1.1835292183775792</v>
      </c>
      <c r="F12">
        <f t="shared" si="4"/>
        <v>1.1835292183775792</v>
      </c>
    </row>
    <row r="13" spans="1:10" x14ac:dyDescent="0.25">
      <c r="A13">
        <f t="shared" si="5"/>
        <v>0.4</v>
      </c>
      <c r="B13">
        <f t="shared" si="0"/>
        <v>5</v>
      </c>
      <c r="C13">
        <f t="shared" si="1"/>
        <v>4.166666666666667</v>
      </c>
      <c r="D13">
        <f t="shared" si="2"/>
        <v>0.83333333333333337</v>
      </c>
      <c r="E13">
        <f t="shared" si="3"/>
        <v>1.3888888888888893</v>
      </c>
      <c r="F13">
        <f t="shared" si="4"/>
        <v>1.3888888888888891</v>
      </c>
    </row>
    <row r="14" spans="1:10" x14ac:dyDescent="0.25">
      <c r="A14">
        <f t="shared" si="5"/>
        <v>0.5</v>
      </c>
      <c r="B14">
        <f t="shared" si="0"/>
        <v>4.8</v>
      </c>
      <c r="C14">
        <f t="shared" si="1"/>
        <v>3.84</v>
      </c>
      <c r="D14">
        <f t="shared" si="2"/>
        <v>0.96</v>
      </c>
      <c r="E14">
        <f t="shared" si="3"/>
        <v>1.536</v>
      </c>
      <c r="F14">
        <f t="shared" si="4"/>
        <v>1.536</v>
      </c>
    </row>
    <row r="15" spans="1:10" x14ac:dyDescent="0.25">
      <c r="A15">
        <f t="shared" si="5"/>
        <v>0.6</v>
      </c>
      <c r="B15">
        <f t="shared" si="0"/>
        <v>4.615384615384615</v>
      </c>
      <c r="C15">
        <f t="shared" si="1"/>
        <v>3.5502958579881652</v>
      </c>
      <c r="D15">
        <f t="shared" si="2"/>
        <v>1.0650887573964494</v>
      </c>
      <c r="E15">
        <f t="shared" si="3"/>
        <v>1.6385980883022297</v>
      </c>
      <c r="F15">
        <f t="shared" si="4"/>
        <v>1.6385980883022297</v>
      </c>
    </row>
    <row r="16" spans="1:10" x14ac:dyDescent="0.25">
      <c r="A16">
        <f t="shared" si="5"/>
        <v>0.7</v>
      </c>
      <c r="B16">
        <f t="shared" si="0"/>
        <v>4.4444444444444438</v>
      </c>
      <c r="C16">
        <f t="shared" si="1"/>
        <v>3.292181069958847</v>
      </c>
      <c r="D16">
        <f t="shared" si="2"/>
        <v>1.1522633744855963</v>
      </c>
      <c r="E16">
        <f t="shared" si="3"/>
        <v>1.7070568510897723</v>
      </c>
      <c r="F16">
        <f t="shared" si="4"/>
        <v>1.7070568510897723</v>
      </c>
    </row>
    <row r="17" spans="1:7" x14ac:dyDescent="0.25">
      <c r="A17">
        <f t="shared" si="5"/>
        <v>0.79999999999999993</v>
      </c>
      <c r="B17">
        <f t="shared" si="0"/>
        <v>4.2857142857142856</v>
      </c>
      <c r="C17">
        <f t="shared" si="1"/>
        <v>3.0612244897959187</v>
      </c>
      <c r="D17">
        <f t="shared" si="2"/>
        <v>1.2244897959183674</v>
      </c>
      <c r="E17">
        <f t="shared" si="3"/>
        <v>1.7492711370262393</v>
      </c>
      <c r="F17">
        <f t="shared" si="4"/>
        <v>1.7492711370262395</v>
      </c>
    </row>
    <row r="18" spans="1:7" x14ac:dyDescent="0.25">
      <c r="A18">
        <f t="shared" si="5"/>
        <v>0.89999999999999991</v>
      </c>
      <c r="B18">
        <f t="shared" si="0"/>
        <v>4.1379310344827589</v>
      </c>
      <c r="C18">
        <f t="shared" si="1"/>
        <v>2.8537455410225925</v>
      </c>
      <c r="D18">
        <f t="shared" si="2"/>
        <v>1.2841854934601664</v>
      </c>
      <c r="E18">
        <f t="shared" si="3"/>
        <v>1.7712903358071261</v>
      </c>
      <c r="F18">
        <f t="shared" si="4"/>
        <v>1.7712903358071261</v>
      </c>
      <c r="G18" t="s">
        <v>137</v>
      </c>
    </row>
    <row r="19" spans="1:7" x14ac:dyDescent="0.25">
      <c r="A19">
        <f t="shared" si="5"/>
        <v>0.99999999999999989</v>
      </c>
      <c r="B19">
        <f t="shared" si="0"/>
        <v>4</v>
      </c>
      <c r="C19">
        <f t="shared" si="1"/>
        <v>2.6666666666666665</v>
      </c>
      <c r="D19">
        <f t="shared" si="2"/>
        <v>1.3333333333333333</v>
      </c>
      <c r="E19">
        <f t="shared" si="3"/>
        <v>1.7777777777777775</v>
      </c>
      <c r="F19">
        <f t="shared" si="4"/>
        <v>1.7777777777777775</v>
      </c>
      <c r="G19">
        <f>A19*I2</f>
        <v>499.99999999999994</v>
      </c>
    </row>
    <row r="20" spans="1:7" x14ac:dyDescent="0.25">
      <c r="A20">
        <f t="shared" si="5"/>
        <v>1.0999999999999999</v>
      </c>
      <c r="B20">
        <f t="shared" si="0"/>
        <v>3.8709677419354844</v>
      </c>
      <c r="C20">
        <f t="shared" si="1"/>
        <v>2.4973985431841839</v>
      </c>
      <c r="D20">
        <f t="shared" si="2"/>
        <v>1.3735691987513008</v>
      </c>
      <c r="E20">
        <f t="shared" si="3"/>
        <v>1.7723473532274854</v>
      </c>
      <c r="F20">
        <f t="shared" si="4"/>
        <v>1.7723473532274854</v>
      </c>
    </row>
    <row r="21" spans="1:7" x14ac:dyDescent="0.25">
      <c r="A21">
        <f t="shared" si="5"/>
        <v>1.2</v>
      </c>
      <c r="B21">
        <f t="shared" si="0"/>
        <v>3.75</v>
      </c>
      <c r="C21">
        <f t="shared" si="1"/>
        <v>2.34375</v>
      </c>
      <c r="D21">
        <f t="shared" si="2"/>
        <v>1.40625</v>
      </c>
      <c r="E21">
        <f t="shared" si="3"/>
        <v>1.7578125</v>
      </c>
      <c r="F21">
        <f t="shared" si="4"/>
        <v>1.7578124999999993</v>
      </c>
    </row>
    <row r="22" spans="1:7" x14ac:dyDescent="0.25">
      <c r="A22">
        <f t="shared" si="5"/>
        <v>1.3</v>
      </c>
      <c r="B22">
        <f t="shared" si="0"/>
        <v>3.6363636363636367</v>
      </c>
      <c r="C22">
        <f t="shared" ref="C22:C33" si="6">B22/(1+($F$2*A22))</f>
        <v>2.2038567493112953</v>
      </c>
      <c r="D22">
        <f t="shared" ref="D22:D33" si="7">(($F$2*B22*A22)+$B$3)/(1+($F$2*A22))</f>
        <v>1.4325068870523416</v>
      </c>
      <c r="E22">
        <f t="shared" ref="E22:E33" si="8">(($F$2*C22*A22)+D22)/(1+($F$2*A22))</f>
        <v>1.7363719843058689</v>
      </c>
      <c r="F22">
        <f t="shared" ref="F22:F33" si="9">(2*$F$2*$B$2*A22)/((1+($F$2*A22))^3)</f>
        <v>1.7363719843058689</v>
      </c>
    </row>
    <row r="23" spans="1:7" x14ac:dyDescent="0.25">
      <c r="A23">
        <f t="shared" si="5"/>
        <v>1.4000000000000001</v>
      </c>
      <c r="B23">
        <f t="shared" si="0"/>
        <v>3.5294117647058818</v>
      </c>
      <c r="C23">
        <f t="shared" si="6"/>
        <v>2.0761245674740478</v>
      </c>
      <c r="D23">
        <f t="shared" si="7"/>
        <v>1.4532871972318335</v>
      </c>
      <c r="E23">
        <f t="shared" si="8"/>
        <v>1.7097496438021569</v>
      </c>
      <c r="F23">
        <f t="shared" si="9"/>
        <v>1.7097496438021573</v>
      </c>
    </row>
    <row r="24" spans="1:7" x14ac:dyDescent="0.25">
      <c r="A24">
        <f t="shared" si="5"/>
        <v>1.5000000000000002</v>
      </c>
      <c r="B24">
        <f t="shared" si="0"/>
        <v>3.4285714285714284</v>
      </c>
      <c r="C24">
        <f t="shared" si="6"/>
        <v>1.9591836734693877</v>
      </c>
      <c r="D24">
        <f t="shared" si="7"/>
        <v>1.4693877551020409</v>
      </c>
      <c r="E24">
        <f t="shared" si="8"/>
        <v>1.6793002915451896</v>
      </c>
      <c r="F24">
        <f t="shared" si="9"/>
        <v>1.6793002915451898</v>
      </c>
    </row>
    <row r="25" spans="1:7" x14ac:dyDescent="0.25">
      <c r="A25">
        <f t="shared" si="5"/>
        <v>1.6000000000000003</v>
      </c>
      <c r="B25">
        <f t="shared" si="0"/>
        <v>3.333333333333333</v>
      </c>
      <c r="C25">
        <f t="shared" si="6"/>
        <v>1.8518518518518514</v>
      </c>
      <c r="D25">
        <f t="shared" si="7"/>
        <v>1.4814814814814814</v>
      </c>
      <c r="E25">
        <f t="shared" si="8"/>
        <v>1.6460905349794235</v>
      </c>
      <c r="F25">
        <f t="shared" si="9"/>
        <v>1.6460905349794235</v>
      </c>
    </row>
    <row r="26" spans="1:7" x14ac:dyDescent="0.25">
      <c r="A26">
        <f t="shared" si="5"/>
        <v>1.7000000000000004</v>
      </c>
      <c r="B26">
        <f t="shared" si="0"/>
        <v>3.243243243243243</v>
      </c>
      <c r="C26">
        <f t="shared" si="6"/>
        <v>1.7531044558071582</v>
      </c>
      <c r="D26">
        <f t="shared" si="7"/>
        <v>1.4901387874360847</v>
      </c>
      <c r="E26">
        <f t="shared" si="8"/>
        <v>1.6109608512822537</v>
      </c>
      <c r="F26">
        <f t="shared" si="9"/>
        <v>1.610960851282254</v>
      </c>
    </row>
    <row r="27" spans="1:7" x14ac:dyDescent="0.25">
      <c r="A27">
        <f t="shared" si="5"/>
        <v>1.8000000000000005</v>
      </c>
      <c r="B27">
        <f t="shared" si="0"/>
        <v>3.1578947368421049</v>
      </c>
      <c r="C27">
        <f t="shared" si="6"/>
        <v>1.6620498614958443</v>
      </c>
      <c r="D27">
        <f t="shared" si="7"/>
        <v>1.4958448753462603</v>
      </c>
      <c r="E27">
        <f t="shared" si="8"/>
        <v>1.5745735529960632</v>
      </c>
      <c r="F27">
        <f t="shared" si="9"/>
        <v>1.5745735529960632</v>
      </c>
    </row>
    <row r="28" spans="1:7" x14ac:dyDescent="0.25">
      <c r="A28">
        <f t="shared" si="5"/>
        <v>1.9000000000000006</v>
      </c>
      <c r="B28">
        <f t="shared" si="0"/>
        <v>3.0769230769230766</v>
      </c>
      <c r="C28">
        <f t="shared" si="6"/>
        <v>1.5779092702169621</v>
      </c>
      <c r="D28">
        <f t="shared" si="7"/>
        <v>1.4990138067061147</v>
      </c>
      <c r="E28">
        <f t="shared" si="8"/>
        <v>1.5374500581601174</v>
      </c>
      <c r="F28">
        <f t="shared" si="9"/>
        <v>1.5374500581601174</v>
      </c>
    </row>
    <row r="29" spans="1:7" x14ac:dyDescent="0.25">
      <c r="A29">
        <f t="shared" si="5"/>
        <v>2.0000000000000004</v>
      </c>
      <c r="B29">
        <f t="shared" si="0"/>
        <v>3</v>
      </c>
      <c r="C29">
        <f t="shared" si="6"/>
        <v>1.5</v>
      </c>
      <c r="D29" s="44">
        <f t="shared" si="7"/>
        <v>1.5000000000000004</v>
      </c>
      <c r="E29">
        <f t="shared" si="8"/>
        <v>1.5000000000000004</v>
      </c>
      <c r="F29">
        <f t="shared" si="9"/>
        <v>1.5000000000000004</v>
      </c>
    </row>
    <row r="30" spans="1:7" x14ac:dyDescent="0.25">
      <c r="A30">
        <f t="shared" si="5"/>
        <v>2.1000000000000005</v>
      </c>
      <c r="B30">
        <f t="shared" si="0"/>
        <v>2.9268292682926824</v>
      </c>
      <c r="C30">
        <f t="shared" si="6"/>
        <v>1.4277215942891133</v>
      </c>
      <c r="D30">
        <f t="shared" si="7"/>
        <v>1.4991076740035691</v>
      </c>
      <c r="E30">
        <f t="shared" si="8"/>
        <v>1.4625440721986041</v>
      </c>
      <c r="F30">
        <f t="shared" si="9"/>
        <v>1.4625440721986038</v>
      </c>
    </row>
    <row r="31" spans="1:7" x14ac:dyDescent="0.25">
      <c r="A31">
        <f t="shared" si="5"/>
        <v>2.2000000000000006</v>
      </c>
      <c r="B31">
        <f t="shared" si="0"/>
        <v>2.8571428571428563</v>
      </c>
      <c r="C31">
        <f t="shared" si="6"/>
        <v>1.3605442176870741</v>
      </c>
      <c r="D31">
        <f t="shared" si="7"/>
        <v>1.496598639455782</v>
      </c>
      <c r="E31">
        <f t="shared" si="8"/>
        <v>1.4253320375769349</v>
      </c>
      <c r="F31">
        <f t="shared" si="9"/>
        <v>1.4253320375769349</v>
      </c>
    </row>
    <row r="32" spans="1:7" x14ac:dyDescent="0.25">
      <c r="A32">
        <f t="shared" si="5"/>
        <v>2.3000000000000007</v>
      </c>
      <c r="B32">
        <f t="shared" si="0"/>
        <v>2.7906976744186043</v>
      </c>
      <c r="C32">
        <f t="shared" si="6"/>
        <v>1.2979989183342344</v>
      </c>
      <c r="D32">
        <f t="shared" si="7"/>
        <v>1.4926987560843699</v>
      </c>
      <c r="E32">
        <f t="shared" si="8"/>
        <v>1.3885569824040649</v>
      </c>
      <c r="F32">
        <f t="shared" si="9"/>
        <v>1.3885569824040649</v>
      </c>
    </row>
    <row r="33" spans="1:6" x14ac:dyDescent="0.25">
      <c r="A33">
        <f t="shared" si="5"/>
        <v>2.4000000000000008</v>
      </c>
      <c r="B33">
        <f t="shared" si="0"/>
        <v>2.7272727272727271</v>
      </c>
      <c r="C33">
        <f t="shared" si="6"/>
        <v>1.2396694214876032</v>
      </c>
      <c r="D33">
        <f t="shared" si="7"/>
        <v>1.4876033057851241</v>
      </c>
      <c r="E33">
        <f t="shared" si="8"/>
        <v>1.3523666416228401</v>
      </c>
      <c r="F33">
        <f t="shared" si="9"/>
        <v>1.3523666416228401</v>
      </c>
    </row>
  </sheetData>
  <conditionalFormatting sqref="F9:F33">
    <cfRule type="top10" dxfId="0" priority="1" rank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4603-7083-4912-913C-F437EB4D1CE3}">
  <dimension ref="A1:J57"/>
  <sheetViews>
    <sheetView tabSelected="1" topLeftCell="A30" workbookViewId="0">
      <selection activeCell="H38" sqref="H38"/>
    </sheetView>
  </sheetViews>
  <sheetFormatPr baseColWidth="10" defaultRowHeight="15" x14ac:dyDescent="0.25"/>
  <cols>
    <col min="7" max="9" width="12" bestFit="1" customWidth="1"/>
  </cols>
  <sheetData>
    <row r="1" spans="1:9" x14ac:dyDescent="0.25">
      <c r="A1" t="s">
        <v>118</v>
      </c>
      <c r="F1" s="30" t="s">
        <v>119</v>
      </c>
      <c r="G1" s="31">
        <v>1</v>
      </c>
      <c r="H1" s="30" t="s">
        <v>126</v>
      </c>
      <c r="I1" s="31">
        <v>1</v>
      </c>
    </row>
    <row r="2" spans="1:9" ht="15.75" thickBot="1" x14ac:dyDescent="0.3">
      <c r="F2" s="1" t="s">
        <v>120</v>
      </c>
      <c r="G2" s="32">
        <v>1</v>
      </c>
      <c r="H2" s="1" t="s">
        <v>127</v>
      </c>
      <c r="I2" s="32">
        <v>1</v>
      </c>
    </row>
    <row r="3" spans="1:9" x14ac:dyDescent="0.25">
      <c r="A3" s="30" t="s">
        <v>104</v>
      </c>
      <c r="B3" s="31">
        <v>270</v>
      </c>
      <c r="F3" s="1" t="s">
        <v>121</v>
      </c>
      <c r="G3" s="32">
        <v>1</v>
      </c>
      <c r="H3" s="1" t="s">
        <v>128</v>
      </c>
      <c r="I3" s="32">
        <v>1</v>
      </c>
    </row>
    <row r="4" spans="1:9" ht="15.75" thickBot="1" x14ac:dyDescent="0.3">
      <c r="A4" s="33" t="s">
        <v>95</v>
      </c>
      <c r="B4" s="34">
        <v>10</v>
      </c>
      <c r="F4" s="1" t="s">
        <v>122</v>
      </c>
      <c r="G4" s="32">
        <v>1</v>
      </c>
      <c r="H4" s="1" t="s">
        <v>129</v>
      </c>
      <c r="I4" s="32">
        <v>1</v>
      </c>
    </row>
    <row r="5" spans="1:9" x14ac:dyDescent="0.25">
      <c r="F5" s="1" t="s">
        <v>130</v>
      </c>
      <c r="G5" s="32">
        <v>250</v>
      </c>
      <c r="H5" s="1" t="s">
        <v>131</v>
      </c>
      <c r="I5" s="32">
        <v>250</v>
      </c>
    </row>
    <row r="6" spans="1:9" ht="15.75" thickBot="1" x14ac:dyDescent="0.3">
      <c r="F6" s="33" t="s">
        <v>45</v>
      </c>
      <c r="G6" s="34">
        <v>700</v>
      </c>
      <c r="H6" s="33" t="s">
        <v>132</v>
      </c>
      <c r="I6" s="34">
        <v>800</v>
      </c>
    </row>
    <row r="7" spans="1:9" ht="15.75" thickBot="1" x14ac:dyDescent="0.3"/>
    <row r="8" spans="1:9" ht="15.75" thickBot="1" x14ac:dyDescent="0.3">
      <c r="A8" s="43" t="s">
        <v>9</v>
      </c>
      <c r="B8" s="40" t="s">
        <v>62</v>
      </c>
      <c r="C8" s="41" t="s">
        <v>123</v>
      </c>
      <c r="D8" s="42" t="s">
        <v>118</v>
      </c>
      <c r="E8" s="41" t="s">
        <v>98</v>
      </c>
      <c r="F8" s="41" t="s">
        <v>125</v>
      </c>
      <c r="G8" s="42" t="s">
        <v>124</v>
      </c>
    </row>
    <row r="9" spans="1:9" x14ac:dyDescent="0.25">
      <c r="A9" s="5">
        <f>B3</f>
        <v>270</v>
      </c>
      <c r="B9" s="1">
        <f>($G$1*$G$2)/($G$3*$G$4)</f>
        <v>1</v>
      </c>
      <c r="C9">
        <f>((B9*$G$5)+$G$6)/(1+B9)</f>
        <v>475</v>
      </c>
      <c r="D9" s="32">
        <f>$G$3*(1+B9)*(A9-C9)</f>
        <v>-410</v>
      </c>
      <c r="E9">
        <f>($I$1*$I$2)/($I$3*$I$4)</f>
        <v>1</v>
      </c>
      <c r="F9">
        <f>((E9*$I$5)+$I$6)/(1+E9)</f>
        <v>525</v>
      </c>
      <c r="G9" s="32">
        <f>$I$3*(1+E9)*(A9-F9)</f>
        <v>-510</v>
      </c>
    </row>
    <row r="10" spans="1:9" x14ac:dyDescent="0.25">
      <c r="A10" s="5">
        <f>A9+$B$4</f>
        <v>280</v>
      </c>
      <c r="B10" s="1">
        <f t="shared" ref="B10:B24" si="0">($G$1*$G$2)/($G$3*$G$4)</f>
        <v>1</v>
      </c>
      <c r="C10">
        <f t="shared" ref="C10:C24" si="1">((B10*$G$5)+$G$6)/(1+B10)</f>
        <v>475</v>
      </c>
      <c r="D10" s="32">
        <f t="shared" ref="D10:D24" si="2">$G$3*(1+B10)*(A10-C10)</f>
        <v>-390</v>
      </c>
      <c r="E10">
        <f t="shared" ref="E10:E24" si="3">($I$1*$I$2)/($I$3*$I$4)</f>
        <v>1</v>
      </c>
      <c r="F10">
        <f t="shared" ref="F10:F24" si="4">((E10*$I$5)+$I$6)/(1+E10)</f>
        <v>525</v>
      </c>
      <c r="G10" s="32">
        <f t="shared" ref="G10:G24" si="5">$I$3*(1+E10)*(A10-F10)</f>
        <v>-490</v>
      </c>
    </row>
    <row r="11" spans="1:9" x14ac:dyDescent="0.25">
      <c r="A11" s="5">
        <f t="shared" ref="A11:A24" si="6">A10+$B$4</f>
        <v>290</v>
      </c>
      <c r="B11" s="1">
        <f t="shared" si="0"/>
        <v>1</v>
      </c>
      <c r="C11">
        <f t="shared" si="1"/>
        <v>475</v>
      </c>
      <c r="D11" s="32">
        <f t="shared" si="2"/>
        <v>-370</v>
      </c>
      <c r="E11">
        <f t="shared" si="3"/>
        <v>1</v>
      </c>
      <c r="F11">
        <f t="shared" si="4"/>
        <v>525</v>
      </c>
      <c r="G11" s="32">
        <f t="shared" si="5"/>
        <v>-470</v>
      </c>
    </row>
    <row r="12" spans="1:9" x14ac:dyDescent="0.25">
      <c r="A12" s="5">
        <f t="shared" si="6"/>
        <v>300</v>
      </c>
      <c r="B12" s="1">
        <f t="shared" si="0"/>
        <v>1</v>
      </c>
      <c r="C12">
        <f t="shared" si="1"/>
        <v>475</v>
      </c>
      <c r="D12" s="32">
        <f t="shared" si="2"/>
        <v>-350</v>
      </c>
      <c r="E12">
        <f t="shared" si="3"/>
        <v>1</v>
      </c>
      <c r="F12">
        <f t="shared" si="4"/>
        <v>525</v>
      </c>
      <c r="G12" s="32">
        <f t="shared" si="5"/>
        <v>-450</v>
      </c>
    </row>
    <row r="13" spans="1:9" x14ac:dyDescent="0.25">
      <c r="A13" s="5">
        <f t="shared" si="6"/>
        <v>310</v>
      </c>
      <c r="B13" s="1">
        <f t="shared" si="0"/>
        <v>1</v>
      </c>
      <c r="C13">
        <f t="shared" si="1"/>
        <v>475</v>
      </c>
      <c r="D13" s="32">
        <f t="shared" si="2"/>
        <v>-330</v>
      </c>
      <c r="E13">
        <f t="shared" si="3"/>
        <v>1</v>
      </c>
      <c r="F13">
        <f t="shared" si="4"/>
        <v>525</v>
      </c>
      <c r="G13" s="32">
        <f t="shared" si="5"/>
        <v>-430</v>
      </c>
    </row>
    <row r="14" spans="1:9" x14ac:dyDescent="0.25">
      <c r="A14" s="5">
        <f t="shared" si="6"/>
        <v>320</v>
      </c>
      <c r="B14" s="1">
        <f t="shared" si="0"/>
        <v>1</v>
      </c>
      <c r="C14">
        <f t="shared" si="1"/>
        <v>475</v>
      </c>
      <c r="D14" s="32">
        <f t="shared" si="2"/>
        <v>-310</v>
      </c>
      <c r="E14">
        <f t="shared" si="3"/>
        <v>1</v>
      </c>
      <c r="F14">
        <f t="shared" si="4"/>
        <v>525</v>
      </c>
      <c r="G14" s="32">
        <f t="shared" si="5"/>
        <v>-410</v>
      </c>
    </row>
    <row r="15" spans="1:9" x14ac:dyDescent="0.25">
      <c r="A15" s="5">
        <f t="shared" si="6"/>
        <v>330</v>
      </c>
      <c r="B15" s="1">
        <f t="shared" si="0"/>
        <v>1</v>
      </c>
      <c r="C15">
        <f t="shared" si="1"/>
        <v>475</v>
      </c>
      <c r="D15" s="32">
        <f t="shared" si="2"/>
        <v>-290</v>
      </c>
      <c r="E15">
        <f t="shared" si="3"/>
        <v>1</v>
      </c>
      <c r="F15">
        <f t="shared" si="4"/>
        <v>525</v>
      </c>
      <c r="G15" s="32">
        <f t="shared" si="5"/>
        <v>-390</v>
      </c>
    </row>
    <row r="16" spans="1:9" x14ac:dyDescent="0.25">
      <c r="A16" s="5">
        <f t="shared" si="6"/>
        <v>340</v>
      </c>
      <c r="B16" s="1">
        <f t="shared" si="0"/>
        <v>1</v>
      </c>
      <c r="C16">
        <f t="shared" si="1"/>
        <v>475</v>
      </c>
      <c r="D16" s="32">
        <f t="shared" si="2"/>
        <v>-270</v>
      </c>
      <c r="E16">
        <f t="shared" si="3"/>
        <v>1</v>
      </c>
      <c r="F16">
        <f t="shared" si="4"/>
        <v>525</v>
      </c>
      <c r="G16" s="32">
        <f t="shared" si="5"/>
        <v>-370</v>
      </c>
    </row>
    <row r="17" spans="1:8" x14ac:dyDescent="0.25">
      <c r="A17" s="5">
        <f t="shared" si="6"/>
        <v>350</v>
      </c>
      <c r="B17" s="1">
        <f t="shared" si="0"/>
        <v>1</v>
      </c>
      <c r="C17">
        <f t="shared" si="1"/>
        <v>475</v>
      </c>
      <c r="D17" s="32">
        <f t="shared" si="2"/>
        <v>-250</v>
      </c>
      <c r="E17">
        <f t="shared" si="3"/>
        <v>1</v>
      </c>
      <c r="F17">
        <f t="shared" si="4"/>
        <v>525</v>
      </c>
      <c r="G17" s="32">
        <f t="shared" si="5"/>
        <v>-350</v>
      </c>
    </row>
    <row r="18" spans="1:8" x14ac:dyDescent="0.25">
      <c r="A18" s="5">
        <f t="shared" si="6"/>
        <v>360</v>
      </c>
      <c r="B18" s="1">
        <f t="shared" si="0"/>
        <v>1</v>
      </c>
      <c r="C18">
        <f t="shared" si="1"/>
        <v>475</v>
      </c>
      <c r="D18" s="32">
        <f t="shared" si="2"/>
        <v>-230</v>
      </c>
      <c r="E18">
        <f t="shared" si="3"/>
        <v>1</v>
      </c>
      <c r="F18">
        <f t="shared" si="4"/>
        <v>525</v>
      </c>
      <c r="G18" s="32">
        <f t="shared" si="5"/>
        <v>-330</v>
      </c>
    </row>
    <row r="19" spans="1:8" x14ac:dyDescent="0.25">
      <c r="A19" s="5">
        <f t="shared" si="6"/>
        <v>370</v>
      </c>
      <c r="B19" s="1">
        <f t="shared" si="0"/>
        <v>1</v>
      </c>
      <c r="C19">
        <f t="shared" si="1"/>
        <v>475</v>
      </c>
      <c r="D19" s="32">
        <f t="shared" si="2"/>
        <v>-210</v>
      </c>
      <c r="E19">
        <f t="shared" si="3"/>
        <v>1</v>
      </c>
      <c r="F19">
        <f t="shared" si="4"/>
        <v>525</v>
      </c>
      <c r="G19" s="32">
        <f t="shared" si="5"/>
        <v>-310</v>
      </c>
    </row>
    <row r="20" spans="1:8" x14ac:dyDescent="0.25">
      <c r="A20" s="5">
        <f t="shared" si="6"/>
        <v>380</v>
      </c>
      <c r="B20" s="1">
        <f t="shared" si="0"/>
        <v>1</v>
      </c>
      <c r="C20">
        <f t="shared" si="1"/>
        <v>475</v>
      </c>
      <c r="D20" s="32">
        <f t="shared" si="2"/>
        <v>-190</v>
      </c>
      <c r="E20">
        <f t="shared" si="3"/>
        <v>1</v>
      </c>
      <c r="F20">
        <f t="shared" si="4"/>
        <v>525</v>
      </c>
      <c r="G20" s="32">
        <f t="shared" si="5"/>
        <v>-290</v>
      </c>
    </row>
    <row r="21" spans="1:8" x14ac:dyDescent="0.25">
      <c r="A21" s="5">
        <f t="shared" si="6"/>
        <v>390</v>
      </c>
      <c r="B21" s="1">
        <f t="shared" si="0"/>
        <v>1</v>
      </c>
      <c r="C21">
        <f t="shared" si="1"/>
        <v>475</v>
      </c>
      <c r="D21" s="32">
        <f t="shared" si="2"/>
        <v>-170</v>
      </c>
      <c r="E21">
        <f t="shared" si="3"/>
        <v>1</v>
      </c>
      <c r="F21">
        <f t="shared" si="4"/>
        <v>525</v>
      </c>
      <c r="G21" s="32">
        <f t="shared" si="5"/>
        <v>-270</v>
      </c>
    </row>
    <row r="22" spans="1:8" x14ac:dyDescent="0.25">
      <c r="A22" s="5">
        <f t="shared" si="6"/>
        <v>400</v>
      </c>
      <c r="B22" s="1">
        <f t="shared" si="0"/>
        <v>1</v>
      </c>
      <c r="C22">
        <f t="shared" si="1"/>
        <v>475</v>
      </c>
      <c r="D22" s="32">
        <f t="shared" si="2"/>
        <v>-150</v>
      </c>
      <c r="E22">
        <f t="shared" si="3"/>
        <v>1</v>
      </c>
      <c r="F22">
        <f t="shared" si="4"/>
        <v>525</v>
      </c>
      <c r="G22" s="32">
        <f t="shared" si="5"/>
        <v>-250</v>
      </c>
    </row>
    <row r="23" spans="1:8" x14ac:dyDescent="0.25">
      <c r="A23" s="5">
        <f t="shared" si="6"/>
        <v>410</v>
      </c>
      <c r="B23" s="1">
        <f t="shared" si="0"/>
        <v>1</v>
      </c>
      <c r="C23">
        <f t="shared" si="1"/>
        <v>475</v>
      </c>
      <c r="D23" s="32">
        <f t="shared" si="2"/>
        <v>-130</v>
      </c>
      <c r="E23">
        <f t="shared" si="3"/>
        <v>1</v>
      </c>
      <c r="F23">
        <f t="shared" si="4"/>
        <v>525</v>
      </c>
      <c r="G23" s="32">
        <f t="shared" si="5"/>
        <v>-230</v>
      </c>
    </row>
    <row r="24" spans="1:8" ht="15.75" thickBot="1" x14ac:dyDescent="0.3">
      <c r="A24" s="6">
        <f t="shared" si="6"/>
        <v>420</v>
      </c>
      <c r="B24" s="33">
        <f t="shared" si="0"/>
        <v>1</v>
      </c>
      <c r="C24" s="39">
        <f t="shared" si="1"/>
        <v>475</v>
      </c>
      <c r="D24" s="34">
        <f t="shared" si="2"/>
        <v>-110</v>
      </c>
      <c r="E24" s="39">
        <f t="shared" si="3"/>
        <v>1</v>
      </c>
      <c r="F24" s="39">
        <f t="shared" si="4"/>
        <v>525</v>
      </c>
      <c r="G24" s="34">
        <f t="shared" si="5"/>
        <v>-210</v>
      </c>
    </row>
    <row r="26" spans="1:8" x14ac:dyDescent="0.25">
      <c r="A26" t="s">
        <v>105</v>
      </c>
    </row>
    <row r="27" spans="1:8" ht="15.75" thickBot="1" x14ac:dyDescent="0.3"/>
    <row r="28" spans="1:8" x14ac:dyDescent="0.25">
      <c r="A28" s="30" t="s">
        <v>104</v>
      </c>
      <c r="B28" s="31">
        <v>50</v>
      </c>
    </row>
    <row r="29" spans="1:8" ht="15.75" thickBot="1" x14ac:dyDescent="0.3">
      <c r="A29" s="33" t="s">
        <v>95</v>
      </c>
      <c r="B29" s="34">
        <v>40</v>
      </c>
      <c r="G29" t="s">
        <v>139</v>
      </c>
    </row>
    <row r="30" spans="1:8" ht="15.75" thickBot="1" x14ac:dyDescent="0.3">
      <c r="G30" t="s">
        <v>138</v>
      </c>
      <c r="H30">
        <v>2</v>
      </c>
    </row>
    <row r="31" spans="1:8" x14ac:dyDescent="0.25">
      <c r="A31" s="30" t="s">
        <v>107</v>
      </c>
      <c r="B31" s="31">
        <v>1000</v>
      </c>
      <c r="D31" s="30" t="s">
        <v>111</v>
      </c>
      <c r="E31" s="31">
        <v>1000</v>
      </c>
      <c r="G31" t="s">
        <v>111</v>
      </c>
      <c r="H31">
        <v>1000</v>
      </c>
    </row>
    <row r="32" spans="1:8" x14ac:dyDescent="0.25">
      <c r="A32" s="1" t="s">
        <v>108</v>
      </c>
      <c r="B32" s="32">
        <v>9000</v>
      </c>
      <c r="D32" s="1" t="s">
        <v>112</v>
      </c>
      <c r="E32" s="32">
        <v>1000</v>
      </c>
      <c r="G32" t="s">
        <v>112</v>
      </c>
      <c r="H32">
        <v>9000</v>
      </c>
    </row>
    <row r="33" spans="1:10" x14ac:dyDescent="0.25">
      <c r="A33" s="1" t="s">
        <v>109</v>
      </c>
      <c r="B33" s="32">
        <v>5000</v>
      </c>
      <c r="D33" s="1" t="s">
        <v>113</v>
      </c>
      <c r="E33" s="32">
        <v>5000</v>
      </c>
      <c r="G33" t="s">
        <v>113</v>
      </c>
      <c r="H33">
        <v>5000</v>
      </c>
    </row>
    <row r="34" spans="1:10" ht="15.75" thickBot="1" x14ac:dyDescent="0.3">
      <c r="A34" s="33" t="s">
        <v>110</v>
      </c>
      <c r="B34" s="34">
        <v>1E-3</v>
      </c>
      <c r="D34" s="33" t="s">
        <v>114</v>
      </c>
      <c r="E34" s="34">
        <v>1E-3</v>
      </c>
      <c r="G34" t="s">
        <v>114</v>
      </c>
      <c r="H34">
        <v>1E-3</v>
      </c>
    </row>
    <row r="35" spans="1:10" ht="15.75" thickBot="1" x14ac:dyDescent="0.3"/>
    <row r="36" spans="1:10" ht="15.75" thickBot="1" x14ac:dyDescent="0.3">
      <c r="A36" s="43" t="s">
        <v>9</v>
      </c>
      <c r="B36" s="41" t="s">
        <v>97</v>
      </c>
      <c r="C36" s="41" t="s">
        <v>106</v>
      </c>
      <c r="D36" s="41" t="s">
        <v>117</v>
      </c>
      <c r="E36" s="40" t="s">
        <v>98</v>
      </c>
      <c r="F36" s="41" t="s">
        <v>115</v>
      </c>
      <c r="G36" s="42" t="s">
        <v>116</v>
      </c>
      <c r="H36" t="s">
        <v>98</v>
      </c>
      <c r="I36" t="s">
        <v>115</v>
      </c>
      <c r="J36" t="s">
        <v>116</v>
      </c>
    </row>
    <row r="37" spans="1:10" x14ac:dyDescent="0.25">
      <c r="A37" s="5">
        <f>B28</f>
        <v>50</v>
      </c>
      <c r="B37">
        <f t="shared" ref="B37:B57" si="7">$B$33*EXP(-$B$32/(8.314*A37))</f>
        <v>1.9787695639532151E-6</v>
      </c>
      <c r="C37">
        <f t="shared" ref="C37:C57" si="8">($B$34*B37)/(1+($B$34*B37))</f>
        <v>1.9787695600376862E-9</v>
      </c>
      <c r="D37">
        <f t="shared" ref="D37:D57" si="9">C37*$B$31</f>
        <v>1.9787695600376863E-6</v>
      </c>
      <c r="E37" s="1">
        <f t="shared" ref="E37:E57" si="10">$E$33*EXP(-$E$32/(8.314*A37))</f>
        <v>451.06535649081195</v>
      </c>
      <c r="F37">
        <f t="shared" ref="F37:F57" si="11">($E$34*E37)/(1+($E$34*E37))</f>
        <v>0.31085116495486265</v>
      </c>
      <c r="G37" s="32">
        <f t="shared" ref="G37:G57" si="12">F37*$E$31</f>
        <v>310.85116495486267</v>
      </c>
      <c r="H37">
        <f>$H$33*EXP(-$H$32/(8.314*A37))</f>
        <v>1.9787695639532151E-6</v>
      </c>
      <c r="I37" s="48">
        <f>((2*$H$34*H37*$H$30+1)-(SQRT(4*H37*$H$34*$H$30+1)))/(2*$H$34*H37*$H$30)</f>
        <v>0</v>
      </c>
      <c r="J37">
        <f>I37*$H$31</f>
        <v>0</v>
      </c>
    </row>
    <row r="38" spans="1:10" x14ac:dyDescent="0.25">
      <c r="A38" s="5">
        <f>A37+$B$29</f>
        <v>90</v>
      </c>
      <c r="B38">
        <f t="shared" si="7"/>
        <v>2.9875648926470648E-2</v>
      </c>
      <c r="C38">
        <f t="shared" si="8"/>
        <v>2.9874756398736715E-5</v>
      </c>
      <c r="D38">
        <f t="shared" si="9"/>
        <v>2.9874756398736716E-2</v>
      </c>
      <c r="E38" s="1">
        <f t="shared" si="10"/>
        <v>1313.9055694764818</v>
      </c>
      <c r="F38">
        <f t="shared" si="11"/>
        <v>0.56783024631975421</v>
      </c>
      <c r="G38" s="32">
        <f t="shared" si="12"/>
        <v>567.83024631975422</v>
      </c>
      <c r="H38">
        <f t="shared" ref="H38:H57" si="13">$H$33*EXP(-$H$32/(8.314*A38))</f>
        <v>2.9875648926470648E-2</v>
      </c>
      <c r="I38" s="48">
        <f t="shared" ref="I38:I57" si="14">((2*$H$34*H38*$H$30+1)-(SQRT(4*H38*$H$34*$H$30+1)))/(2*$H$34*H38*$H$30)</f>
        <v>5.9744158647882113E-5</v>
      </c>
      <c r="J38">
        <f t="shared" ref="J38:J57" si="15">I38*$H$31</f>
        <v>5.9744158647882115E-2</v>
      </c>
    </row>
    <row r="39" spans="1:10" x14ac:dyDescent="0.25">
      <c r="A39" s="5">
        <f t="shared" ref="A39:A57" si="16">A38+$B$29</f>
        <v>130</v>
      </c>
      <c r="B39">
        <f t="shared" si="7"/>
        <v>1.2094699650992411</v>
      </c>
      <c r="C39">
        <f t="shared" si="8"/>
        <v>1.2080089145994608E-3</v>
      </c>
      <c r="D39">
        <f t="shared" si="9"/>
        <v>1.2080089145994608</v>
      </c>
      <c r="E39" s="1">
        <f t="shared" si="10"/>
        <v>1982.2141370661566</v>
      </c>
      <c r="F39">
        <f t="shared" si="11"/>
        <v>0.66467867361671751</v>
      </c>
      <c r="G39" s="32">
        <f t="shared" si="12"/>
        <v>664.67867361671756</v>
      </c>
      <c r="H39">
        <f t="shared" si="13"/>
        <v>1.2094699650992411</v>
      </c>
      <c r="I39" s="48">
        <f t="shared" si="14"/>
        <v>2.4073076829226616E-3</v>
      </c>
      <c r="J39">
        <f t="shared" si="15"/>
        <v>2.4073076829226614</v>
      </c>
    </row>
    <row r="40" spans="1:10" x14ac:dyDescent="0.25">
      <c r="A40" s="5">
        <f t="shared" si="16"/>
        <v>170</v>
      </c>
      <c r="B40">
        <f t="shared" si="7"/>
        <v>8.5803861458495536</v>
      </c>
      <c r="C40">
        <f t="shared" si="8"/>
        <v>8.5073894591965165E-3</v>
      </c>
      <c r="D40">
        <f t="shared" si="9"/>
        <v>8.5073894591965171</v>
      </c>
      <c r="E40" s="1">
        <f t="shared" si="10"/>
        <v>2464.3155565620168</v>
      </c>
      <c r="F40">
        <f t="shared" si="11"/>
        <v>0.71134269275619944</v>
      </c>
      <c r="G40" s="32">
        <f t="shared" si="12"/>
        <v>711.34269275619943</v>
      </c>
      <c r="H40">
        <f t="shared" si="13"/>
        <v>8.5803861458495536</v>
      </c>
      <c r="I40" s="48">
        <f t="shared" si="14"/>
        <v>1.6595901796099759E-2</v>
      </c>
      <c r="J40">
        <f t="shared" si="15"/>
        <v>16.59590179609976</v>
      </c>
    </row>
    <row r="41" spans="1:10" x14ac:dyDescent="0.25">
      <c r="A41" s="5">
        <f t="shared" si="16"/>
        <v>210</v>
      </c>
      <c r="B41">
        <f t="shared" si="7"/>
        <v>28.857700566018238</v>
      </c>
      <c r="C41">
        <f t="shared" si="8"/>
        <v>2.8048291372210554E-2</v>
      </c>
      <c r="D41">
        <f t="shared" si="9"/>
        <v>28.048291372210553</v>
      </c>
      <c r="E41" s="1">
        <f t="shared" si="10"/>
        <v>2819.8411227443976</v>
      </c>
      <c r="F41">
        <f t="shared" si="11"/>
        <v>0.73820900716374782</v>
      </c>
      <c r="G41" s="32">
        <f t="shared" si="12"/>
        <v>738.20900716374786</v>
      </c>
      <c r="H41">
        <f t="shared" si="13"/>
        <v>28.857700566018238</v>
      </c>
      <c r="I41" s="48">
        <f t="shared" si="14"/>
        <v>5.1881977658912323E-2</v>
      </c>
      <c r="J41">
        <f t="shared" si="15"/>
        <v>51.881977658912326</v>
      </c>
    </row>
    <row r="42" spans="1:10" x14ac:dyDescent="0.25">
      <c r="A42" s="5">
        <f t="shared" si="16"/>
        <v>250</v>
      </c>
      <c r="B42">
        <f t="shared" si="7"/>
        <v>65.834728337036353</v>
      </c>
      <c r="C42">
        <f t="shared" si="8"/>
        <v>6.1768233466885314E-2</v>
      </c>
      <c r="D42">
        <f t="shared" si="9"/>
        <v>61.768233466885313</v>
      </c>
      <c r="E42" s="1">
        <f t="shared" si="10"/>
        <v>3090.465487828616</v>
      </c>
      <c r="F42">
        <f t="shared" si="11"/>
        <v>0.7555290460277565</v>
      </c>
      <c r="G42" s="32">
        <f t="shared" si="12"/>
        <v>755.52904602775652</v>
      </c>
      <c r="H42">
        <f t="shared" si="13"/>
        <v>65.834728337036353</v>
      </c>
      <c r="I42" s="48">
        <f t="shared" si="14"/>
        <v>0.10538079636647975</v>
      </c>
      <c r="J42">
        <f t="shared" si="15"/>
        <v>105.38079636647974</v>
      </c>
    </row>
    <row r="43" spans="1:10" x14ac:dyDescent="0.25">
      <c r="A43" s="5">
        <f t="shared" si="16"/>
        <v>290</v>
      </c>
      <c r="B43">
        <f t="shared" si="7"/>
        <v>119.62898587529125</v>
      </c>
      <c r="C43">
        <f t="shared" si="8"/>
        <v>0.10684698894408223</v>
      </c>
      <c r="D43">
        <f t="shared" si="9"/>
        <v>106.84698894408223</v>
      </c>
      <c r="E43" s="1">
        <f t="shared" si="10"/>
        <v>3302.509310395898</v>
      </c>
      <c r="F43">
        <f t="shared" si="11"/>
        <v>0.76757749307276124</v>
      </c>
      <c r="G43" s="32">
        <f t="shared" si="12"/>
        <v>767.57749307276129</v>
      </c>
      <c r="H43">
        <f t="shared" si="13"/>
        <v>119.62898587529125</v>
      </c>
      <c r="I43" s="48">
        <f t="shared" si="14"/>
        <v>0.16629829488159054</v>
      </c>
      <c r="J43">
        <f t="shared" si="15"/>
        <v>166.29829488159055</v>
      </c>
    </row>
    <row r="44" spans="1:10" x14ac:dyDescent="0.25">
      <c r="A44" s="5">
        <f t="shared" si="16"/>
        <v>330</v>
      </c>
      <c r="B44">
        <f t="shared" si="7"/>
        <v>188.07776770959936</v>
      </c>
      <c r="C44">
        <f t="shared" si="8"/>
        <v>0.15830425652369504</v>
      </c>
      <c r="D44">
        <f t="shared" si="9"/>
        <v>158.30425652369505</v>
      </c>
      <c r="E44" s="1">
        <f t="shared" si="10"/>
        <v>3472.7818221730799</v>
      </c>
      <c r="F44">
        <f t="shared" si="11"/>
        <v>0.77642549094555324</v>
      </c>
      <c r="G44" s="32">
        <f t="shared" si="12"/>
        <v>776.42549094555329</v>
      </c>
      <c r="H44">
        <f t="shared" si="13"/>
        <v>188.07776770959936</v>
      </c>
      <c r="I44" s="48">
        <f t="shared" si="14"/>
        <v>0.22558655955935347</v>
      </c>
      <c r="J44">
        <f t="shared" si="15"/>
        <v>225.58655955935347</v>
      </c>
    </row>
    <row r="45" spans="1:10" x14ac:dyDescent="0.25">
      <c r="A45" s="5">
        <f t="shared" si="16"/>
        <v>370</v>
      </c>
      <c r="B45">
        <f t="shared" si="7"/>
        <v>268.13394040184647</v>
      </c>
      <c r="C45">
        <f t="shared" si="8"/>
        <v>0.21143976346605797</v>
      </c>
      <c r="D45">
        <f t="shared" si="9"/>
        <v>211.43976346605797</v>
      </c>
      <c r="E45" s="1">
        <f t="shared" si="10"/>
        <v>3612.3531640214419</v>
      </c>
      <c r="F45">
        <f t="shared" si="11"/>
        <v>0.78319093000066042</v>
      </c>
      <c r="G45" s="32">
        <f t="shared" si="12"/>
        <v>783.19093000066039</v>
      </c>
      <c r="H45">
        <f t="shared" si="13"/>
        <v>268.13394040184647</v>
      </c>
      <c r="I45" s="48">
        <f t="shared" si="14"/>
        <v>0.27887257650339775</v>
      </c>
      <c r="J45">
        <f t="shared" si="15"/>
        <v>278.87257650339774</v>
      </c>
    </row>
    <row r="46" spans="1:10" x14ac:dyDescent="0.25">
      <c r="A46" s="5">
        <f t="shared" si="16"/>
        <v>410</v>
      </c>
      <c r="B46">
        <f t="shared" si="7"/>
        <v>356.7093909919829</v>
      </c>
      <c r="C46">
        <f t="shared" si="8"/>
        <v>0.26292247504173927</v>
      </c>
      <c r="D46">
        <f t="shared" si="9"/>
        <v>262.92247504173929</v>
      </c>
      <c r="E46" s="1">
        <f t="shared" si="10"/>
        <v>3728.7549419688394</v>
      </c>
      <c r="F46">
        <f t="shared" si="11"/>
        <v>0.78852784458658254</v>
      </c>
      <c r="G46" s="32">
        <f t="shared" si="12"/>
        <v>788.52784458658255</v>
      </c>
      <c r="H46">
        <f t="shared" si="13"/>
        <v>356.7093909919829</v>
      </c>
      <c r="I46" s="48">
        <f t="shared" si="14"/>
        <v>0.32502619969886332</v>
      </c>
      <c r="J46">
        <f t="shared" si="15"/>
        <v>325.02619969886331</v>
      </c>
    </row>
    <row r="47" spans="1:10" x14ac:dyDescent="0.25">
      <c r="A47" s="5">
        <f>A46+$B$29</f>
        <v>450</v>
      </c>
      <c r="B47">
        <f t="shared" si="7"/>
        <v>451.06535649081218</v>
      </c>
      <c r="C47">
        <f t="shared" si="8"/>
        <v>0.31085116495486276</v>
      </c>
      <c r="D47">
        <f t="shared" si="9"/>
        <v>310.85116495486278</v>
      </c>
      <c r="E47" s="1">
        <f t="shared" si="10"/>
        <v>3827.2676468259924</v>
      </c>
      <c r="F47">
        <f t="shared" si="11"/>
        <v>0.79284347312759496</v>
      </c>
      <c r="G47" s="32">
        <f t="shared" si="12"/>
        <v>792.84347312759496</v>
      </c>
      <c r="H47">
        <f t="shared" si="13"/>
        <v>451.06535649081218</v>
      </c>
      <c r="I47" s="48">
        <f t="shared" si="14"/>
        <v>0.36442301371966834</v>
      </c>
      <c r="J47">
        <f t="shared" si="15"/>
        <v>364.42301371966835</v>
      </c>
    </row>
    <row r="48" spans="1:10" x14ac:dyDescent="0.25">
      <c r="A48" s="5">
        <f t="shared" si="16"/>
        <v>490</v>
      </c>
      <c r="B48">
        <f t="shared" si="7"/>
        <v>548.93838206771898</v>
      </c>
      <c r="C48">
        <f t="shared" si="8"/>
        <v>0.35439652630657037</v>
      </c>
      <c r="D48">
        <f t="shared" si="9"/>
        <v>354.39652630657037</v>
      </c>
      <c r="E48" s="1">
        <f t="shared" si="10"/>
        <v>3911.6937673593907</v>
      </c>
      <c r="F48">
        <f t="shared" si="11"/>
        <v>0.79640424518208175</v>
      </c>
      <c r="G48" s="32">
        <f t="shared" si="12"/>
        <v>796.4042451820817</v>
      </c>
      <c r="H48">
        <f t="shared" si="13"/>
        <v>548.93838206771898</v>
      </c>
      <c r="I48" s="48">
        <f t="shared" si="14"/>
        <v>0.39794613505252829</v>
      </c>
      <c r="J48">
        <f t="shared" si="15"/>
        <v>397.94613505252829</v>
      </c>
    </row>
    <row r="49" spans="1:10" x14ac:dyDescent="0.25">
      <c r="A49" s="5">
        <f t="shared" si="16"/>
        <v>530</v>
      </c>
      <c r="B49">
        <f t="shared" si="7"/>
        <v>648.5368345614861</v>
      </c>
      <c r="C49">
        <f t="shared" si="8"/>
        <v>0.39340148243275264</v>
      </c>
      <c r="D49">
        <f t="shared" si="9"/>
        <v>393.40148243275263</v>
      </c>
      <c r="E49" s="1">
        <f t="shared" si="10"/>
        <v>3984.8366237008622</v>
      </c>
      <c r="F49">
        <f t="shared" si="11"/>
        <v>0.79939161992884411</v>
      </c>
      <c r="G49" s="32">
        <f t="shared" si="12"/>
        <v>799.39161992884408</v>
      </c>
      <c r="H49">
        <f t="shared" si="13"/>
        <v>648.5368345614861</v>
      </c>
      <c r="I49" s="48">
        <f t="shared" si="14"/>
        <v>0.42654439796431304</v>
      </c>
      <c r="J49">
        <f t="shared" si="15"/>
        <v>426.54439796431302</v>
      </c>
    </row>
    <row r="50" spans="1:10" x14ac:dyDescent="0.25">
      <c r="A50" s="5">
        <f t="shared" si="16"/>
        <v>570</v>
      </c>
      <c r="B50">
        <f t="shared" si="7"/>
        <v>748.48438198523081</v>
      </c>
      <c r="C50">
        <f t="shared" si="8"/>
        <v>0.42807610390857531</v>
      </c>
      <c r="D50">
        <f t="shared" si="9"/>
        <v>428.07610390857531</v>
      </c>
      <c r="E50" s="1">
        <f t="shared" si="10"/>
        <v>4048.8060687607112</v>
      </c>
      <c r="F50">
        <f t="shared" si="11"/>
        <v>0.80193337070570792</v>
      </c>
      <c r="G50" s="32">
        <f t="shared" si="12"/>
        <v>801.93337070570794</v>
      </c>
      <c r="H50">
        <f t="shared" si="13"/>
        <v>748.48438198523081</v>
      </c>
      <c r="I50" s="48">
        <f t="shared" si="14"/>
        <v>0.45107107160496041</v>
      </c>
      <c r="J50">
        <f t="shared" si="15"/>
        <v>451.07107160496042</v>
      </c>
    </row>
    <row r="51" spans="1:10" x14ac:dyDescent="0.25">
      <c r="A51" s="5">
        <f>A50+$B$29</f>
        <v>610</v>
      </c>
      <c r="B51">
        <f t="shared" si="7"/>
        <v>847.74874066260759</v>
      </c>
      <c r="C51">
        <f t="shared" si="8"/>
        <v>0.45880087590188406</v>
      </c>
      <c r="D51">
        <f t="shared" si="9"/>
        <v>458.80087590188407</v>
      </c>
      <c r="E51" s="1">
        <f t="shared" si="10"/>
        <v>4105.2192264686491</v>
      </c>
      <c r="F51">
        <f t="shared" si="11"/>
        <v>0.8041220257858126</v>
      </c>
      <c r="G51" s="32">
        <f t="shared" si="12"/>
        <v>804.12202578581264</v>
      </c>
      <c r="H51">
        <f t="shared" si="13"/>
        <v>847.74874066260759</v>
      </c>
      <c r="I51" s="48">
        <f t="shared" si="14"/>
        <v>0.47224285364807483</v>
      </c>
      <c r="J51">
        <f t="shared" si="15"/>
        <v>472.24285364807486</v>
      </c>
    </row>
    <row r="52" spans="1:10" x14ac:dyDescent="0.25">
      <c r="A52" s="5">
        <f t="shared" si="16"/>
        <v>650</v>
      </c>
      <c r="B52">
        <f t="shared" si="7"/>
        <v>945.57290907516676</v>
      </c>
      <c r="C52">
        <f t="shared" si="8"/>
        <v>0.48601257997812447</v>
      </c>
      <c r="D52">
        <f t="shared" si="9"/>
        <v>486.01257997812445</v>
      </c>
      <c r="E52" s="1">
        <f t="shared" si="10"/>
        <v>4155.3357202544239</v>
      </c>
      <c r="F52">
        <f t="shared" si="11"/>
        <v>0.80602621162552568</v>
      </c>
      <c r="G52" s="32">
        <f t="shared" si="12"/>
        <v>806.02621162552566</v>
      </c>
      <c r="H52">
        <f t="shared" si="13"/>
        <v>945.57290907516676</v>
      </c>
      <c r="I52" s="48">
        <f t="shared" si="14"/>
        <v>0.49064453160606575</v>
      </c>
      <c r="J52">
        <f t="shared" si="15"/>
        <v>490.64453160606575</v>
      </c>
    </row>
    <row r="53" spans="1:10" x14ac:dyDescent="0.25">
      <c r="A53" s="5">
        <f t="shared" si="16"/>
        <v>690</v>
      </c>
      <c r="B53">
        <f t="shared" si="7"/>
        <v>1041.4154241007066</v>
      </c>
      <c r="C53">
        <f t="shared" si="8"/>
        <v>0.51014380111264013</v>
      </c>
      <c r="D53">
        <f t="shared" si="9"/>
        <v>510.14380111264012</v>
      </c>
      <c r="E53" s="1">
        <f t="shared" si="10"/>
        <v>4200.1508967799027</v>
      </c>
      <c r="F53">
        <f t="shared" si="11"/>
        <v>0.80769788803258935</v>
      </c>
      <c r="G53" s="32">
        <f t="shared" si="12"/>
        <v>807.69788803258939</v>
      </c>
      <c r="H53">
        <f t="shared" si="13"/>
        <v>1041.4154241007066</v>
      </c>
      <c r="I53" s="48">
        <f t="shared" si="14"/>
        <v>0.50674787306177504</v>
      </c>
      <c r="J53">
        <f t="shared" si="15"/>
        <v>506.74787306177507</v>
      </c>
    </row>
    <row r="54" spans="1:10" x14ac:dyDescent="0.25">
      <c r="A54" s="5">
        <f t="shared" si="16"/>
        <v>730</v>
      </c>
      <c r="B54">
        <f t="shared" si="7"/>
        <v>1134.9011417413369</v>
      </c>
      <c r="C54">
        <f t="shared" si="8"/>
        <v>0.53159423616947998</v>
      </c>
      <c r="D54">
        <f t="shared" si="9"/>
        <v>531.59423616947993</v>
      </c>
      <c r="E54" s="1">
        <f t="shared" si="10"/>
        <v>4240.4614424626061</v>
      </c>
      <c r="F54">
        <f t="shared" si="11"/>
        <v>0.8091771095008613</v>
      </c>
      <c r="G54" s="32">
        <f t="shared" si="12"/>
        <v>809.17710950086132</v>
      </c>
      <c r="H54">
        <f t="shared" si="13"/>
        <v>1134.9011417413369</v>
      </c>
      <c r="I54" s="48">
        <f t="shared" si="14"/>
        <v>0.52093249774188743</v>
      </c>
      <c r="J54">
        <f t="shared" si="15"/>
        <v>520.93249774188746</v>
      </c>
    </row>
    <row r="55" spans="1:10" x14ac:dyDescent="0.25">
      <c r="A55" s="5">
        <f t="shared" si="16"/>
        <v>770</v>
      </c>
      <c r="B55">
        <f t="shared" si="7"/>
        <v>1225.7818888134232</v>
      </c>
      <c r="C55">
        <f t="shared" si="8"/>
        <v>0.55071967966586977</v>
      </c>
      <c r="D55">
        <f t="shared" si="9"/>
        <v>550.71967966586976</v>
      </c>
      <c r="E55" s="1">
        <f t="shared" si="10"/>
        <v>4276.9124427401175</v>
      </c>
      <c r="F55">
        <f t="shared" si="11"/>
        <v>0.81049524492759351</v>
      </c>
      <c r="G55" s="32">
        <f t="shared" si="12"/>
        <v>810.49524492759349</v>
      </c>
      <c r="H55">
        <f t="shared" si="13"/>
        <v>1225.7818888134232</v>
      </c>
      <c r="I55" s="48">
        <f t="shared" si="14"/>
        <v>0.53350450987585774</v>
      </c>
      <c r="J55">
        <f t="shared" si="15"/>
        <v>533.50450987585771</v>
      </c>
    </row>
    <row r="56" spans="1:10" x14ac:dyDescent="0.25">
      <c r="A56" s="5">
        <f>A55+$B$29</f>
        <v>810</v>
      </c>
      <c r="B56">
        <f t="shared" si="7"/>
        <v>1313.9055694764818</v>
      </c>
      <c r="C56">
        <f t="shared" si="8"/>
        <v>0.56783024631975421</v>
      </c>
      <c r="D56">
        <f t="shared" si="9"/>
        <v>567.83024631975422</v>
      </c>
      <c r="E56" s="1">
        <f t="shared" si="10"/>
        <v>4310.0317097337565</v>
      </c>
      <c r="F56">
        <f t="shared" si="11"/>
        <v>0.81167720746998329</v>
      </c>
      <c r="G56" s="32">
        <f t="shared" si="12"/>
        <v>811.67720746998327</v>
      </c>
      <c r="H56">
        <f t="shared" si="13"/>
        <v>1313.9055694764818</v>
      </c>
      <c r="I56" s="48">
        <f t="shared" si="14"/>
        <v>0.54471185727109173</v>
      </c>
      <c r="J56">
        <f t="shared" si="15"/>
        <v>544.71185727109173</v>
      </c>
    </row>
    <row r="57" spans="1:10" ht="15.75" thickBot="1" x14ac:dyDescent="0.3">
      <c r="A57" s="6">
        <f t="shared" si="16"/>
        <v>850</v>
      </c>
      <c r="B57" s="39">
        <f t="shared" si="7"/>
        <v>1399.1921826841392</v>
      </c>
      <c r="C57" s="39">
        <f t="shared" si="8"/>
        <v>0.58319304005015882</v>
      </c>
      <c r="D57" s="39">
        <f t="shared" si="9"/>
        <v>583.19304005015886</v>
      </c>
      <c r="E57" s="33">
        <f t="shared" si="10"/>
        <v>4340.2552111631385</v>
      </c>
      <c r="F57" s="39">
        <f t="shared" si="11"/>
        <v>0.8127430318480614</v>
      </c>
      <c r="G57" s="34">
        <f t="shared" si="12"/>
        <v>812.74303184806138</v>
      </c>
      <c r="H57">
        <f t="shared" si="13"/>
        <v>1399.1921826841392</v>
      </c>
      <c r="I57" s="48">
        <f t="shared" si="14"/>
        <v>0.55475655204645358</v>
      </c>
      <c r="J57">
        <f t="shared" si="15"/>
        <v>554.75655204645352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eje3</vt:lpstr>
      <vt:lpstr>ejercicio 4</vt:lpstr>
      <vt:lpstr>ejercicio 5</vt:lpstr>
      <vt:lpstr>eje6</vt:lpstr>
      <vt:lpstr>tarea</vt:lpstr>
      <vt:lpstr>eje10</vt:lpstr>
      <vt:lpstr>curbas G y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2021-08-17T22:09:45Z</dcterms:created>
  <dcterms:modified xsi:type="dcterms:W3CDTF">2024-05-07T20:54:53Z</dcterms:modified>
</cp:coreProperties>
</file>