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560" windowHeight="8235" tabRatio="560" activeTab="3"/>
  </bookViews>
  <sheets>
    <sheet name="MOD" sheetId="1" r:id="rId1"/>
    <sheet name="MOI" sheetId="3" r:id="rId2"/>
    <sheet name="MOD POR CENTROS DE COSTOS" sheetId="7" r:id="rId3"/>
    <sheet name="MOI POR CENTROS DE COSTOS" sheetId="8" r:id="rId4"/>
  </sheets>
  <externalReferences>
    <externalReference r:id="rId5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8" l="1"/>
  <c r="F6" i="8"/>
  <c r="G12" i="8"/>
  <c r="G5" i="8" l="1"/>
  <c r="G7" i="8"/>
  <c r="G8" i="8"/>
  <c r="G9" i="8"/>
  <c r="G10" i="8"/>
  <c r="G11" i="8"/>
  <c r="G4" i="8"/>
  <c r="F5" i="8"/>
  <c r="F7" i="8"/>
  <c r="F8" i="8"/>
  <c r="F9" i="8"/>
  <c r="F10" i="8"/>
  <c r="F11" i="8"/>
  <c r="F4" i="8"/>
  <c r="E5" i="8"/>
  <c r="E7" i="8"/>
  <c r="E8" i="8"/>
  <c r="E9" i="8"/>
  <c r="E10" i="8"/>
  <c r="E11" i="8"/>
  <c r="E4" i="8"/>
  <c r="F13" i="8" l="1"/>
  <c r="G13" i="8"/>
  <c r="E13" i="8"/>
  <c r="D13" i="8"/>
  <c r="D5" i="3" l="1"/>
  <c r="F16" i="7" l="1"/>
  <c r="F15" i="7"/>
  <c r="E15" i="7"/>
  <c r="F14" i="7"/>
  <c r="E13" i="7"/>
  <c r="F12" i="7"/>
  <c r="E12" i="7"/>
  <c r="D11" i="7"/>
  <c r="F10" i="7"/>
  <c r="F9" i="7"/>
  <c r="E9" i="7"/>
  <c r="F8" i="7"/>
  <c r="D7" i="7"/>
  <c r="E6" i="7"/>
  <c r="F5" i="7"/>
  <c r="E4" i="7"/>
  <c r="K18" i="1"/>
  <c r="M18" i="1"/>
  <c r="O18" i="1"/>
  <c r="R18" i="1"/>
  <c r="T18" i="1"/>
  <c r="V18" i="1"/>
  <c r="X18" i="1"/>
  <c r="Z18" i="1"/>
  <c r="AE18" i="1"/>
  <c r="H18" i="1"/>
  <c r="G14" i="3" l="1"/>
  <c r="I14" i="3"/>
  <c r="P14" i="3"/>
  <c r="S14" i="3"/>
  <c r="E14" i="3"/>
  <c r="D19" i="8" l="1"/>
  <c r="D20" i="8"/>
  <c r="D18" i="8"/>
  <c r="D17" i="7" l="1"/>
  <c r="E17" i="7"/>
  <c r="F17" i="7"/>
  <c r="C17" i="7"/>
  <c r="C23" i="7" l="1"/>
  <c r="C24" i="7"/>
  <c r="C22" i="7"/>
  <c r="Y12" i="3"/>
  <c r="J12" i="3"/>
  <c r="D12" i="3"/>
  <c r="H12" i="3" s="1"/>
  <c r="Y11" i="3"/>
  <c r="J11" i="3"/>
  <c r="D11" i="3"/>
  <c r="H11" i="3" s="1"/>
  <c r="Y10" i="3"/>
  <c r="J10" i="3"/>
  <c r="D10" i="3"/>
  <c r="H10" i="3" s="1"/>
  <c r="Y9" i="3"/>
  <c r="D9" i="3"/>
  <c r="H9" i="3" s="1"/>
  <c r="Y8" i="3"/>
  <c r="J8" i="3"/>
  <c r="D8" i="3"/>
  <c r="H8" i="3" s="1"/>
  <c r="Y7" i="3"/>
  <c r="J7" i="3"/>
  <c r="D7" i="3"/>
  <c r="H7" i="3" s="1"/>
  <c r="Y6" i="3"/>
  <c r="J6" i="3"/>
  <c r="D6" i="3"/>
  <c r="H6" i="3" s="1"/>
  <c r="AE6" i="3" s="1"/>
  <c r="Y5" i="3"/>
  <c r="J5" i="3"/>
  <c r="Y4" i="3"/>
  <c r="Y14" i="3" s="1"/>
  <c r="J4" i="3"/>
  <c r="H4" i="3"/>
  <c r="J14" i="3" l="1"/>
  <c r="AE4" i="3"/>
  <c r="D14" i="3"/>
  <c r="H5" i="3"/>
  <c r="AE5" i="3" s="1"/>
  <c r="AE7" i="3"/>
  <c r="AC7" i="3"/>
  <c r="M7" i="3"/>
  <c r="AD7" i="3"/>
  <c r="AB7" i="3"/>
  <c r="K7" i="3"/>
  <c r="AE9" i="3"/>
  <c r="AC9" i="3"/>
  <c r="M9" i="3"/>
  <c r="AD9" i="3"/>
  <c r="AB9" i="3"/>
  <c r="K9" i="3"/>
  <c r="AE11" i="3"/>
  <c r="AC11" i="3"/>
  <c r="M11" i="3"/>
  <c r="AD11" i="3"/>
  <c r="AB11" i="3"/>
  <c r="K11" i="3"/>
  <c r="AE8" i="3"/>
  <c r="AC8" i="3"/>
  <c r="M8" i="3"/>
  <c r="AD8" i="3"/>
  <c r="AB8" i="3"/>
  <c r="K8" i="3"/>
  <c r="AE10" i="3"/>
  <c r="AC10" i="3"/>
  <c r="M10" i="3"/>
  <c r="AD10" i="3"/>
  <c r="AB10" i="3"/>
  <c r="K10" i="3"/>
  <c r="AE12" i="3"/>
  <c r="AC12" i="3"/>
  <c r="M12" i="3"/>
  <c r="AD12" i="3"/>
  <c r="AB12" i="3"/>
  <c r="K12" i="3"/>
  <c r="Z12" i="3"/>
  <c r="K4" i="3"/>
  <c r="AB4" i="3"/>
  <c r="AD4" i="3"/>
  <c r="K6" i="3"/>
  <c r="AB6" i="3"/>
  <c r="AD6" i="3"/>
  <c r="M4" i="3"/>
  <c r="AC4" i="3"/>
  <c r="M6" i="3"/>
  <c r="AC6" i="3"/>
  <c r="X6" i="3" l="1"/>
  <c r="Q6" i="3"/>
  <c r="R6" i="3"/>
  <c r="O6" i="3"/>
  <c r="R4" i="3"/>
  <c r="O4" i="3"/>
  <c r="X4" i="3"/>
  <c r="Q4" i="3"/>
  <c r="X12" i="3"/>
  <c r="Q12" i="3"/>
  <c r="R12" i="3"/>
  <c r="O12" i="3"/>
  <c r="T12" i="3" s="1"/>
  <c r="V12" i="3" s="1"/>
  <c r="X10" i="3"/>
  <c r="Q10" i="3"/>
  <c r="R10" i="3"/>
  <c r="O10" i="3"/>
  <c r="X8" i="3"/>
  <c r="Q8" i="3"/>
  <c r="R8" i="3"/>
  <c r="O8" i="3"/>
  <c r="T8" i="3" s="1"/>
  <c r="V8" i="3" s="1"/>
  <c r="R11" i="3"/>
  <c r="O11" i="3"/>
  <c r="X11" i="3"/>
  <c r="Q11" i="3"/>
  <c r="R9" i="3"/>
  <c r="O9" i="3"/>
  <c r="X9" i="3"/>
  <c r="Q9" i="3"/>
  <c r="R7" i="3"/>
  <c r="O7" i="3"/>
  <c r="X7" i="3"/>
  <c r="Q7" i="3"/>
  <c r="AE14" i="3"/>
  <c r="H14" i="3"/>
  <c r="AC5" i="3"/>
  <c r="AC14" i="3" s="1"/>
  <c r="AB5" i="3"/>
  <c r="AB14" i="3" s="1"/>
  <c r="Z4" i="3"/>
  <c r="T10" i="3"/>
  <c r="V10" i="3" s="1"/>
  <c r="Z6" i="3"/>
  <c r="T6" i="3"/>
  <c r="V6" i="3" s="1"/>
  <c r="M5" i="3"/>
  <c r="AD5" i="3"/>
  <c r="AD14" i="3" s="1"/>
  <c r="K5" i="3"/>
  <c r="K14" i="3" s="1"/>
  <c r="Z11" i="3"/>
  <c r="AG11" i="3" s="1"/>
  <c r="Z9" i="3"/>
  <c r="Z7" i="3"/>
  <c r="Z10" i="3"/>
  <c r="Z8" i="3"/>
  <c r="Z5" i="3"/>
  <c r="T11" i="3" l="1"/>
  <c r="V11" i="3" s="1"/>
  <c r="M14" i="3"/>
  <c r="R5" i="3"/>
  <c r="O5" i="3"/>
  <c r="X5" i="3"/>
  <c r="AG5" i="3" s="1"/>
  <c r="Q5" i="3"/>
  <c r="Q14" i="3" s="1"/>
  <c r="AG10" i="3"/>
  <c r="AG12" i="3"/>
  <c r="T9" i="3"/>
  <c r="V9" i="3" s="1"/>
  <c r="T7" i="3"/>
  <c r="V7" i="3" s="1"/>
  <c r="X14" i="3"/>
  <c r="T4" i="3"/>
  <c r="V4" i="3" s="1"/>
  <c r="Z14" i="3"/>
  <c r="AG7" i="3"/>
  <c r="R14" i="3"/>
  <c r="O14" i="3"/>
  <c r="AG9" i="3"/>
  <c r="AG8" i="3"/>
  <c r="AG4" i="3"/>
  <c r="AG6" i="3"/>
  <c r="G4" i="1"/>
  <c r="I4" i="1"/>
  <c r="F4" i="1"/>
  <c r="L4" i="1" s="1"/>
  <c r="Y4" i="1" l="1"/>
  <c r="AC4" i="1"/>
  <c r="T5" i="3"/>
  <c r="J4" i="1"/>
  <c r="AG14" i="3"/>
  <c r="N4" i="1"/>
  <c r="Q4" i="1"/>
  <c r="W4" i="1"/>
  <c r="AA4" i="1"/>
  <c r="P4" i="1"/>
  <c r="AB4" i="1"/>
  <c r="AD4" i="1"/>
  <c r="V5" i="3" l="1"/>
  <c r="V14" i="3" s="1"/>
  <c r="T14" i="3"/>
  <c r="AF4" i="1"/>
  <c r="S4" i="1"/>
  <c r="I16" i="1"/>
  <c r="I9" i="1"/>
  <c r="I13" i="1"/>
  <c r="I15" i="1"/>
  <c r="I12" i="1"/>
  <c r="I10" i="1"/>
  <c r="I14" i="1"/>
  <c r="I11" i="1"/>
  <c r="I6" i="1"/>
  <c r="I7" i="1"/>
  <c r="I8" i="1"/>
  <c r="I5" i="1"/>
  <c r="C18" i="1"/>
  <c r="D18" i="1"/>
  <c r="E18" i="1"/>
  <c r="G16" i="1"/>
  <c r="G9" i="1"/>
  <c r="G13" i="1"/>
  <c r="G15" i="1"/>
  <c r="G12" i="1"/>
  <c r="G10" i="1"/>
  <c r="G14" i="1"/>
  <c r="G11" i="1"/>
  <c r="G6" i="1"/>
  <c r="G7" i="1"/>
  <c r="G8" i="1"/>
  <c r="G5" i="1"/>
  <c r="F5" i="1"/>
  <c r="F16" i="1"/>
  <c r="F11" i="1"/>
  <c r="F8" i="1"/>
  <c r="I18" i="1" l="1"/>
  <c r="U4" i="1"/>
  <c r="J9" i="1"/>
  <c r="AD9" i="1"/>
  <c r="AC9" i="1"/>
  <c r="AB9" i="1"/>
  <c r="AA9" i="1"/>
  <c r="J7" i="1"/>
  <c r="AD7" i="1"/>
  <c r="AC7" i="1"/>
  <c r="AB7" i="1"/>
  <c r="AA7" i="1"/>
  <c r="J11" i="1"/>
  <c r="AD11" i="1"/>
  <c r="AC11" i="1"/>
  <c r="AA11" i="1"/>
  <c r="AB11" i="1"/>
  <c r="J10" i="1"/>
  <c r="AD10" i="1"/>
  <c r="AC10" i="1"/>
  <c r="AB10" i="1"/>
  <c r="AA10" i="1"/>
  <c r="J15" i="1"/>
  <c r="AD15" i="1"/>
  <c r="AC15" i="1"/>
  <c r="AA15" i="1"/>
  <c r="AB15" i="1"/>
  <c r="J16" i="1"/>
  <c r="AB16" i="1"/>
  <c r="AA16" i="1"/>
  <c r="AD16" i="1"/>
  <c r="AC16" i="1"/>
  <c r="J8" i="1"/>
  <c r="AB8" i="1"/>
  <c r="AA8" i="1"/>
  <c r="AD8" i="1"/>
  <c r="AC8" i="1"/>
  <c r="J6" i="1"/>
  <c r="AB6" i="1"/>
  <c r="AA6" i="1"/>
  <c r="AC6" i="1"/>
  <c r="AD6" i="1"/>
  <c r="J14" i="1"/>
  <c r="AB14" i="1"/>
  <c r="AA14" i="1"/>
  <c r="AD14" i="1"/>
  <c r="AC14" i="1"/>
  <c r="J12" i="1"/>
  <c r="AB12" i="1"/>
  <c r="AA12" i="1"/>
  <c r="AD12" i="1"/>
  <c r="AC12" i="1"/>
  <c r="J13" i="1"/>
  <c r="AB13" i="1"/>
  <c r="AA13" i="1"/>
  <c r="AD13" i="1"/>
  <c r="AC13" i="1"/>
  <c r="J5" i="1"/>
  <c r="J18" i="1" s="1"/>
  <c r="AD5" i="1"/>
  <c r="AD18" i="1" s="1"/>
  <c r="AC5" i="1"/>
  <c r="AC18" i="1" s="1"/>
  <c r="AA5" i="1"/>
  <c r="AA18" i="1" s="1"/>
  <c r="AB5" i="1"/>
  <c r="AB18" i="1" s="1"/>
  <c r="L5" i="1"/>
  <c r="L7" i="1"/>
  <c r="L11" i="1"/>
  <c r="L10" i="1"/>
  <c r="L15" i="1"/>
  <c r="L9" i="1"/>
  <c r="G18" i="1"/>
  <c r="L8" i="1"/>
  <c r="L6" i="1"/>
  <c r="L14" i="1"/>
  <c r="L12" i="1"/>
  <c r="L13" i="1"/>
  <c r="L16" i="1"/>
  <c r="F18" i="1"/>
  <c r="L18" i="1" l="1"/>
  <c r="N14" i="1"/>
  <c r="Q14" i="1"/>
  <c r="P14" i="1"/>
  <c r="W14" i="1"/>
  <c r="N8" i="1"/>
  <c r="Q8" i="1"/>
  <c r="P8" i="1"/>
  <c r="W8" i="1"/>
  <c r="N9" i="1"/>
  <c r="Q9" i="1"/>
  <c r="P9" i="1"/>
  <c r="W9" i="1"/>
  <c r="N10" i="1"/>
  <c r="Q10" i="1"/>
  <c r="P10" i="1"/>
  <c r="W10" i="1"/>
  <c r="N7" i="1"/>
  <c r="Q7" i="1"/>
  <c r="P7" i="1"/>
  <c r="W7" i="1"/>
  <c r="N13" i="1"/>
  <c r="Q13" i="1"/>
  <c r="P13" i="1"/>
  <c r="W13" i="1"/>
  <c r="N16" i="1"/>
  <c r="Q16" i="1"/>
  <c r="P16" i="1"/>
  <c r="W16" i="1"/>
  <c r="N12" i="1"/>
  <c r="Q12" i="1"/>
  <c r="P12" i="1"/>
  <c r="W12" i="1"/>
  <c r="N6" i="1"/>
  <c r="Q6" i="1"/>
  <c r="P6" i="1"/>
  <c r="W6" i="1"/>
  <c r="N15" i="1"/>
  <c r="Q15" i="1"/>
  <c r="P15" i="1"/>
  <c r="W15" i="1"/>
  <c r="N11" i="1"/>
  <c r="Q11" i="1"/>
  <c r="P11" i="1"/>
  <c r="W11" i="1"/>
  <c r="N5" i="1"/>
  <c r="N18" i="1" s="1"/>
  <c r="Q5" i="1"/>
  <c r="Q18" i="1" s="1"/>
  <c r="P5" i="1"/>
  <c r="P18" i="1" s="1"/>
  <c r="W5" i="1"/>
  <c r="W18" i="1" s="1"/>
  <c r="Y16" i="1"/>
  <c r="AF16" i="1" s="1"/>
  <c r="Y12" i="1"/>
  <c r="Y6" i="1"/>
  <c r="Y15" i="1"/>
  <c r="Y11" i="1"/>
  <c r="Y5" i="1"/>
  <c r="Y13" i="1"/>
  <c r="Y14" i="1"/>
  <c r="Y8" i="1"/>
  <c r="Y9" i="1"/>
  <c r="Y10" i="1"/>
  <c r="Y7" i="1"/>
  <c r="S14" i="1"/>
  <c r="U14" i="1" s="1"/>
  <c r="AF5" i="1" l="1"/>
  <c r="Y18" i="1"/>
  <c r="AF8" i="1"/>
  <c r="AF15" i="1"/>
  <c r="AF12" i="1"/>
  <c r="S13" i="1"/>
  <c r="U13" i="1" s="1"/>
  <c r="S10" i="1"/>
  <c r="U10" i="1" s="1"/>
  <c r="AF11" i="1"/>
  <c r="AF9" i="1"/>
  <c r="AF13" i="1"/>
  <c r="S5" i="1"/>
  <c r="S11" i="1"/>
  <c r="U11" i="1" s="1"/>
  <c r="S16" i="1"/>
  <c r="U16" i="1" s="1"/>
  <c r="S8" i="1"/>
  <c r="U8" i="1" s="1"/>
  <c r="S12" i="1"/>
  <c r="U12" i="1" s="1"/>
  <c r="S9" i="1"/>
  <c r="U9" i="1" s="1"/>
  <c r="S15" i="1"/>
  <c r="U15" i="1" s="1"/>
  <c r="S7" i="1"/>
  <c r="U7" i="1" s="1"/>
  <c r="S6" i="1"/>
  <c r="U6" i="1" s="1"/>
  <c r="AF6" i="1"/>
  <c r="AF7" i="1"/>
  <c r="AF10" i="1"/>
  <c r="AF14" i="1"/>
  <c r="S18" i="1" l="1"/>
  <c r="AF18" i="1"/>
  <c r="U5" i="1"/>
  <c r="U18" i="1" s="1"/>
</calcChain>
</file>

<file path=xl/sharedStrings.xml><?xml version="1.0" encoding="utf-8"?>
<sst xmlns="http://schemas.openxmlformats.org/spreadsheetml/2006/main" count="204" uniqueCount="107">
  <si>
    <t>NOMBRE</t>
  </si>
  <si>
    <t>CARGO</t>
  </si>
  <si>
    <t>N° DÍAS TRABAJADOS</t>
  </si>
  <si>
    <t>N° HORAS</t>
  </si>
  <si>
    <t>TOTAL HORAS ($)</t>
  </si>
  <si>
    <t>SALARIO BASICO</t>
  </si>
  <si>
    <t>SMLV</t>
  </si>
  <si>
    <t>JEFE DE ENCOMIENDAS</t>
  </si>
  <si>
    <t>AUXILIAR ENCOMIENDAS</t>
  </si>
  <si>
    <t>COORDINADORA GIROS BGA</t>
  </si>
  <si>
    <t>AUXILIAR LOGISTICO DE ENCOMIENDAS</t>
  </si>
  <si>
    <t>AUXILIAR LOGISTICA DE PASAJES Y ENCOMIENDAS</t>
  </si>
  <si>
    <t>AUXILIAR DE PASAJES</t>
  </si>
  <si>
    <t>AUXILIAR LOGISTICO DE ENCOMIENDAS Y PASAJES</t>
  </si>
  <si>
    <t>AUXILIAR LOGISTICO DE PASAJES Y ENCOMIENDAS</t>
  </si>
  <si>
    <t>AUXILIAR LOGISTICO DE PASAJES</t>
  </si>
  <si>
    <t>AUXILIAR DE GIROS</t>
  </si>
  <si>
    <t>AUXILIAR DE BODEGA</t>
  </si>
  <si>
    <t>HORAS EXTRAS</t>
  </si>
  <si>
    <t>AUXILIO DE RODAMIENTO</t>
  </si>
  <si>
    <t>SUELDO</t>
  </si>
  <si>
    <t>TOTAL</t>
  </si>
  <si>
    <t>AUXILIO DE TRANPORTE</t>
  </si>
  <si>
    <t>AUX DE TRANPORTE</t>
  </si>
  <si>
    <t>TOTAL DEVENGADO</t>
  </si>
  <si>
    <t>PENSIÓN</t>
  </si>
  <si>
    <t>APORTES</t>
  </si>
  <si>
    <t>SALUD</t>
  </si>
  <si>
    <t>IBC (INGRESO BASE DE COTIZACIÓN)</t>
  </si>
  <si>
    <t>SALUD EMPLEADO</t>
  </si>
  <si>
    <t>SALUD EMPRESA</t>
  </si>
  <si>
    <t>PENSIÓN EMPLEADO</t>
  </si>
  <si>
    <t>PENSIÓN EMPRESA</t>
  </si>
  <si>
    <t>EMBARGOS Y OTROS</t>
  </si>
  <si>
    <t>VALOR CONFENALCO</t>
  </si>
  <si>
    <t>NIVEL DE RIESGO</t>
  </si>
  <si>
    <t>ARL (SURA)</t>
  </si>
  <si>
    <t>PRIMA</t>
  </si>
  <si>
    <t>INT/CES.</t>
  </si>
  <si>
    <t>VACA.</t>
  </si>
  <si>
    <t>PROVIIONES</t>
  </si>
  <si>
    <t>COSTO EMPLEADO</t>
  </si>
  <si>
    <t>EMPLEADO</t>
  </si>
  <si>
    <t>EMPRESA</t>
  </si>
  <si>
    <t>NETO A PAGAR</t>
  </si>
  <si>
    <t>RECARGO</t>
  </si>
  <si>
    <t>CONFENALCO</t>
  </si>
  <si>
    <t>JEFE DE RUTAS</t>
  </si>
  <si>
    <t>Cesantías</t>
  </si>
  <si>
    <t>Intereses</t>
  </si>
  <si>
    <t>Aux transporte</t>
  </si>
  <si>
    <t>Prima</t>
  </si>
  <si>
    <t>Vacaciones</t>
  </si>
  <si>
    <t>Horas Extras</t>
  </si>
  <si>
    <t>PROVISIONES</t>
  </si>
  <si>
    <t>Total Horas ($)</t>
  </si>
  <si>
    <t xml:space="preserve">BARON SUAREZ JANS CARLOS </t>
  </si>
  <si>
    <t xml:space="preserve">BERMUDEZ PEÑA ALEJANDRO </t>
  </si>
  <si>
    <t xml:space="preserve">CARREÑO MURILLO KATHERINE LISSETH </t>
  </si>
  <si>
    <t>MANTILLA JAIMEZ MIGUEL ORLANDO</t>
  </si>
  <si>
    <t xml:space="preserve">MONRROY GUTIERREZ LAURA </t>
  </si>
  <si>
    <t xml:space="preserve">SALAZAR HERNANDEZ OLGA CECILIA </t>
  </si>
  <si>
    <t xml:space="preserve">LOPEZ COVILLA SAYURIS </t>
  </si>
  <si>
    <t xml:space="preserve">MEZA MURILLO MARIA DEL CARMEN </t>
  </si>
  <si>
    <t xml:space="preserve">PEÑA ARGUELLO YORDY </t>
  </si>
  <si>
    <t>COSTO DE MO MENSUAL</t>
  </si>
  <si>
    <t>GIROS</t>
  </si>
  <si>
    <t>PASAJES</t>
  </si>
  <si>
    <t>ENCOMIENDAS</t>
  </si>
  <si>
    <t>CENTROS DE COSTOS</t>
  </si>
  <si>
    <t>TOTAL MENSUAL POR CENTROS DE COSTOS</t>
  </si>
  <si>
    <t>PORCENTAJE DE ASIGNACIÓN</t>
  </si>
  <si>
    <t>PRORRATEO</t>
  </si>
  <si>
    <t xml:space="preserve">GIROS </t>
  </si>
  <si>
    <t>N°  Horas</t>
  </si>
  <si>
    <t>AUXILIAR CONTABLE</t>
  </si>
  <si>
    <t>JEFE DE TRANSPORTE</t>
  </si>
  <si>
    <t>SECRETARIA GENERAL</t>
  </si>
  <si>
    <t>CONTADOR</t>
  </si>
  <si>
    <t>SECRETARIA</t>
  </si>
  <si>
    <t>GERENTE GENERAL</t>
  </si>
  <si>
    <t>TESORERA GENERAL</t>
  </si>
  <si>
    <t>AUX DE SERVICIOS GENERAES</t>
  </si>
  <si>
    <t>VIGILANTE</t>
  </si>
  <si>
    <t>MEZA MURILLO MARIA DEL CARMEN</t>
  </si>
  <si>
    <t>AUX. DE SERVICIOS GENERALES</t>
  </si>
  <si>
    <t>COSTO DE MOI MENSUAL</t>
  </si>
  <si>
    <t>DÍAS LABORADOS</t>
  </si>
  <si>
    <t>AUX. RODAMENTO</t>
  </si>
  <si>
    <t>AUX. TRANSPORTE</t>
  </si>
  <si>
    <t>EMBARGO Y OTROS</t>
  </si>
  <si>
    <t>NIVER DE RIESGO</t>
  </si>
  <si>
    <t>CESANTÍAS</t>
  </si>
  <si>
    <t>VACACIONES</t>
  </si>
  <si>
    <t xml:space="preserve">ARANGO MARTINEZ ERNEY </t>
  </si>
  <si>
    <t xml:space="preserve">BURGOS URIBE  WILLIAM ELEAZAR </t>
  </si>
  <si>
    <t xml:space="preserve">CARRIZOSA LEGUIZAMO FANNY </t>
  </si>
  <si>
    <t xml:space="preserve">DIAZ MANCIPE NANCY </t>
  </si>
  <si>
    <t xml:space="preserve">ESPINOSA NIÑO FELIPE </t>
  </si>
  <si>
    <t xml:space="preserve">FUENTES MONSALVE ADRIAN </t>
  </si>
  <si>
    <t xml:space="preserve">GOMEZ PORRAS PAULA ANDREA </t>
  </si>
  <si>
    <t xml:space="preserve">LOBO ARGUELLO CLAUDIA JUDITH </t>
  </si>
  <si>
    <t xml:space="preserve">PEREZ GOMEZ LIBARDO JUNIOR </t>
  </si>
  <si>
    <t>REY ROA LUISA FERNANDA</t>
  </si>
  <si>
    <t xml:space="preserve">VEGA BARRETO WILLINGTON MAGIVER </t>
  </si>
  <si>
    <t xml:space="preserve">VEGA PEREZ ANA FELICIA </t>
  </si>
  <si>
    <t xml:space="preserve">ZUÑIGA VILLABONA SERGIO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</si>
</sst>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0.0%"/>
    <numFmt numFmtId="166" formatCode="_(&quot;$&quot;\ * #,##0_);_(&quot;$&quot;\ * \(#,##0\);_(&quot;$&quot;\ * &quot;-&quot;??_);_(@_)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286">
    <xf numFmtId="0" fontId="0" fillId="0" borderId="0" xfId="0"/>
    <xf numFmtId="42" fontId="0" fillId="0" borderId="0" xfId="1" applyFont="1"/>
    <xf numFmtId="0" fontId="0" fillId="0" borderId="0" xfId="0" applyBorder="1"/>
    <xf numFmtId="42" fontId="2" fillId="0" borderId="1" xfId="1" applyFont="1" applyBorder="1"/>
    <xf numFmtId="42" fontId="0" fillId="0" borderId="0" xfId="1" applyFont="1" applyBorder="1"/>
    <xf numFmtId="42" fontId="2" fillId="0" borderId="1" xfId="0" applyNumberFormat="1" applyFont="1" applyBorder="1"/>
    <xf numFmtId="9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42" fontId="0" fillId="0" borderId="0" xfId="0" applyNumberFormat="1" applyBorder="1"/>
    <xf numFmtId="0" fontId="2" fillId="0" borderId="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42" fontId="0" fillId="4" borderId="0" xfId="1" applyFont="1" applyFill="1" applyBorder="1"/>
    <xf numFmtId="164" fontId="0" fillId="0" borderId="0" xfId="0" applyNumberFormat="1" applyBorder="1"/>
    <xf numFmtId="10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42" fontId="0" fillId="0" borderId="0" xfId="0" applyNumberFormat="1"/>
    <xf numFmtId="0" fontId="2" fillId="0" borderId="1" xfId="1" applyNumberFormat="1" applyFont="1" applyBorder="1" applyAlignment="1">
      <alignment horizontal="center"/>
    </xf>
    <xf numFmtId="42" fontId="2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2" fontId="0" fillId="0" borderId="8" xfId="1" applyFont="1" applyBorder="1"/>
    <xf numFmtId="42" fontId="0" fillId="0" borderId="9" xfId="1" applyFont="1" applyBorder="1"/>
    <xf numFmtId="42" fontId="0" fillId="0" borderId="10" xfId="1" applyFont="1" applyBorder="1"/>
    <xf numFmtId="42" fontId="0" fillId="0" borderId="8" xfId="0" applyNumberFormat="1" applyBorder="1"/>
    <xf numFmtId="42" fontId="0" fillId="0" borderId="9" xfId="0" applyNumberFormat="1" applyBorder="1"/>
    <xf numFmtId="42" fontId="0" fillId="0" borderId="10" xfId="0" applyNumberFormat="1" applyBorder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/>
    <xf numFmtId="10" fontId="0" fillId="0" borderId="8" xfId="3" applyNumberFormat="1" applyFont="1" applyBorder="1"/>
    <xf numFmtId="10" fontId="0" fillId="0" borderId="9" xfId="3" applyNumberFormat="1" applyFont="1" applyBorder="1"/>
    <xf numFmtId="10" fontId="0" fillId="0" borderId="10" xfId="3" applyNumberFormat="1" applyFont="1" applyBorder="1"/>
    <xf numFmtId="0" fontId="2" fillId="0" borderId="3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42" fontId="2" fillId="0" borderId="8" xfId="0" applyNumberFormat="1" applyFont="1" applyBorder="1"/>
    <xf numFmtId="42" fontId="2" fillId="0" borderId="9" xfId="0" applyNumberFormat="1" applyFont="1" applyBorder="1"/>
    <xf numFmtId="42" fontId="2" fillId="0" borderId="10" xfId="0" applyNumberFormat="1" applyFont="1" applyBorder="1"/>
    <xf numFmtId="0" fontId="2" fillId="8" borderId="3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2" fillId="10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8" borderId="3" xfId="0" applyFont="1" applyFill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4" borderId="3" xfId="0" applyNumberFormat="1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42" fontId="0" fillId="0" borderId="5" xfId="0" applyNumberFormat="1" applyBorder="1"/>
    <xf numFmtId="42" fontId="0" fillId="0" borderId="4" xfId="0" applyNumberFormat="1" applyBorder="1"/>
    <xf numFmtId="42" fontId="2" fillId="0" borderId="3" xfId="0" applyNumberFormat="1" applyFont="1" applyBorder="1"/>
    <xf numFmtId="42" fontId="0" fillId="0" borderId="0" xfId="0" applyNumberFormat="1" applyFont="1" applyBorder="1"/>
    <xf numFmtId="0" fontId="0" fillId="0" borderId="0" xfId="0" applyFont="1" applyBorder="1"/>
    <xf numFmtId="166" fontId="5" fillId="0" borderId="0" xfId="2" applyNumberFormat="1" applyFont="1" applyFill="1" applyBorder="1" applyAlignment="1" applyProtection="1">
      <alignment horizontal="center" vertical="center" wrapText="1"/>
    </xf>
    <xf numFmtId="42" fontId="0" fillId="0" borderId="8" xfId="1" applyFont="1" applyFill="1" applyBorder="1" applyProtection="1">
      <protection locked="0"/>
    </xf>
    <xf numFmtId="42" fontId="5" fillId="0" borderId="9" xfId="1" applyFont="1" applyFill="1" applyBorder="1" applyProtection="1">
      <protection locked="0"/>
    </xf>
    <xf numFmtId="42" fontId="5" fillId="0" borderId="9" xfId="1" applyFont="1" applyFill="1" applyBorder="1" applyAlignment="1" applyProtection="1">
      <alignment horizontal="center" vertical="center" wrapText="1"/>
    </xf>
    <xf numFmtId="42" fontId="0" fillId="0" borderId="9" xfId="1" applyFont="1" applyFill="1" applyBorder="1" applyProtection="1">
      <protection locked="0"/>
    </xf>
    <xf numFmtId="42" fontId="5" fillId="0" borderId="10" xfId="1" applyFont="1" applyFill="1" applyBorder="1" applyAlignment="1" applyProtection="1">
      <alignment vertical="center"/>
      <protection locked="0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42" fontId="0" fillId="0" borderId="8" xfId="1" applyFont="1" applyFill="1" applyBorder="1"/>
    <xf numFmtId="42" fontId="0" fillId="0" borderId="9" xfId="1" applyFont="1" applyFill="1" applyBorder="1"/>
    <xf numFmtId="42" fontId="0" fillId="0" borderId="10" xfId="1" applyFont="1" applyFill="1" applyBorder="1"/>
    <xf numFmtId="166" fontId="5" fillId="0" borderId="9" xfId="2" applyNumberFormat="1" applyFont="1" applyFill="1" applyBorder="1" applyAlignment="1" applyProtection="1">
      <alignment horizontal="center" vertical="center" wrapText="1"/>
    </xf>
    <xf numFmtId="166" fontId="0" fillId="0" borderId="8" xfId="0" applyNumberFormat="1" applyFont="1" applyFill="1" applyBorder="1"/>
    <xf numFmtId="166" fontId="0" fillId="0" borderId="9" xfId="0" applyNumberFormat="1" applyFont="1" applyFill="1" applyBorder="1"/>
    <xf numFmtId="166" fontId="0" fillId="0" borderId="10" xfId="0" applyNumberFormat="1" applyFont="1" applyFill="1" applyBorder="1"/>
    <xf numFmtId="42" fontId="0" fillId="0" borderId="8" xfId="0" applyNumberFormat="1" applyFont="1" applyBorder="1"/>
    <xf numFmtId="42" fontId="0" fillId="0" borderId="9" xfId="0" applyNumberFormat="1" applyFont="1" applyBorder="1"/>
    <xf numFmtId="42" fontId="0" fillId="0" borderId="10" xfId="0" applyNumberFormat="1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2" fillId="0" borderId="7" xfId="0" applyFont="1" applyBorder="1" applyAlignment="1">
      <alignment horizontal="center"/>
    </xf>
    <xf numFmtId="10" fontId="0" fillId="0" borderId="0" xfId="3" applyNumberFormat="1" applyFont="1"/>
    <xf numFmtId="42" fontId="0" fillId="0" borderId="8" xfId="0" applyNumberFormat="1" applyFont="1" applyBorder="1" applyAlignment="1">
      <alignment horizontal="center"/>
    </xf>
    <xf numFmtId="42" fontId="0" fillId="0" borderId="14" xfId="1" applyFont="1" applyBorder="1"/>
    <xf numFmtId="42" fontId="0" fillId="0" borderId="22" xfId="1" applyFont="1" applyBorder="1"/>
    <xf numFmtId="42" fontId="0" fillId="0" borderId="18" xfId="1" applyFont="1" applyBorder="1"/>
    <xf numFmtId="42" fontId="2" fillId="0" borderId="18" xfId="0" applyNumberFormat="1" applyFont="1" applyBorder="1"/>
    <xf numFmtId="42" fontId="0" fillId="0" borderId="9" xfId="0" applyNumberFormat="1" applyFont="1" applyBorder="1" applyAlignment="1">
      <alignment horizontal="center"/>
    </xf>
    <xf numFmtId="42" fontId="0" fillId="0" borderId="10" xfId="0" applyNumberFormat="1" applyFont="1" applyBorder="1" applyAlignment="1">
      <alignment horizontal="center"/>
    </xf>
    <xf numFmtId="42" fontId="0" fillId="12" borderId="8" xfId="1" applyFont="1" applyFill="1" applyBorder="1"/>
    <xf numFmtId="42" fontId="0" fillId="12" borderId="9" xfId="1" applyFont="1" applyFill="1" applyBorder="1"/>
    <xf numFmtId="42" fontId="0" fillId="12" borderId="10" xfId="1" applyFont="1" applyFill="1" applyBorder="1"/>
    <xf numFmtId="42" fontId="0" fillId="12" borderId="8" xfId="0" applyNumberFormat="1" applyFont="1" applyFill="1" applyBorder="1"/>
    <xf numFmtId="42" fontId="0" fillId="12" borderId="9" xfId="0" applyNumberFormat="1" applyFont="1" applyFill="1" applyBorder="1"/>
    <xf numFmtId="42" fontId="0" fillId="12" borderId="10" xfId="0" applyNumberFormat="1" applyFont="1" applyFill="1" applyBorder="1"/>
    <xf numFmtId="42" fontId="0" fillId="0" borderId="9" xfId="1" applyFont="1" applyFill="1" applyBorder="1" applyAlignment="1" applyProtection="1">
      <alignment horizontal="center" vertical="center" wrapText="1"/>
    </xf>
    <xf numFmtId="166" fontId="5" fillId="0" borderId="8" xfId="2" applyNumberFormat="1" applyFont="1" applyBorder="1" applyAlignment="1" applyProtection="1">
      <alignment horizontal="center" vertical="center" wrapText="1"/>
    </xf>
    <xf numFmtId="166" fontId="5" fillId="0" borderId="9" xfId="2" applyNumberFormat="1" applyFont="1" applyBorder="1" applyAlignment="1" applyProtection="1">
      <alignment horizontal="center" vertical="center" wrapText="1"/>
    </xf>
    <xf numFmtId="166" fontId="5" fillId="0" borderId="10" xfId="2" applyNumberFormat="1" applyFont="1" applyBorder="1" applyAlignment="1" applyProtection="1">
      <alignment horizontal="center" vertical="center" wrapText="1"/>
    </xf>
    <xf numFmtId="166" fontId="5" fillId="0" borderId="8" xfId="2" applyNumberFormat="1" applyFont="1" applyFill="1" applyBorder="1" applyAlignment="1" applyProtection="1">
      <alignment horizontal="center" vertical="center" wrapText="1"/>
    </xf>
    <xf numFmtId="166" fontId="5" fillId="0" borderId="10" xfId="2" applyNumberFormat="1" applyFont="1" applyFill="1" applyBorder="1" applyAlignment="1" applyProtection="1">
      <alignment horizontal="center" vertical="center" wrapText="1"/>
    </xf>
    <xf numFmtId="166" fontId="0" fillId="0" borderId="0" xfId="0" applyNumberFormat="1" applyFont="1" applyFill="1" applyBorder="1"/>
    <xf numFmtId="42" fontId="0" fillId="0" borderId="0" xfId="0" applyNumberFormat="1" applyFont="1" applyFill="1" applyBorder="1"/>
    <xf numFmtId="42" fontId="0" fillId="0" borderId="14" xfId="1" applyFont="1" applyFill="1" applyBorder="1"/>
    <xf numFmtId="42" fontId="0" fillId="0" borderId="22" xfId="1" applyFont="1" applyFill="1" applyBorder="1"/>
    <xf numFmtId="42" fontId="0" fillId="0" borderId="18" xfId="1" applyFont="1" applyFill="1" applyBorder="1"/>
    <xf numFmtId="0" fontId="0" fillId="0" borderId="0" xfId="0" applyFill="1" applyBorder="1"/>
    <xf numFmtId="42" fontId="0" fillId="0" borderId="4" xfId="1" applyFont="1" applyBorder="1"/>
    <xf numFmtId="42" fontId="0" fillId="0" borderId="5" xfId="1" applyFont="1" applyBorder="1"/>
    <xf numFmtId="42" fontId="0" fillId="0" borderId="7" xfId="1" applyFont="1" applyBorder="1"/>
    <xf numFmtId="42" fontId="0" fillId="0" borderId="6" xfId="1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42" fontId="5" fillId="0" borderId="0" xfId="1" applyFont="1" applyFill="1" applyBorder="1" applyAlignment="1" applyProtection="1">
      <alignment vertical="center"/>
      <protection locked="0"/>
    </xf>
    <xf numFmtId="0" fontId="0" fillId="0" borderId="0" xfId="0" applyFont="1" applyFill="1" applyBorder="1"/>
    <xf numFmtId="42" fontId="0" fillId="0" borderId="0" xfId="1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9" xfId="0" applyBorder="1" applyAlignment="1"/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42" fontId="2" fillId="0" borderId="19" xfId="1" applyFont="1" applyBorder="1"/>
    <xf numFmtId="0" fontId="2" fillId="0" borderId="19" xfId="0" applyFont="1" applyBorder="1" applyAlignment="1">
      <alignment horizontal="center"/>
    </xf>
    <xf numFmtId="0" fontId="2" fillId="0" borderId="19" xfId="0" applyFont="1" applyBorder="1"/>
    <xf numFmtId="42" fontId="2" fillId="0" borderId="19" xfId="0" applyNumberFormat="1" applyFont="1" applyBorder="1"/>
    <xf numFmtId="42" fontId="2" fillId="0" borderId="27" xfId="0" applyNumberFormat="1" applyFont="1" applyBorder="1"/>
    <xf numFmtId="42" fontId="2" fillId="0" borderId="0" xfId="0" applyNumberFormat="1" applyFont="1" applyFill="1" applyBorder="1"/>
    <xf numFmtId="42" fontId="2" fillId="0" borderId="25" xfId="0" applyNumberFormat="1" applyFont="1" applyBorder="1"/>
    <xf numFmtId="42" fontId="2" fillId="0" borderId="20" xfId="0" applyNumberFormat="1" applyFont="1" applyBorder="1"/>
    <xf numFmtId="42" fontId="2" fillId="0" borderId="26" xfId="0" applyNumberFormat="1" applyFont="1" applyBorder="1"/>
    <xf numFmtId="42" fontId="2" fillId="0" borderId="0" xfId="0" applyNumberFormat="1" applyFont="1" applyBorder="1"/>
    <xf numFmtId="42" fontId="2" fillId="0" borderId="20" xfId="1" applyFont="1" applyBorder="1"/>
    <xf numFmtId="166" fontId="2" fillId="0" borderId="3" xfId="0" applyNumberFormat="1" applyFont="1" applyBorder="1"/>
    <xf numFmtId="42" fontId="0" fillId="0" borderId="28" xfId="1" applyFont="1" applyBorder="1" applyAlignment="1">
      <alignment horizontal="center"/>
    </xf>
    <xf numFmtId="42" fontId="0" fillId="0" borderId="3" xfId="1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2" fillId="14" borderId="3" xfId="0" applyFont="1" applyFill="1" applyBorder="1"/>
    <xf numFmtId="9" fontId="0" fillId="0" borderId="0" xfId="3" applyFont="1"/>
    <xf numFmtId="9" fontId="0" fillId="0" borderId="3" xfId="3" applyFont="1" applyBorder="1"/>
    <xf numFmtId="9" fontId="0" fillId="0" borderId="3" xfId="3" applyFont="1" applyBorder="1" applyAlignment="1">
      <alignment horizontal="center"/>
    </xf>
    <xf numFmtId="165" fontId="0" fillId="0" borderId="12" xfId="3" applyNumberFormat="1" applyFont="1" applyBorder="1" applyAlignment="1">
      <alignment horizontal="center"/>
    </xf>
    <xf numFmtId="42" fontId="0" fillId="0" borderId="24" xfId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9" xfId="0" applyNumberFormat="1" applyFont="1" applyBorder="1" applyAlignment="1">
      <alignment horizont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/>
    <xf numFmtId="0" fontId="2" fillId="8" borderId="8" xfId="0" applyFont="1" applyFill="1" applyBorder="1" applyAlignment="1">
      <alignment horizontal="center" vertical="center" wrapText="1"/>
    </xf>
    <xf numFmtId="0" fontId="6" fillId="0" borderId="0" xfId="4" applyFont="1" applyFill="1" applyBorder="1"/>
    <xf numFmtId="0" fontId="2" fillId="10" borderId="8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 wrapText="1"/>
    </xf>
    <xf numFmtId="0" fontId="7" fillId="0" borderId="14" xfId="4" applyFont="1" applyFill="1" applyBorder="1"/>
    <xf numFmtId="0" fontId="7" fillId="0" borderId="22" xfId="4" applyFont="1" applyFill="1" applyBorder="1"/>
    <xf numFmtId="0" fontId="7" fillId="0" borderId="22" xfId="4" applyFont="1" applyFill="1" applyBorder="1" applyAlignment="1">
      <alignment vertical="center"/>
    </xf>
    <xf numFmtId="0" fontId="7" fillId="0" borderId="18" xfId="4" applyFont="1" applyFill="1" applyBorder="1"/>
    <xf numFmtId="42" fontId="0" fillId="0" borderId="14" xfId="1" applyFont="1" applyBorder="1" applyAlignment="1">
      <alignment horizontal="center"/>
    </xf>
    <xf numFmtId="42" fontId="0" fillId="0" borderId="22" xfId="1" applyFont="1" applyBorder="1" applyAlignment="1">
      <alignment horizontal="center"/>
    </xf>
    <xf numFmtId="42" fontId="0" fillId="0" borderId="18" xfId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42" fontId="0" fillId="0" borderId="14" xfId="0" applyNumberFormat="1" applyBorder="1"/>
    <xf numFmtId="42" fontId="0" fillId="0" borderId="22" xfId="0" applyNumberFormat="1" applyBorder="1"/>
    <xf numFmtId="42" fontId="0" fillId="0" borderId="18" xfId="0" applyNumberFormat="1" applyBorder="1"/>
    <xf numFmtId="0" fontId="2" fillId="0" borderId="1" xfId="0" applyNumberFormat="1" applyFont="1" applyBorder="1" applyAlignment="1">
      <alignment horizontal="center"/>
    </xf>
    <xf numFmtId="42" fontId="0" fillId="0" borderId="18" xfId="0" applyNumberFormat="1" applyFill="1" applyBorder="1"/>
    <xf numFmtId="10" fontId="0" fillId="0" borderId="14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2" fillId="0" borderId="14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6" fontId="2" fillId="0" borderId="8" xfId="0" applyNumberFormat="1" applyFont="1" applyBorder="1"/>
    <xf numFmtId="166" fontId="2" fillId="0" borderId="9" xfId="0" applyNumberFormat="1" applyFont="1" applyBorder="1"/>
    <xf numFmtId="166" fontId="2" fillId="0" borderId="10" xfId="0" applyNumberFormat="1" applyFont="1" applyBorder="1"/>
    <xf numFmtId="0" fontId="0" fillId="0" borderId="10" xfId="0" applyFill="1" applyBorder="1" applyAlignment="1">
      <alignment horizontal="center"/>
    </xf>
    <xf numFmtId="42" fontId="0" fillId="0" borderId="14" xfId="0" applyNumberFormat="1" applyFont="1" applyBorder="1" applyAlignment="1">
      <alignment horizontal="center"/>
    </xf>
    <xf numFmtId="42" fontId="0" fillId="0" borderId="22" xfId="0" applyNumberFormat="1" applyFont="1" applyBorder="1" applyAlignment="1">
      <alignment horizontal="center"/>
    </xf>
    <xf numFmtId="42" fontId="0" fillId="0" borderId="18" xfId="0" applyNumberFormat="1" applyFont="1" applyBorder="1" applyAlignment="1">
      <alignment horizontal="center"/>
    </xf>
    <xf numFmtId="0" fontId="2" fillId="11" borderId="21" xfId="0" applyFont="1" applyFill="1" applyBorder="1" applyAlignment="1">
      <alignment horizontal="center" vertical="center" wrapText="1"/>
    </xf>
    <xf numFmtId="0" fontId="2" fillId="11" borderId="2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</cellXfs>
  <cellStyles count="5">
    <cellStyle name="Moneda" xfId="2" builtinId="4"/>
    <cellStyle name="Moneda [0]" xfId="1" builtinId="7"/>
    <cellStyle name="Normal" xfId="0" builtinId="0"/>
    <cellStyle name="Normal 2" xfId="4"/>
    <cellStyle name="Porcentaje" xfId="3" builtinId="5"/>
  </cellStyles>
  <dxfs count="0"/>
  <tableStyles count="0" defaultTableStyle="TableStyleMedium2" defaultPivotStyle="PivotStyleLight16"/>
  <colors>
    <mruColors>
      <color rgb="FFCCFF99"/>
      <color rgb="FFCC99FF"/>
      <color rgb="FFFF99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gresos-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rateo Centros de costos"/>
      <sheetName val="Ingresos por sucursales"/>
    </sheetNames>
    <sheetDataSet>
      <sheetData sheetId="0">
        <row r="5">
          <cell r="I5">
            <v>0.21207145708822539</v>
          </cell>
        </row>
        <row r="6">
          <cell r="I6">
            <v>0.70326046407621756</v>
          </cell>
        </row>
        <row r="7">
          <cell r="I7">
            <v>8.4668078835557062E-2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80" zoomScaleNormal="80" workbookViewId="0">
      <pane xSplit="1" topLeftCell="M1" activePane="topRight" state="frozen"/>
      <selection pane="topRight" activeCell="G31" sqref="G31"/>
    </sheetView>
  </sheetViews>
  <sheetFormatPr baseColWidth="10" defaultRowHeight="15" x14ac:dyDescent="0.25"/>
  <cols>
    <col min="1" max="1" width="39.42578125" customWidth="1"/>
    <col min="2" max="2" width="48.42578125" customWidth="1"/>
    <col min="3" max="3" width="12.28515625" customWidth="1"/>
    <col min="4" max="4" width="13.42578125" customWidth="1"/>
    <col min="7" max="7" width="12.85546875" customWidth="1"/>
    <col min="8" max="8" width="14.5703125" customWidth="1"/>
    <col min="9" max="9" width="12.42578125" customWidth="1"/>
    <col min="10" max="10" width="13.140625" customWidth="1"/>
    <col min="11" max="11" width="1.28515625" customWidth="1"/>
    <col min="12" max="12" width="13.140625" customWidth="1"/>
    <col min="13" max="13" width="1.28515625" customWidth="1"/>
    <col min="16" max="16" width="11.42578125" customWidth="1"/>
    <col min="17" max="17" width="12" customWidth="1"/>
    <col min="20" max="20" width="1.140625" customWidth="1"/>
    <col min="21" max="21" width="13.7109375" customWidth="1"/>
    <col min="22" max="22" width="1.140625" customWidth="1"/>
    <col min="23" max="23" width="13.28515625" customWidth="1"/>
    <col min="25" max="25" width="13" customWidth="1"/>
    <col min="26" max="26" width="1.140625" customWidth="1"/>
    <col min="31" max="31" width="1.28515625" customWidth="1"/>
    <col min="32" max="32" width="13" customWidth="1"/>
  </cols>
  <sheetData>
    <row r="1" spans="1:32" ht="9" customHeight="1" thickBot="1" x14ac:dyDescent="0.3"/>
    <row r="2" spans="1:32" ht="18" customHeight="1" thickBot="1" x14ac:dyDescent="0.3">
      <c r="A2" s="224" t="s">
        <v>0</v>
      </c>
      <c r="B2" s="224" t="s">
        <v>1</v>
      </c>
      <c r="C2" s="222" t="s">
        <v>5</v>
      </c>
      <c r="D2" s="209" t="s">
        <v>2</v>
      </c>
      <c r="E2" s="226" t="s">
        <v>18</v>
      </c>
      <c r="F2" s="227"/>
      <c r="G2" s="228" t="s">
        <v>20</v>
      </c>
      <c r="H2" s="230" t="s">
        <v>19</v>
      </c>
      <c r="I2" s="230" t="s">
        <v>22</v>
      </c>
      <c r="J2" s="231" t="s">
        <v>24</v>
      </c>
      <c r="K2" s="208"/>
      <c r="L2" s="233" t="s">
        <v>28</v>
      </c>
      <c r="M2" s="11"/>
      <c r="N2" s="203" t="s">
        <v>26</v>
      </c>
      <c r="O2" s="204"/>
      <c r="P2" s="204"/>
      <c r="Q2" s="205"/>
      <c r="R2" s="235" t="s">
        <v>33</v>
      </c>
      <c r="S2" s="217" t="s">
        <v>21</v>
      </c>
      <c r="T2" s="11"/>
      <c r="U2" s="215" t="s">
        <v>44</v>
      </c>
      <c r="V2" s="12"/>
      <c r="W2" s="206" t="s">
        <v>34</v>
      </c>
      <c r="X2" s="206" t="s">
        <v>35</v>
      </c>
      <c r="Y2" s="206" t="s">
        <v>36</v>
      </c>
      <c r="Z2" s="11"/>
      <c r="AA2" s="219" t="s">
        <v>40</v>
      </c>
      <c r="AB2" s="220"/>
      <c r="AC2" s="220"/>
      <c r="AD2" s="221"/>
      <c r="AE2" s="8"/>
      <c r="AF2" s="200" t="s">
        <v>41</v>
      </c>
    </row>
    <row r="3" spans="1:32" ht="30" customHeight="1" thickBot="1" x14ac:dyDescent="0.3">
      <c r="A3" s="225"/>
      <c r="B3" s="225"/>
      <c r="C3" s="223"/>
      <c r="D3" s="210"/>
      <c r="E3" s="166" t="s">
        <v>3</v>
      </c>
      <c r="F3" s="167" t="s">
        <v>4</v>
      </c>
      <c r="G3" s="229"/>
      <c r="H3" s="210"/>
      <c r="I3" s="210"/>
      <c r="J3" s="232"/>
      <c r="K3" s="208"/>
      <c r="L3" s="234"/>
      <c r="M3" s="11"/>
      <c r="N3" s="163" t="s">
        <v>29</v>
      </c>
      <c r="O3" s="45" t="s">
        <v>30</v>
      </c>
      <c r="P3" s="163" t="s">
        <v>31</v>
      </c>
      <c r="Q3" s="163" t="s">
        <v>32</v>
      </c>
      <c r="R3" s="236"/>
      <c r="S3" s="218"/>
      <c r="T3" s="11"/>
      <c r="U3" s="216"/>
      <c r="V3" s="12"/>
      <c r="W3" s="207"/>
      <c r="X3" s="207"/>
      <c r="Y3" s="207"/>
      <c r="Z3" s="11"/>
      <c r="AA3" s="165" t="s">
        <v>92</v>
      </c>
      <c r="AB3" s="165" t="s">
        <v>37</v>
      </c>
      <c r="AC3" s="165" t="s">
        <v>38</v>
      </c>
      <c r="AD3" s="165" t="s">
        <v>39</v>
      </c>
      <c r="AE3" s="16"/>
      <c r="AF3" s="201"/>
    </row>
    <row r="4" spans="1:32" ht="20.25" customHeight="1" x14ac:dyDescent="0.25">
      <c r="A4" s="168" t="s">
        <v>94</v>
      </c>
      <c r="B4" s="46" t="s">
        <v>47</v>
      </c>
      <c r="C4" s="172">
        <v>993816</v>
      </c>
      <c r="D4" s="175">
        <v>30</v>
      </c>
      <c r="E4" s="175"/>
      <c r="F4" s="96">
        <f>+(C4/240)*E4*1.25</f>
        <v>0</v>
      </c>
      <c r="G4" s="96">
        <f t="shared" ref="G4:G14" si="0">(C4/30)*30</f>
        <v>993815.99999999988</v>
      </c>
      <c r="H4" s="96">
        <v>230400</v>
      </c>
      <c r="I4" s="178">
        <f t="shared" ref="I4:I16" si="1">$F$23</f>
        <v>77700</v>
      </c>
      <c r="J4" s="41">
        <f t="shared" ref="J4:J14" si="2">F4+G4+H4+I4</f>
        <v>1301916</v>
      </c>
      <c r="K4" s="10"/>
      <c r="L4" s="27">
        <f t="shared" ref="L4:L14" si="3">IF(D4=30, IF((G4+F4)&lt;C4,C4,G4+F4),G4+F4)</f>
        <v>993815.99999999988</v>
      </c>
      <c r="M4" s="10"/>
      <c r="N4" s="178">
        <f t="shared" ref="N4:N16" si="4">ROUND(L4*$N$24,0)</f>
        <v>39753</v>
      </c>
      <c r="O4" s="96">
        <v>0</v>
      </c>
      <c r="P4" s="178">
        <f t="shared" ref="P4:P16" si="5">L4*$Q$24</f>
        <v>39752.639999999999</v>
      </c>
      <c r="Q4" s="178">
        <f t="shared" ref="Q4:Q16" si="6">ROUND(L4*$R$24,0)</f>
        <v>119258</v>
      </c>
      <c r="R4" s="96">
        <v>103089</v>
      </c>
      <c r="S4" s="24">
        <f t="shared" ref="S4:S14" si="7">SUM(N4+P4+R4)</f>
        <v>182594.64</v>
      </c>
      <c r="T4" s="4"/>
      <c r="U4" s="102">
        <f t="shared" ref="U4:U14" si="8">J4-S4</f>
        <v>1119321.3599999999</v>
      </c>
      <c r="V4" s="13"/>
      <c r="W4" s="96">
        <f t="shared" ref="W4:W16" si="9">ROUND(L4*$W$23,0)</f>
        <v>39753</v>
      </c>
      <c r="X4" s="183">
        <v>5.2199999999999998E-3</v>
      </c>
      <c r="Y4" s="49">
        <f>X4*L4</f>
        <v>5187.7195199999996</v>
      </c>
      <c r="Z4" s="14"/>
      <c r="AA4" s="96">
        <f t="shared" ref="AA4:AA16" si="10">(F4+G4+I4)*$AA$23</f>
        <v>89257.282800000001</v>
      </c>
      <c r="AB4" s="96">
        <f t="shared" ref="AB4:AB16" si="11">(F4+G4+I4)*$AB$23</f>
        <v>89257.282800000001</v>
      </c>
      <c r="AC4" s="96">
        <f t="shared" ref="AC4:AC16" si="12">(F4+G4+I4)*$AC$23</f>
        <v>10715.16</v>
      </c>
      <c r="AD4" s="24">
        <f t="shared" ref="AD4:AD16" si="13">(F4+G4)*$AD$23</f>
        <v>41442.127199999995</v>
      </c>
      <c r="AE4" s="4"/>
      <c r="AF4" s="41">
        <f>J4+O4+Q4+W4+Y4+AA4+AB4+AC4+AD4</f>
        <v>1696786.5723199998</v>
      </c>
    </row>
    <row r="5" spans="1:32" x14ac:dyDescent="0.25">
      <c r="A5" s="169" t="s">
        <v>95</v>
      </c>
      <c r="B5" s="47" t="s">
        <v>7</v>
      </c>
      <c r="C5" s="173">
        <v>958078</v>
      </c>
      <c r="D5" s="176">
        <v>30</v>
      </c>
      <c r="E5" s="176"/>
      <c r="F5" s="97">
        <f>+(C5/240)*E5*1.25</f>
        <v>0</v>
      </c>
      <c r="G5" s="97">
        <f t="shared" si="0"/>
        <v>958078</v>
      </c>
      <c r="H5" s="97">
        <v>435200</v>
      </c>
      <c r="I5" s="179">
        <f t="shared" si="1"/>
        <v>77700</v>
      </c>
      <c r="J5" s="42">
        <f t="shared" si="2"/>
        <v>1470978</v>
      </c>
      <c r="K5" s="10"/>
      <c r="L5" s="28">
        <f t="shared" si="3"/>
        <v>958078</v>
      </c>
      <c r="M5" s="10"/>
      <c r="N5" s="179">
        <f t="shared" si="4"/>
        <v>38323</v>
      </c>
      <c r="O5" s="97">
        <v>0</v>
      </c>
      <c r="P5" s="179">
        <f t="shared" si="5"/>
        <v>38323.120000000003</v>
      </c>
      <c r="Q5" s="179">
        <f t="shared" si="6"/>
        <v>114969</v>
      </c>
      <c r="R5" s="97">
        <v>0</v>
      </c>
      <c r="S5" s="25">
        <f t="shared" si="7"/>
        <v>76646.12</v>
      </c>
      <c r="T5" s="4"/>
      <c r="U5" s="103">
        <f t="shared" si="8"/>
        <v>1394331.88</v>
      </c>
      <c r="V5" s="13"/>
      <c r="W5" s="97">
        <f t="shared" si="9"/>
        <v>38323</v>
      </c>
      <c r="X5" s="184">
        <v>5.2199999999999998E-3</v>
      </c>
      <c r="Y5" s="50">
        <f t="shared" ref="Y5:Y15" si="14">X5*L5</f>
        <v>5001.16716</v>
      </c>
      <c r="Z5" s="14"/>
      <c r="AA5" s="97">
        <f t="shared" si="10"/>
        <v>86280.307400000005</v>
      </c>
      <c r="AB5" s="97">
        <f t="shared" si="11"/>
        <v>86280.307400000005</v>
      </c>
      <c r="AC5" s="97">
        <f t="shared" si="12"/>
        <v>10357.780000000001</v>
      </c>
      <c r="AD5" s="25">
        <f t="shared" si="13"/>
        <v>39951.852599999998</v>
      </c>
      <c r="AE5" s="4"/>
      <c r="AF5" s="42">
        <f t="shared" ref="AF5:AF15" si="15">J5+O5+Q5+W5+Y5+AA5+AB5+AC5+AD5</f>
        <v>1852141.4145600002</v>
      </c>
    </row>
    <row r="6" spans="1:32" x14ac:dyDescent="0.25">
      <c r="A6" s="169" t="s">
        <v>96</v>
      </c>
      <c r="B6" s="47" t="s">
        <v>15</v>
      </c>
      <c r="C6" s="173">
        <v>689455</v>
      </c>
      <c r="D6" s="176">
        <v>30</v>
      </c>
      <c r="E6" s="176" t="s">
        <v>45</v>
      </c>
      <c r="F6" s="97">
        <v>36196</v>
      </c>
      <c r="G6" s="97">
        <f t="shared" si="0"/>
        <v>689455</v>
      </c>
      <c r="H6" s="97">
        <v>113804</v>
      </c>
      <c r="I6" s="179">
        <f t="shared" si="1"/>
        <v>77700</v>
      </c>
      <c r="J6" s="42">
        <f t="shared" si="2"/>
        <v>917155</v>
      </c>
      <c r="K6" s="10"/>
      <c r="L6" s="28">
        <f t="shared" si="3"/>
        <v>725651</v>
      </c>
      <c r="M6" s="10"/>
      <c r="N6" s="179">
        <f t="shared" si="4"/>
        <v>29026</v>
      </c>
      <c r="O6" s="97">
        <v>0</v>
      </c>
      <c r="P6" s="179">
        <f t="shared" si="5"/>
        <v>29026.04</v>
      </c>
      <c r="Q6" s="179">
        <f t="shared" si="6"/>
        <v>87078</v>
      </c>
      <c r="R6" s="97">
        <v>0</v>
      </c>
      <c r="S6" s="25">
        <f t="shared" si="7"/>
        <v>58052.04</v>
      </c>
      <c r="T6" s="4"/>
      <c r="U6" s="103">
        <f t="shared" si="8"/>
        <v>859102.96</v>
      </c>
      <c r="V6" s="13"/>
      <c r="W6" s="97">
        <f t="shared" si="9"/>
        <v>29026</v>
      </c>
      <c r="X6" s="184">
        <v>5.2199999999999998E-3</v>
      </c>
      <c r="Y6" s="50">
        <f t="shared" ref="Y6:Y14" si="16">X6*L6</f>
        <v>3787.89822</v>
      </c>
      <c r="Z6" s="14"/>
      <c r="AA6" s="97">
        <f t="shared" si="10"/>
        <v>66919.138300000006</v>
      </c>
      <c r="AB6" s="97">
        <f t="shared" si="11"/>
        <v>66919.138300000006</v>
      </c>
      <c r="AC6" s="97">
        <f t="shared" si="12"/>
        <v>8033.51</v>
      </c>
      <c r="AD6" s="25">
        <f t="shared" si="13"/>
        <v>30259.646700000001</v>
      </c>
      <c r="AE6" s="4"/>
      <c r="AF6" s="42">
        <f t="shared" ref="AF6:AF14" si="17">J6+O6+Q6+W6+Y6+AA6+AB6+AC6+AD6</f>
        <v>1209178.33152</v>
      </c>
    </row>
    <row r="7" spans="1:32" x14ac:dyDescent="0.25">
      <c r="A7" s="169" t="s">
        <v>97</v>
      </c>
      <c r="B7" s="47" t="s">
        <v>16</v>
      </c>
      <c r="C7" s="173">
        <v>689455</v>
      </c>
      <c r="D7" s="176">
        <v>30</v>
      </c>
      <c r="E7" s="176" t="s">
        <v>45</v>
      </c>
      <c r="F7" s="97">
        <v>36196</v>
      </c>
      <c r="G7" s="97">
        <f t="shared" si="0"/>
        <v>689455</v>
      </c>
      <c r="H7" s="97">
        <v>113804</v>
      </c>
      <c r="I7" s="179">
        <f t="shared" si="1"/>
        <v>77700</v>
      </c>
      <c r="J7" s="42">
        <f t="shared" si="2"/>
        <v>917155</v>
      </c>
      <c r="K7" s="10"/>
      <c r="L7" s="28">
        <f t="shared" si="3"/>
        <v>725651</v>
      </c>
      <c r="M7" s="10"/>
      <c r="N7" s="179">
        <f t="shared" si="4"/>
        <v>29026</v>
      </c>
      <c r="O7" s="97">
        <v>0</v>
      </c>
      <c r="P7" s="179">
        <f t="shared" si="5"/>
        <v>29026.04</v>
      </c>
      <c r="Q7" s="179">
        <f t="shared" si="6"/>
        <v>87078</v>
      </c>
      <c r="R7" s="97">
        <v>0</v>
      </c>
      <c r="S7" s="25">
        <f t="shared" si="7"/>
        <v>58052.04</v>
      </c>
      <c r="T7" s="4"/>
      <c r="U7" s="103">
        <f t="shared" si="8"/>
        <v>859102.96</v>
      </c>
      <c r="V7" s="13"/>
      <c r="W7" s="97">
        <f t="shared" si="9"/>
        <v>29026</v>
      </c>
      <c r="X7" s="184">
        <v>5.2199999999999998E-3</v>
      </c>
      <c r="Y7" s="50">
        <f t="shared" si="16"/>
        <v>3787.89822</v>
      </c>
      <c r="Z7" s="14"/>
      <c r="AA7" s="97">
        <f t="shared" si="10"/>
        <v>66919.138300000006</v>
      </c>
      <c r="AB7" s="97">
        <f t="shared" si="11"/>
        <v>66919.138300000006</v>
      </c>
      <c r="AC7" s="97">
        <f t="shared" si="12"/>
        <v>8033.51</v>
      </c>
      <c r="AD7" s="25">
        <f t="shared" si="13"/>
        <v>30259.646700000001</v>
      </c>
      <c r="AE7" s="4"/>
      <c r="AF7" s="42">
        <f t="shared" si="17"/>
        <v>1209178.33152</v>
      </c>
    </row>
    <row r="8" spans="1:32" x14ac:dyDescent="0.25">
      <c r="A8" s="169" t="s">
        <v>98</v>
      </c>
      <c r="B8" s="47" t="s">
        <v>17</v>
      </c>
      <c r="C8" s="173">
        <v>689455</v>
      </c>
      <c r="D8" s="176">
        <v>30</v>
      </c>
      <c r="E8" s="176"/>
      <c r="F8" s="97">
        <f>+(C8/240)*E8*1.25</f>
        <v>0</v>
      </c>
      <c r="G8" s="97">
        <f t="shared" si="0"/>
        <v>689455</v>
      </c>
      <c r="H8" s="97">
        <v>35000</v>
      </c>
      <c r="I8" s="179">
        <f t="shared" si="1"/>
        <v>77700</v>
      </c>
      <c r="J8" s="42">
        <f t="shared" si="2"/>
        <v>802155</v>
      </c>
      <c r="K8" s="10"/>
      <c r="L8" s="28">
        <f t="shared" si="3"/>
        <v>689455</v>
      </c>
      <c r="M8" s="10"/>
      <c r="N8" s="179">
        <f t="shared" si="4"/>
        <v>27578</v>
      </c>
      <c r="O8" s="97">
        <v>0</v>
      </c>
      <c r="P8" s="179">
        <f t="shared" si="5"/>
        <v>27578.2</v>
      </c>
      <c r="Q8" s="179">
        <f t="shared" si="6"/>
        <v>82735</v>
      </c>
      <c r="R8" s="97">
        <v>0</v>
      </c>
      <c r="S8" s="25">
        <f t="shared" si="7"/>
        <v>55156.2</v>
      </c>
      <c r="T8" s="4"/>
      <c r="U8" s="103">
        <f t="shared" si="8"/>
        <v>746998.8</v>
      </c>
      <c r="V8" s="13"/>
      <c r="W8" s="97">
        <f t="shared" si="9"/>
        <v>27578</v>
      </c>
      <c r="X8" s="184">
        <v>4.3499999999999997E-2</v>
      </c>
      <c r="Y8" s="50">
        <f t="shared" si="16"/>
        <v>29991.2925</v>
      </c>
      <c r="Z8" s="14"/>
      <c r="AA8" s="97">
        <f t="shared" si="10"/>
        <v>63904.011500000001</v>
      </c>
      <c r="AB8" s="97">
        <f t="shared" si="11"/>
        <v>63904.011500000001</v>
      </c>
      <c r="AC8" s="97">
        <f t="shared" si="12"/>
        <v>7671.55</v>
      </c>
      <c r="AD8" s="25">
        <f t="shared" si="13"/>
        <v>28750.273499999999</v>
      </c>
      <c r="AE8" s="4"/>
      <c r="AF8" s="42">
        <f t="shared" si="17"/>
        <v>1106689.139</v>
      </c>
    </row>
    <row r="9" spans="1:32" x14ac:dyDescent="0.25">
      <c r="A9" s="170" t="s">
        <v>99</v>
      </c>
      <c r="B9" s="47" t="s">
        <v>14</v>
      </c>
      <c r="C9" s="173">
        <v>689455</v>
      </c>
      <c r="D9" s="176">
        <v>30</v>
      </c>
      <c r="E9" s="176">
        <v>27</v>
      </c>
      <c r="F9" s="97">
        <v>96955</v>
      </c>
      <c r="G9" s="97">
        <f t="shared" si="0"/>
        <v>689455</v>
      </c>
      <c r="H9" s="97">
        <v>0</v>
      </c>
      <c r="I9" s="179">
        <f t="shared" si="1"/>
        <v>77700</v>
      </c>
      <c r="J9" s="42">
        <f t="shared" si="2"/>
        <v>864110</v>
      </c>
      <c r="K9" s="10"/>
      <c r="L9" s="28">
        <f t="shared" si="3"/>
        <v>786410</v>
      </c>
      <c r="M9" s="10"/>
      <c r="N9" s="179">
        <f t="shared" si="4"/>
        <v>31456</v>
      </c>
      <c r="O9" s="97">
        <v>0</v>
      </c>
      <c r="P9" s="179">
        <f t="shared" si="5"/>
        <v>31456.400000000001</v>
      </c>
      <c r="Q9" s="179">
        <f t="shared" si="6"/>
        <v>94369</v>
      </c>
      <c r="R9" s="97">
        <v>0</v>
      </c>
      <c r="S9" s="25">
        <f t="shared" si="7"/>
        <v>62912.4</v>
      </c>
      <c r="T9" s="4"/>
      <c r="U9" s="103">
        <f t="shared" si="8"/>
        <v>801197.6</v>
      </c>
      <c r="V9" s="13"/>
      <c r="W9" s="97">
        <f t="shared" si="9"/>
        <v>31456</v>
      </c>
      <c r="X9" s="184">
        <v>5.2199999999999998E-3</v>
      </c>
      <c r="Y9" s="50">
        <f t="shared" si="16"/>
        <v>4105.0601999999999</v>
      </c>
      <c r="Z9" s="14"/>
      <c r="AA9" s="97">
        <f t="shared" si="10"/>
        <v>71980.362999999998</v>
      </c>
      <c r="AB9" s="97">
        <f t="shared" si="11"/>
        <v>71980.362999999998</v>
      </c>
      <c r="AC9" s="97">
        <f t="shared" si="12"/>
        <v>8641.1</v>
      </c>
      <c r="AD9" s="25">
        <f t="shared" si="13"/>
        <v>32793.296999999999</v>
      </c>
      <c r="AE9" s="4"/>
      <c r="AF9" s="42">
        <f t="shared" si="17"/>
        <v>1179435.1831999999</v>
      </c>
    </row>
    <row r="10" spans="1:32" x14ac:dyDescent="0.25">
      <c r="A10" s="169" t="s">
        <v>100</v>
      </c>
      <c r="B10" s="47" t="s">
        <v>10</v>
      </c>
      <c r="C10" s="173">
        <v>689455</v>
      </c>
      <c r="D10" s="176">
        <v>30</v>
      </c>
      <c r="E10" s="176">
        <v>48</v>
      </c>
      <c r="F10" s="97">
        <v>172364</v>
      </c>
      <c r="G10" s="97">
        <f t="shared" si="0"/>
        <v>689455</v>
      </c>
      <c r="H10" s="97">
        <v>0</v>
      </c>
      <c r="I10" s="179">
        <f t="shared" si="1"/>
        <v>77700</v>
      </c>
      <c r="J10" s="42">
        <f t="shared" si="2"/>
        <v>939519</v>
      </c>
      <c r="K10" s="10"/>
      <c r="L10" s="28">
        <f t="shared" si="3"/>
        <v>861819</v>
      </c>
      <c r="M10" s="10"/>
      <c r="N10" s="179">
        <f t="shared" si="4"/>
        <v>34473</v>
      </c>
      <c r="O10" s="97">
        <v>0</v>
      </c>
      <c r="P10" s="179">
        <f t="shared" si="5"/>
        <v>34472.76</v>
      </c>
      <c r="Q10" s="179">
        <f t="shared" si="6"/>
        <v>103418</v>
      </c>
      <c r="R10" s="97">
        <v>0</v>
      </c>
      <c r="S10" s="25">
        <f t="shared" si="7"/>
        <v>68945.760000000009</v>
      </c>
      <c r="T10" s="4"/>
      <c r="U10" s="103">
        <f t="shared" si="8"/>
        <v>870573.24</v>
      </c>
      <c r="V10" s="13"/>
      <c r="W10" s="97">
        <f t="shared" si="9"/>
        <v>34473</v>
      </c>
      <c r="X10" s="184">
        <v>5.2199999999999998E-3</v>
      </c>
      <c r="Y10" s="50">
        <f t="shared" si="16"/>
        <v>4498.6951799999997</v>
      </c>
      <c r="Z10" s="14"/>
      <c r="AA10" s="97">
        <f t="shared" si="10"/>
        <v>78261.932700000005</v>
      </c>
      <c r="AB10" s="97">
        <f t="shared" si="11"/>
        <v>78261.932700000005</v>
      </c>
      <c r="AC10" s="97">
        <f t="shared" si="12"/>
        <v>9395.19</v>
      </c>
      <c r="AD10" s="25">
        <f t="shared" si="13"/>
        <v>35937.852299999999</v>
      </c>
      <c r="AE10" s="4"/>
      <c r="AF10" s="42">
        <f t="shared" si="17"/>
        <v>1283765.6028799999</v>
      </c>
    </row>
    <row r="11" spans="1:32" x14ac:dyDescent="0.25">
      <c r="A11" s="169" t="s">
        <v>101</v>
      </c>
      <c r="B11" s="47" t="s">
        <v>9</v>
      </c>
      <c r="C11" s="173">
        <v>949679</v>
      </c>
      <c r="D11" s="176">
        <v>30</v>
      </c>
      <c r="E11" s="176"/>
      <c r="F11" s="97">
        <f>+(C11/240)*E11*1.25</f>
        <v>0</v>
      </c>
      <c r="G11" s="97">
        <f t="shared" si="0"/>
        <v>949679</v>
      </c>
      <c r="H11" s="97">
        <v>180000</v>
      </c>
      <c r="I11" s="179">
        <f t="shared" si="1"/>
        <v>77700</v>
      </c>
      <c r="J11" s="42">
        <f t="shared" si="2"/>
        <v>1207379</v>
      </c>
      <c r="K11" s="10"/>
      <c r="L11" s="28">
        <f t="shared" si="3"/>
        <v>949679</v>
      </c>
      <c r="M11" s="10"/>
      <c r="N11" s="179">
        <f t="shared" si="4"/>
        <v>37987</v>
      </c>
      <c r="O11" s="97">
        <v>0</v>
      </c>
      <c r="P11" s="179">
        <f t="shared" si="5"/>
        <v>37987.160000000003</v>
      </c>
      <c r="Q11" s="179">
        <f t="shared" si="6"/>
        <v>113961</v>
      </c>
      <c r="R11" s="97">
        <v>0</v>
      </c>
      <c r="S11" s="25">
        <f t="shared" si="7"/>
        <v>75974.16</v>
      </c>
      <c r="T11" s="4"/>
      <c r="U11" s="103">
        <f t="shared" si="8"/>
        <v>1131404.8400000001</v>
      </c>
      <c r="V11" s="13"/>
      <c r="W11" s="97">
        <f t="shared" si="9"/>
        <v>37987</v>
      </c>
      <c r="X11" s="184">
        <v>5.2199999999999998E-3</v>
      </c>
      <c r="Y11" s="50">
        <f t="shared" si="16"/>
        <v>4957.32438</v>
      </c>
      <c r="Z11" s="14"/>
      <c r="AA11" s="97">
        <f t="shared" si="10"/>
        <v>85580.670700000002</v>
      </c>
      <c r="AB11" s="97">
        <f t="shared" si="11"/>
        <v>85580.670700000002</v>
      </c>
      <c r="AC11" s="97">
        <f t="shared" si="12"/>
        <v>10273.790000000001</v>
      </c>
      <c r="AD11" s="25">
        <f t="shared" si="13"/>
        <v>39601.614300000001</v>
      </c>
      <c r="AE11" s="4"/>
      <c r="AF11" s="42">
        <f t="shared" si="17"/>
        <v>1585321.0700799997</v>
      </c>
    </row>
    <row r="12" spans="1:32" x14ac:dyDescent="0.25">
      <c r="A12" s="169" t="s">
        <v>102</v>
      </c>
      <c r="B12" s="47" t="s">
        <v>13</v>
      </c>
      <c r="C12" s="173">
        <v>689455</v>
      </c>
      <c r="D12" s="176">
        <v>30</v>
      </c>
      <c r="E12" s="176">
        <v>48</v>
      </c>
      <c r="F12" s="173">
        <v>172364</v>
      </c>
      <c r="G12" s="97">
        <f t="shared" si="0"/>
        <v>689455</v>
      </c>
      <c r="H12" s="97">
        <v>86182</v>
      </c>
      <c r="I12" s="179">
        <f t="shared" si="1"/>
        <v>77700</v>
      </c>
      <c r="J12" s="42">
        <f t="shared" si="2"/>
        <v>1025701</v>
      </c>
      <c r="K12" s="10"/>
      <c r="L12" s="28">
        <f t="shared" si="3"/>
        <v>861819</v>
      </c>
      <c r="M12" s="10"/>
      <c r="N12" s="179">
        <f t="shared" si="4"/>
        <v>34473</v>
      </c>
      <c r="O12" s="97">
        <v>0</v>
      </c>
      <c r="P12" s="179">
        <f t="shared" si="5"/>
        <v>34472.76</v>
      </c>
      <c r="Q12" s="179">
        <f t="shared" si="6"/>
        <v>103418</v>
      </c>
      <c r="R12" s="97">
        <v>0</v>
      </c>
      <c r="S12" s="25">
        <f t="shared" si="7"/>
        <v>68945.760000000009</v>
      </c>
      <c r="T12" s="4"/>
      <c r="U12" s="103">
        <f t="shared" si="8"/>
        <v>956755.24</v>
      </c>
      <c r="V12" s="13"/>
      <c r="W12" s="97">
        <f t="shared" si="9"/>
        <v>34473</v>
      </c>
      <c r="X12" s="184">
        <v>5.2199999999999998E-3</v>
      </c>
      <c r="Y12" s="50">
        <f t="shared" si="16"/>
        <v>4498.6951799999997</v>
      </c>
      <c r="Z12" s="14"/>
      <c r="AA12" s="97">
        <f t="shared" si="10"/>
        <v>78261.932700000005</v>
      </c>
      <c r="AB12" s="97">
        <f t="shared" si="11"/>
        <v>78261.932700000005</v>
      </c>
      <c r="AC12" s="97">
        <f t="shared" si="12"/>
        <v>9395.19</v>
      </c>
      <c r="AD12" s="25">
        <f t="shared" si="13"/>
        <v>35937.852299999999</v>
      </c>
      <c r="AE12" s="4"/>
      <c r="AF12" s="42">
        <f t="shared" si="17"/>
        <v>1369947.6028799999</v>
      </c>
    </row>
    <row r="13" spans="1:32" x14ac:dyDescent="0.25">
      <c r="A13" s="169" t="s">
        <v>103</v>
      </c>
      <c r="B13" s="47" t="s">
        <v>12</v>
      </c>
      <c r="C13" s="173">
        <v>689455</v>
      </c>
      <c r="D13" s="176">
        <v>30</v>
      </c>
      <c r="E13" s="176">
        <v>4</v>
      </c>
      <c r="F13" s="97">
        <v>14364</v>
      </c>
      <c r="G13" s="97">
        <f t="shared" si="0"/>
        <v>689455</v>
      </c>
      <c r="H13" s="97">
        <v>0</v>
      </c>
      <c r="I13" s="179">
        <f t="shared" si="1"/>
        <v>77700</v>
      </c>
      <c r="J13" s="42">
        <f t="shared" si="2"/>
        <v>781519</v>
      </c>
      <c r="K13" s="10"/>
      <c r="L13" s="28">
        <f t="shared" si="3"/>
        <v>703819</v>
      </c>
      <c r="M13" s="10"/>
      <c r="N13" s="179">
        <f t="shared" si="4"/>
        <v>28153</v>
      </c>
      <c r="O13" s="97">
        <v>0</v>
      </c>
      <c r="P13" s="179">
        <f t="shared" si="5"/>
        <v>28152.760000000002</v>
      </c>
      <c r="Q13" s="179">
        <f t="shared" si="6"/>
        <v>84458</v>
      </c>
      <c r="R13" s="97">
        <v>0</v>
      </c>
      <c r="S13" s="25">
        <f t="shared" si="7"/>
        <v>56305.760000000002</v>
      </c>
      <c r="T13" s="4"/>
      <c r="U13" s="103">
        <f t="shared" si="8"/>
        <v>725213.24</v>
      </c>
      <c r="V13" s="13"/>
      <c r="W13" s="97">
        <f t="shared" si="9"/>
        <v>28153</v>
      </c>
      <c r="X13" s="184">
        <v>5.2199999999999998E-3</v>
      </c>
      <c r="Y13" s="50">
        <f t="shared" si="16"/>
        <v>3673.9351799999999</v>
      </c>
      <c r="Z13" s="14"/>
      <c r="AA13" s="97">
        <f t="shared" si="10"/>
        <v>65100.532699999996</v>
      </c>
      <c r="AB13" s="97">
        <f t="shared" si="11"/>
        <v>65100.532699999996</v>
      </c>
      <c r="AC13" s="97">
        <f t="shared" si="12"/>
        <v>7815.1900000000005</v>
      </c>
      <c r="AD13" s="25">
        <f t="shared" si="13"/>
        <v>29349.2523</v>
      </c>
      <c r="AE13" s="4"/>
      <c r="AF13" s="42">
        <f t="shared" si="17"/>
        <v>1065169.44288</v>
      </c>
    </row>
    <row r="14" spans="1:32" x14ac:dyDescent="0.25">
      <c r="A14" s="169" t="s">
        <v>104</v>
      </c>
      <c r="B14" s="47" t="s">
        <v>10</v>
      </c>
      <c r="C14" s="173">
        <v>749000</v>
      </c>
      <c r="D14" s="176">
        <v>30</v>
      </c>
      <c r="E14" s="176">
        <v>11</v>
      </c>
      <c r="F14" s="97">
        <v>39010</v>
      </c>
      <c r="G14" s="97">
        <f t="shared" si="0"/>
        <v>749000</v>
      </c>
      <c r="H14" s="97">
        <v>0</v>
      </c>
      <c r="I14" s="179">
        <f t="shared" si="1"/>
        <v>77700</v>
      </c>
      <c r="J14" s="42">
        <f t="shared" si="2"/>
        <v>865710</v>
      </c>
      <c r="K14" s="10"/>
      <c r="L14" s="28">
        <f t="shared" si="3"/>
        <v>788010</v>
      </c>
      <c r="M14" s="10"/>
      <c r="N14" s="179">
        <f t="shared" si="4"/>
        <v>31520</v>
      </c>
      <c r="O14" s="97">
        <v>0</v>
      </c>
      <c r="P14" s="179">
        <f t="shared" si="5"/>
        <v>31520.400000000001</v>
      </c>
      <c r="Q14" s="179">
        <f t="shared" si="6"/>
        <v>94561</v>
      </c>
      <c r="R14" s="97">
        <v>0</v>
      </c>
      <c r="S14" s="25">
        <f t="shared" si="7"/>
        <v>63040.4</v>
      </c>
      <c r="T14" s="4"/>
      <c r="U14" s="103">
        <f t="shared" si="8"/>
        <v>802669.6</v>
      </c>
      <c r="V14" s="13"/>
      <c r="W14" s="97">
        <f t="shared" si="9"/>
        <v>31520</v>
      </c>
      <c r="X14" s="184">
        <v>5.2199999999999998E-3</v>
      </c>
      <c r="Y14" s="50">
        <f t="shared" si="16"/>
        <v>4113.4121999999998</v>
      </c>
      <c r="Z14" s="14"/>
      <c r="AA14" s="97">
        <f t="shared" si="10"/>
        <v>72113.642999999996</v>
      </c>
      <c r="AB14" s="97">
        <f t="shared" si="11"/>
        <v>72113.642999999996</v>
      </c>
      <c r="AC14" s="97">
        <f t="shared" si="12"/>
        <v>8657.1</v>
      </c>
      <c r="AD14" s="25">
        <f t="shared" si="13"/>
        <v>32860.017</v>
      </c>
      <c r="AE14" s="4"/>
      <c r="AF14" s="42">
        <f t="shared" si="17"/>
        <v>1181648.8152000001</v>
      </c>
    </row>
    <row r="15" spans="1:32" x14ac:dyDescent="0.25">
      <c r="A15" s="169" t="s">
        <v>105</v>
      </c>
      <c r="B15" s="47" t="s">
        <v>11</v>
      </c>
      <c r="C15" s="173">
        <v>689455</v>
      </c>
      <c r="D15" s="176">
        <v>30</v>
      </c>
      <c r="E15" s="176">
        <v>48</v>
      </c>
      <c r="F15" s="173">
        <v>172364</v>
      </c>
      <c r="G15" s="97">
        <f t="shared" ref="G15" si="18">(C15/30)*30</f>
        <v>689455</v>
      </c>
      <c r="H15" s="97">
        <v>215455</v>
      </c>
      <c r="I15" s="179">
        <f t="shared" si="1"/>
        <v>77700</v>
      </c>
      <c r="J15" s="42">
        <f t="shared" ref="J15" si="19">F15+G15+H15+I15</f>
        <v>1154974</v>
      </c>
      <c r="K15" s="10"/>
      <c r="L15" s="28">
        <f t="shared" ref="L15" si="20">IF(D15=30, IF((G15+F15)&lt;C15,C15,G15+F15),G15+F15)</f>
        <v>861819</v>
      </c>
      <c r="M15" s="10"/>
      <c r="N15" s="179">
        <f t="shared" si="4"/>
        <v>34473</v>
      </c>
      <c r="O15" s="97">
        <v>0</v>
      </c>
      <c r="P15" s="179">
        <f t="shared" si="5"/>
        <v>34472.76</v>
      </c>
      <c r="Q15" s="179">
        <f t="shared" si="6"/>
        <v>103418</v>
      </c>
      <c r="R15" s="97">
        <v>0</v>
      </c>
      <c r="S15" s="25">
        <f t="shared" ref="S15" si="21">SUM(N15+P15+R15)</f>
        <v>68945.760000000009</v>
      </c>
      <c r="T15" s="4"/>
      <c r="U15" s="103">
        <f t="shared" ref="U15" si="22">J15-S15</f>
        <v>1086028.24</v>
      </c>
      <c r="V15" s="13"/>
      <c r="W15" s="97">
        <f t="shared" si="9"/>
        <v>34473</v>
      </c>
      <c r="X15" s="184">
        <v>5.2199999999999998E-3</v>
      </c>
      <c r="Y15" s="50">
        <f t="shared" si="14"/>
        <v>4498.6951799999997</v>
      </c>
      <c r="Z15" s="14"/>
      <c r="AA15" s="97">
        <f t="shared" si="10"/>
        <v>78261.932700000005</v>
      </c>
      <c r="AB15" s="97">
        <f t="shared" si="11"/>
        <v>78261.932700000005</v>
      </c>
      <c r="AC15" s="97">
        <f t="shared" si="12"/>
        <v>9395.19</v>
      </c>
      <c r="AD15" s="25">
        <f t="shared" si="13"/>
        <v>35937.852299999999</v>
      </c>
      <c r="AE15" s="4"/>
      <c r="AF15" s="42">
        <f t="shared" si="15"/>
        <v>1499220.6028799999</v>
      </c>
    </row>
    <row r="16" spans="1:32" ht="15.75" thickBot="1" x14ac:dyDescent="0.3">
      <c r="A16" s="171" t="s">
        <v>106</v>
      </c>
      <c r="B16" s="48" t="s">
        <v>8</v>
      </c>
      <c r="C16" s="174">
        <v>689455</v>
      </c>
      <c r="D16" s="177">
        <v>30</v>
      </c>
      <c r="E16" s="177"/>
      <c r="F16" s="98">
        <f>+(C16/240)*E16*1.25</f>
        <v>0</v>
      </c>
      <c r="G16" s="98">
        <f>(C16/30)*30</f>
        <v>689455</v>
      </c>
      <c r="H16" s="98">
        <v>180000</v>
      </c>
      <c r="I16" s="180">
        <f t="shared" si="1"/>
        <v>77700</v>
      </c>
      <c r="J16" s="43">
        <f>F16+G16+H16+I16</f>
        <v>947155</v>
      </c>
      <c r="K16" s="10"/>
      <c r="L16" s="29">
        <f>IF(D16=30, IF((G16+F16)&lt;C16,C16,G16+F16),G16+F16)</f>
        <v>689455</v>
      </c>
      <c r="M16" s="10"/>
      <c r="N16" s="182">
        <f t="shared" si="4"/>
        <v>27578</v>
      </c>
      <c r="O16" s="98">
        <v>0</v>
      </c>
      <c r="P16" s="180">
        <f t="shared" si="5"/>
        <v>27578.2</v>
      </c>
      <c r="Q16" s="180">
        <f t="shared" si="6"/>
        <v>82735</v>
      </c>
      <c r="R16" s="98">
        <v>0</v>
      </c>
      <c r="S16" s="26">
        <f>SUM(N16+P16+R16)</f>
        <v>55156.2</v>
      </c>
      <c r="T16" s="4"/>
      <c r="U16" s="104">
        <f>J16-S16</f>
        <v>891998.8</v>
      </c>
      <c r="V16" s="13"/>
      <c r="W16" s="98">
        <f t="shared" si="9"/>
        <v>27578</v>
      </c>
      <c r="X16" s="185">
        <v>5.2199999999999998E-3</v>
      </c>
      <c r="Y16" s="51">
        <f>X16*L16</f>
        <v>3598.9550999999997</v>
      </c>
      <c r="Z16" s="14"/>
      <c r="AA16" s="98">
        <f t="shared" si="10"/>
        <v>63904.011500000001</v>
      </c>
      <c r="AB16" s="98">
        <f t="shared" si="11"/>
        <v>63904.011500000001</v>
      </c>
      <c r="AC16" s="98">
        <f t="shared" si="12"/>
        <v>7671.55</v>
      </c>
      <c r="AD16" s="26">
        <f t="shared" si="13"/>
        <v>28750.273499999999</v>
      </c>
      <c r="AE16" s="4"/>
      <c r="AF16" s="43">
        <f>J16+O16+Q16+W16+Y16+AA16+AB16+AC16+AD16</f>
        <v>1225296.8015999999</v>
      </c>
    </row>
    <row r="17" spans="1:32" ht="7.5" customHeight="1" thickBot="1" x14ac:dyDescent="0.3">
      <c r="A17" s="2"/>
      <c r="B17" s="2"/>
      <c r="C17" s="2"/>
      <c r="D17" s="2"/>
      <c r="E17" s="2"/>
      <c r="F17" s="2"/>
      <c r="G17" s="2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Z17" s="2"/>
      <c r="AE17" s="2"/>
    </row>
    <row r="18" spans="1:32" ht="15.75" thickBot="1" x14ac:dyDescent="0.3">
      <c r="A18" s="37" t="s">
        <v>21</v>
      </c>
      <c r="B18" s="53"/>
      <c r="C18" s="5">
        <f>SUM(C5:C16)</f>
        <v>8861852</v>
      </c>
      <c r="D18" s="181">
        <f>SUM(D5:D16)</f>
        <v>360</v>
      </c>
      <c r="E18" s="18">
        <f>SUM(E5:E16)</f>
        <v>186</v>
      </c>
      <c r="F18" s="19">
        <f>SUM(F5:F16)</f>
        <v>739813</v>
      </c>
      <c r="G18" s="19">
        <f>SUM(G5:G16)</f>
        <v>8861852</v>
      </c>
      <c r="H18" s="19">
        <f>SUM(H4:H16)</f>
        <v>1589845</v>
      </c>
      <c r="I18" s="19">
        <f t="shared" ref="I18:AF18" si="23">SUM(I4:I16)</f>
        <v>1010100</v>
      </c>
      <c r="J18" s="19">
        <f t="shared" si="23"/>
        <v>13195426</v>
      </c>
      <c r="K18" s="19">
        <f t="shared" si="23"/>
        <v>0</v>
      </c>
      <c r="L18" s="19">
        <f t="shared" si="23"/>
        <v>10595481</v>
      </c>
      <c r="M18" s="19">
        <f t="shared" si="23"/>
        <v>0</v>
      </c>
      <c r="N18" s="19">
        <f t="shared" si="23"/>
        <v>423819</v>
      </c>
      <c r="O18" s="19">
        <f t="shared" si="23"/>
        <v>0</v>
      </c>
      <c r="P18" s="19">
        <f t="shared" si="23"/>
        <v>423819.24000000011</v>
      </c>
      <c r="Q18" s="19">
        <f t="shared" si="23"/>
        <v>1271456</v>
      </c>
      <c r="R18" s="19">
        <f t="shared" si="23"/>
        <v>103089</v>
      </c>
      <c r="S18" s="19">
        <f t="shared" si="23"/>
        <v>950727.24</v>
      </c>
      <c r="T18" s="19">
        <f t="shared" si="23"/>
        <v>0</v>
      </c>
      <c r="U18" s="19">
        <f t="shared" si="23"/>
        <v>12244698.76</v>
      </c>
      <c r="V18" s="19">
        <f t="shared" si="23"/>
        <v>0</v>
      </c>
      <c r="W18" s="19">
        <f t="shared" si="23"/>
        <v>423819</v>
      </c>
      <c r="X18" s="186">
        <f t="shared" si="23"/>
        <v>0.10614000000000001</v>
      </c>
      <c r="Y18" s="19">
        <f t="shared" si="23"/>
        <v>81700.748220000009</v>
      </c>
      <c r="Z18" s="19">
        <f t="shared" si="23"/>
        <v>0</v>
      </c>
      <c r="AA18" s="19">
        <f t="shared" si="23"/>
        <v>966744.89730000007</v>
      </c>
      <c r="AB18" s="19">
        <f t="shared" si="23"/>
        <v>966744.89730000007</v>
      </c>
      <c r="AC18" s="19">
        <f t="shared" si="23"/>
        <v>116055.81000000003</v>
      </c>
      <c r="AD18" s="19">
        <f t="shared" si="23"/>
        <v>441831.5577</v>
      </c>
      <c r="AE18" s="19">
        <f t="shared" si="23"/>
        <v>0</v>
      </c>
      <c r="AF18" s="19">
        <f t="shared" si="23"/>
        <v>17463778.910519999</v>
      </c>
    </row>
    <row r="20" spans="1:32" x14ac:dyDescent="0.25">
      <c r="A20" s="2"/>
    </row>
    <row r="21" spans="1:32" ht="15.75" thickBot="1" x14ac:dyDescent="0.3">
      <c r="A21" s="164"/>
      <c r="G21" s="17"/>
    </row>
    <row r="22" spans="1:32" ht="15.75" thickBot="1" x14ac:dyDescent="0.3">
      <c r="A22" s="164"/>
      <c r="D22" s="202" t="s">
        <v>6</v>
      </c>
      <c r="E22" s="202"/>
      <c r="F22" s="3">
        <v>689455</v>
      </c>
      <c r="N22" s="211" t="s">
        <v>27</v>
      </c>
      <c r="O22" s="212"/>
      <c r="Q22" s="213" t="s">
        <v>25</v>
      </c>
      <c r="R22" s="214"/>
      <c r="S22" s="8"/>
      <c r="T22" s="8"/>
      <c r="U22" s="8"/>
      <c r="V22" s="8"/>
      <c r="W22" s="60" t="s">
        <v>46</v>
      </c>
      <c r="AA22" s="61" t="s">
        <v>92</v>
      </c>
      <c r="AB22" s="61" t="s">
        <v>37</v>
      </c>
      <c r="AC22" s="61" t="s">
        <v>38</v>
      </c>
      <c r="AD22" s="61" t="s">
        <v>39</v>
      </c>
      <c r="AE22" s="8"/>
    </row>
    <row r="23" spans="1:32" ht="15.75" thickBot="1" x14ac:dyDescent="0.3">
      <c r="A23" s="2"/>
      <c r="B23" s="2"/>
      <c r="C23" s="1"/>
      <c r="D23" s="202" t="s">
        <v>23</v>
      </c>
      <c r="E23" s="202"/>
      <c r="F23" s="3">
        <v>77700</v>
      </c>
      <c r="N23" s="54" t="s">
        <v>42</v>
      </c>
      <c r="O23" s="54" t="s">
        <v>43</v>
      </c>
      <c r="Q23" s="57" t="s">
        <v>42</v>
      </c>
      <c r="R23" s="57" t="s">
        <v>43</v>
      </c>
      <c r="S23" s="8"/>
      <c r="T23" s="8"/>
      <c r="U23" s="8"/>
      <c r="V23" s="8"/>
      <c r="W23" s="59">
        <v>0.04</v>
      </c>
      <c r="AA23" s="62">
        <v>8.3299999999999999E-2</v>
      </c>
      <c r="AB23" s="62">
        <v>8.3299999999999999E-2</v>
      </c>
      <c r="AC23" s="58">
        <v>0.01</v>
      </c>
      <c r="AD23" s="62">
        <v>4.1700000000000001E-2</v>
      </c>
      <c r="AE23" s="15"/>
    </row>
    <row r="24" spans="1:32" ht="15.75" thickBot="1" x14ac:dyDescent="0.3">
      <c r="A24" s="2"/>
      <c r="B24" s="2"/>
      <c r="C24" s="1"/>
      <c r="N24" s="55">
        <v>0.04</v>
      </c>
      <c r="O24" s="56">
        <v>8.5000000000000006E-2</v>
      </c>
      <c r="Q24" s="58">
        <v>0.04</v>
      </c>
      <c r="R24" s="58">
        <v>0.12</v>
      </c>
      <c r="S24" s="9"/>
      <c r="T24" s="9"/>
      <c r="U24" s="9"/>
      <c r="V24" s="9"/>
    </row>
  </sheetData>
  <mergeCells count="24">
    <mergeCell ref="C2:C3"/>
    <mergeCell ref="B2:B3"/>
    <mergeCell ref="A2:A3"/>
    <mergeCell ref="E2:F2"/>
    <mergeCell ref="X2:X3"/>
    <mergeCell ref="G2:G3"/>
    <mergeCell ref="H2:H3"/>
    <mergeCell ref="I2:I3"/>
    <mergeCell ref="J2:J3"/>
    <mergeCell ref="L2:L3"/>
    <mergeCell ref="R2:R3"/>
    <mergeCell ref="W2:W3"/>
    <mergeCell ref="AF2:AF3"/>
    <mergeCell ref="D23:E23"/>
    <mergeCell ref="D22:E22"/>
    <mergeCell ref="N2:Q2"/>
    <mergeCell ref="Y2:Y3"/>
    <mergeCell ref="K2:K3"/>
    <mergeCell ref="D2:D3"/>
    <mergeCell ref="N22:O22"/>
    <mergeCell ref="Q22:R22"/>
    <mergeCell ref="U2:U3"/>
    <mergeCell ref="S2:S3"/>
    <mergeCell ref="AA2:AD2"/>
  </mergeCells>
  <conditionalFormatting sqref="B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{C676B88A-3FF1-4B2B-80D4-7817F798FF97}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76B88A-3FF1-4B2B-80D4-7817F798FF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zoomScale="90" zoomScaleNormal="90" workbookViewId="0">
      <pane xSplit="1" topLeftCell="B1" activePane="topRight" state="frozen"/>
      <selection pane="topRight" activeCell="G25" sqref="G25"/>
    </sheetView>
  </sheetViews>
  <sheetFormatPr baseColWidth="10" defaultRowHeight="15" x14ac:dyDescent="0.25"/>
  <cols>
    <col min="1" max="1" width="37" customWidth="1"/>
    <col min="3" max="3" width="16.28515625" customWidth="1"/>
    <col min="4" max="4" width="15.7109375" customWidth="1"/>
    <col min="5" max="5" width="12.5703125" customWidth="1"/>
    <col min="6" max="6" width="9.42578125" customWidth="1"/>
    <col min="7" max="7" width="9.28515625" customWidth="1"/>
    <col min="8" max="8" width="11.85546875" customWidth="1"/>
    <col min="9" max="9" width="12.7109375" customWidth="1"/>
    <col min="10" max="10" width="12" customWidth="1"/>
    <col min="11" max="11" width="13.28515625" customWidth="1"/>
    <col min="12" max="12" width="1.5703125" customWidth="1"/>
    <col min="13" max="13" width="13.42578125" customWidth="1"/>
    <col min="14" max="14" width="0.85546875" customWidth="1"/>
    <col min="21" max="21" width="1.42578125" customWidth="1"/>
    <col min="22" max="22" width="13.5703125" customWidth="1"/>
    <col min="23" max="23" width="1.28515625" customWidth="1"/>
    <col min="24" max="24" width="13.28515625" customWidth="1"/>
    <col min="27" max="27" width="1.28515625" customWidth="1"/>
    <col min="31" max="31" width="12.85546875" customWidth="1"/>
    <col min="32" max="32" width="1.85546875" customWidth="1"/>
    <col min="33" max="33" width="14.7109375" customWidth="1"/>
  </cols>
  <sheetData>
    <row r="1" spans="1:33" ht="9" customHeight="1" thickBot="1" x14ac:dyDescent="0.3">
      <c r="A1" s="38"/>
      <c r="B1" s="38"/>
      <c r="C1" s="38"/>
      <c r="D1" s="38"/>
      <c r="E1" s="40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67"/>
      <c r="V1" s="38"/>
      <c r="W1" s="127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33" ht="14.25" customHeight="1" thickBot="1" x14ac:dyDescent="0.3">
      <c r="A2" s="256" t="s">
        <v>0</v>
      </c>
      <c r="B2" s="274" t="s">
        <v>1</v>
      </c>
      <c r="C2" s="275"/>
      <c r="D2" s="264" t="s">
        <v>5</v>
      </c>
      <c r="E2" s="266" t="s">
        <v>87</v>
      </c>
      <c r="F2" s="258" t="s">
        <v>53</v>
      </c>
      <c r="G2" s="259"/>
      <c r="H2" s="262" t="s">
        <v>20</v>
      </c>
      <c r="I2" s="264" t="s">
        <v>88</v>
      </c>
      <c r="J2" s="266" t="s">
        <v>89</v>
      </c>
      <c r="K2" s="264" t="s">
        <v>24</v>
      </c>
      <c r="L2" s="16"/>
      <c r="M2" s="269" t="s">
        <v>28</v>
      </c>
      <c r="N2" s="16"/>
      <c r="O2" s="271" t="s">
        <v>26</v>
      </c>
      <c r="P2" s="272"/>
      <c r="Q2" s="272"/>
      <c r="R2" s="273"/>
      <c r="S2" s="260" t="s">
        <v>90</v>
      </c>
      <c r="T2" s="246" t="s">
        <v>21</v>
      </c>
      <c r="U2" s="129"/>
      <c r="V2" s="248" t="s">
        <v>44</v>
      </c>
      <c r="W2" s="16"/>
      <c r="X2" s="250" t="s">
        <v>34</v>
      </c>
      <c r="Y2" s="250" t="s">
        <v>91</v>
      </c>
      <c r="Z2" s="250" t="s">
        <v>36</v>
      </c>
      <c r="AA2" s="90"/>
      <c r="AB2" s="253" t="s">
        <v>54</v>
      </c>
      <c r="AC2" s="254"/>
      <c r="AD2" s="254"/>
      <c r="AE2" s="255"/>
      <c r="AF2" s="131"/>
      <c r="AG2" s="200" t="s">
        <v>41</v>
      </c>
    </row>
    <row r="3" spans="1:33" ht="30" customHeight="1" thickBot="1" x14ac:dyDescent="0.3">
      <c r="A3" s="257"/>
      <c r="B3" s="276"/>
      <c r="C3" s="277"/>
      <c r="D3" s="265"/>
      <c r="E3" s="267"/>
      <c r="F3" s="161" t="s">
        <v>74</v>
      </c>
      <c r="G3" s="161" t="s">
        <v>55</v>
      </c>
      <c r="H3" s="263"/>
      <c r="I3" s="265"/>
      <c r="J3" s="267"/>
      <c r="K3" s="268"/>
      <c r="L3" s="16"/>
      <c r="M3" s="270"/>
      <c r="N3" s="119"/>
      <c r="O3" s="44" t="s">
        <v>29</v>
      </c>
      <c r="P3" s="159" t="s">
        <v>30</v>
      </c>
      <c r="Q3" s="44" t="s">
        <v>31</v>
      </c>
      <c r="R3" s="160" t="s">
        <v>32</v>
      </c>
      <c r="S3" s="261"/>
      <c r="T3" s="247"/>
      <c r="U3" s="129"/>
      <c r="V3" s="249"/>
      <c r="W3" s="16"/>
      <c r="X3" s="251"/>
      <c r="Y3" s="252"/>
      <c r="Z3" s="252"/>
      <c r="AA3" s="90"/>
      <c r="AB3" s="132" t="s">
        <v>92</v>
      </c>
      <c r="AC3" s="132" t="s">
        <v>37</v>
      </c>
      <c r="AD3" s="52" t="s">
        <v>38</v>
      </c>
      <c r="AE3" s="132" t="s">
        <v>93</v>
      </c>
      <c r="AF3" s="131"/>
      <c r="AG3" s="201"/>
    </row>
    <row r="4" spans="1:33" x14ac:dyDescent="0.25">
      <c r="A4" s="187" t="s">
        <v>56</v>
      </c>
      <c r="B4" s="244" t="s">
        <v>75</v>
      </c>
      <c r="C4" s="245"/>
      <c r="D4" s="69">
        <v>800000</v>
      </c>
      <c r="E4" s="74">
        <v>30</v>
      </c>
      <c r="F4" s="77"/>
      <c r="G4" s="80">
        <v>0</v>
      </c>
      <c r="H4" s="80">
        <f t="shared" ref="H4:H12" si="0">+(D4/30)*E4</f>
        <v>800000</v>
      </c>
      <c r="I4" s="80">
        <v>0</v>
      </c>
      <c r="J4" s="116">
        <f>+($H$18/30)*E4</f>
        <v>77700</v>
      </c>
      <c r="K4" s="84">
        <f t="shared" ref="K4:K12" si="1">H4+I4+J4+G4</f>
        <v>877700</v>
      </c>
      <c r="L4" s="114"/>
      <c r="M4" s="84">
        <f t="shared" ref="M4:M12" si="2">IF(E4=30,IF((H4+G4)&lt;D4,D4,H4+G4),H4+G4)</f>
        <v>800000</v>
      </c>
      <c r="N4" s="114"/>
      <c r="O4" s="87">
        <f>ROUND(M4*$O$18,-2)</f>
        <v>32000</v>
      </c>
      <c r="P4" s="154">
        <v>0</v>
      </c>
      <c r="Q4" s="87">
        <f>ROUND(M4*$R$18,-2)</f>
        <v>32000</v>
      </c>
      <c r="R4" s="87">
        <f>ROUND(M4*$S$18,-2)</f>
        <v>96000</v>
      </c>
      <c r="S4" s="120">
        <v>0</v>
      </c>
      <c r="T4" s="87">
        <f>O4+Q4+S4</f>
        <v>64000</v>
      </c>
      <c r="U4" s="66"/>
      <c r="V4" s="105">
        <f>K4-T4</f>
        <v>813700</v>
      </c>
      <c r="W4" s="115"/>
      <c r="X4" s="109">
        <f>+ROUND(M4*$X$17,-2)</f>
        <v>32000</v>
      </c>
      <c r="Y4" s="155">
        <f>0.522%</f>
        <v>5.2199999999999998E-3</v>
      </c>
      <c r="Z4" s="112">
        <f>+Y4*M4</f>
        <v>4176</v>
      </c>
      <c r="AA4" s="68"/>
      <c r="AB4" s="24">
        <f t="shared" ref="AB4:AB12" si="3">+(G4+H4+J4)*$AC$16</f>
        <v>73112.41</v>
      </c>
      <c r="AC4" s="24">
        <f t="shared" ref="AC4:AC12" si="4">+(G4+H4+J4)*$AC$17</f>
        <v>73112.41</v>
      </c>
      <c r="AD4" s="24">
        <f t="shared" ref="AD4:AD12" si="5">+(G4+H4+J4)*$AE$16</f>
        <v>8777</v>
      </c>
      <c r="AE4" s="24">
        <f t="shared" ref="AE4:AE12" si="6">+(G4+H4)*$AE$17</f>
        <v>33360</v>
      </c>
      <c r="AG4" s="193">
        <f t="shared" ref="AG4:AG12" si="7">AE4+AD4+AC4+AB4+Z4+X4+R4+P4+K4</f>
        <v>1198237.82</v>
      </c>
    </row>
    <row r="5" spans="1:33" x14ac:dyDescent="0.25">
      <c r="A5" s="188" t="s">
        <v>57</v>
      </c>
      <c r="B5" s="240" t="s">
        <v>76</v>
      </c>
      <c r="C5" s="241"/>
      <c r="D5" s="70">
        <f>700000+(700000*7%)</f>
        <v>749000</v>
      </c>
      <c r="E5" s="75">
        <v>30</v>
      </c>
      <c r="F5" s="78"/>
      <c r="G5" s="81">
        <v>0</v>
      </c>
      <c r="H5" s="81">
        <f t="shared" si="0"/>
        <v>749000</v>
      </c>
      <c r="I5" s="71">
        <v>82000</v>
      </c>
      <c r="J5" s="117">
        <f>+($H$18/30)*E5</f>
        <v>77700</v>
      </c>
      <c r="K5" s="85">
        <f t="shared" si="1"/>
        <v>908700</v>
      </c>
      <c r="L5" s="114"/>
      <c r="M5" s="85">
        <f t="shared" si="2"/>
        <v>749000</v>
      </c>
      <c r="N5" s="16"/>
      <c r="O5" s="88">
        <f t="shared" ref="O5:O12" si="8">ROUND(M5*$O$18,-2)</f>
        <v>30000</v>
      </c>
      <c r="P5" s="128">
        <v>0</v>
      </c>
      <c r="Q5" s="88">
        <f t="shared" ref="Q5:Q12" si="9">ROUND(M5*$R$18,-2)</f>
        <v>30000</v>
      </c>
      <c r="R5" s="88">
        <f t="shared" ref="R5:R12" si="10">ROUND(M5*$S$18,-2)</f>
        <v>89900</v>
      </c>
      <c r="S5" s="121">
        <v>0</v>
      </c>
      <c r="T5" s="88">
        <f t="shared" ref="T5:T12" si="11">O5+Q5+S5</f>
        <v>60000</v>
      </c>
      <c r="U5" s="66"/>
      <c r="V5" s="106">
        <f t="shared" ref="V5:V12" si="12">K5-T5</f>
        <v>848700</v>
      </c>
      <c r="W5" s="115"/>
      <c r="X5" s="110">
        <f t="shared" ref="X5:X12" si="13">+ROUND(M5*$X$17,-2)</f>
        <v>30000</v>
      </c>
      <c r="Y5" s="156">
        <f>0.522%</f>
        <v>5.2199999999999998E-3</v>
      </c>
      <c r="Z5" s="83">
        <f>+Y5*M5</f>
        <v>3909.7799999999997</v>
      </c>
      <c r="AA5" s="68"/>
      <c r="AB5" s="25">
        <f t="shared" si="3"/>
        <v>68864.11</v>
      </c>
      <c r="AC5" s="25">
        <f t="shared" si="4"/>
        <v>68864.11</v>
      </c>
      <c r="AD5" s="25">
        <f t="shared" si="5"/>
        <v>8267</v>
      </c>
      <c r="AE5" s="25">
        <f t="shared" si="6"/>
        <v>31233.3</v>
      </c>
      <c r="AG5" s="194">
        <f t="shared" si="7"/>
        <v>1209738.3</v>
      </c>
    </row>
    <row r="6" spans="1:33" x14ac:dyDescent="0.25">
      <c r="A6" s="188" t="s">
        <v>58</v>
      </c>
      <c r="B6" s="240" t="s">
        <v>77</v>
      </c>
      <c r="C6" s="241"/>
      <c r="D6" s="71">
        <f>H17</f>
        <v>689455</v>
      </c>
      <c r="E6" s="75">
        <v>30</v>
      </c>
      <c r="F6" s="78"/>
      <c r="G6" s="81">
        <v>0</v>
      </c>
      <c r="H6" s="81">
        <f t="shared" si="0"/>
        <v>689455</v>
      </c>
      <c r="I6" s="81">
        <v>0</v>
      </c>
      <c r="J6" s="117">
        <f>+($H$18/30)*E6</f>
        <v>77700</v>
      </c>
      <c r="K6" s="85">
        <f t="shared" si="1"/>
        <v>767155</v>
      </c>
      <c r="L6" s="114"/>
      <c r="M6" s="85">
        <f t="shared" si="2"/>
        <v>689455</v>
      </c>
      <c r="N6" s="114"/>
      <c r="O6" s="88">
        <f t="shared" si="8"/>
        <v>27600</v>
      </c>
      <c r="P6" s="128">
        <v>0</v>
      </c>
      <c r="Q6" s="88">
        <f t="shared" si="9"/>
        <v>27600</v>
      </c>
      <c r="R6" s="88">
        <f t="shared" si="10"/>
        <v>82700</v>
      </c>
      <c r="S6" s="121">
        <v>0</v>
      </c>
      <c r="T6" s="88">
        <f t="shared" si="11"/>
        <v>55200</v>
      </c>
      <c r="U6" s="66"/>
      <c r="V6" s="106">
        <f t="shared" si="12"/>
        <v>711955</v>
      </c>
      <c r="W6" s="115"/>
      <c r="X6" s="110">
        <f t="shared" si="13"/>
        <v>27600</v>
      </c>
      <c r="Y6" s="156">
        <f t="shared" ref="Y6:Y12" si="14">0.522%</f>
        <v>5.2199999999999998E-3</v>
      </c>
      <c r="Z6" s="83">
        <f t="shared" ref="Z6:Z12" si="15">+Y6*M6</f>
        <v>3598.9550999999997</v>
      </c>
      <c r="AA6" s="68"/>
      <c r="AB6" s="25">
        <f t="shared" si="3"/>
        <v>63904.011500000001</v>
      </c>
      <c r="AC6" s="25">
        <f t="shared" si="4"/>
        <v>63904.011500000001</v>
      </c>
      <c r="AD6" s="25">
        <f t="shared" si="5"/>
        <v>7671.55</v>
      </c>
      <c r="AE6" s="25">
        <f t="shared" si="6"/>
        <v>28750.273499999999</v>
      </c>
      <c r="AG6" s="194">
        <f t="shared" si="7"/>
        <v>1045283.8016</v>
      </c>
    </row>
    <row r="7" spans="1:33" x14ac:dyDescent="0.25">
      <c r="A7" s="188" t="s">
        <v>59</v>
      </c>
      <c r="B7" s="240" t="s">
        <v>78</v>
      </c>
      <c r="C7" s="241"/>
      <c r="D7" s="70">
        <f>1000000+(1000000*7%)</f>
        <v>1070000</v>
      </c>
      <c r="E7" s="75">
        <v>30</v>
      </c>
      <c r="F7" s="78"/>
      <c r="G7" s="81">
        <v>0</v>
      </c>
      <c r="H7" s="81">
        <f t="shared" si="0"/>
        <v>1070000</v>
      </c>
      <c r="I7" s="71">
        <v>300000</v>
      </c>
      <c r="J7" s="117">
        <f>+($H$18/30)*E7</f>
        <v>77700</v>
      </c>
      <c r="K7" s="85">
        <f t="shared" si="1"/>
        <v>1447700</v>
      </c>
      <c r="L7" s="114"/>
      <c r="M7" s="85">
        <f t="shared" si="2"/>
        <v>1070000</v>
      </c>
      <c r="N7" s="114"/>
      <c r="O7" s="88">
        <f t="shared" si="8"/>
        <v>42800</v>
      </c>
      <c r="P7" s="128">
        <v>0</v>
      </c>
      <c r="Q7" s="88">
        <f t="shared" si="9"/>
        <v>42800</v>
      </c>
      <c r="R7" s="88">
        <f t="shared" si="10"/>
        <v>128400</v>
      </c>
      <c r="S7" s="121">
        <v>0</v>
      </c>
      <c r="T7" s="88">
        <f t="shared" si="11"/>
        <v>85600</v>
      </c>
      <c r="U7" s="66"/>
      <c r="V7" s="106">
        <f t="shared" si="12"/>
        <v>1362100</v>
      </c>
      <c r="W7" s="115"/>
      <c r="X7" s="110">
        <f t="shared" si="13"/>
        <v>42800</v>
      </c>
      <c r="Y7" s="156">
        <f t="shared" si="14"/>
        <v>5.2199999999999998E-3</v>
      </c>
      <c r="Z7" s="83">
        <f t="shared" si="15"/>
        <v>5585.4</v>
      </c>
      <c r="AA7" s="68"/>
      <c r="AB7" s="25">
        <f t="shared" si="3"/>
        <v>95603.41</v>
      </c>
      <c r="AC7" s="25">
        <f t="shared" si="4"/>
        <v>95603.41</v>
      </c>
      <c r="AD7" s="25">
        <f t="shared" si="5"/>
        <v>11477</v>
      </c>
      <c r="AE7" s="25">
        <f t="shared" si="6"/>
        <v>44619</v>
      </c>
      <c r="AG7" s="194">
        <f t="shared" si="7"/>
        <v>1871788.22</v>
      </c>
    </row>
    <row r="8" spans="1:33" x14ac:dyDescent="0.25">
      <c r="A8" s="188" t="s">
        <v>60</v>
      </c>
      <c r="B8" s="240" t="s">
        <v>79</v>
      </c>
      <c r="C8" s="241"/>
      <c r="D8" s="71">
        <f>H17</f>
        <v>689455</v>
      </c>
      <c r="E8" s="75">
        <v>30</v>
      </c>
      <c r="F8" s="78"/>
      <c r="G8" s="81">
        <v>0</v>
      </c>
      <c r="H8" s="81">
        <f t="shared" si="0"/>
        <v>689455</v>
      </c>
      <c r="I8" s="81">
        <v>0</v>
      </c>
      <c r="J8" s="117">
        <f>+($H$18/30)*E8</f>
        <v>77700</v>
      </c>
      <c r="K8" s="85">
        <f t="shared" si="1"/>
        <v>767155</v>
      </c>
      <c r="L8" s="114"/>
      <c r="M8" s="85">
        <f t="shared" si="2"/>
        <v>689455</v>
      </c>
      <c r="N8" s="114"/>
      <c r="O8" s="88">
        <f t="shared" si="8"/>
        <v>27600</v>
      </c>
      <c r="P8" s="128">
        <v>0</v>
      </c>
      <c r="Q8" s="88">
        <f t="shared" si="9"/>
        <v>27600</v>
      </c>
      <c r="R8" s="88">
        <f t="shared" si="10"/>
        <v>82700</v>
      </c>
      <c r="S8" s="121">
        <v>0</v>
      </c>
      <c r="T8" s="88">
        <f t="shared" si="11"/>
        <v>55200</v>
      </c>
      <c r="U8" s="66"/>
      <c r="V8" s="106">
        <f t="shared" si="12"/>
        <v>711955</v>
      </c>
      <c r="W8" s="115"/>
      <c r="X8" s="110">
        <f t="shared" si="13"/>
        <v>27600</v>
      </c>
      <c r="Y8" s="156">
        <f t="shared" si="14"/>
        <v>5.2199999999999998E-3</v>
      </c>
      <c r="Z8" s="83">
        <f t="shared" si="15"/>
        <v>3598.9550999999997</v>
      </c>
      <c r="AA8" s="68"/>
      <c r="AB8" s="25">
        <f t="shared" si="3"/>
        <v>63904.011500000001</v>
      </c>
      <c r="AC8" s="25">
        <f t="shared" si="4"/>
        <v>63904.011500000001</v>
      </c>
      <c r="AD8" s="25">
        <f t="shared" si="5"/>
        <v>7671.55</v>
      </c>
      <c r="AE8" s="25">
        <f t="shared" si="6"/>
        <v>28750.273499999999</v>
      </c>
      <c r="AG8" s="194">
        <f t="shared" si="7"/>
        <v>1045283.8016</v>
      </c>
    </row>
    <row r="9" spans="1:33" x14ac:dyDescent="0.25">
      <c r="A9" s="188" t="s">
        <v>61</v>
      </c>
      <c r="B9" s="240" t="s">
        <v>80</v>
      </c>
      <c r="C9" s="241"/>
      <c r="D9" s="70">
        <f>1446000+(1446000*7%)</f>
        <v>1547220</v>
      </c>
      <c r="E9" s="75">
        <v>30</v>
      </c>
      <c r="F9" s="78"/>
      <c r="G9" s="81">
        <v>0</v>
      </c>
      <c r="H9" s="81">
        <f t="shared" si="0"/>
        <v>1547220</v>
      </c>
      <c r="I9" s="81">
        <v>0</v>
      </c>
      <c r="J9" s="117">
        <v>0</v>
      </c>
      <c r="K9" s="85">
        <f t="shared" si="1"/>
        <v>1547220</v>
      </c>
      <c r="L9" s="114"/>
      <c r="M9" s="85">
        <f t="shared" si="2"/>
        <v>1547220</v>
      </c>
      <c r="N9" s="114"/>
      <c r="O9" s="88">
        <f t="shared" si="8"/>
        <v>61900</v>
      </c>
      <c r="P9" s="128">
        <v>0</v>
      </c>
      <c r="Q9" s="88">
        <f t="shared" si="9"/>
        <v>61900</v>
      </c>
      <c r="R9" s="88">
        <f t="shared" si="10"/>
        <v>185700</v>
      </c>
      <c r="S9" s="121">
        <v>0</v>
      </c>
      <c r="T9" s="88">
        <f t="shared" si="11"/>
        <v>123800</v>
      </c>
      <c r="U9" s="66"/>
      <c r="V9" s="106">
        <f t="shared" si="12"/>
        <v>1423420</v>
      </c>
      <c r="W9" s="115"/>
      <c r="X9" s="110">
        <f t="shared" si="13"/>
        <v>61900</v>
      </c>
      <c r="Y9" s="156">
        <f t="shared" si="14"/>
        <v>5.2199999999999998E-3</v>
      </c>
      <c r="Z9" s="83">
        <f t="shared" si="15"/>
        <v>8076.4883999999993</v>
      </c>
      <c r="AA9" s="68"/>
      <c r="AB9" s="25">
        <f t="shared" si="3"/>
        <v>128883.42599999999</v>
      </c>
      <c r="AC9" s="25">
        <f t="shared" si="4"/>
        <v>128883.42599999999</v>
      </c>
      <c r="AD9" s="25">
        <f t="shared" si="5"/>
        <v>15472.2</v>
      </c>
      <c r="AE9" s="25">
        <f t="shared" si="6"/>
        <v>64519.074000000001</v>
      </c>
      <c r="AG9" s="194">
        <f t="shared" si="7"/>
        <v>2140654.6143999998</v>
      </c>
    </row>
    <row r="10" spans="1:33" x14ac:dyDescent="0.25">
      <c r="A10" s="188" t="s">
        <v>62</v>
      </c>
      <c r="B10" s="240" t="s">
        <v>81</v>
      </c>
      <c r="C10" s="241"/>
      <c r="D10" s="72">
        <f>930000+(930000*7%)</f>
        <v>995100</v>
      </c>
      <c r="E10" s="75">
        <v>30</v>
      </c>
      <c r="F10" s="78"/>
      <c r="G10" s="81">
        <v>0</v>
      </c>
      <c r="H10" s="81">
        <f t="shared" si="0"/>
        <v>995100</v>
      </c>
      <c r="I10" s="108">
        <v>370000</v>
      </c>
      <c r="J10" s="117">
        <f>+($H$18/30)*E10</f>
        <v>77700</v>
      </c>
      <c r="K10" s="85">
        <f t="shared" si="1"/>
        <v>1442800</v>
      </c>
      <c r="L10" s="114"/>
      <c r="M10" s="85">
        <f t="shared" si="2"/>
        <v>995100</v>
      </c>
      <c r="N10" s="114"/>
      <c r="O10" s="88">
        <f t="shared" si="8"/>
        <v>39800</v>
      </c>
      <c r="P10" s="128">
        <v>0</v>
      </c>
      <c r="Q10" s="88">
        <f t="shared" si="9"/>
        <v>39800</v>
      </c>
      <c r="R10" s="88">
        <f t="shared" si="10"/>
        <v>119400</v>
      </c>
      <c r="S10" s="121">
        <v>0</v>
      </c>
      <c r="T10" s="88">
        <f t="shared" si="11"/>
        <v>79600</v>
      </c>
      <c r="U10" s="66"/>
      <c r="V10" s="106">
        <f t="shared" si="12"/>
        <v>1363200</v>
      </c>
      <c r="W10" s="115"/>
      <c r="X10" s="110">
        <f t="shared" si="13"/>
        <v>39800</v>
      </c>
      <c r="Y10" s="156">
        <f t="shared" si="14"/>
        <v>5.2199999999999998E-3</v>
      </c>
      <c r="Z10" s="83">
        <f t="shared" si="15"/>
        <v>5194.4219999999996</v>
      </c>
      <c r="AA10" s="68"/>
      <c r="AB10" s="25">
        <f t="shared" si="3"/>
        <v>89364.24</v>
      </c>
      <c r="AC10" s="25">
        <f t="shared" si="4"/>
        <v>89364.24</v>
      </c>
      <c r="AD10" s="25">
        <f t="shared" si="5"/>
        <v>10728</v>
      </c>
      <c r="AE10" s="25">
        <f t="shared" si="6"/>
        <v>41495.67</v>
      </c>
      <c r="AG10" s="194">
        <f t="shared" si="7"/>
        <v>1838146.5720000002</v>
      </c>
    </row>
    <row r="11" spans="1:33" x14ac:dyDescent="0.25">
      <c r="A11" s="188" t="s">
        <v>63</v>
      </c>
      <c r="B11" s="240" t="s">
        <v>82</v>
      </c>
      <c r="C11" s="241"/>
      <c r="D11" s="70">
        <f>H17/2</f>
        <v>344727.5</v>
      </c>
      <c r="E11" s="75">
        <v>30</v>
      </c>
      <c r="F11" s="78"/>
      <c r="G11" s="81">
        <v>0</v>
      </c>
      <c r="H11" s="81">
        <f t="shared" si="0"/>
        <v>344727.5</v>
      </c>
      <c r="I11" s="81">
        <v>0</v>
      </c>
      <c r="J11" s="117">
        <f>+($H$18/30)*E11</f>
        <v>77700</v>
      </c>
      <c r="K11" s="85">
        <f t="shared" si="1"/>
        <v>422427.5</v>
      </c>
      <c r="L11" s="114"/>
      <c r="M11" s="85">
        <f t="shared" si="2"/>
        <v>344727.5</v>
      </c>
      <c r="N11" s="114"/>
      <c r="O11" s="88">
        <f t="shared" si="8"/>
        <v>13800</v>
      </c>
      <c r="P11" s="128">
        <v>0</v>
      </c>
      <c r="Q11" s="88">
        <f t="shared" si="9"/>
        <v>13800</v>
      </c>
      <c r="R11" s="88">
        <f t="shared" si="10"/>
        <v>41400</v>
      </c>
      <c r="S11" s="121">
        <v>0</v>
      </c>
      <c r="T11" s="88">
        <f t="shared" si="11"/>
        <v>27600</v>
      </c>
      <c r="U11" s="66"/>
      <c r="V11" s="106">
        <f t="shared" si="12"/>
        <v>394827.5</v>
      </c>
      <c r="W11" s="115"/>
      <c r="X11" s="110">
        <f t="shared" si="13"/>
        <v>13800</v>
      </c>
      <c r="Y11" s="156">
        <f t="shared" si="14"/>
        <v>5.2199999999999998E-3</v>
      </c>
      <c r="Z11" s="83">
        <f t="shared" si="15"/>
        <v>1799.4775499999998</v>
      </c>
      <c r="AA11" s="68"/>
      <c r="AB11" s="25">
        <f t="shared" si="3"/>
        <v>35188.210749999998</v>
      </c>
      <c r="AC11" s="25">
        <f t="shared" si="4"/>
        <v>35188.210749999998</v>
      </c>
      <c r="AD11" s="25">
        <f t="shared" si="5"/>
        <v>4224.2749999999996</v>
      </c>
      <c r="AE11" s="25">
        <f t="shared" si="6"/>
        <v>14375.13675</v>
      </c>
      <c r="AG11" s="194">
        <f t="shared" si="7"/>
        <v>568402.81079999998</v>
      </c>
    </row>
    <row r="12" spans="1:33" ht="15.75" thickBot="1" x14ac:dyDescent="0.3">
      <c r="A12" s="189" t="s">
        <v>64</v>
      </c>
      <c r="B12" s="242" t="s">
        <v>83</v>
      </c>
      <c r="C12" s="243"/>
      <c r="D12" s="73">
        <f>H17</f>
        <v>689455</v>
      </c>
      <c r="E12" s="76">
        <v>30</v>
      </c>
      <c r="F12" s="79"/>
      <c r="G12" s="82">
        <v>0</v>
      </c>
      <c r="H12" s="82">
        <f t="shared" si="0"/>
        <v>689455</v>
      </c>
      <c r="I12" s="82">
        <v>0</v>
      </c>
      <c r="J12" s="118">
        <f>+($H$18/30)*E12</f>
        <v>77700</v>
      </c>
      <c r="K12" s="86">
        <f t="shared" si="1"/>
        <v>767155</v>
      </c>
      <c r="L12" s="114"/>
      <c r="M12" s="86">
        <f t="shared" si="2"/>
        <v>689455</v>
      </c>
      <c r="N12" s="114"/>
      <c r="O12" s="89">
        <f t="shared" si="8"/>
        <v>27600</v>
      </c>
      <c r="P12" s="123">
        <v>0</v>
      </c>
      <c r="Q12" s="89">
        <f t="shared" si="9"/>
        <v>27600</v>
      </c>
      <c r="R12" s="89">
        <f t="shared" si="10"/>
        <v>82700</v>
      </c>
      <c r="S12" s="122">
        <v>0</v>
      </c>
      <c r="T12" s="89">
        <f t="shared" si="11"/>
        <v>55200</v>
      </c>
      <c r="U12" s="66"/>
      <c r="V12" s="107">
        <f t="shared" si="12"/>
        <v>711955</v>
      </c>
      <c r="W12" s="115"/>
      <c r="X12" s="111">
        <f t="shared" si="13"/>
        <v>27600</v>
      </c>
      <c r="Y12" s="93">
        <f t="shared" si="14"/>
        <v>5.2199999999999998E-3</v>
      </c>
      <c r="Z12" s="113">
        <f t="shared" si="15"/>
        <v>3598.9550999999997</v>
      </c>
      <c r="AA12" s="68"/>
      <c r="AB12" s="26">
        <f t="shared" si="3"/>
        <v>63904.011500000001</v>
      </c>
      <c r="AC12" s="26">
        <f t="shared" si="4"/>
        <v>63904.011500000001</v>
      </c>
      <c r="AD12" s="26">
        <f t="shared" si="5"/>
        <v>7671.55</v>
      </c>
      <c r="AE12" s="26">
        <f t="shared" si="6"/>
        <v>28750.273499999999</v>
      </c>
      <c r="AG12" s="195">
        <f t="shared" si="7"/>
        <v>1045283.8016</v>
      </c>
    </row>
    <row r="13" spans="1:33" ht="7.5" customHeight="1" thickBot="1" x14ac:dyDescent="0.3">
      <c r="A13" s="124"/>
      <c r="B13" s="125"/>
      <c r="C13" s="125"/>
      <c r="D13" s="126"/>
      <c r="E13" s="125"/>
      <c r="F13" s="127"/>
      <c r="G13" s="127"/>
      <c r="H13" s="128"/>
      <c r="I13" s="128"/>
      <c r="J13" s="128"/>
      <c r="K13" s="114"/>
      <c r="L13" s="114"/>
      <c r="M13" s="114"/>
      <c r="N13" s="114"/>
      <c r="O13" s="115"/>
      <c r="P13" s="128"/>
      <c r="Q13" s="115"/>
      <c r="R13" s="115"/>
      <c r="S13" s="128"/>
      <c r="T13" s="115"/>
      <c r="U13" s="115"/>
      <c r="V13" s="115"/>
      <c r="W13" s="115"/>
      <c r="X13" s="68"/>
      <c r="Y13" s="157"/>
      <c r="Z13" s="68"/>
      <c r="AA13" s="68"/>
      <c r="AB13" s="128"/>
      <c r="AC13" s="128"/>
      <c r="AD13" s="128"/>
      <c r="AE13" s="128"/>
      <c r="AG13" s="114"/>
    </row>
    <row r="14" spans="1:33" ht="15.75" thickBot="1" x14ac:dyDescent="0.3">
      <c r="A14" s="237" t="s">
        <v>21</v>
      </c>
      <c r="B14" s="238"/>
      <c r="C14" s="239"/>
      <c r="D14" s="134">
        <f>SUM(D4:D12)</f>
        <v>7574412.5</v>
      </c>
      <c r="E14" s="135">
        <f>SUM(E4:E12)</f>
        <v>270</v>
      </c>
      <c r="F14" s="136"/>
      <c r="G14" s="137">
        <f>SUM(G4:G13)</f>
        <v>0</v>
      </c>
      <c r="H14" s="137">
        <f>SUM(H4:H12)</f>
        <v>7574412.5</v>
      </c>
      <c r="I14" s="137">
        <f t="shared" ref="I14:AD14" si="16">SUM(I4:I12)</f>
        <v>752000</v>
      </c>
      <c r="J14" s="138">
        <f t="shared" si="16"/>
        <v>621600</v>
      </c>
      <c r="K14" s="65">
        <f t="shared" si="16"/>
        <v>8948012.5</v>
      </c>
      <c r="L14" s="139"/>
      <c r="M14" s="65">
        <f t="shared" si="16"/>
        <v>7574412.5</v>
      </c>
      <c r="N14" s="139"/>
      <c r="O14" s="140">
        <f t="shared" si="16"/>
        <v>303100</v>
      </c>
      <c r="P14" s="137">
        <f t="shared" si="16"/>
        <v>0</v>
      </c>
      <c r="Q14" s="137">
        <f t="shared" si="16"/>
        <v>303100</v>
      </c>
      <c r="R14" s="141">
        <f t="shared" si="16"/>
        <v>908900</v>
      </c>
      <c r="S14" s="142">
        <f t="shared" si="16"/>
        <v>0</v>
      </c>
      <c r="T14" s="141">
        <f t="shared" si="16"/>
        <v>606200</v>
      </c>
      <c r="U14" s="143"/>
      <c r="V14" s="65">
        <f t="shared" si="16"/>
        <v>8341812.5</v>
      </c>
      <c r="W14" s="143"/>
      <c r="X14" s="140">
        <f t="shared" si="16"/>
        <v>303100</v>
      </c>
      <c r="Y14" s="158">
        <f>SUM(Y4:Y12)</f>
        <v>4.6980000000000008E-2</v>
      </c>
      <c r="Z14" s="141">
        <f t="shared" si="16"/>
        <v>39538.433250000002</v>
      </c>
      <c r="AA14" s="143"/>
      <c r="AB14" s="140">
        <f t="shared" si="16"/>
        <v>682727.84125000006</v>
      </c>
      <c r="AC14" s="137">
        <f t="shared" si="16"/>
        <v>682727.84125000006</v>
      </c>
      <c r="AD14" s="137">
        <f t="shared" si="16"/>
        <v>81960.125</v>
      </c>
      <c r="AE14" s="144">
        <f>SUM(AE4:AE12)</f>
        <v>315853.00125000003</v>
      </c>
      <c r="AF14" s="39"/>
      <c r="AG14" s="145">
        <f>SUM(AG4:AG12)</f>
        <v>11962819.741999999</v>
      </c>
    </row>
    <row r="15" spans="1:33" ht="15.75" thickBot="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30"/>
      <c r="V15" s="20"/>
      <c r="W15" s="130"/>
      <c r="X15" s="20"/>
      <c r="Y15" s="20"/>
      <c r="Z15" s="20"/>
      <c r="AA15" s="130"/>
      <c r="AB15" s="20"/>
      <c r="AC15" s="20"/>
      <c r="AD15" s="20"/>
      <c r="AE15" s="20"/>
      <c r="AF15" s="20"/>
    </row>
    <row r="16" spans="1:33" ht="15.75" thickBot="1" x14ac:dyDescent="0.3">
      <c r="O16" s="213" t="s">
        <v>27</v>
      </c>
      <c r="P16" s="214"/>
      <c r="Q16" s="39"/>
      <c r="R16" s="213" t="s">
        <v>25</v>
      </c>
      <c r="S16" s="214"/>
      <c r="X16" s="149" t="s">
        <v>46</v>
      </c>
      <c r="AB16" s="133" t="s">
        <v>48</v>
      </c>
      <c r="AC16" s="7">
        <v>8.3299999999999999E-2</v>
      </c>
      <c r="AD16" s="133" t="s">
        <v>49</v>
      </c>
      <c r="AE16" s="6">
        <v>0.01</v>
      </c>
    </row>
    <row r="17" spans="6:31" ht="15.75" thickBot="1" x14ac:dyDescent="0.3">
      <c r="F17" s="258" t="s">
        <v>6</v>
      </c>
      <c r="G17" s="259"/>
      <c r="H17" s="147">
        <v>689455</v>
      </c>
      <c r="O17" s="162" t="s">
        <v>42</v>
      </c>
      <c r="P17" s="162" t="s">
        <v>43</v>
      </c>
      <c r="Q17" s="39"/>
      <c r="R17" s="162" t="s">
        <v>42</v>
      </c>
      <c r="S17" s="162" t="s">
        <v>43</v>
      </c>
      <c r="X17" s="148">
        <v>0.04</v>
      </c>
      <c r="AB17" s="133" t="s">
        <v>51</v>
      </c>
      <c r="AC17" s="7">
        <v>8.3299999999999999E-2</v>
      </c>
      <c r="AD17" s="133" t="s">
        <v>52</v>
      </c>
      <c r="AE17" s="7">
        <v>4.1700000000000001E-2</v>
      </c>
    </row>
    <row r="18" spans="6:31" ht="15.75" thickBot="1" x14ac:dyDescent="0.3">
      <c r="F18" s="258" t="s">
        <v>50</v>
      </c>
      <c r="G18" s="259"/>
      <c r="H18" s="146">
        <v>77700</v>
      </c>
      <c r="O18" s="152">
        <v>0.04</v>
      </c>
      <c r="P18" s="153">
        <v>8.5000000000000006E-2</v>
      </c>
      <c r="R18" s="151">
        <v>0.04</v>
      </c>
      <c r="S18" s="151">
        <v>0.12</v>
      </c>
      <c r="T18" s="150"/>
    </row>
  </sheetData>
  <mergeCells count="33">
    <mergeCell ref="A2:A3"/>
    <mergeCell ref="F18:G18"/>
    <mergeCell ref="F17:G17"/>
    <mergeCell ref="O16:P16"/>
    <mergeCell ref="R16:S16"/>
    <mergeCell ref="S2:S3"/>
    <mergeCell ref="H2:H3"/>
    <mergeCell ref="I2:I3"/>
    <mergeCell ref="J2:J3"/>
    <mergeCell ref="K2:K3"/>
    <mergeCell ref="M2:M3"/>
    <mergeCell ref="O2:R2"/>
    <mergeCell ref="B2:C3"/>
    <mergeCell ref="D2:D3"/>
    <mergeCell ref="E2:E3"/>
    <mergeCell ref="F2:G2"/>
    <mergeCell ref="AG2:AG3"/>
    <mergeCell ref="T2:T3"/>
    <mergeCell ref="V2:V3"/>
    <mergeCell ref="X2:X3"/>
    <mergeCell ref="Y2:Y3"/>
    <mergeCell ref="Z2:Z3"/>
    <mergeCell ref="AB2:AE2"/>
    <mergeCell ref="A14:C14"/>
    <mergeCell ref="B6:C6"/>
    <mergeCell ref="B5:C5"/>
    <mergeCell ref="B12:C12"/>
    <mergeCell ref="B4:C4"/>
    <mergeCell ref="B10:C10"/>
    <mergeCell ref="B11:C11"/>
    <mergeCell ref="B7:C7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5" sqref="F15"/>
    </sheetView>
  </sheetViews>
  <sheetFormatPr baseColWidth="10" defaultRowHeight="15" x14ac:dyDescent="0.25"/>
  <cols>
    <col min="1" max="1" width="39.28515625" customWidth="1"/>
    <col min="2" max="2" width="46.5703125" customWidth="1"/>
    <col min="3" max="3" width="17" customWidth="1"/>
    <col min="4" max="4" width="15" customWidth="1"/>
    <col min="5" max="5" width="13.85546875" customWidth="1"/>
    <col min="6" max="6" width="15.140625" customWidth="1"/>
    <col min="9" max="9" width="20" customWidth="1"/>
    <col min="10" max="10" width="17.5703125" customWidth="1"/>
  </cols>
  <sheetData>
    <row r="1" spans="1:6" ht="7.5" customHeight="1" thickBot="1" x14ac:dyDescent="0.3"/>
    <row r="2" spans="1:6" ht="15.75" thickBot="1" x14ac:dyDescent="0.3">
      <c r="A2" s="279" t="s">
        <v>0</v>
      </c>
      <c r="B2" s="279" t="s">
        <v>1</v>
      </c>
      <c r="C2" s="281" t="s">
        <v>65</v>
      </c>
      <c r="D2" s="237" t="s">
        <v>69</v>
      </c>
      <c r="E2" s="238"/>
      <c r="F2" s="278"/>
    </row>
    <row r="3" spans="1:6" ht="15.75" thickBot="1" x14ac:dyDescent="0.3">
      <c r="A3" s="280"/>
      <c r="B3" s="280"/>
      <c r="C3" s="282"/>
      <c r="D3" s="31" t="s">
        <v>66</v>
      </c>
      <c r="E3" s="31" t="s">
        <v>67</v>
      </c>
      <c r="F3" s="31" t="s">
        <v>68</v>
      </c>
    </row>
    <row r="4" spans="1:6" x14ac:dyDescent="0.25">
      <c r="A4" s="168" t="s">
        <v>94</v>
      </c>
      <c r="B4" s="46" t="s">
        <v>47</v>
      </c>
      <c r="C4" s="24">
        <v>1119321.3599999999</v>
      </c>
      <c r="D4" s="64">
        <v>0</v>
      </c>
      <c r="E4" s="27">
        <f>C4</f>
        <v>1119321.3599999999</v>
      </c>
      <c r="F4" s="27">
        <v>0</v>
      </c>
    </row>
    <row r="5" spans="1:6" x14ac:dyDescent="0.25">
      <c r="A5" s="169" t="s">
        <v>95</v>
      </c>
      <c r="B5" s="47" t="s">
        <v>7</v>
      </c>
      <c r="C5" s="25">
        <v>1394331.88</v>
      </c>
      <c r="D5" s="63">
        <v>0</v>
      </c>
      <c r="E5" s="28">
        <v>0</v>
      </c>
      <c r="F5" s="28">
        <f>C5</f>
        <v>1394331.88</v>
      </c>
    </row>
    <row r="6" spans="1:6" x14ac:dyDescent="0.25">
      <c r="A6" s="169" t="s">
        <v>96</v>
      </c>
      <c r="B6" s="47" t="s">
        <v>15</v>
      </c>
      <c r="C6" s="25">
        <v>859102.96</v>
      </c>
      <c r="D6" s="63">
        <v>0</v>
      </c>
      <c r="E6" s="28">
        <f>C6</f>
        <v>859102.96</v>
      </c>
      <c r="F6" s="28">
        <v>0</v>
      </c>
    </row>
    <row r="7" spans="1:6" x14ac:dyDescent="0.25">
      <c r="A7" s="169" t="s">
        <v>97</v>
      </c>
      <c r="B7" s="47" t="s">
        <v>16</v>
      </c>
      <c r="C7" s="25">
        <v>859102.96</v>
      </c>
      <c r="D7" s="63">
        <f>C7</f>
        <v>859102.96</v>
      </c>
      <c r="E7" s="28">
        <v>0</v>
      </c>
      <c r="F7" s="28">
        <v>0</v>
      </c>
    </row>
    <row r="8" spans="1:6" x14ac:dyDescent="0.25">
      <c r="A8" s="169" t="s">
        <v>98</v>
      </c>
      <c r="B8" s="47" t="s">
        <v>17</v>
      </c>
      <c r="C8" s="25">
        <v>746998.8</v>
      </c>
      <c r="D8" s="63">
        <v>0</v>
      </c>
      <c r="E8" s="28">
        <v>0</v>
      </c>
      <c r="F8" s="28">
        <f>C8</f>
        <v>746998.8</v>
      </c>
    </row>
    <row r="9" spans="1:6" x14ac:dyDescent="0.25">
      <c r="A9" s="170" t="s">
        <v>99</v>
      </c>
      <c r="B9" s="47" t="s">
        <v>14</v>
      </c>
      <c r="C9" s="25">
        <v>801197.6</v>
      </c>
      <c r="D9" s="63">
        <v>0</v>
      </c>
      <c r="E9" s="28">
        <f>C9*50%</f>
        <v>400598.8</v>
      </c>
      <c r="F9" s="28">
        <f>C9*50%</f>
        <v>400598.8</v>
      </c>
    </row>
    <row r="10" spans="1:6" x14ac:dyDescent="0.25">
      <c r="A10" s="169" t="s">
        <v>100</v>
      </c>
      <c r="B10" s="47" t="s">
        <v>10</v>
      </c>
      <c r="C10" s="25">
        <v>870573.24</v>
      </c>
      <c r="D10" s="63">
        <v>0</v>
      </c>
      <c r="E10" s="28">
        <v>0</v>
      </c>
      <c r="F10" s="28">
        <f>C10</f>
        <v>870573.24</v>
      </c>
    </row>
    <row r="11" spans="1:6" x14ac:dyDescent="0.25">
      <c r="A11" s="169" t="s">
        <v>101</v>
      </c>
      <c r="B11" s="47" t="s">
        <v>9</v>
      </c>
      <c r="C11" s="25">
        <v>1131404.8400000001</v>
      </c>
      <c r="D11" s="63">
        <f>C11</f>
        <v>1131404.8400000001</v>
      </c>
      <c r="E11" s="28">
        <v>0</v>
      </c>
      <c r="F11" s="28">
        <v>0</v>
      </c>
    </row>
    <row r="12" spans="1:6" x14ac:dyDescent="0.25">
      <c r="A12" s="169" t="s">
        <v>102</v>
      </c>
      <c r="B12" s="47" t="s">
        <v>13</v>
      </c>
      <c r="C12" s="25">
        <v>956755.24</v>
      </c>
      <c r="D12" s="63">
        <v>0</v>
      </c>
      <c r="E12" s="28">
        <f>C12*50%</f>
        <v>478377.62</v>
      </c>
      <c r="F12" s="28">
        <f>C12*50%</f>
        <v>478377.62</v>
      </c>
    </row>
    <row r="13" spans="1:6" x14ac:dyDescent="0.25">
      <c r="A13" s="169" t="s">
        <v>103</v>
      </c>
      <c r="B13" s="47" t="s">
        <v>12</v>
      </c>
      <c r="C13" s="25">
        <v>725213.24</v>
      </c>
      <c r="D13" s="63">
        <v>0</v>
      </c>
      <c r="E13" s="28">
        <f>C13</f>
        <v>725213.24</v>
      </c>
      <c r="F13" s="28">
        <v>0</v>
      </c>
    </row>
    <row r="14" spans="1:6" x14ac:dyDescent="0.25">
      <c r="A14" s="169" t="s">
        <v>104</v>
      </c>
      <c r="B14" s="47" t="s">
        <v>10</v>
      </c>
      <c r="C14" s="25">
        <v>802669.6</v>
      </c>
      <c r="D14" s="63">
        <v>0</v>
      </c>
      <c r="E14" s="28">
        <v>0</v>
      </c>
      <c r="F14" s="28">
        <f>C14</f>
        <v>802669.6</v>
      </c>
    </row>
    <row r="15" spans="1:6" x14ac:dyDescent="0.25">
      <c r="A15" s="169" t="s">
        <v>105</v>
      </c>
      <c r="B15" s="47" t="s">
        <v>11</v>
      </c>
      <c r="C15" s="25">
        <v>1086028.24</v>
      </c>
      <c r="D15" s="63">
        <v>0</v>
      </c>
      <c r="E15" s="28">
        <f>C15*50%</f>
        <v>543014.12</v>
      </c>
      <c r="F15" s="28">
        <f>C15*50%</f>
        <v>543014.12</v>
      </c>
    </row>
    <row r="16" spans="1:6" ht="15.75" thickBot="1" x14ac:dyDescent="0.3">
      <c r="A16" s="171" t="s">
        <v>106</v>
      </c>
      <c r="B16" s="48" t="s">
        <v>8</v>
      </c>
      <c r="C16" s="25">
        <v>891998.8</v>
      </c>
      <c r="D16" s="63">
        <v>0</v>
      </c>
      <c r="E16" s="28">
        <v>0</v>
      </c>
      <c r="F16" s="28">
        <f>C16</f>
        <v>891998.8</v>
      </c>
    </row>
    <row r="17" spans="1:6" ht="15.75" thickBot="1" x14ac:dyDescent="0.3">
      <c r="A17" s="237" t="s">
        <v>70</v>
      </c>
      <c r="B17" s="278"/>
      <c r="C17" s="65">
        <f>SUM(C4:C16)</f>
        <v>12244698.76</v>
      </c>
      <c r="D17" s="65">
        <f>SUM(D4:D16)</f>
        <v>1990507.8</v>
      </c>
      <c r="E17" s="65">
        <f>SUM(E4:E16)</f>
        <v>4125628.0999999996</v>
      </c>
      <c r="F17" s="65">
        <f>SUM(F4:F16)</f>
        <v>6128562.8599999994</v>
      </c>
    </row>
    <row r="19" spans="1:6" ht="15.75" thickBot="1" x14ac:dyDescent="0.3">
      <c r="A19" s="33"/>
      <c r="B19" s="33"/>
    </row>
    <row r="20" spans="1:6" ht="15.75" thickBot="1" x14ac:dyDescent="0.3">
      <c r="B20" s="237" t="s">
        <v>71</v>
      </c>
      <c r="C20" s="278"/>
    </row>
    <row r="21" spans="1:6" ht="15.75" thickBot="1" x14ac:dyDescent="0.3">
      <c r="B21" s="23" t="s">
        <v>69</v>
      </c>
      <c r="C21" s="23" t="s">
        <v>72</v>
      </c>
    </row>
    <row r="22" spans="1:6" x14ac:dyDescent="0.25">
      <c r="B22" s="32" t="s">
        <v>73</v>
      </c>
      <c r="C22" s="34">
        <f>D17/C17</f>
        <v>0.16256078152795653</v>
      </c>
    </row>
    <row r="23" spans="1:6" x14ac:dyDescent="0.25">
      <c r="B23" s="31" t="s">
        <v>67</v>
      </c>
      <c r="C23" s="35">
        <f>E17/C17</f>
        <v>0.33693177601700341</v>
      </c>
    </row>
    <row r="24" spans="1:6" ht="15.75" thickBot="1" x14ac:dyDescent="0.3">
      <c r="B24" s="30" t="s">
        <v>68</v>
      </c>
      <c r="C24" s="36">
        <f>F17/C17</f>
        <v>0.50050744245503997</v>
      </c>
    </row>
  </sheetData>
  <mergeCells count="6">
    <mergeCell ref="D2:F2"/>
    <mergeCell ref="A17:B17"/>
    <mergeCell ref="B20:C20"/>
    <mergeCell ref="A2:A3"/>
    <mergeCell ref="B2:B3"/>
    <mergeCell ref="C2:C3"/>
  </mergeCells>
  <conditionalFormatting sqref="B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{542723E2-D7BF-4D5E-9B07-BCEE51DC2487}</x14:id>
        </ext>
      </extLst>
    </cfRule>
  </conditionalFormatting>
  <pageMargins left="0.7" right="0.7" top="0.75" bottom="0.75" header="0.3" footer="0.3"/>
  <ignoredErrors>
    <ignoredError sqref="F9 F1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2723E2-D7BF-4D5E-9B07-BCEE51DC24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workbookViewId="0">
      <selection activeCell="G12" sqref="G12"/>
    </sheetView>
  </sheetViews>
  <sheetFormatPr baseColWidth="10" defaultRowHeight="15" x14ac:dyDescent="0.25"/>
  <cols>
    <col min="1" max="1" width="1.7109375" customWidth="1"/>
    <col min="2" max="2" width="36.28515625" customWidth="1"/>
    <col min="3" max="3" width="28.7109375" customWidth="1"/>
    <col min="4" max="4" width="15.28515625" customWidth="1"/>
    <col min="5" max="7" width="14.7109375" customWidth="1"/>
  </cols>
  <sheetData>
    <row r="1" spans="2:12" ht="9.75" customHeight="1" thickBot="1" x14ac:dyDescent="0.3"/>
    <row r="2" spans="2:12" ht="15.75" thickBot="1" x14ac:dyDescent="0.3">
      <c r="B2" s="279" t="s">
        <v>0</v>
      </c>
      <c r="C2" s="279" t="s">
        <v>1</v>
      </c>
      <c r="D2" s="281" t="s">
        <v>86</v>
      </c>
      <c r="E2" s="237" t="s">
        <v>69</v>
      </c>
      <c r="F2" s="238"/>
      <c r="G2" s="278"/>
    </row>
    <row r="3" spans="2:12" ht="15.75" customHeight="1" thickBot="1" x14ac:dyDescent="0.3">
      <c r="B3" s="285"/>
      <c r="C3" s="285"/>
      <c r="D3" s="282"/>
      <c r="E3" s="31" t="s">
        <v>66</v>
      </c>
      <c r="F3" s="31" t="s">
        <v>67</v>
      </c>
      <c r="G3" s="31" t="s">
        <v>68</v>
      </c>
    </row>
    <row r="4" spans="2:12" ht="15.75" customHeight="1" x14ac:dyDescent="0.25">
      <c r="B4" s="190" t="s">
        <v>61</v>
      </c>
      <c r="C4" s="21" t="s">
        <v>80</v>
      </c>
      <c r="D4" s="96">
        <v>1423420</v>
      </c>
      <c r="E4" s="197">
        <f>D4*'[1]Prorrateo Centros de costos'!$I$7</f>
        <v>120518.23677610864</v>
      </c>
      <c r="F4" s="197">
        <f>D4*'[1]Prorrateo Centros de costos'!$I$6</f>
        <v>1001035.0097753695</v>
      </c>
      <c r="G4" s="95">
        <f>D4*'[1]Prorrateo Centros de costos'!$I$5</f>
        <v>301866.75344852178</v>
      </c>
      <c r="L4" s="94"/>
    </row>
    <row r="5" spans="2:12" x14ac:dyDescent="0.25">
      <c r="B5" s="191" t="s">
        <v>56</v>
      </c>
      <c r="C5" s="22" t="s">
        <v>75</v>
      </c>
      <c r="D5" s="97">
        <v>813700</v>
      </c>
      <c r="E5" s="198">
        <f>D5*'[1]Prorrateo Centros de costos'!$I$7</f>
        <v>68894.415748492785</v>
      </c>
      <c r="F5" s="198">
        <f>D5*'[1]Prorrateo Centros de costos'!$I$6</f>
        <v>572243.03961881821</v>
      </c>
      <c r="G5" s="100">
        <f>D5*'[1]Prorrateo Centros de costos'!$I$5</f>
        <v>172562.54463268901</v>
      </c>
      <c r="L5" s="94"/>
    </row>
    <row r="6" spans="2:12" x14ac:dyDescent="0.25">
      <c r="B6" s="191" t="s">
        <v>57</v>
      </c>
      <c r="C6" s="22" t="s">
        <v>76</v>
      </c>
      <c r="D6" s="97">
        <v>848700</v>
      </c>
      <c r="E6" s="198">
        <v>0</v>
      </c>
      <c r="F6" s="198">
        <f>D6*50%</f>
        <v>424350</v>
      </c>
      <c r="G6" s="100">
        <f>D6*50%</f>
        <v>424350</v>
      </c>
      <c r="L6" s="94"/>
    </row>
    <row r="7" spans="2:12" x14ac:dyDescent="0.25">
      <c r="B7" s="191" t="s">
        <v>58</v>
      </c>
      <c r="C7" s="22" t="s">
        <v>77</v>
      </c>
      <c r="D7" s="97">
        <v>711955</v>
      </c>
      <c r="E7" s="198">
        <f>D7*'[1]Prorrateo Centros de costos'!$I$7</f>
        <v>60279.862067369031</v>
      </c>
      <c r="F7" s="198">
        <f>D7*'[1]Prorrateo Centros de costos'!$I$6</f>
        <v>500689.80370138347</v>
      </c>
      <c r="G7" s="100">
        <f>D7*'[1]Prorrateo Centros de costos'!$I$5</f>
        <v>150985.33423124751</v>
      </c>
    </row>
    <row r="8" spans="2:12" x14ac:dyDescent="0.25">
      <c r="B8" s="191" t="s">
        <v>59</v>
      </c>
      <c r="C8" s="22" t="s">
        <v>78</v>
      </c>
      <c r="D8" s="97">
        <v>1362100</v>
      </c>
      <c r="E8" s="198">
        <f>D8*'[1]Prorrateo Centros de costos'!$I$7</f>
        <v>115326.39018191227</v>
      </c>
      <c r="F8" s="198">
        <f>D8*'[1]Prorrateo Centros de costos'!$I$6</f>
        <v>957911.0781182159</v>
      </c>
      <c r="G8" s="100">
        <f>D8*'[1]Prorrateo Centros de costos'!$I$5</f>
        <v>288862.53169987182</v>
      </c>
    </row>
    <row r="9" spans="2:12" x14ac:dyDescent="0.25">
      <c r="B9" s="191" t="s">
        <v>60</v>
      </c>
      <c r="C9" s="22" t="s">
        <v>77</v>
      </c>
      <c r="D9" s="97">
        <v>711955</v>
      </c>
      <c r="E9" s="198">
        <f>D9*'[1]Prorrateo Centros de costos'!$I$7</f>
        <v>60279.862067369031</v>
      </c>
      <c r="F9" s="198">
        <f>D9*'[1]Prorrateo Centros de costos'!$I$6</f>
        <v>500689.80370138347</v>
      </c>
      <c r="G9" s="100">
        <f>D9*'[1]Prorrateo Centros de costos'!$I$5</f>
        <v>150985.33423124751</v>
      </c>
    </row>
    <row r="10" spans="2:12" x14ac:dyDescent="0.25">
      <c r="B10" s="191" t="s">
        <v>62</v>
      </c>
      <c r="C10" s="22" t="s">
        <v>81</v>
      </c>
      <c r="D10" s="97">
        <v>1363200</v>
      </c>
      <c r="E10" s="198">
        <f>D10*'[1]Prorrateo Centros de costos'!$I$7</f>
        <v>115419.52506863138</v>
      </c>
      <c r="F10" s="198">
        <f>D10*'[1]Prorrateo Centros de costos'!$I$6</f>
        <v>958684.66462869977</v>
      </c>
      <c r="G10" s="100">
        <f>D10*'[1]Prorrateo Centros de costos'!$I$5</f>
        <v>289095.81030266883</v>
      </c>
    </row>
    <row r="11" spans="2:12" x14ac:dyDescent="0.25">
      <c r="B11" s="191" t="s">
        <v>84</v>
      </c>
      <c r="C11" s="22" t="s">
        <v>85</v>
      </c>
      <c r="D11" s="97">
        <v>394827.5</v>
      </c>
      <c r="E11" s="198">
        <f>D11*'[1]Prorrateo Centros de costos'!$I$7</f>
        <v>33429.285896445908</v>
      </c>
      <c r="F11" s="198">
        <f>D11*'[1]Prorrateo Centros de costos'!$I$6</f>
        <v>277666.57088005281</v>
      </c>
      <c r="G11" s="100">
        <f>D11*'[1]Prorrateo Centros de costos'!$I$5</f>
        <v>83731.643223501305</v>
      </c>
    </row>
    <row r="12" spans="2:12" ht="15.75" thickBot="1" x14ac:dyDescent="0.3">
      <c r="B12" s="192" t="s">
        <v>64</v>
      </c>
      <c r="C12" s="196" t="s">
        <v>83</v>
      </c>
      <c r="D12" s="98">
        <v>711955</v>
      </c>
      <c r="E12" s="199">
        <v>0</v>
      </c>
      <c r="F12" s="199">
        <v>0</v>
      </c>
      <c r="G12" s="101">
        <f>D12</f>
        <v>711955</v>
      </c>
    </row>
    <row r="13" spans="2:12" ht="15.75" thickBot="1" x14ac:dyDescent="0.3">
      <c r="B13" s="283" t="s">
        <v>70</v>
      </c>
      <c r="C13" s="284"/>
      <c r="D13" s="99">
        <f>SUM(D4:D12)</f>
        <v>8341812.5</v>
      </c>
      <c r="E13" s="43">
        <f>SUM(E4:E12)</f>
        <v>574147.57780632901</v>
      </c>
      <c r="F13" s="43">
        <f t="shared" ref="F13:G13" si="0">SUM(F4:F12)</f>
        <v>5193269.9704239229</v>
      </c>
      <c r="G13" s="43">
        <f t="shared" si="0"/>
        <v>2574394.9517697478</v>
      </c>
      <c r="H13" s="17"/>
    </row>
    <row r="15" spans="2:12" ht="15.75" thickBot="1" x14ac:dyDescent="0.3">
      <c r="F15" s="2"/>
      <c r="G15" s="2"/>
      <c r="H15" s="2"/>
      <c r="I15" s="2"/>
    </row>
    <row r="16" spans="2:12" ht="15.75" thickBot="1" x14ac:dyDescent="0.3">
      <c r="C16" s="237" t="s">
        <v>71</v>
      </c>
      <c r="D16" s="278"/>
      <c r="F16" s="2"/>
      <c r="G16" s="2"/>
      <c r="H16" s="2"/>
      <c r="I16" s="2"/>
    </row>
    <row r="17" spans="3:9" ht="15.75" thickBot="1" x14ac:dyDescent="0.3">
      <c r="C17" s="23" t="s">
        <v>69</v>
      </c>
      <c r="D17" s="23" t="s">
        <v>72</v>
      </c>
      <c r="F17" s="91"/>
      <c r="G17" s="91"/>
      <c r="H17" s="92"/>
      <c r="I17" s="92"/>
    </row>
    <row r="18" spans="3:9" x14ac:dyDescent="0.25">
      <c r="C18" s="32" t="s">
        <v>73</v>
      </c>
      <c r="D18" s="34">
        <f>E13/D13</f>
        <v>6.8827677175233679E-2</v>
      </c>
      <c r="F18" s="91"/>
      <c r="G18" s="91"/>
      <c r="H18" s="92"/>
      <c r="I18" s="92"/>
    </row>
    <row r="19" spans="3:9" x14ac:dyDescent="0.25">
      <c r="C19" s="31" t="s">
        <v>67</v>
      </c>
      <c r="D19" s="35">
        <f>F13/D13</f>
        <v>0.62255894272664636</v>
      </c>
      <c r="F19" s="91"/>
      <c r="G19" s="91"/>
      <c r="H19" s="92"/>
      <c r="I19" s="92"/>
    </row>
    <row r="20" spans="3:9" ht="15.75" thickBot="1" x14ac:dyDescent="0.3">
      <c r="C20" s="30" t="s">
        <v>68</v>
      </c>
      <c r="D20" s="36">
        <f>G13/D13</f>
        <v>0.30861338009811989</v>
      </c>
      <c r="F20" s="91"/>
      <c r="G20" s="91"/>
      <c r="H20" s="92"/>
      <c r="I20" s="92"/>
    </row>
    <row r="21" spans="3:9" x14ac:dyDescent="0.25">
      <c r="F21" s="91"/>
      <c r="G21" s="91"/>
      <c r="H21" s="92"/>
      <c r="I21" s="92"/>
    </row>
    <row r="22" spans="3:9" x14ac:dyDescent="0.25">
      <c r="F22" s="91"/>
      <c r="G22" s="91"/>
      <c r="H22" s="92"/>
      <c r="I22" s="92"/>
    </row>
    <row r="23" spans="3:9" x14ac:dyDescent="0.25">
      <c r="F23" s="91"/>
      <c r="G23" s="91"/>
      <c r="H23" s="92"/>
      <c r="I23" s="92"/>
    </row>
    <row r="24" spans="3:9" x14ac:dyDescent="0.25">
      <c r="F24" s="91"/>
      <c r="G24" s="91"/>
      <c r="H24" s="92"/>
      <c r="I24" s="92"/>
    </row>
    <row r="25" spans="3:9" x14ac:dyDescent="0.25">
      <c r="F25" s="91"/>
      <c r="G25" s="91"/>
      <c r="H25" s="92"/>
      <c r="I25" s="92"/>
    </row>
    <row r="26" spans="3:9" x14ac:dyDescent="0.25">
      <c r="F26" s="2"/>
      <c r="G26" s="2"/>
      <c r="H26" s="2"/>
      <c r="I26" s="2"/>
    </row>
    <row r="27" spans="3:9" x14ac:dyDescent="0.25">
      <c r="F27" s="2"/>
      <c r="G27" s="2"/>
      <c r="H27" s="2"/>
      <c r="I27" s="2"/>
    </row>
    <row r="28" spans="3:9" x14ac:dyDescent="0.25">
      <c r="F28" s="2"/>
      <c r="G28" s="2"/>
      <c r="H28" s="2"/>
      <c r="I28" s="2"/>
    </row>
    <row r="29" spans="3:9" x14ac:dyDescent="0.25">
      <c r="F29" s="2"/>
      <c r="G29" s="2"/>
      <c r="H29" s="2"/>
      <c r="I29" s="2"/>
    </row>
  </sheetData>
  <mergeCells count="6">
    <mergeCell ref="E2:G2"/>
    <mergeCell ref="B13:C13"/>
    <mergeCell ref="C16:D16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</vt:lpstr>
      <vt:lpstr>MOI</vt:lpstr>
      <vt:lpstr>MOD POR CENTROS DE COSTOS</vt:lpstr>
      <vt:lpstr>MOI POR CENTROS DE COSTOS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KarenG Palacio</cp:lastModifiedBy>
  <dcterms:created xsi:type="dcterms:W3CDTF">2016-06-06T21:51:53Z</dcterms:created>
  <dcterms:modified xsi:type="dcterms:W3CDTF">2016-07-29T15:41:16Z</dcterms:modified>
</cp:coreProperties>
</file>