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os karen\Documentos\Proyecto Sotra\Sistema\"/>
    </mc:Choice>
  </mc:AlternateContent>
  <bookViews>
    <workbookView xWindow="0" yWindow="0" windowWidth="19560" windowHeight="8235" activeTab="1"/>
  </bookViews>
  <sheets>
    <sheet name="Impuestos" sheetId="1" r:id="rId1"/>
    <sheet name="Servicios públicos" sheetId="2" r:id="rId2"/>
    <sheet name="Arriendos" sheetId="4" r:id="rId3"/>
    <sheet name="papeleria" sheetId="3" r:id="rId4"/>
    <sheet name="Mantenimiento" sheetId="6" r:id="rId5"/>
    <sheet name="Depreciación" sheetId="7" r:id="rId6"/>
    <sheet name="Sistematización" sheetId="9" r:id="rId7"/>
    <sheet name="Seguros" sheetId="8" r:id="rId8"/>
    <sheet name="Diversos" sheetId="11" r:id="rId9"/>
    <sheet name="Legales" sheetId="12" r:id="rId10"/>
    <sheet name="MOI" sheetId="10" r:id="rId11"/>
  </sheets>
  <externalReferences>
    <externalReference r:id="rId12"/>
    <externalReference r:id="rId13"/>
  </externalReferences>
  <definedNames>
    <definedName name="_xlnm._FilterDatabase" localSheetId="4" hidden="1">Mantenimiento!$E$13:$G$17</definedName>
    <definedName name="COLUMNA_1">#REF!</definedName>
    <definedName name="COLUMNA_2">#REF!</definedName>
    <definedName name="COLUMNA_3">#REF!</definedName>
    <definedName name="COLUMNA_4">#REF!</definedName>
    <definedName name="Enero">papeleria!$D$2:$E$2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 l="1"/>
  <c r="E18" i="11"/>
  <c r="D19" i="11"/>
  <c r="E20" i="11"/>
  <c r="E21" i="11"/>
  <c r="E22" i="11"/>
  <c r="E23" i="11"/>
  <c r="E24" i="11"/>
  <c r="E25" i="11"/>
  <c r="E17" i="11"/>
  <c r="D20" i="11"/>
  <c r="D21" i="11"/>
  <c r="D22" i="11"/>
  <c r="D23" i="11"/>
  <c r="D24" i="11"/>
  <c r="D25" i="11"/>
  <c r="D17" i="11"/>
  <c r="C20" i="11"/>
  <c r="C21" i="11"/>
  <c r="C22" i="11"/>
  <c r="C23" i="11"/>
  <c r="C24" i="11"/>
  <c r="C25" i="11"/>
  <c r="C17" i="11"/>
  <c r="D26" i="11" l="1"/>
  <c r="H19" i="11" s="1"/>
  <c r="C26" i="11"/>
  <c r="H18" i="11" s="1"/>
  <c r="E26" i="11"/>
  <c r="H20" i="11" s="1"/>
  <c r="H21" i="11" l="1"/>
  <c r="F8" i="11"/>
  <c r="F4" i="12"/>
  <c r="F11" i="11"/>
  <c r="F4" i="11"/>
  <c r="F5" i="11"/>
  <c r="F6" i="11"/>
  <c r="F7" i="11"/>
  <c r="F9" i="11"/>
  <c r="F10" i="11"/>
  <c r="F3" i="11"/>
  <c r="F12" i="11" s="1"/>
  <c r="E9" i="12" l="1"/>
  <c r="C9" i="12"/>
  <c r="D9" i="12"/>
  <c r="F5" i="12"/>
  <c r="C4" i="9"/>
  <c r="D13" i="12" l="1"/>
  <c r="D14" i="12"/>
  <c r="D15" i="12"/>
  <c r="M11" i="2"/>
  <c r="L11" i="2"/>
  <c r="K11" i="2"/>
  <c r="L8" i="2"/>
  <c r="M8" i="2"/>
  <c r="K8" i="2"/>
  <c r="H8" i="2"/>
  <c r="I8" i="2"/>
  <c r="G8" i="2"/>
  <c r="D8" i="2"/>
  <c r="E8" i="2"/>
  <c r="C8" i="2"/>
  <c r="F8" i="2" l="1"/>
  <c r="D16" i="12"/>
  <c r="N8" i="2"/>
  <c r="J8" i="2"/>
  <c r="L6" i="2"/>
  <c r="M6" i="2"/>
  <c r="K6" i="2"/>
  <c r="H6" i="2"/>
  <c r="I6" i="2"/>
  <c r="G6" i="2"/>
  <c r="D6" i="2"/>
  <c r="E6" i="2"/>
  <c r="C6" i="2"/>
  <c r="D7" i="2"/>
  <c r="L7" i="2"/>
  <c r="M7" i="2"/>
  <c r="K7" i="2"/>
  <c r="H7" i="2"/>
  <c r="I7" i="2"/>
  <c r="G7" i="2"/>
  <c r="E7" i="2"/>
  <c r="C7" i="2"/>
  <c r="O8" i="2" l="1"/>
  <c r="J25" i="2" s="1"/>
  <c r="J24" i="2"/>
  <c r="N7" i="2"/>
  <c r="J7" i="2"/>
  <c r="M5" i="2"/>
  <c r="L5" i="2"/>
  <c r="K5" i="2"/>
  <c r="I5" i="2"/>
  <c r="H5" i="2"/>
  <c r="G5" i="2"/>
  <c r="E5" i="2"/>
  <c r="D5" i="2"/>
  <c r="C5" i="2"/>
  <c r="J23" i="2" l="1"/>
  <c r="F5" i="2"/>
  <c r="N5" i="2"/>
  <c r="J5" i="2"/>
  <c r="F7" i="2"/>
  <c r="O5" i="2" l="1"/>
  <c r="O7" i="2"/>
  <c r="J4" i="10"/>
  <c r="J5" i="10"/>
  <c r="J6" i="10"/>
  <c r="J7" i="10"/>
  <c r="J8" i="10"/>
  <c r="J9" i="10"/>
  <c r="J10" i="10"/>
  <c r="J11" i="10"/>
  <c r="J3" i="10"/>
  <c r="I4" i="10"/>
  <c r="I5" i="10"/>
  <c r="I6" i="10"/>
  <c r="I7" i="10"/>
  <c r="I8" i="10"/>
  <c r="I9" i="10"/>
  <c r="I10" i="10"/>
  <c r="I11" i="10"/>
  <c r="I3" i="10"/>
  <c r="J18" i="10"/>
  <c r="I18" i="10"/>
  <c r="H18" i="10"/>
  <c r="J16" i="10"/>
  <c r="I16" i="10"/>
  <c r="H16" i="10"/>
  <c r="H4" i="10"/>
  <c r="H5" i="10"/>
  <c r="H6" i="10"/>
  <c r="H7" i="10"/>
  <c r="H8" i="10"/>
  <c r="H9" i="10"/>
  <c r="H10" i="10"/>
  <c r="H11" i="10"/>
  <c r="H3" i="10"/>
  <c r="E10" i="9"/>
  <c r="D10" i="9"/>
  <c r="C10" i="9"/>
  <c r="E23" i="3"/>
  <c r="E24" i="3"/>
  <c r="E25" i="3"/>
  <c r="E26" i="3"/>
  <c r="E27" i="3"/>
  <c r="E28" i="3"/>
  <c r="E29" i="3"/>
  <c r="E30" i="3"/>
  <c r="E31" i="3"/>
  <c r="E32" i="3"/>
  <c r="E22" i="3"/>
  <c r="D23" i="3"/>
  <c r="D24" i="3"/>
  <c r="D25" i="3"/>
  <c r="D26" i="3"/>
  <c r="D27" i="3"/>
  <c r="D28" i="3"/>
  <c r="D29" i="3"/>
  <c r="D30" i="3"/>
  <c r="D31" i="3"/>
  <c r="D32" i="3"/>
  <c r="D22" i="3"/>
  <c r="C23" i="3"/>
  <c r="C24" i="3"/>
  <c r="C25" i="3"/>
  <c r="C26" i="3"/>
  <c r="C27" i="3"/>
  <c r="C28" i="3"/>
  <c r="C29" i="3"/>
  <c r="C30" i="3"/>
  <c r="C31" i="3"/>
  <c r="C32" i="3"/>
  <c r="C22" i="3"/>
  <c r="D3" i="1"/>
  <c r="E3" i="1"/>
  <c r="C3" i="1"/>
  <c r="E5" i="1"/>
  <c r="E6" i="1"/>
  <c r="E4" i="1"/>
  <c r="D5" i="1"/>
  <c r="D6" i="1"/>
  <c r="D4" i="1"/>
  <c r="C5" i="1"/>
  <c r="C6" i="1"/>
  <c r="C4" i="1"/>
  <c r="F15" i="3" l="1"/>
  <c r="G15" i="3"/>
  <c r="H15" i="3"/>
  <c r="I15" i="3"/>
  <c r="J13" i="10" l="1"/>
  <c r="I22" i="10" l="1"/>
  <c r="I20" i="10"/>
  <c r="C20" i="10"/>
  <c r="M9" i="6"/>
  <c r="H9" i="6"/>
  <c r="L9" i="6" s="1"/>
  <c r="F10" i="6"/>
  <c r="G10" i="6"/>
  <c r="E10" i="6"/>
  <c r="E8" i="7"/>
  <c r="F7" i="7"/>
  <c r="H8" i="3"/>
  <c r="H9" i="3"/>
  <c r="H10" i="3"/>
  <c r="H11" i="3"/>
  <c r="H12" i="3"/>
  <c r="H13" i="3"/>
  <c r="H14" i="3"/>
  <c r="H16" i="3"/>
  <c r="H17" i="3"/>
  <c r="H7" i="3"/>
  <c r="G8" i="3"/>
  <c r="G9" i="3"/>
  <c r="G10" i="3"/>
  <c r="G11" i="3"/>
  <c r="G12" i="3"/>
  <c r="G13" i="3"/>
  <c r="G14" i="3"/>
  <c r="G16" i="3"/>
  <c r="G17" i="3"/>
  <c r="G7" i="3"/>
  <c r="F8" i="3"/>
  <c r="F9" i="3"/>
  <c r="F10" i="3"/>
  <c r="F11" i="3"/>
  <c r="F12" i="3"/>
  <c r="F13" i="3"/>
  <c r="F14" i="3"/>
  <c r="F16" i="3"/>
  <c r="F17" i="3"/>
  <c r="F7" i="3"/>
  <c r="E17" i="7" l="1"/>
  <c r="L10" i="2"/>
  <c r="M10" i="2"/>
  <c r="K10" i="2"/>
  <c r="H10" i="2"/>
  <c r="I10" i="2"/>
  <c r="G10" i="2"/>
  <c r="D10" i="2"/>
  <c r="E10" i="2"/>
  <c r="C10" i="2"/>
  <c r="D4" i="8" l="1"/>
  <c r="J9" i="2"/>
  <c r="J10" i="2"/>
  <c r="J11" i="2"/>
  <c r="H5" i="6" l="1"/>
  <c r="H6" i="6"/>
  <c r="H7" i="6"/>
  <c r="H8" i="6"/>
  <c r="K8" i="6" s="1"/>
  <c r="M8" i="6" s="1"/>
  <c r="H4" i="6"/>
  <c r="L6" i="6" l="1"/>
  <c r="K6" i="6"/>
  <c r="J6" i="6"/>
  <c r="L4" i="6"/>
  <c r="K4" i="6"/>
  <c r="J4" i="6"/>
  <c r="H10" i="6"/>
  <c r="L7" i="6"/>
  <c r="K7" i="6"/>
  <c r="J7" i="6"/>
  <c r="L5" i="6"/>
  <c r="K5" i="6"/>
  <c r="J5" i="6"/>
  <c r="F6" i="1"/>
  <c r="H30" i="1" s="1"/>
  <c r="H29" i="1" l="1"/>
  <c r="H31" i="1"/>
  <c r="H32" i="1" l="1"/>
  <c r="N9" i="2"/>
  <c r="N10" i="2"/>
  <c r="F9" i="2"/>
  <c r="O9" i="2" s="1"/>
  <c r="F10" i="2"/>
  <c r="F11" i="2"/>
  <c r="N11" i="2"/>
  <c r="N6" i="2"/>
  <c r="F6" i="2"/>
  <c r="O10" i="2" l="1"/>
  <c r="E31" i="2" s="1"/>
  <c r="J6" i="2"/>
  <c r="O11" i="2"/>
  <c r="E32" i="2" l="1"/>
  <c r="E30" i="2"/>
  <c r="E33" i="2" s="1"/>
  <c r="O6" i="2"/>
  <c r="C11" i="9"/>
  <c r="E11" i="9"/>
  <c r="D11" i="9"/>
  <c r="F3" i="10" l="1"/>
  <c r="F4" i="10"/>
  <c r="F5" i="10"/>
  <c r="F6" i="10"/>
  <c r="F7" i="10"/>
  <c r="F8" i="10"/>
  <c r="F9" i="10"/>
  <c r="F10" i="10"/>
  <c r="F11" i="10"/>
  <c r="F12" i="10"/>
  <c r="J12" i="10" s="1"/>
  <c r="F13" i="10"/>
  <c r="C14" i="10"/>
  <c r="F14" i="10" s="1"/>
  <c r="J14" i="10" s="1"/>
  <c r="C15" i="10"/>
  <c r="E15" i="10"/>
  <c r="D16" i="10"/>
  <c r="E16" i="10"/>
  <c r="F16" i="10" s="1"/>
  <c r="C17" i="10"/>
  <c r="D17" i="10"/>
  <c r="E17" i="10"/>
  <c r="C18" i="10"/>
  <c r="D18" i="10"/>
  <c r="E18" i="10"/>
  <c r="C19" i="10"/>
  <c r="D19" i="10"/>
  <c r="E19" i="10"/>
  <c r="D20" i="10"/>
  <c r="E20" i="10"/>
  <c r="C21" i="10"/>
  <c r="D21" i="10"/>
  <c r="D22" i="10"/>
  <c r="F22" i="10" s="1"/>
  <c r="E23" i="10"/>
  <c r="F19" i="10" l="1"/>
  <c r="J19" i="10" s="1"/>
  <c r="F17" i="10"/>
  <c r="I17" i="10" s="1"/>
  <c r="F20" i="10"/>
  <c r="F18" i="10"/>
  <c r="C23" i="10"/>
  <c r="F21" i="10"/>
  <c r="J21" i="10" s="1"/>
  <c r="D23" i="10"/>
  <c r="F15" i="10"/>
  <c r="F23" i="10" l="1"/>
  <c r="H23" i="10"/>
  <c r="E27" i="10" s="1"/>
  <c r="J15" i="10"/>
  <c r="J23" i="10" s="1"/>
  <c r="E29" i="10" s="1"/>
  <c r="I15" i="10"/>
  <c r="I23" i="10" s="1"/>
  <c r="E28" i="10" s="1"/>
  <c r="E30" i="10" l="1"/>
  <c r="I28" i="10" s="1"/>
  <c r="I29" i="10" l="1"/>
  <c r="I27" i="10"/>
  <c r="F3" i="7"/>
  <c r="G13" i="7" l="1"/>
  <c r="E13" i="7"/>
  <c r="F13" i="7"/>
  <c r="I30" i="10"/>
  <c r="D5" i="9"/>
  <c r="I7" i="3" l="1"/>
  <c r="I14" i="3"/>
  <c r="I12" i="3"/>
  <c r="I10" i="3"/>
  <c r="I8" i="3"/>
  <c r="I17" i="3"/>
  <c r="I16" i="3"/>
  <c r="I13" i="3"/>
  <c r="I11" i="3"/>
  <c r="I9" i="3"/>
  <c r="D17" i="9"/>
  <c r="D16" i="9"/>
  <c r="D18" i="9"/>
  <c r="F18" i="3"/>
  <c r="G18" i="3"/>
  <c r="H18" i="3"/>
  <c r="D19" i="9" l="1"/>
  <c r="I18" i="3"/>
  <c r="J16" i="2" l="1"/>
  <c r="O23" i="2"/>
  <c r="O16" i="2"/>
  <c r="E17" i="2"/>
  <c r="E16" i="2"/>
  <c r="E18" i="2"/>
  <c r="J12" i="2"/>
  <c r="J18" i="2" l="1"/>
  <c r="J17" i="2"/>
  <c r="E19" i="2"/>
  <c r="E24" i="2"/>
  <c r="E25" i="2"/>
  <c r="J31" i="2"/>
  <c r="J32" i="2"/>
  <c r="N12" i="2"/>
  <c r="F12" i="2"/>
  <c r="O17" i="2"/>
  <c r="O18" i="2"/>
  <c r="O24" i="2"/>
  <c r="O25" i="2"/>
  <c r="E23" i="2"/>
  <c r="O12" i="2"/>
  <c r="S5" i="2" s="1"/>
  <c r="J30" i="2"/>
  <c r="D5" i="8"/>
  <c r="E4" i="8"/>
  <c r="E11" i="8" s="1"/>
  <c r="E3" i="8"/>
  <c r="D10" i="8" s="1"/>
  <c r="S4" i="2" l="1"/>
  <c r="S6" i="2"/>
  <c r="J19" i="2"/>
  <c r="J33" i="2"/>
  <c r="E26" i="2"/>
  <c r="O26" i="2"/>
  <c r="O19" i="2"/>
  <c r="E12" i="8"/>
  <c r="F12" i="8"/>
  <c r="D12" i="8"/>
  <c r="J26" i="2"/>
  <c r="E5" i="8"/>
  <c r="F6" i="7"/>
  <c r="F5" i="7"/>
  <c r="F4" i="7"/>
  <c r="S7" i="2" l="1"/>
  <c r="F14" i="7"/>
  <c r="G14" i="7"/>
  <c r="E14" i="7"/>
  <c r="F8" i="7"/>
  <c r="F16" i="7"/>
  <c r="G16" i="7"/>
  <c r="E16" i="7"/>
  <c r="G15" i="7"/>
  <c r="E15" i="7"/>
  <c r="F15" i="7"/>
  <c r="D16" i="8"/>
  <c r="D17" i="8"/>
  <c r="D18" i="8"/>
  <c r="G18" i="7" l="1"/>
  <c r="E23" i="7" s="1"/>
  <c r="E18" i="7"/>
  <c r="E21" i="7" s="1"/>
  <c r="F18" i="7"/>
  <c r="D19" i="8"/>
  <c r="E22" i="7"/>
  <c r="E24" i="7" l="1"/>
  <c r="C18" i="3" l="1"/>
  <c r="E14" i="4" l="1"/>
  <c r="D20" i="4" l="1"/>
  <c r="D21" i="4"/>
  <c r="D19" i="4"/>
  <c r="F3" i="4"/>
  <c r="F5" i="4"/>
  <c r="F7" i="4"/>
  <c r="F9" i="4"/>
  <c r="F11" i="4"/>
  <c r="F13" i="4"/>
  <c r="F4" i="4"/>
  <c r="F6" i="4"/>
  <c r="F8" i="4"/>
  <c r="F10" i="4"/>
  <c r="F12" i="4"/>
  <c r="F14" i="4" l="1"/>
  <c r="D22" i="4"/>
  <c r="G20" i="4" s="1"/>
  <c r="G18" i="4" l="1"/>
  <c r="G19" i="4"/>
  <c r="F5" i="1"/>
  <c r="G21" i="4" l="1"/>
  <c r="H25" i="1"/>
  <c r="H23" i="1"/>
  <c r="H24" i="1"/>
  <c r="F4" i="1"/>
  <c r="H19" i="1" l="1"/>
  <c r="H18" i="1"/>
  <c r="H17" i="1"/>
  <c r="H26" i="1"/>
  <c r="H20" i="1" l="1"/>
  <c r="D33" i="3" l="1"/>
  <c r="C38" i="3" s="1"/>
  <c r="E33" i="3" l="1"/>
  <c r="C39" i="3" s="1"/>
  <c r="C33" i="3"/>
  <c r="C37" i="3" s="1"/>
  <c r="C40" i="3" l="1"/>
  <c r="F38" i="3" l="1"/>
  <c r="F37" i="3"/>
  <c r="F39" i="3"/>
  <c r="F40" i="3" l="1"/>
  <c r="C7" i="1" l="1"/>
  <c r="E7" i="1"/>
  <c r="D7" i="1" l="1"/>
  <c r="L10" i="6"/>
  <c r="M7" i="6"/>
  <c r="M5" i="6"/>
  <c r="F3" i="1"/>
  <c r="K10" i="6"/>
  <c r="M6" i="6"/>
  <c r="M4" i="6"/>
  <c r="J10" i="6"/>
  <c r="H12" i="1" l="1"/>
  <c r="M10" i="6"/>
  <c r="G15" i="6" s="1"/>
  <c r="F7" i="1"/>
  <c r="D12" i="1" s="1"/>
  <c r="H11" i="1"/>
  <c r="H13" i="1"/>
  <c r="G16" i="6"/>
  <c r="G14" i="6" l="1"/>
  <c r="H14" i="1"/>
  <c r="D13" i="1"/>
  <c r="D11" i="1"/>
  <c r="G17" i="6"/>
  <c r="D14" i="1" l="1"/>
</calcChain>
</file>

<file path=xl/sharedStrings.xml><?xml version="1.0" encoding="utf-8"?>
<sst xmlns="http://schemas.openxmlformats.org/spreadsheetml/2006/main" count="398" uniqueCount="163">
  <si>
    <t>IMPUESTOS</t>
  </si>
  <si>
    <t>GIROS</t>
  </si>
  <si>
    <t>PASAJES</t>
  </si>
  <si>
    <t>ENCOMIENDAS</t>
  </si>
  <si>
    <t>CREE</t>
  </si>
  <si>
    <t>PREDIAL</t>
  </si>
  <si>
    <t>INDUSTRIA Y COMERCIO</t>
  </si>
  <si>
    <t>TOTAL IMPUESTOS</t>
  </si>
  <si>
    <t>TOTAL CENTRO DE COSTOS</t>
  </si>
  <si>
    <t>PORCENTAJE DE ASIGNACIÓN TOTAL</t>
  </si>
  <si>
    <t>PORCENTAJE DE ASIGNACIÓN IMPUESTO PREDIAL</t>
  </si>
  <si>
    <t>PORCENTAJE DE ASIGNACIÓN IMPUESTO INDUSTRIA  Y COMERCIO</t>
  </si>
  <si>
    <t>TOTAL IMPUESTO PREDIAL</t>
  </si>
  <si>
    <t>TOTAL IMPUESTO INDUSTRIA Y COMERCIO</t>
  </si>
  <si>
    <t>PORCENTAJE DE ASIGNACIÓN DE IMPUESTO CREE</t>
  </si>
  <si>
    <t>TOTAL IMPUESTO CREE</t>
  </si>
  <si>
    <t>LUZ</t>
  </si>
  <si>
    <t>AGUA</t>
  </si>
  <si>
    <t>INTERNET</t>
  </si>
  <si>
    <t>PARABOLICA</t>
  </si>
  <si>
    <t>ENERO</t>
  </si>
  <si>
    <t xml:space="preserve">FEBRERO </t>
  </si>
  <si>
    <t>MARZO</t>
  </si>
  <si>
    <t>PROMEDIO</t>
  </si>
  <si>
    <t>TOTAL DE SERVICIOS DE GIROS</t>
  </si>
  <si>
    <t>TOTAL DE SERVICIOS</t>
  </si>
  <si>
    <t>PORCENTAJE DE ASIGNACIÓN POR LUZ</t>
  </si>
  <si>
    <t>PORCENTAJE DE ASIGNACIÓN TOTAL POR AGUA</t>
  </si>
  <si>
    <t>PORCENTAJE DE ASIGNACIÓN TOTAL POR INTERNET</t>
  </si>
  <si>
    <t>TOTAL AGUA</t>
  </si>
  <si>
    <t>TOTAL LUZ</t>
  </si>
  <si>
    <t>TOTAL INTERNET</t>
  </si>
  <si>
    <t>Enero</t>
  </si>
  <si>
    <t xml:space="preserve">Febrero </t>
  </si>
  <si>
    <t>Marzo</t>
  </si>
  <si>
    <t>OFICINA</t>
  </si>
  <si>
    <t>SIMITI</t>
  </si>
  <si>
    <t>AGUACHICA</t>
  </si>
  <si>
    <t>GAMARRA</t>
  </si>
  <si>
    <t>SANTA ROSA</t>
  </si>
  <si>
    <t>SAN PABLO</t>
  </si>
  <si>
    <t>GIRON</t>
  </si>
  <si>
    <t>CERRO DE BURGOS</t>
  </si>
  <si>
    <t>CALLE 31</t>
  </si>
  <si>
    <t>PUERTO WILCHES</t>
  </si>
  <si>
    <t>CENTRO DE COSTOS</t>
  </si>
  <si>
    <t>VALOR MENSUAL</t>
  </si>
  <si>
    <t>VALOR ARRIENDO ASUMIDO POR SOTRA</t>
  </si>
  <si>
    <t>PORCENTAJE DE ASIGNACIÓN</t>
  </si>
  <si>
    <t xml:space="preserve">GIROS </t>
  </si>
  <si>
    <t>TOTAL ARRIENDOS</t>
  </si>
  <si>
    <t>PORCENTAJE DE ASIGNACIÓN ARRIENDOS</t>
  </si>
  <si>
    <t>TOTAL</t>
  </si>
  <si>
    <t>ARRIENDOS</t>
  </si>
  <si>
    <t>PORCENTAJE</t>
  </si>
  <si>
    <t>TERMINAL B/GA</t>
  </si>
  <si>
    <t>ALARCÓN</t>
  </si>
  <si>
    <t>PAPELERIA</t>
  </si>
  <si>
    <t>GIRÓN</t>
  </si>
  <si>
    <t>FLETES Y ACARREOS</t>
  </si>
  <si>
    <t>SERVICIOS</t>
  </si>
  <si>
    <t>ASEO Y VIGILANCIA</t>
  </si>
  <si>
    <t>FEBRERO</t>
  </si>
  <si>
    <t>MANTENIMIENTO</t>
  </si>
  <si>
    <t>CENTROS DE COSTO</t>
  </si>
  <si>
    <t>EQUIPO DE COMPUTACIÓN Y COMUN</t>
  </si>
  <si>
    <t>CONSTRUCCIÓN Y EDIFCACIÓN</t>
  </si>
  <si>
    <t>CENTROS DE COSTOS</t>
  </si>
  <si>
    <t>CONCEPTO DE SEGURO</t>
  </si>
  <si>
    <t>CENTRO DE COSTO</t>
  </si>
  <si>
    <t>SISTEMATIZACIÓN</t>
  </si>
  <si>
    <t>CONCEPTO DE DEPRECIACIÓN</t>
  </si>
  <si>
    <t xml:space="preserve">PASAJES </t>
  </si>
  <si>
    <t>ASIGNACIÓN TOTAL</t>
  </si>
  <si>
    <t>VALOR</t>
  </si>
  <si>
    <t>TOTAL DE SERVICIOS DE ENCOMIENDAS</t>
  </si>
  <si>
    <t>TOTAL DE SERVICIOS DE PASAJES</t>
  </si>
  <si>
    <t>PORCENTAJE DE ASIGNACIÓN POR FLETES Y ACARREOS</t>
  </si>
  <si>
    <t>TOTAL FLETES Y ACARREOS</t>
  </si>
  <si>
    <t>PORCENTAJE DE ASIGNACIÓN TOTAL POR PARABÓLICA</t>
  </si>
  <si>
    <t>PORCENTAJE DE ASIGNACIÓN TOTAL POR TELÉFONO</t>
  </si>
  <si>
    <t>TOTAL PARABÓLICA</t>
  </si>
  <si>
    <t>TOTAL TELÉFONO</t>
  </si>
  <si>
    <t>PORCENTAJE DE ASIGNACIÓN MTTO</t>
  </si>
  <si>
    <t>NOMBRE</t>
  </si>
  <si>
    <t>CARGO</t>
  </si>
  <si>
    <t>AGENTE GAMARRA</t>
  </si>
  <si>
    <t>AGENTE AGUACHICA</t>
  </si>
  <si>
    <t>AGENTE GIRÓN</t>
  </si>
  <si>
    <t>MARLENY RODRIGUEZ LOPEZ</t>
  </si>
  <si>
    <t>AGENTE CERRO DE BURGOS</t>
  </si>
  <si>
    <t>AGENTE PUERTO WILCHES</t>
  </si>
  <si>
    <t>REVISOR FISCAL</t>
  </si>
  <si>
    <t>ASESOR JURÍDICO</t>
  </si>
  <si>
    <t>ASESORA FINANCIERA</t>
  </si>
  <si>
    <t>ASESORA TÉCNICA</t>
  </si>
  <si>
    <t>GÓMEZ PORRAS PAULA ANDREA</t>
  </si>
  <si>
    <t>TURNO ENCOMIENDAS</t>
  </si>
  <si>
    <t>PEÑA ARGUELLOS YORDY</t>
  </si>
  <si>
    <t>TURNO VIGILANCIA</t>
  </si>
  <si>
    <t>PADILLA MOISES</t>
  </si>
  <si>
    <t>DOMICILIOS</t>
  </si>
  <si>
    <t>FULA BARBOSA MADELEN</t>
  </si>
  <si>
    <t>IGLESIAS JILSON</t>
  </si>
  <si>
    <t>TURNO SIMITÍ</t>
  </si>
  <si>
    <t>VEGA PÉREZA ANA</t>
  </si>
  <si>
    <t>TURNO SAN PABLO</t>
  </si>
  <si>
    <t>ALFONSO GARCÍA ROCIO</t>
  </si>
  <si>
    <t>ARIZA HERRERA ASCENED</t>
  </si>
  <si>
    <t>TURNO TERMINAL</t>
  </si>
  <si>
    <t>DAZA SANDRA</t>
  </si>
  <si>
    <t>ARANGO MARTINEZ ERNEY</t>
  </si>
  <si>
    <t>MOI TOTAL</t>
  </si>
  <si>
    <t>TURNO ENCOMIENDAS SANTA ROSA</t>
  </si>
  <si>
    <t>TURNO PASAJES SANTA ROSA</t>
  </si>
  <si>
    <t>TURNO PASAJES Y ENCOMIENDAS SANTA ROSA</t>
  </si>
  <si>
    <t>TURNO ENCOMIENDAS SANTA  ROSA</t>
  </si>
  <si>
    <t>ARRIENDO SILOG</t>
  </si>
  <si>
    <t>DETALLE</t>
  </si>
  <si>
    <t>VALOR ANUAL</t>
  </si>
  <si>
    <t>RENTA</t>
  </si>
  <si>
    <t>PORCENTAJE DE ASIGNACIÓN DE IMPUESTO DE RENTA</t>
  </si>
  <si>
    <t>DELGADO LÓPEZ LAURA</t>
  </si>
  <si>
    <t>TORRES CARÑO ALEXANDRA</t>
  </si>
  <si>
    <t>MARTINEZ DÍAZ GLADYS</t>
  </si>
  <si>
    <t>ALVAREZ HUGO</t>
  </si>
  <si>
    <t>ARAQUE ROJAS JAIME</t>
  </si>
  <si>
    <t>RODRÍGUEZ JAZMÍN</t>
  </si>
  <si>
    <t>MENDIBLE RODRÍGUEZ ÁNDRES FELIPE</t>
  </si>
  <si>
    <t>VERGEL JÁCOME INGRID JOHANA</t>
  </si>
  <si>
    <t>HÉRNANDEZ LUZ ÁNGELA</t>
  </si>
  <si>
    <t>FLOTA Y EQUIPO DE TRANSPORTE</t>
  </si>
  <si>
    <t>EQUIPOS DE OFICINA</t>
  </si>
  <si>
    <t>MAQUINARIA Y EQUIPO</t>
  </si>
  <si>
    <t>EQUIPO FLUVIAL</t>
  </si>
  <si>
    <t>CONSTRUNCIÓN Y EDIFICACIÓN</t>
  </si>
  <si>
    <t>EQUIPO DE COMUNICACIÓN Y COMPUTACIÓN</t>
  </si>
  <si>
    <t>EQUIPO DE OFICINA</t>
  </si>
  <si>
    <t>COSTO ANUAL</t>
  </si>
  <si>
    <t>PROMEDIO MENSUAL</t>
  </si>
  <si>
    <t>TELÉFONO MÓVIL</t>
  </si>
  <si>
    <t>TELÉFONO</t>
  </si>
  <si>
    <t>PORCENTAJE DE ASIGNACIÓN TOTAL POR TELÉFONO MÓVIL</t>
  </si>
  <si>
    <t>PORCENTAJE DE ASIGNACIÓN POR ASEO Y VIGILANCIA</t>
  </si>
  <si>
    <t>ELEMENTOS DE ASEOS Y CAFETERIA</t>
  </si>
  <si>
    <t>COMBUSTIBLES Y LUBRICANTES</t>
  </si>
  <si>
    <t>COMBUSTIBLES CHALUPA</t>
  </si>
  <si>
    <t>TAXIS Y BUSES</t>
  </si>
  <si>
    <t>CASINO Y RESTAURANTE</t>
  </si>
  <si>
    <t>PARQUEADEROS</t>
  </si>
  <si>
    <t xml:space="preserve">SEGUROS FUNEBRES </t>
  </si>
  <si>
    <t>GASTOS LEGALES</t>
  </si>
  <si>
    <t>ASAMBLEA Y ACCIONISTAS</t>
  </si>
  <si>
    <t>DIVERSOS</t>
  </si>
  <si>
    <t>PORCENTAJES DE ASIGNACIÓN</t>
  </si>
  <si>
    <t>CONCEPTO DE DIVERSOS</t>
  </si>
  <si>
    <t>CUMPLIMIENTO</t>
  </si>
  <si>
    <t>OBLIGARORIO ACCIEDENTE DE TRÁNSITO</t>
  </si>
  <si>
    <t>VIAJES</t>
  </si>
  <si>
    <t>TOTAL IMPUESTO RENTA</t>
  </si>
  <si>
    <t>PORCENTAJE DE ASIGNACIÓN TOTAL DE IMPUESTOS</t>
  </si>
  <si>
    <t>ENCOMIENDA</t>
  </si>
  <si>
    <t>PORCENTAJE DE ASIGNACIÓN TOTAL SERVICIO PÚBLICO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</si>
</sst>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&quot;$&quot;#,##0_);\(&quot;$&quot;#,##0\)"/>
    <numFmt numFmtId="165" formatCode="&quot;$&quot;#,##0.00"/>
    <numFmt numFmtId="166" formatCode="_-&quot;$&quot;* #,##0_-;\-&quot;$&quot;* #,##0_-;_-&quot;$&quot;* &quot;-&quot;??_-;_-@_-"/>
    <numFmt numFmtId="167" formatCode="#,##0_);\-#,##0"/>
    <numFmt numFmtId="168" formatCode="&quot;$&quot;#,##0.00_);\(&quot;$&quot;#,##0.00\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trike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7FEB8"/>
        <bgColor indexed="64"/>
      </patternFill>
    </fill>
    <fill>
      <patternFill patternType="solid">
        <fgColor rgb="FF80DEBA"/>
        <bgColor indexed="64"/>
      </patternFill>
    </fill>
    <fill>
      <patternFill patternType="solid">
        <fgColor rgb="FFF9CFA1"/>
        <bgColor indexed="64"/>
      </patternFill>
    </fill>
    <fill>
      <patternFill patternType="solid">
        <fgColor rgb="FFFFC98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5FEA4"/>
        <bgColor indexed="64"/>
      </patternFill>
    </fill>
    <fill>
      <patternFill patternType="solid">
        <fgColor rgb="FFFF99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15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 applyAlignment="1"/>
    <xf numFmtId="0" fontId="0" fillId="0" borderId="0" xfId="0" applyBorder="1" applyAlignment="1"/>
    <xf numFmtId="0" fontId="1" fillId="0" borderId="0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2" fontId="0" fillId="0" borderId="12" xfId="1" applyFont="1" applyBorder="1"/>
    <xf numFmtId="42" fontId="0" fillId="0" borderId="13" xfId="1" applyFont="1" applyBorder="1"/>
    <xf numFmtId="42" fontId="0" fillId="0" borderId="14" xfId="1" applyFont="1" applyBorder="1"/>
    <xf numFmtId="10" fontId="0" fillId="0" borderId="12" xfId="2" applyNumberFormat="1" applyFont="1" applyBorder="1" applyAlignment="1">
      <alignment horizontal="center"/>
    </xf>
    <xf numFmtId="42" fontId="5" fillId="0" borderId="0" xfId="1" applyFont="1" applyAlignment="1">
      <alignment horizontal="center" vertical="center"/>
    </xf>
    <xf numFmtId="42" fontId="0" fillId="0" borderId="8" xfId="1" applyFont="1" applyBorder="1"/>
    <xf numFmtId="42" fontId="0" fillId="0" borderId="3" xfId="1" applyFont="1" applyBorder="1"/>
    <xf numFmtId="42" fontId="0" fillId="0" borderId="6" xfId="1" applyFont="1" applyBorder="1"/>
    <xf numFmtId="0" fontId="1" fillId="0" borderId="14" xfId="0" applyFont="1" applyFill="1" applyBorder="1"/>
    <xf numFmtId="42" fontId="0" fillId="0" borderId="12" xfId="1" applyFont="1" applyBorder="1" applyAlignment="1">
      <alignment horizontal="center"/>
    </xf>
    <xf numFmtId="42" fontId="0" fillId="0" borderId="13" xfId="1" applyFont="1" applyBorder="1" applyAlignment="1">
      <alignment horizontal="center"/>
    </xf>
    <xf numFmtId="42" fontId="0" fillId="0" borderId="2" xfId="1" applyFont="1" applyBorder="1" applyAlignment="1">
      <alignment horizontal="center"/>
    </xf>
    <xf numFmtId="165" fontId="0" fillId="0" borderId="0" xfId="0" applyNumberFormat="1"/>
    <xf numFmtId="42" fontId="0" fillId="0" borderId="13" xfId="0" applyNumberFormat="1" applyBorder="1"/>
    <xf numFmtId="0" fontId="6" fillId="0" borderId="0" xfId="0" applyFont="1"/>
    <xf numFmtId="0" fontId="1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/>
    <xf numFmtId="167" fontId="4" fillId="0" borderId="13" xfId="0" applyNumberFormat="1" applyFont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42" fontId="0" fillId="0" borderId="0" xfId="0" applyNumberFormat="1" applyBorder="1"/>
    <xf numFmtId="10" fontId="0" fillId="0" borderId="0" xfId="2" applyNumberFormat="1" applyFont="1"/>
    <xf numFmtId="10" fontId="0" fillId="0" borderId="0" xfId="2" applyNumberFormat="1" applyFont="1" applyAlignment="1"/>
    <xf numFmtId="167" fontId="3" fillId="0" borderId="1" xfId="0" applyNumberFormat="1" applyFont="1" applyBorder="1"/>
    <xf numFmtId="42" fontId="0" fillId="0" borderId="0" xfId="0" applyNumberFormat="1"/>
    <xf numFmtId="42" fontId="1" fillId="0" borderId="1" xfId="0" applyNumberFormat="1" applyFont="1" applyBorder="1"/>
    <xf numFmtId="9" fontId="1" fillId="0" borderId="1" xfId="0" applyNumberFormat="1" applyFont="1" applyBorder="1" applyAlignment="1">
      <alignment horizontal="center"/>
    </xf>
    <xf numFmtId="42" fontId="0" fillId="0" borderId="12" xfId="0" applyNumberFormat="1" applyBorder="1" applyAlignment="1">
      <alignment horizontal="center"/>
    </xf>
    <xf numFmtId="42" fontId="0" fillId="0" borderId="13" xfId="0" applyNumberFormat="1" applyBorder="1" applyAlignment="1">
      <alignment horizontal="center"/>
    </xf>
    <xf numFmtId="42" fontId="0" fillId="0" borderId="14" xfId="0" applyNumberFormat="1" applyBorder="1" applyAlignment="1">
      <alignment horizontal="center"/>
    </xf>
    <xf numFmtId="9" fontId="1" fillId="0" borderId="14" xfId="0" applyNumberFormat="1" applyFont="1" applyBorder="1" applyAlignment="1">
      <alignment horizontal="center"/>
    </xf>
    <xf numFmtId="10" fontId="0" fillId="0" borderId="13" xfId="2" applyNumberFormat="1" applyFont="1" applyBorder="1" applyAlignment="1">
      <alignment horizontal="center"/>
    </xf>
    <xf numFmtId="10" fontId="0" fillId="0" borderId="14" xfId="2" applyNumberFormat="1" applyFont="1" applyBorder="1" applyAlignment="1">
      <alignment horizontal="center"/>
    </xf>
    <xf numFmtId="42" fontId="5" fillId="0" borderId="12" xfId="1" applyFont="1" applyBorder="1" applyAlignment="1">
      <alignment horizontal="right" vertical="center"/>
    </xf>
    <xf numFmtId="42" fontId="5" fillId="0" borderId="13" xfId="1" applyFont="1" applyBorder="1" applyAlignment="1">
      <alignment horizontal="right" vertical="center"/>
    </xf>
    <xf numFmtId="42" fontId="6" fillId="0" borderId="13" xfId="1" applyFont="1" applyBorder="1"/>
    <xf numFmtId="42" fontId="3" fillId="0" borderId="1" xfId="0" applyNumberFormat="1" applyFont="1" applyBorder="1"/>
    <xf numFmtId="42" fontId="6" fillId="0" borderId="3" xfId="1" applyFont="1" applyBorder="1"/>
    <xf numFmtId="42" fontId="3" fillId="0" borderId="1" xfId="1" applyFont="1" applyBorder="1"/>
    <xf numFmtId="0" fontId="3" fillId="0" borderId="0" xfId="0" applyFont="1" applyBorder="1" applyAlignment="1">
      <alignment horizontal="center"/>
    </xf>
    <xf numFmtId="10" fontId="6" fillId="0" borderId="12" xfId="2" applyNumberFormat="1" applyFont="1" applyBorder="1" applyAlignment="1">
      <alignment horizontal="center"/>
    </xf>
    <xf numFmtId="10" fontId="6" fillId="0" borderId="13" xfId="2" applyNumberFormat="1" applyFont="1" applyBorder="1" applyAlignment="1">
      <alignment horizontal="center"/>
    </xf>
    <xf numFmtId="10" fontId="6" fillId="0" borderId="14" xfId="2" applyNumberFormat="1" applyFont="1" applyBorder="1" applyAlignment="1">
      <alignment horizontal="center"/>
    </xf>
    <xf numFmtId="42" fontId="0" fillId="0" borderId="12" xfId="1" applyFont="1" applyBorder="1" applyAlignment="1">
      <alignment vertical="center"/>
    </xf>
    <xf numFmtId="42" fontId="1" fillId="0" borderId="1" xfId="0" applyNumberFormat="1" applyFont="1" applyBorder="1" applyAlignment="1">
      <alignment vertical="center"/>
    </xf>
    <xf numFmtId="166" fontId="1" fillId="0" borderId="1" xfId="3" applyNumberFormat="1" applyFont="1" applyBorder="1"/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42" fontId="0" fillId="0" borderId="0" xfId="1" applyFont="1" applyBorder="1"/>
    <xf numFmtId="42" fontId="0" fillId="0" borderId="5" xfId="0" applyNumberFormat="1" applyBorder="1"/>
    <xf numFmtId="44" fontId="0" fillId="0" borderId="5" xfId="3" applyFont="1" applyBorder="1"/>
    <xf numFmtId="44" fontId="0" fillId="0" borderId="0" xfId="3" applyFont="1" applyBorder="1"/>
    <xf numFmtId="42" fontId="0" fillId="0" borderId="1" xfId="0" applyNumberFormat="1" applyBorder="1"/>
    <xf numFmtId="10" fontId="1" fillId="0" borderId="13" xfId="2" applyNumberFormat="1" applyFont="1" applyBorder="1" applyAlignment="1">
      <alignment horizontal="center"/>
    </xf>
    <xf numFmtId="10" fontId="1" fillId="0" borderId="14" xfId="2" applyNumberFormat="1" applyFont="1" applyBorder="1" applyAlignment="1">
      <alignment horizontal="center"/>
    </xf>
    <xf numFmtId="166" fontId="0" fillId="0" borderId="13" xfId="3" applyNumberFormat="1" applyFont="1" applyBorder="1" applyAlignment="1">
      <alignment vertical="center"/>
    </xf>
    <xf numFmtId="42" fontId="0" fillId="0" borderId="0" xfId="1" applyFont="1"/>
    <xf numFmtId="0" fontId="0" fillId="0" borderId="12" xfId="0" applyBorder="1" applyAlignment="1">
      <alignment horizontal="center" vertical="center"/>
    </xf>
    <xf numFmtId="168" fontId="5" fillId="0" borderId="12" xfId="0" applyNumberFormat="1" applyFon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168" fontId="5" fillId="0" borderId="13" xfId="0" applyNumberFormat="1" applyFont="1" applyBorder="1" applyAlignment="1">
      <alignment horizontal="right" vertical="center"/>
    </xf>
    <xf numFmtId="166" fontId="0" fillId="0" borderId="13" xfId="3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6" fontId="0" fillId="0" borderId="14" xfId="3" applyNumberFormat="1" applyFont="1" applyBorder="1" applyAlignment="1">
      <alignment horizontal="center" vertical="center"/>
    </xf>
    <xf numFmtId="42" fontId="0" fillId="0" borderId="2" xfId="0" applyNumberFormat="1" applyBorder="1" applyAlignment="1">
      <alignment horizontal="center"/>
    </xf>
    <xf numFmtId="42" fontId="0" fillId="0" borderId="1" xfId="0" applyNumberFormat="1" applyBorder="1" applyAlignment="1">
      <alignment horizontal="center"/>
    </xf>
    <xf numFmtId="42" fontId="0" fillId="0" borderId="0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/>
    <xf numFmtId="9" fontId="0" fillId="0" borderId="17" xfId="0" applyNumberForma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2" fontId="1" fillId="0" borderId="14" xfId="0" applyNumberFormat="1" applyFont="1" applyBorder="1"/>
    <xf numFmtId="42" fontId="0" fillId="0" borderId="7" xfId="1" applyFont="1" applyBorder="1"/>
    <xf numFmtId="42" fontId="0" fillId="0" borderId="2" xfId="1" applyFont="1" applyBorder="1"/>
    <xf numFmtId="166" fontId="0" fillId="0" borderId="0" xfId="3" applyNumberFormat="1" applyFont="1" applyBorder="1"/>
    <xf numFmtId="0" fontId="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wrapText="1"/>
    </xf>
    <xf numFmtId="0" fontId="1" fillId="0" borderId="12" xfId="0" applyFont="1" applyFill="1" applyBorder="1" applyAlignment="1">
      <alignment horizontal="center" vertical="center"/>
    </xf>
    <xf numFmtId="166" fontId="0" fillId="0" borderId="13" xfId="3" applyNumberFormat="1" applyFont="1" applyBorder="1" applyAlignment="1">
      <alignment horizontal="center"/>
    </xf>
    <xf numFmtId="166" fontId="0" fillId="0" borderId="12" xfId="3" applyNumberFormat="1" applyFont="1" applyBorder="1" applyAlignment="1">
      <alignment vertical="center"/>
    </xf>
    <xf numFmtId="42" fontId="8" fillId="0" borderId="12" xfId="1" applyFont="1" applyBorder="1" applyAlignment="1">
      <alignment horizontal="center" wrapText="1"/>
    </xf>
    <xf numFmtId="42" fontId="8" fillId="0" borderId="13" xfId="1" applyFont="1" applyBorder="1" applyAlignment="1">
      <alignment horizontal="center"/>
    </xf>
    <xf numFmtId="42" fontId="1" fillId="0" borderId="6" xfId="0" applyNumberFormat="1" applyFont="1" applyBorder="1" applyAlignment="1">
      <alignment horizontal="center"/>
    </xf>
    <xf numFmtId="42" fontId="8" fillId="0" borderId="13" xfId="1" applyFont="1" applyBorder="1" applyAlignment="1">
      <alignment horizontal="center" wrapText="1"/>
    </xf>
    <xf numFmtId="42" fontId="8" fillId="0" borderId="14" xfId="1" applyFont="1" applyBorder="1" applyAlignment="1">
      <alignment horizont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42" fontId="0" fillId="0" borderId="14" xfId="0" applyNumberFormat="1" applyBorder="1"/>
    <xf numFmtId="10" fontId="0" fillId="0" borderId="3" xfId="2" applyNumberFormat="1" applyFon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0" fontId="1" fillId="0" borderId="0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8" fontId="0" fillId="0" borderId="0" xfId="0" applyNumberFormat="1" applyFont="1" applyBorder="1"/>
    <xf numFmtId="14" fontId="1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42" fontId="5" fillId="0" borderId="8" xfId="1" applyFont="1" applyBorder="1" applyAlignment="1">
      <alignment horizontal="right" vertical="center"/>
    </xf>
    <xf numFmtId="42" fontId="5" fillId="0" borderId="3" xfId="1" applyFont="1" applyBorder="1" applyAlignment="1">
      <alignment horizontal="righ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 vertical="center"/>
    </xf>
    <xf numFmtId="10" fontId="0" fillId="0" borderId="6" xfId="2" applyNumberFormat="1" applyFont="1" applyBorder="1" applyAlignment="1">
      <alignment horizontal="center"/>
    </xf>
    <xf numFmtId="10" fontId="0" fillId="0" borderId="3" xfId="2" applyNumberFormat="1" applyFont="1" applyBorder="1" applyAlignment="1">
      <alignment horizontal="center"/>
    </xf>
    <xf numFmtId="0" fontId="0" fillId="0" borderId="13" xfId="0" applyFont="1" applyFill="1" applyBorder="1" applyAlignment="1">
      <alignment horizontal="left" vertical="center"/>
    </xf>
    <xf numFmtId="0" fontId="0" fillId="0" borderId="13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9" fontId="1" fillId="0" borderId="1" xfId="2" applyNumberFormat="1" applyFont="1" applyBorder="1" applyAlignment="1">
      <alignment horizontal="center"/>
    </xf>
    <xf numFmtId="42" fontId="0" fillId="0" borderId="5" xfId="1" applyFont="1" applyBorder="1"/>
    <xf numFmtId="42" fontId="13" fillId="0" borderId="1" xfId="0" applyNumberFormat="1" applyFont="1" applyBorder="1"/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7" xfId="0" applyFont="1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42" fontId="0" fillId="0" borderId="12" xfId="0" applyNumberFormat="1" applyBorder="1"/>
    <xf numFmtId="0" fontId="1" fillId="0" borderId="7" xfId="0" applyFont="1" applyBorder="1"/>
    <xf numFmtId="0" fontId="1" fillId="0" borderId="2" xfId="0" applyFont="1" applyBorder="1"/>
    <xf numFmtId="0" fontId="1" fillId="0" borderId="4" xfId="0" applyFont="1" applyFill="1" applyBorder="1"/>
    <xf numFmtId="166" fontId="0" fillId="0" borderId="12" xfId="0" applyNumberFormat="1" applyBorder="1"/>
    <xf numFmtId="166" fontId="0" fillId="0" borderId="13" xfId="0" applyNumberFormat="1" applyBorder="1"/>
    <xf numFmtId="166" fontId="0" fillId="0" borderId="14" xfId="0" applyNumberFormat="1" applyBorder="1"/>
    <xf numFmtId="166" fontId="0" fillId="0" borderId="7" xfId="0" applyNumberFormat="1" applyBorder="1"/>
    <xf numFmtId="166" fontId="0" fillId="0" borderId="2" xfId="0" applyNumberFormat="1" applyBorder="1"/>
    <xf numFmtId="166" fontId="0" fillId="0" borderId="4" xfId="0" applyNumberFormat="1" applyBorder="1"/>
    <xf numFmtId="0" fontId="1" fillId="0" borderId="4" xfId="0" applyFont="1" applyBorder="1"/>
    <xf numFmtId="42" fontId="0" fillId="0" borderId="15" xfId="1" applyFont="1" applyBorder="1"/>
    <xf numFmtId="42" fontId="0" fillId="0" borderId="17" xfId="1" applyFont="1" applyBorder="1"/>
    <xf numFmtId="42" fontId="0" fillId="0" borderId="1" xfId="1" applyFont="1" applyBorder="1"/>
    <xf numFmtId="0" fontId="1" fillId="0" borderId="15" xfId="0" applyFont="1" applyFill="1" applyBorder="1" applyAlignment="1"/>
    <xf numFmtId="166" fontId="1" fillId="0" borderId="15" xfId="0" applyNumberFormat="1" applyFont="1" applyBorder="1"/>
    <xf numFmtId="166" fontId="1" fillId="0" borderId="1" xfId="0" applyNumberFormat="1" applyFont="1" applyBorder="1"/>
    <xf numFmtId="166" fontId="1" fillId="0" borderId="17" xfId="0" applyNumberFormat="1" applyFont="1" applyBorder="1"/>
    <xf numFmtId="9" fontId="1" fillId="0" borderId="17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6" borderId="14" xfId="0" applyFont="1" applyFill="1" applyBorder="1"/>
    <xf numFmtId="42" fontId="1" fillId="6" borderId="1" xfId="1" applyFont="1" applyFill="1" applyBorder="1"/>
    <xf numFmtId="42" fontId="1" fillId="6" borderId="15" xfId="1" applyFont="1" applyFill="1" applyBorder="1"/>
    <xf numFmtId="0" fontId="1" fillId="8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 wrapText="1"/>
    </xf>
    <xf numFmtId="10" fontId="0" fillId="3" borderId="1" xfId="2" applyNumberFormat="1" applyFont="1" applyFill="1" applyBorder="1" applyAlignment="1">
      <alignment horizontal="center"/>
    </xf>
    <xf numFmtId="9" fontId="0" fillId="3" borderId="1" xfId="0" applyNumberFormat="1" applyFill="1" applyBorder="1" applyAlignment="1">
      <alignment horizontal="center" vertical="center"/>
    </xf>
    <xf numFmtId="9" fontId="0" fillId="3" borderId="1" xfId="2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 vertical="center"/>
    </xf>
    <xf numFmtId="0" fontId="1" fillId="6" borderId="12" xfId="0" applyFont="1" applyFill="1" applyBorder="1"/>
    <xf numFmtId="0" fontId="1" fillId="6" borderId="13" xfId="0" applyFont="1" applyFill="1" applyBorder="1"/>
    <xf numFmtId="0" fontId="1" fillId="11" borderId="1" xfId="0" applyFont="1" applyFill="1" applyBorder="1" applyAlignment="1"/>
    <xf numFmtId="0" fontId="1" fillId="11" borderId="15" xfId="0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42" fontId="0" fillId="6" borderId="13" xfId="1" applyFont="1" applyFill="1" applyBorder="1"/>
    <xf numFmtId="42" fontId="0" fillId="6" borderId="13" xfId="0" applyNumberFormat="1" applyFill="1" applyBorder="1"/>
    <xf numFmtId="166" fontId="1" fillId="6" borderId="1" xfId="3" applyNumberFormat="1" applyFont="1" applyFill="1" applyBorder="1"/>
    <xf numFmtId="0" fontId="1" fillId="12" borderId="1" xfId="0" applyFont="1" applyFill="1" applyBorder="1"/>
    <xf numFmtId="42" fontId="0" fillId="12" borderId="13" xfId="1" applyFont="1" applyFill="1" applyBorder="1"/>
    <xf numFmtId="42" fontId="0" fillId="12" borderId="13" xfId="0" applyNumberFormat="1" applyFill="1" applyBorder="1"/>
    <xf numFmtId="42" fontId="0" fillId="12" borderId="14" xfId="0" applyNumberFormat="1" applyFill="1" applyBorder="1"/>
    <xf numFmtId="42" fontId="0" fillId="12" borderId="1" xfId="0" applyNumberFormat="1" applyFill="1" applyBorder="1"/>
    <xf numFmtId="42" fontId="1" fillId="12" borderId="1" xfId="0" applyNumberFormat="1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6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42" fontId="1" fillId="4" borderId="1" xfId="1" applyFont="1" applyFill="1" applyBorder="1" applyAlignment="1">
      <alignment horizontal="center"/>
    </xf>
    <xf numFmtId="10" fontId="1" fillId="4" borderId="14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0" fontId="15" fillId="19" borderId="12" xfId="0" applyFont="1" applyFill="1" applyBorder="1" applyAlignment="1">
      <alignment vertical="center"/>
    </xf>
    <xf numFmtId="0" fontId="15" fillId="19" borderId="13" xfId="0" applyFont="1" applyFill="1" applyBorder="1" applyAlignment="1">
      <alignment vertical="center"/>
    </xf>
    <xf numFmtId="0" fontId="15" fillId="19" borderId="14" xfId="0" applyFont="1" applyFill="1" applyBorder="1" applyAlignment="1">
      <alignment vertical="center"/>
    </xf>
    <xf numFmtId="0" fontId="16" fillId="0" borderId="0" xfId="0" applyFont="1"/>
    <xf numFmtId="0" fontId="12" fillId="3" borderId="1" xfId="0" applyFont="1" applyFill="1" applyBorder="1" applyAlignment="1">
      <alignment horizontal="center"/>
    </xf>
    <xf numFmtId="0" fontId="12" fillId="20" borderId="1" xfId="0" applyFont="1" applyFill="1" applyBorder="1" applyAlignment="1">
      <alignment horizontal="center"/>
    </xf>
    <xf numFmtId="164" fontId="17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2" fillId="16" borderId="1" xfId="0" applyFont="1" applyFill="1" applyBorder="1" applyAlignment="1">
      <alignment horizontal="center"/>
    </xf>
    <xf numFmtId="0" fontId="12" fillId="16" borderId="12" xfId="0" applyFont="1" applyFill="1" applyBorder="1" applyAlignment="1">
      <alignment horizontal="center"/>
    </xf>
    <xf numFmtId="9" fontId="16" fillId="0" borderId="12" xfId="0" applyNumberFormat="1" applyFont="1" applyBorder="1" applyAlignment="1">
      <alignment horizontal="center"/>
    </xf>
    <xf numFmtId="42" fontId="16" fillId="0" borderId="2" xfId="1" applyFont="1" applyBorder="1" applyAlignment="1">
      <alignment horizontal="center"/>
    </xf>
    <xf numFmtId="42" fontId="16" fillId="0" borderId="7" xfId="1" applyFont="1" applyBorder="1"/>
    <xf numFmtId="42" fontId="16" fillId="0" borderId="12" xfId="1" applyFont="1" applyBorder="1"/>
    <xf numFmtId="42" fontId="16" fillId="0" borderId="8" xfId="1" applyFont="1" applyBorder="1"/>
    <xf numFmtId="9" fontId="16" fillId="0" borderId="13" xfId="0" applyNumberFormat="1" applyFont="1" applyBorder="1" applyAlignment="1">
      <alignment horizontal="center"/>
    </xf>
    <xf numFmtId="42" fontId="16" fillId="0" borderId="2" xfId="1" applyFont="1" applyBorder="1"/>
    <xf numFmtId="42" fontId="16" fillId="0" borderId="13" xfId="1" applyFont="1" applyBorder="1"/>
    <xf numFmtId="42" fontId="16" fillId="0" borderId="3" xfId="1" applyFont="1" applyBorder="1"/>
    <xf numFmtId="0" fontId="18" fillId="0" borderId="0" xfId="0" applyFont="1" applyFill="1" applyBorder="1" applyAlignment="1">
      <alignment vertical="center"/>
    </xf>
    <xf numFmtId="9" fontId="16" fillId="0" borderId="14" xfId="0" applyNumberFormat="1" applyFont="1" applyBorder="1" applyAlignment="1">
      <alignment horizontal="center"/>
    </xf>
    <xf numFmtId="42" fontId="16" fillId="0" borderId="4" xfId="1" applyFont="1" applyBorder="1"/>
    <xf numFmtId="42" fontId="16" fillId="0" borderId="14" xfId="1" applyFont="1" applyBorder="1"/>
    <xf numFmtId="42" fontId="16" fillId="0" borderId="6" xfId="1" applyFont="1" applyBorder="1"/>
    <xf numFmtId="0" fontId="15" fillId="18" borderId="1" xfId="0" applyFont="1" applyFill="1" applyBorder="1" applyAlignment="1">
      <alignment horizontal="center" vertical="center"/>
    </xf>
    <xf numFmtId="9" fontId="16" fillId="18" borderId="1" xfId="0" applyNumberFormat="1" applyFont="1" applyFill="1" applyBorder="1" applyAlignment="1">
      <alignment horizontal="center"/>
    </xf>
    <xf numFmtId="42" fontId="12" fillId="18" borderId="1" xfId="1" applyFont="1" applyFill="1" applyBorder="1"/>
    <xf numFmtId="42" fontId="12" fillId="18" borderId="14" xfId="1" applyFont="1" applyFill="1" applyBorder="1"/>
    <xf numFmtId="17" fontId="12" fillId="16" borderId="12" xfId="0" applyNumberFormat="1" applyFont="1" applyFill="1" applyBorder="1" applyAlignment="1">
      <alignment horizontal="center"/>
    </xf>
    <xf numFmtId="17" fontId="12" fillId="16" borderId="8" xfId="0" applyNumberFormat="1" applyFont="1" applyFill="1" applyBorder="1" applyAlignment="1">
      <alignment horizontal="center"/>
    </xf>
    <xf numFmtId="0" fontId="15" fillId="19" borderId="7" xfId="0" applyFont="1" applyFill="1" applyBorder="1" applyAlignment="1">
      <alignment vertical="center"/>
    </xf>
    <xf numFmtId="0" fontId="15" fillId="19" borderId="2" xfId="0" applyFont="1" applyFill="1" applyBorder="1" applyAlignment="1">
      <alignment vertical="center"/>
    </xf>
    <xf numFmtId="0" fontId="15" fillId="19" borderId="4" xfId="0" applyFont="1" applyFill="1" applyBorder="1" applyAlignment="1">
      <alignment vertical="center"/>
    </xf>
    <xf numFmtId="42" fontId="12" fillId="18" borderId="14" xfId="0" applyNumberFormat="1" applyFont="1" applyFill="1" applyBorder="1"/>
    <xf numFmtId="0" fontId="12" fillId="14" borderId="12" xfId="0" applyFont="1" applyFill="1" applyBorder="1" applyAlignment="1">
      <alignment horizontal="center"/>
    </xf>
    <xf numFmtId="42" fontId="16" fillId="0" borderId="12" xfId="0" applyNumberFormat="1" applyFont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10" fontId="16" fillId="0" borderId="12" xfId="2" applyNumberFormat="1" applyFont="1" applyBorder="1" applyAlignment="1">
      <alignment horizontal="center"/>
    </xf>
    <xf numFmtId="0" fontId="12" fillId="14" borderId="13" xfId="0" applyFont="1" applyFill="1" applyBorder="1" applyAlignment="1">
      <alignment horizontal="center"/>
    </xf>
    <xf numFmtId="42" fontId="16" fillId="0" borderId="13" xfId="0" applyNumberFormat="1" applyFont="1" applyBorder="1" applyAlignment="1">
      <alignment horizontal="center"/>
    </xf>
    <xf numFmtId="10" fontId="16" fillId="0" borderId="13" xfId="2" applyNumberFormat="1" applyFont="1" applyBorder="1" applyAlignment="1">
      <alignment horizontal="center"/>
    </xf>
    <xf numFmtId="0" fontId="12" fillId="14" borderId="14" xfId="0" applyFont="1" applyFill="1" applyBorder="1" applyAlignment="1">
      <alignment horizontal="center"/>
    </xf>
    <xf numFmtId="42" fontId="16" fillId="0" borderId="14" xfId="0" applyNumberFormat="1" applyFont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10" fontId="16" fillId="0" borderId="14" xfId="2" applyNumberFormat="1" applyFont="1" applyBorder="1" applyAlignment="1">
      <alignment horizontal="center"/>
    </xf>
    <xf numFmtId="9" fontId="0" fillId="18" borderId="6" xfId="0" applyNumberFormat="1" applyFont="1" applyFill="1" applyBorder="1" applyAlignment="1">
      <alignment horizontal="center"/>
    </xf>
    <xf numFmtId="0" fontId="14" fillId="15" borderId="12" xfId="0" applyFont="1" applyFill="1" applyBorder="1" applyAlignment="1">
      <alignment vertical="center"/>
    </xf>
    <xf numFmtId="0" fontId="14" fillId="15" borderId="13" xfId="0" applyFont="1" applyFill="1" applyBorder="1" applyAlignment="1">
      <alignment vertical="center"/>
    </xf>
    <xf numFmtId="0" fontId="14" fillId="15" borderId="14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42" fontId="17" fillId="0" borderId="7" xfId="1" applyFont="1" applyBorder="1" applyAlignment="1">
      <alignment horizontal="center" vertical="center"/>
    </xf>
    <xf numFmtId="42" fontId="17" fillId="0" borderId="12" xfId="1" applyFont="1" applyBorder="1" applyAlignment="1">
      <alignment horizontal="center" vertical="center"/>
    </xf>
    <xf numFmtId="42" fontId="17" fillId="0" borderId="2" xfId="1" applyFont="1" applyBorder="1" applyAlignment="1">
      <alignment horizontal="center" vertical="center"/>
    </xf>
    <xf numFmtId="42" fontId="17" fillId="0" borderId="13" xfId="1" applyFont="1" applyBorder="1" applyAlignment="1">
      <alignment horizontal="center" vertical="center"/>
    </xf>
    <xf numFmtId="42" fontId="17" fillId="0" borderId="13" xfId="1" applyFont="1" applyFill="1" applyBorder="1" applyAlignment="1">
      <alignment horizontal="center" vertical="center"/>
    </xf>
    <xf numFmtId="42" fontId="17" fillId="0" borderId="4" xfId="1" applyFont="1" applyBorder="1" applyAlignment="1">
      <alignment horizontal="center" vertical="center"/>
    </xf>
    <xf numFmtId="42" fontId="17" fillId="0" borderId="14" xfId="1" applyFont="1" applyBorder="1" applyAlignment="1">
      <alignment horizontal="center" vertical="center"/>
    </xf>
    <xf numFmtId="42" fontId="0" fillId="0" borderId="14" xfId="1" applyFont="1" applyBorder="1" applyAlignment="1">
      <alignment horizontal="center"/>
    </xf>
    <xf numFmtId="22" fontId="0" fillId="0" borderId="0" xfId="0" applyNumberFormat="1" applyFont="1"/>
    <xf numFmtId="0" fontId="1" fillId="17" borderId="17" xfId="0" applyFont="1" applyFill="1" applyBorder="1" applyAlignment="1">
      <alignment horizontal="center"/>
    </xf>
    <xf numFmtId="42" fontId="1" fillId="3" borderId="1" xfId="1" applyFont="1" applyFill="1" applyBorder="1" applyAlignment="1">
      <alignment horizontal="center"/>
    </xf>
    <xf numFmtId="42" fontId="1" fillId="3" borderId="17" xfId="1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42" fontId="1" fillId="3" borderId="1" xfId="0" applyNumberFormat="1" applyFont="1" applyFill="1" applyBorder="1"/>
    <xf numFmtId="9" fontId="1" fillId="3" borderId="1" xfId="0" applyNumberFormat="1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/>
    </xf>
    <xf numFmtId="9" fontId="0" fillId="10" borderId="1" xfId="0" applyNumberForma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17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42" fontId="1" fillId="10" borderId="17" xfId="1" applyFont="1" applyFill="1" applyBorder="1"/>
    <xf numFmtId="0" fontId="12" fillId="10" borderId="1" xfId="0" applyFont="1" applyFill="1" applyBorder="1" applyAlignment="1">
      <alignment horizontal="center"/>
    </xf>
    <xf numFmtId="42" fontId="12" fillId="10" borderId="1" xfId="0" applyNumberFormat="1" applyFont="1" applyFill="1" applyBorder="1" applyAlignment="1">
      <alignment horizontal="center"/>
    </xf>
    <xf numFmtId="9" fontId="12" fillId="10" borderId="14" xfId="0" applyNumberFormat="1" applyFont="1" applyFill="1" applyBorder="1" applyAlignment="1">
      <alignment horizontal="center"/>
    </xf>
    <xf numFmtId="9" fontId="1" fillId="10" borderId="1" xfId="0" applyNumberFormat="1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 wrapText="1"/>
    </xf>
    <xf numFmtId="0" fontId="1" fillId="10" borderId="15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/>
    </xf>
    <xf numFmtId="0" fontId="1" fillId="13" borderId="15" xfId="0" applyFont="1" applyFill="1" applyBorder="1" applyAlignment="1">
      <alignment horizontal="center" vertical="center"/>
    </xf>
    <xf numFmtId="0" fontId="1" fillId="13" borderId="16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/>
    </xf>
    <xf numFmtId="0" fontId="1" fillId="14" borderId="8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 wrapText="1"/>
    </xf>
    <xf numFmtId="0" fontId="1" fillId="13" borderId="18" xfId="0" applyFont="1" applyFill="1" applyBorder="1" applyAlignment="1">
      <alignment horizontal="center" wrapText="1"/>
    </xf>
    <xf numFmtId="0" fontId="1" fillId="13" borderId="8" xfId="0" applyFont="1" applyFill="1" applyBorder="1" applyAlignment="1">
      <alignment horizontal="center" wrapText="1"/>
    </xf>
    <xf numFmtId="0" fontId="1" fillId="13" borderId="4" xfId="0" applyFont="1" applyFill="1" applyBorder="1" applyAlignment="1">
      <alignment horizontal="center" wrapText="1"/>
    </xf>
    <xf numFmtId="0" fontId="1" fillId="13" borderId="5" xfId="0" applyFont="1" applyFill="1" applyBorder="1" applyAlignment="1">
      <alignment horizontal="center" wrapText="1"/>
    </xf>
    <xf numFmtId="0" fontId="1" fillId="13" borderId="6" xfId="0" applyFont="1" applyFill="1" applyBorder="1" applyAlignment="1">
      <alignment horizontal="center" wrapText="1"/>
    </xf>
    <xf numFmtId="0" fontId="1" fillId="11" borderId="15" xfId="0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1" borderId="17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9" fontId="1" fillId="7" borderId="15" xfId="2" applyNumberFormat="1" applyFont="1" applyFill="1" applyBorder="1" applyAlignment="1">
      <alignment horizontal="center"/>
    </xf>
    <xf numFmtId="9" fontId="1" fillId="7" borderId="17" xfId="2" applyNumberFormat="1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10" fontId="0" fillId="0" borderId="2" xfId="2" applyNumberFormat="1" applyFont="1" applyBorder="1" applyAlignment="1">
      <alignment horizontal="center"/>
    </xf>
    <xf numFmtId="10" fontId="0" fillId="0" borderId="3" xfId="2" applyNumberFormat="1" applyFont="1" applyBorder="1" applyAlignment="1">
      <alignment horizontal="center"/>
    </xf>
    <xf numFmtId="0" fontId="1" fillId="6" borderId="12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9" fontId="0" fillId="0" borderId="4" xfId="2" applyNumberFormat="1" applyFont="1" applyBorder="1" applyAlignment="1">
      <alignment horizontal="center"/>
    </xf>
    <xf numFmtId="9" fontId="0" fillId="0" borderId="6" xfId="2" applyNumberFormat="1" applyFon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9" fontId="0" fillId="0" borderId="2" xfId="2" applyNumberFormat="1" applyFont="1" applyBorder="1" applyAlignment="1">
      <alignment horizontal="center"/>
    </xf>
    <xf numFmtId="9" fontId="0" fillId="0" borderId="3" xfId="2" applyNumberFormat="1" applyFont="1" applyBorder="1" applyAlignment="1">
      <alignment horizontal="center"/>
    </xf>
    <xf numFmtId="0" fontId="1" fillId="13" borderId="15" xfId="0" applyFont="1" applyFill="1" applyBorder="1" applyAlignment="1">
      <alignment horizontal="center" wrapText="1"/>
    </xf>
    <xf numFmtId="0" fontId="1" fillId="13" borderId="16" xfId="0" applyFont="1" applyFill="1" applyBorder="1" applyAlignment="1">
      <alignment horizontal="center" wrapText="1"/>
    </xf>
    <xf numFmtId="0" fontId="1" fillId="13" borderId="17" xfId="0" applyFont="1" applyFill="1" applyBorder="1" applyAlignment="1">
      <alignment horizontal="center" wrapText="1"/>
    </xf>
    <xf numFmtId="0" fontId="1" fillId="13" borderId="15" xfId="0" applyFont="1" applyFill="1" applyBorder="1" applyAlignment="1">
      <alignment horizontal="center" vertical="center" wrapText="1"/>
    </xf>
    <xf numFmtId="0" fontId="1" fillId="13" borderId="16" xfId="0" applyFont="1" applyFill="1" applyBorder="1" applyAlignment="1">
      <alignment horizontal="center" vertical="center" wrapText="1"/>
    </xf>
    <xf numFmtId="0" fontId="1" fillId="13" borderId="17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13" borderId="15" xfId="0" applyFont="1" applyFill="1" applyBorder="1" applyAlignment="1">
      <alignment horizontal="center"/>
    </xf>
    <xf numFmtId="0" fontId="1" fillId="13" borderId="16" xfId="0" applyFont="1" applyFill="1" applyBorder="1" applyAlignment="1">
      <alignment horizontal="center"/>
    </xf>
    <xf numFmtId="0" fontId="1" fillId="13" borderId="17" xfId="0" applyFont="1" applyFill="1" applyBorder="1" applyAlignment="1">
      <alignment horizontal="center"/>
    </xf>
    <xf numFmtId="0" fontId="12" fillId="13" borderId="15" xfId="0" applyFont="1" applyFill="1" applyBorder="1" applyAlignment="1">
      <alignment horizontal="center"/>
    </xf>
    <xf numFmtId="0" fontId="12" fillId="13" borderId="17" xfId="0" applyFont="1" applyFill="1" applyBorder="1" applyAlignment="1">
      <alignment horizontal="center"/>
    </xf>
    <xf numFmtId="0" fontId="12" fillId="13" borderId="8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18" borderId="4" xfId="0" applyFont="1" applyFill="1" applyBorder="1" applyAlignment="1">
      <alignment horizontal="center"/>
    </xf>
    <xf numFmtId="0" fontId="1" fillId="18" borderId="5" xfId="0" applyFont="1" applyFill="1" applyBorder="1" applyAlignment="1">
      <alignment horizontal="center"/>
    </xf>
    <xf numFmtId="0" fontId="1" fillId="18" borderId="6" xfId="0" applyFont="1" applyFill="1" applyBorder="1" applyAlignment="1">
      <alignment horizontal="center"/>
    </xf>
    <xf numFmtId="0" fontId="1" fillId="18" borderId="15" xfId="0" applyFont="1" applyFill="1" applyBorder="1" applyAlignment="1">
      <alignment horizontal="center"/>
    </xf>
    <xf numFmtId="0" fontId="1" fillId="18" borderId="17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17" borderId="7" xfId="0" applyFont="1" applyFill="1" applyBorder="1" applyAlignment="1">
      <alignment horizontal="center"/>
    </xf>
    <xf numFmtId="0" fontId="1" fillId="17" borderId="18" xfId="0" applyFont="1" applyFill="1" applyBorder="1" applyAlignment="1">
      <alignment horizontal="center"/>
    </xf>
    <xf numFmtId="0" fontId="1" fillId="17" borderId="8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18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16" borderId="0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8" borderId="7" xfId="0" applyFont="1" applyFill="1" applyBorder="1" applyAlignment="1">
      <alignment horizontal="center"/>
    </xf>
    <xf numFmtId="0" fontId="1" fillId="18" borderId="18" xfId="0" applyFont="1" applyFill="1" applyBorder="1" applyAlignment="1">
      <alignment horizontal="center"/>
    </xf>
    <xf numFmtId="0" fontId="1" fillId="18" borderId="8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0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1" fillId="16" borderId="6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42" fontId="0" fillId="0" borderId="0" xfId="0" applyNumberFormat="1" applyFill="1" applyBorder="1"/>
  </cellXfs>
  <cellStyles count="4">
    <cellStyle name="Moneda" xfId="3" builtinId="4"/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CCFF66"/>
      <color rgb="FFF7FEB8"/>
      <color rgb="FFCCFF33"/>
      <color rgb="FF99FF33"/>
      <color rgb="FF66FF66"/>
      <color rgb="FFCC99FF"/>
      <color rgb="FF99FF99"/>
      <color rgb="FF86FEB4"/>
      <color rgb="FFFFFF99"/>
      <color rgb="FFF9CF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93;REA-DE-OCUPACI&#211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gresos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M2">
            <v>0.24150241055858856</v>
          </cell>
          <cell r="N2">
            <v>0.66609284354733933</v>
          </cell>
          <cell r="O2">
            <v>9.2404745894072202E-2</v>
          </cell>
        </row>
        <row r="3">
          <cell r="M3">
            <v>2.3870502523808342E-2</v>
          </cell>
          <cell r="N3">
            <v>0.78573382258391089</v>
          </cell>
          <cell r="O3">
            <v>0.19039567489228079</v>
          </cell>
        </row>
        <row r="4">
          <cell r="M4">
            <v>1.0017419250470717E-2</v>
          </cell>
          <cell r="N4">
            <v>0.88242713195500166</v>
          </cell>
          <cell r="O4">
            <v>0.10755544879452771</v>
          </cell>
        </row>
        <row r="5">
          <cell r="M5">
            <v>0.25119530973684817</v>
          </cell>
          <cell r="N5">
            <v>0.66792450695560723</v>
          </cell>
          <cell r="O5">
            <v>8.0880183307544609E-2</v>
          </cell>
        </row>
        <row r="6">
          <cell r="M6">
            <v>0</v>
          </cell>
          <cell r="N6">
            <v>1</v>
          </cell>
          <cell r="O6">
            <v>0</v>
          </cell>
        </row>
        <row r="7">
          <cell r="M7">
            <v>0.44636324263448612</v>
          </cell>
          <cell r="N7">
            <v>0.44809168812282585</v>
          </cell>
          <cell r="O7">
            <v>0.10554506924268804</v>
          </cell>
        </row>
        <row r="8">
          <cell r="M8">
            <v>3.4145326624372134E-2</v>
          </cell>
          <cell r="N8">
            <v>0.86227115773014529</v>
          </cell>
          <cell r="O8">
            <v>0.10358351564548257</v>
          </cell>
        </row>
        <row r="9">
          <cell r="M9">
            <v>0</v>
          </cell>
          <cell r="N9">
            <v>1</v>
          </cell>
          <cell r="O9">
            <v>0</v>
          </cell>
        </row>
        <row r="10">
          <cell r="M10">
            <v>0</v>
          </cell>
          <cell r="N10">
            <v>0</v>
          </cell>
          <cell r="O10">
            <v>0.33329999999999999</v>
          </cell>
        </row>
        <row r="11">
          <cell r="M11">
            <v>2.192717165718764E-2</v>
          </cell>
          <cell r="N11">
            <v>0.85030966279546727</v>
          </cell>
          <cell r="O11">
            <v>0.12776316554734515</v>
          </cell>
        </row>
        <row r="12">
          <cell r="M12">
            <v>1.7748020443528668E-2</v>
          </cell>
          <cell r="N12">
            <v>0.96770143141251774</v>
          </cell>
          <cell r="O12">
            <v>1.4550548143953559E-2</v>
          </cell>
        </row>
        <row r="19">
          <cell r="B19">
            <v>8.4414739585073784E-2</v>
          </cell>
          <cell r="C19">
            <v>0.46911633474854525</v>
          </cell>
          <cell r="D19">
            <v>0.44646892566638097</v>
          </cell>
          <cell r="F19">
            <v>1692100.7826272727</v>
          </cell>
        </row>
        <row r="21">
          <cell r="B21">
            <v>4.713883502728413E-2</v>
          </cell>
          <cell r="C21">
            <v>0.2619636999534854</v>
          </cell>
          <cell r="D21">
            <v>0.24931694553871103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rrateo Centros de costos"/>
      <sheetName val="Ingresos por sucursales"/>
    </sheetNames>
    <sheetDataSet>
      <sheetData sheetId="0">
        <row r="5">
          <cell r="I5">
            <v>0.21207145708822539</v>
          </cell>
        </row>
        <row r="6">
          <cell r="I6">
            <v>0.70326046407621756</v>
          </cell>
        </row>
        <row r="7">
          <cell r="I7">
            <v>8.4668078835557062E-2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showGridLines="0" workbookViewId="0">
      <selection activeCell="J19" sqref="J19"/>
    </sheetView>
  </sheetViews>
  <sheetFormatPr baseColWidth="10" defaultRowHeight="15" x14ac:dyDescent="0.25"/>
  <cols>
    <col min="1" max="1" width="6.85546875" customWidth="1"/>
    <col min="2" max="2" width="24.140625" customWidth="1"/>
    <col min="5" max="5" width="15" customWidth="1"/>
    <col min="6" max="6" width="13" customWidth="1"/>
    <col min="7" max="7" width="12.28515625" customWidth="1"/>
    <col min="8" max="8" width="23.5703125" customWidth="1"/>
    <col min="9" max="9" width="19.28515625" customWidth="1"/>
  </cols>
  <sheetData>
    <row r="1" spans="2:11" ht="15.75" thickBot="1" x14ac:dyDescent="0.3"/>
    <row r="2" spans="2:11" ht="30.75" thickBot="1" x14ac:dyDescent="0.3">
      <c r="B2" s="168" t="s">
        <v>0</v>
      </c>
      <c r="C2" s="168" t="s">
        <v>1</v>
      </c>
      <c r="D2" s="168" t="s">
        <v>2</v>
      </c>
      <c r="E2" s="168" t="s">
        <v>3</v>
      </c>
      <c r="F2" s="169" t="s">
        <v>7</v>
      </c>
      <c r="H2" s="168" t="s">
        <v>0</v>
      </c>
      <c r="I2" s="174" t="s">
        <v>74</v>
      </c>
    </row>
    <row r="3" spans="2:11" x14ac:dyDescent="0.25">
      <c r="B3" s="162" t="s">
        <v>5</v>
      </c>
      <c r="C3" s="15">
        <f>(($I$3*[1]Hoja1!B21)/12+([1]Hoja1!$F$19*[1]Hoja1!B19)/12)</f>
        <v>26955.870374674698</v>
      </c>
      <c r="D3" s="15">
        <f>(($I$3*[1]Hoja1!C21)/12+([1]Hoja1!$F$19*[1]Hoja1!C19)/12)</f>
        <v>149801.31636110923</v>
      </c>
      <c r="E3" s="90">
        <f>(($I$3*[1]Hoja1!D21)/12+([1]Hoja1!$F$19*[1]Hoja1!D19)/12)</f>
        <v>142569.39659754941</v>
      </c>
      <c r="F3" s="15">
        <f>SUM(C3:E3)</f>
        <v>319326.58333333337</v>
      </c>
      <c r="G3" s="40"/>
      <c r="H3" s="162" t="s">
        <v>5</v>
      </c>
      <c r="I3" s="15">
        <v>3831919</v>
      </c>
    </row>
    <row r="4" spans="2:11" x14ac:dyDescent="0.25">
      <c r="B4" s="163" t="s">
        <v>6</v>
      </c>
      <c r="C4" s="16">
        <f>(I4*'[2]Prorrateo Centros de costos'!$I$7)/12</f>
        <v>65735.887178878795</v>
      </c>
      <c r="D4" s="16">
        <f>(I4*'[2]Prorrateo Centros de costos'!$I$6)/12</f>
        <v>546008.02521653229</v>
      </c>
      <c r="E4" s="91">
        <f>(I4*'[2]Prorrateo Centros de costos'!$I$5)/12</f>
        <v>164651.2542712556</v>
      </c>
      <c r="F4" s="16">
        <f>SUM(C4:E4)</f>
        <v>776395.16666666663</v>
      </c>
      <c r="G4" s="40"/>
      <c r="H4" s="163" t="s">
        <v>6</v>
      </c>
      <c r="I4" s="16">
        <v>9316742</v>
      </c>
      <c r="J4" s="66"/>
    </row>
    <row r="5" spans="2:11" x14ac:dyDescent="0.25">
      <c r="B5" s="163" t="s">
        <v>4</v>
      </c>
      <c r="C5" s="16">
        <f>(I5*'[2]Prorrateo Centros de costos'!$I$7)/12</f>
        <v>10759.901685352042</v>
      </c>
      <c r="D5" s="16">
        <f>(I5*'[2]Prorrateo Centros de costos'!$I$6)/12</f>
        <v>89372.683976352637</v>
      </c>
      <c r="E5" s="91">
        <f>(I5*'[2]Prorrateo Centros de costos'!$I$5)/12</f>
        <v>26950.747671628644</v>
      </c>
      <c r="F5" s="16">
        <f>SUM(C5:E5)</f>
        <v>127083.33333333333</v>
      </c>
      <c r="G5" s="40"/>
      <c r="H5" s="163" t="s">
        <v>4</v>
      </c>
      <c r="I5" s="16">
        <v>1525000</v>
      </c>
    </row>
    <row r="6" spans="2:11" ht="15.75" thickBot="1" x14ac:dyDescent="0.3">
      <c r="B6" s="164" t="s">
        <v>120</v>
      </c>
      <c r="C6" s="16">
        <f>(I6*'[2]Prorrateo Centros de costos'!$I$7)/12</f>
        <v>84668.078835557055</v>
      </c>
      <c r="D6" s="16">
        <f>(I6*'[2]Prorrateo Centros de costos'!$I$6)/12</f>
        <v>703260.46407621761</v>
      </c>
      <c r="E6" s="91">
        <f>(I6*'[2]Prorrateo Centros de costos'!$I$5)/12</f>
        <v>212071.4570882254</v>
      </c>
      <c r="F6" s="16">
        <f>SUM(C6:E6)</f>
        <v>1000000.0000000001</v>
      </c>
      <c r="H6" s="164" t="s">
        <v>120</v>
      </c>
      <c r="I6" s="17">
        <v>12000000</v>
      </c>
    </row>
    <row r="7" spans="2:11" ht="15.75" thickBot="1" x14ac:dyDescent="0.3">
      <c r="B7" s="165" t="s">
        <v>8</v>
      </c>
      <c r="C7" s="166">
        <f>SUM(C3:C5)</f>
        <v>103451.65923890554</v>
      </c>
      <c r="D7" s="166">
        <f t="shared" ref="D7:F7" si="0">SUM(D3:D5)</f>
        <v>785182.02555399423</v>
      </c>
      <c r="E7" s="167">
        <f t="shared" si="0"/>
        <v>334171.39854043367</v>
      </c>
      <c r="F7" s="166">
        <f t="shared" si="0"/>
        <v>1222805.0833333333</v>
      </c>
    </row>
    <row r="8" spans="2:11" x14ac:dyDescent="0.25">
      <c r="B8" s="5"/>
      <c r="C8" s="2"/>
      <c r="D8" s="2"/>
      <c r="E8" s="2"/>
      <c r="F8" s="2"/>
    </row>
    <row r="9" spans="2:11" ht="15.75" thickBot="1" x14ac:dyDescent="0.3">
      <c r="B9" s="2"/>
      <c r="C9" s="2"/>
      <c r="D9" s="2"/>
    </row>
    <row r="10" spans="2:11" ht="15.75" thickBot="1" x14ac:dyDescent="0.3">
      <c r="B10" s="302" t="s">
        <v>160</v>
      </c>
      <c r="C10" s="303"/>
      <c r="D10" s="304"/>
      <c r="F10" s="284" t="s">
        <v>10</v>
      </c>
      <c r="G10" s="285"/>
      <c r="H10" s="286"/>
      <c r="I10" s="110"/>
      <c r="J10" s="111"/>
      <c r="K10" s="111"/>
    </row>
    <row r="11" spans="2:11" x14ac:dyDescent="0.25">
      <c r="B11" s="305" t="s">
        <v>1</v>
      </c>
      <c r="C11" s="306"/>
      <c r="D11" s="18">
        <f>C7/F7</f>
        <v>8.4601921147480955E-2</v>
      </c>
      <c r="F11" s="291" t="s">
        <v>1</v>
      </c>
      <c r="G11" s="292"/>
      <c r="H11" s="18">
        <f>C3/F3</f>
        <v>8.4414739585073784E-2</v>
      </c>
      <c r="I11" s="108"/>
      <c r="J11" s="86"/>
      <c r="K11" s="86"/>
    </row>
    <row r="12" spans="2:11" x14ac:dyDescent="0.25">
      <c r="B12" s="307" t="s">
        <v>2</v>
      </c>
      <c r="C12" s="308"/>
      <c r="D12" s="47">
        <f>D7/F7</f>
        <v>0.64211544117367381</v>
      </c>
      <c r="F12" s="293" t="s">
        <v>2</v>
      </c>
      <c r="G12" s="294"/>
      <c r="H12" s="47">
        <f>D3/F3</f>
        <v>0.46911633474854519</v>
      </c>
      <c r="I12" s="108"/>
    </row>
    <row r="13" spans="2:11" ht="15.75" thickBot="1" x14ac:dyDescent="0.3">
      <c r="B13" s="309" t="s">
        <v>3</v>
      </c>
      <c r="C13" s="310"/>
      <c r="D13" s="48">
        <f>E7/F7</f>
        <v>0.27328263767884542</v>
      </c>
      <c r="F13" s="289" t="s">
        <v>3</v>
      </c>
      <c r="G13" s="290"/>
      <c r="H13" s="48">
        <f>E3/F3</f>
        <v>0.44646892566638091</v>
      </c>
      <c r="I13" s="108"/>
    </row>
    <row r="14" spans="2:11" ht="15.75" thickBot="1" x14ac:dyDescent="0.3">
      <c r="B14" s="300" t="s">
        <v>7</v>
      </c>
      <c r="C14" s="301"/>
      <c r="D14" s="275">
        <f>SUM(D11:D13)</f>
        <v>1.0000000000000002</v>
      </c>
      <c r="F14" s="287" t="s">
        <v>12</v>
      </c>
      <c r="G14" s="288"/>
      <c r="H14" s="170">
        <f>SUM(H11:H13)</f>
        <v>1</v>
      </c>
      <c r="I14" s="109"/>
    </row>
    <row r="15" spans="2:11" ht="7.5" customHeight="1" thickBot="1" x14ac:dyDescent="0.3"/>
    <row r="16" spans="2:11" ht="42" customHeight="1" thickBot="1" x14ac:dyDescent="0.3">
      <c r="F16" s="295" t="s">
        <v>11</v>
      </c>
      <c r="G16" s="296"/>
      <c r="H16" s="297"/>
    </row>
    <row r="17" spans="6:8" x14ac:dyDescent="0.25">
      <c r="F17" s="291" t="s">
        <v>1</v>
      </c>
      <c r="G17" s="292"/>
      <c r="H17" s="18">
        <f>C4/F4</f>
        <v>8.4668078835557062E-2</v>
      </c>
    </row>
    <row r="18" spans="6:8" x14ac:dyDescent="0.25">
      <c r="F18" s="293" t="s">
        <v>2</v>
      </c>
      <c r="G18" s="294"/>
      <c r="H18" s="47">
        <f>D4/F4</f>
        <v>0.70326046407621756</v>
      </c>
    </row>
    <row r="19" spans="6:8" ht="15.75" thickBot="1" x14ac:dyDescent="0.3">
      <c r="F19" s="289" t="s">
        <v>3</v>
      </c>
      <c r="G19" s="290"/>
      <c r="H19" s="48">
        <f>E4/F4</f>
        <v>0.21207145708822539</v>
      </c>
    </row>
    <row r="20" spans="6:8" ht="31.5" customHeight="1" thickBot="1" x14ac:dyDescent="0.3">
      <c r="F20" s="298" t="s">
        <v>13</v>
      </c>
      <c r="G20" s="299"/>
      <c r="H20" s="171">
        <f>SUM(H17:H19)</f>
        <v>1</v>
      </c>
    </row>
    <row r="21" spans="6:8" ht="6.75" customHeight="1" thickBot="1" x14ac:dyDescent="0.3"/>
    <row r="22" spans="6:8" ht="45" customHeight="1" thickBot="1" x14ac:dyDescent="0.3">
      <c r="F22" s="284" t="s">
        <v>14</v>
      </c>
      <c r="G22" s="285"/>
      <c r="H22" s="286"/>
    </row>
    <row r="23" spans="6:8" x14ac:dyDescent="0.25">
      <c r="F23" s="291" t="s">
        <v>1</v>
      </c>
      <c r="G23" s="292"/>
      <c r="H23" s="18">
        <f>C5/F5</f>
        <v>8.4668078835557062E-2</v>
      </c>
    </row>
    <row r="24" spans="6:8" x14ac:dyDescent="0.25">
      <c r="F24" s="293" t="s">
        <v>2</v>
      </c>
      <c r="G24" s="294"/>
      <c r="H24" s="47">
        <f>D5/F5</f>
        <v>0.70326046407621745</v>
      </c>
    </row>
    <row r="25" spans="6:8" ht="15.75" thickBot="1" x14ac:dyDescent="0.3">
      <c r="F25" s="289" t="s">
        <v>3</v>
      </c>
      <c r="G25" s="290"/>
      <c r="H25" s="48">
        <f>E5/F5</f>
        <v>0.21207145708822539</v>
      </c>
    </row>
    <row r="26" spans="6:8" ht="19.5" customHeight="1" thickBot="1" x14ac:dyDescent="0.3">
      <c r="F26" s="287" t="s">
        <v>15</v>
      </c>
      <c r="G26" s="288"/>
      <c r="H26" s="172">
        <f>SUM(H23:H25)</f>
        <v>0.99999999999999989</v>
      </c>
    </row>
    <row r="27" spans="6:8" ht="7.5" customHeight="1" thickBot="1" x14ac:dyDescent="0.3"/>
    <row r="28" spans="6:8" ht="15.75" thickBot="1" x14ac:dyDescent="0.3">
      <c r="F28" s="295" t="s">
        <v>121</v>
      </c>
      <c r="G28" s="296"/>
      <c r="H28" s="297"/>
    </row>
    <row r="29" spans="6:8" x14ac:dyDescent="0.25">
      <c r="F29" s="291" t="s">
        <v>1</v>
      </c>
      <c r="G29" s="292"/>
      <c r="H29" s="18">
        <f>C6/F6</f>
        <v>8.4668078835557048E-2</v>
      </c>
    </row>
    <row r="30" spans="6:8" x14ac:dyDescent="0.25">
      <c r="F30" s="293" t="s">
        <v>2</v>
      </c>
      <c r="G30" s="294"/>
      <c r="H30" s="47">
        <f>D6/F6</f>
        <v>0.70326046407621756</v>
      </c>
    </row>
    <row r="31" spans="6:8" ht="15.75" thickBot="1" x14ac:dyDescent="0.3">
      <c r="F31" s="289" t="s">
        <v>3</v>
      </c>
      <c r="G31" s="290"/>
      <c r="H31" s="48">
        <f>E6/F6</f>
        <v>0.21207145708822539</v>
      </c>
    </row>
    <row r="32" spans="6:8" ht="15.75" thickBot="1" x14ac:dyDescent="0.3">
      <c r="F32" s="287" t="s">
        <v>159</v>
      </c>
      <c r="G32" s="288"/>
      <c r="H32" s="172">
        <f>SUM(H29:H31)</f>
        <v>1</v>
      </c>
    </row>
    <row r="34" ht="32.25" customHeight="1" x14ac:dyDescent="0.25"/>
  </sheetData>
  <mergeCells count="25">
    <mergeCell ref="B14:C14"/>
    <mergeCell ref="B10:D10"/>
    <mergeCell ref="B11:C11"/>
    <mergeCell ref="B12:C12"/>
    <mergeCell ref="B13:C13"/>
    <mergeCell ref="F22:H22"/>
    <mergeCell ref="F23:G23"/>
    <mergeCell ref="F24:G24"/>
    <mergeCell ref="F25:G25"/>
    <mergeCell ref="F26:G26"/>
    <mergeCell ref="F18:G18"/>
    <mergeCell ref="F17:G17"/>
    <mergeCell ref="F16:H16"/>
    <mergeCell ref="F19:G19"/>
    <mergeCell ref="F20:G20"/>
    <mergeCell ref="F28:H28"/>
    <mergeCell ref="F29:G29"/>
    <mergeCell ref="F30:G30"/>
    <mergeCell ref="F31:G31"/>
    <mergeCell ref="F32:G32"/>
    <mergeCell ref="F10:H10"/>
    <mergeCell ref="F14:G14"/>
    <mergeCell ref="F13:G13"/>
    <mergeCell ref="F11:G11"/>
    <mergeCell ref="F12:G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showGridLines="0" workbookViewId="0">
      <selection activeCell="G20" sqref="G20"/>
    </sheetView>
  </sheetViews>
  <sheetFormatPr baseColWidth="10" defaultRowHeight="15" x14ac:dyDescent="0.25"/>
  <cols>
    <col min="1" max="1" width="2.5703125" customWidth="1"/>
    <col min="2" max="2" width="23.28515625" customWidth="1"/>
    <col min="3" max="5" width="15.140625" customWidth="1"/>
  </cols>
  <sheetData>
    <row r="2" spans="2:6" ht="15.75" thickBot="1" x14ac:dyDescent="0.3"/>
    <row r="3" spans="2:6" ht="15.75" thickBot="1" x14ac:dyDescent="0.3">
      <c r="C3" s="131" t="s">
        <v>20</v>
      </c>
      <c r="D3" s="136" t="s">
        <v>62</v>
      </c>
      <c r="E3" s="132" t="s">
        <v>22</v>
      </c>
      <c r="F3" s="30" t="s">
        <v>23</v>
      </c>
    </row>
    <row r="4" spans="2:6" ht="15.75" thickBot="1" x14ac:dyDescent="0.3">
      <c r="B4" s="151" t="s">
        <v>151</v>
      </c>
      <c r="C4" s="17">
        <v>420700</v>
      </c>
      <c r="D4" s="17">
        <v>363120</v>
      </c>
      <c r="E4" s="17">
        <v>1783900</v>
      </c>
      <c r="F4" s="70">
        <f>AVERAGE(C4:E4)</f>
        <v>855906.66666666663</v>
      </c>
    </row>
    <row r="5" spans="2:6" ht="15.75" thickBot="1" x14ac:dyDescent="0.3">
      <c r="F5" s="70">
        <f>SUM(F4)</f>
        <v>855906.66666666663</v>
      </c>
    </row>
    <row r="7" spans="2:6" ht="15.75" thickBot="1" x14ac:dyDescent="0.3"/>
    <row r="8" spans="2:6" ht="15.75" thickBot="1" x14ac:dyDescent="0.3">
      <c r="B8" s="131" t="s">
        <v>118</v>
      </c>
      <c r="C8" s="131" t="s">
        <v>1</v>
      </c>
      <c r="D8" s="13" t="s">
        <v>2</v>
      </c>
      <c r="E8" s="132" t="s">
        <v>3</v>
      </c>
    </row>
    <row r="9" spans="2:6" ht="15.75" thickBot="1" x14ac:dyDescent="0.3">
      <c r="B9" s="151" t="s">
        <v>151</v>
      </c>
      <c r="C9" s="148">
        <f>F4*'[2]Prorrateo Centros de costos'!$I$7</f>
        <v>72467.973129212187</v>
      </c>
      <c r="D9" s="150">
        <f>F4*'[2]Prorrateo Centros de costos'!$I$6</f>
        <v>601925.31960592838</v>
      </c>
      <c r="E9" s="149">
        <f>F4*'[2]Prorrateo Centros de costos'!$I$5</f>
        <v>181513.37393152603</v>
      </c>
    </row>
    <row r="11" spans="2:6" ht="15.75" thickBot="1" x14ac:dyDescent="0.3"/>
    <row r="12" spans="2:6" ht="15.75" thickBot="1" x14ac:dyDescent="0.3">
      <c r="C12" s="409" t="s">
        <v>154</v>
      </c>
      <c r="D12" s="410"/>
    </row>
    <row r="13" spans="2:6" x14ac:dyDescent="0.25">
      <c r="C13" s="10" t="s">
        <v>1</v>
      </c>
      <c r="D13" s="18">
        <f>C9/F5</f>
        <v>8.4668078835557062E-2</v>
      </c>
    </row>
    <row r="14" spans="2:6" x14ac:dyDescent="0.25">
      <c r="C14" s="11" t="s">
        <v>2</v>
      </c>
      <c r="D14" s="47">
        <f>D9/F5</f>
        <v>0.70326046407621756</v>
      </c>
    </row>
    <row r="15" spans="2:6" ht="15.75" thickBot="1" x14ac:dyDescent="0.3">
      <c r="C15" s="12" t="s">
        <v>3</v>
      </c>
      <c r="D15" s="48">
        <f>E9/F5</f>
        <v>0.21207145708822539</v>
      </c>
    </row>
    <row r="16" spans="2:6" ht="15.75" thickBot="1" x14ac:dyDescent="0.3">
      <c r="C16" s="13" t="s">
        <v>52</v>
      </c>
      <c r="D16" s="42">
        <f>SUM(D13:D15)</f>
        <v>1</v>
      </c>
    </row>
  </sheetData>
  <mergeCells count="1">
    <mergeCell ref="C12:D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showGridLines="0" zoomScale="90" zoomScaleNormal="90" workbookViewId="0">
      <pane xSplit="1" topLeftCell="B1" activePane="topRight" state="frozen"/>
      <selection pane="topRight" activeCell="L18" sqref="L18"/>
    </sheetView>
  </sheetViews>
  <sheetFormatPr baseColWidth="10" defaultRowHeight="15" x14ac:dyDescent="0.25"/>
  <cols>
    <col min="1" max="1" width="35.28515625" customWidth="1"/>
    <col min="2" max="2" width="41.85546875" customWidth="1"/>
    <col min="3" max="6" width="16.42578125" customWidth="1"/>
    <col min="7" max="7" width="1.42578125" customWidth="1"/>
    <col min="8" max="10" width="17.85546875" customWidth="1"/>
    <col min="11" max="11" width="14.28515625" customWidth="1"/>
  </cols>
  <sheetData>
    <row r="1" spans="1:11" ht="15.75" thickBot="1" x14ac:dyDescent="0.3"/>
    <row r="2" spans="1:11" ht="15.75" thickBot="1" x14ac:dyDescent="0.3">
      <c r="A2" s="13" t="s">
        <v>84</v>
      </c>
      <c r="B2" s="13" t="s">
        <v>85</v>
      </c>
      <c r="C2" s="13" t="s">
        <v>20</v>
      </c>
      <c r="D2" s="13" t="s">
        <v>62</v>
      </c>
      <c r="E2" s="13" t="s">
        <v>22</v>
      </c>
      <c r="F2" s="13" t="s">
        <v>23</v>
      </c>
      <c r="H2" s="88" t="s">
        <v>1</v>
      </c>
      <c r="I2" s="30" t="s">
        <v>2</v>
      </c>
      <c r="J2" s="88" t="s">
        <v>3</v>
      </c>
    </row>
    <row r="3" spans="1:11" x14ac:dyDescent="0.25">
      <c r="A3" s="119" t="s">
        <v>129</v>
      </c>
      <c r="B3" s="75" t="s">
        <v>86</v>
      </c>
      <c r="C3" s="49">
        <v>506290</v>
      </c>
      <c r="D3" s="49">
        <v>384170</v>
      </c>
      <c r="E3" s="76">
        <v>423980</v>
      </c>
      <c r="F3" s="24">
        <f t="shared" ref="F3:F22" si="0">AVERAGE(C3:E3)</f>
        <v>438146.66666666669</v>
      </c>
      <c r="H3" s="15">
        <f>F3*'[2]Prorrateo Centros de costos'!$I$7</f>
        <v>37097.036514869877</v>
      </c>
      <c r="I3" s="66">
        <f>F3*'[2]Prorrateo Centros de costos'!$I$6</f>
        <v>308131.22813344782</v>
      </c>
      <c r="J3" s="15">
        <f>F3*'[2]Prorrateo Centros de costos'!$I$5</f>
        <v>92918.402018348992</v>
      </c>
      <c r="K3" s="40"/>
    </row>
    <row r="4" spans="1:11" x14ac:dyDescent="0.25">
      <c r="A4" s="120" t="s">
        <v>128</v>
      </c>
      <c r="B4" s="77" t="s">
        <v>87</v>
      </c>
      <c r="C4" s="50">
        <v>471040</v>
      </c>
      <c r="D4" s="50">
        <v>306170</v>
      </c>
      <c r="E4" s="78">
        <v>386930</v>
      </c>
      <c r="F4" s="25">
        <f t="shared" si="0"/>
        <v>388046.66666666669</v>
      </c>
      <c r="H4" s="16">
        <f>F4*'[2]Prorrateo Centros de costos'!$I$7</f>
        <v>32855.165765208469</v>
      </c>
      <c r="I4" s="66">
        <f>F4*'[2]Prorrateo Centros de costos'!$I$6</f>
        <v>272897.87888322934</v>
      </c>
      <c r="J4" s="16">
        <f>F4*'[2]Prorrateo Centros de costos'!$I$5</f>
        <v>82293.622018228911</v>
      </c>
      <c r="K4" s="40"/>
    </row>
    <row r="5" spans="1:11" x14ac:dyDescent="0.25">
      <c r="A5" s="120" t="s">
        <v>130</v>
      </c>
      <c r="B5" s="77" t="s">
        <v>88</v>
      </c>
      <c r="C5" s="50">
        <v>708458</v>
      </c>
      <c r="D5" s="50">
        <v>743814</v>
      </c>
      <c r="E5" s="78">
        <v>783186</v>
      </c>
      <c r="F5" s="25">
        <f t="shared" si="0"/>
        <v>745152.66666666663</v>
      </c>
      <c r="H5" s="16">
        <f>F5*'[2]Prorrateo Centros de costos'!$I$7</f>
        <v>63090.644725858903</v>
      </c>
      <c r="I5" s="66">
        <f>F5*'[2]Prorrateo Centros de costos'!$I$6</f>
        <v>524036.41016763105</v>
      </c>
      <c r="J5" s="16">
        <f>F5*'[2]Prorrateo Centros de costos'!$I$5</f>
        <v>158025.6117731767</v>
      </c>
      <c r="K5" s="40"/>
    </row>
    <row r="6" spans="1:11" x14ac:dyDescent="0.25">
      <c r="A6" s="120" t="s">
        <v>89</v>
      </c>
      <c r="B6" s="77" t="s">
        <v>90</v>
      </c>
      <c r="C6" s="50">
        <v>993185</v>
      </c>
      <c r="D6" s="50">
        <v>624400</v>
      </c>
      <c r="E6" s="78">
        <v>698400</v>
      </c>
      <c r="F6" s="25">
        <f t="shared" si="0"/>
        <v>771995</v>
      </c>
      <c r="H6" s="16">
        <f>F6*'[2]Prorrateo Centros de costos'!$I$7</f>
        <v>65363.333520655877</v>
      </c>
      <c r="I6" s="66">
        <f>F6*'[2]Prorrateo Centros de costos'!$I$6</f>
        <v>542913.56196451955</v>
      </c>
      <c r="J6" s="16">
        <f>F6*'[2]Prorrateo Centros de costos'!$I$5</f>
        <v>163718.10451482455</v>
      </c>
      <c r="K6" s="40"/>
    </row>
    <row r="7" spans="1:11" x14ac:dyDescent="0.25">
      <c r="A7" s="120" t="s">
        <v>127</v>
      </c>
      <c r="B7" s="77" t="s">
        <v>91</v>
      </c>
      <c r="C7" s="50">
        <v>333573</v>
      </c>
      <c r="D7" s="50">
        <v>763115</v>
      </c>
      <c r="E7" s="78">
        <v>623766</v>
      </c>
      <c r="F7" s="25">
        <f t="shared" si="0"/>
        <v>573484.66666666663</v>
      </c>
      <c r="H7" s="16">
        <f>F7*'[2]Prorrateo Centros de costos'!$I$7</f>
        <v>48555.844968316494</v>
      </c>
      <c r="I7" s="66">
        <f>F7*'[2]Prorrateo Centros de costos'!$I$6</f>
        <v>403309.0928205949</v>
      </c>
      <c r="J7" s="16">
        <f>F7*'[2]Prorrateo Centros de costos'!$I$5</f>
        <v>121619.72887775523</v>
      </c>
      <c r="K7" s="40"/>
    </row>
    <row r="8" spans="1:11" x14ac:dyDescent="0.25">
      <c r="A8" s="121" t="s">
        <v>126</v>
      </c>
      <c r="B8" s="34" t="s">
        <v>92</v>
      </c>
      <c r="C8" s="16">
        <v>1650000</v>
      </c>
      <c r="D8" s="16">
        <v>1650000</v>
      </c>
      <c r="E8" s="25">
        <v>1670000</v>
      </c>
      <c r="F8" s="28">
        <f t="shared" si="0"/>
        <v>1656666.6666666667</v>
      </c>
      <c r="H8" s="16">
        <f>F8*'[2]Prorrateo Centros de costos'!$I$7</f>
        <v>140266.78393757288</v>
      </c>
      <c r="I8" s="66">
        <f>F8*'[2]Prorrateo Centros de costos'!$I$6</f>
        <v>1165068.1688196005</v>
      </c>
      <c r="J8" s="16">
        <f>F8*'[2]Prorrateo Centros de costos'!$I$5</f>
        <v>351331.71390949341</v>
      </c>
      <c r="K8" s="40"/>
    </row>
    <row r="9" spans="1:11" x14ac:dyDescent="0.25">
      <c r="A9" s="121" t="s">
        <v>125</v>
      </c>
      <c r="B9" s="34" t="s">
        <v>93</v>
      </c>
      <c r="C9" s="16">
        <v>2500000</v>
      </c>
      <c r="D9" s="16">
        <v>2724000</v>
      </c>
      <c r="E9" s="25">
        <v>2900000</v>
      </c>
      <c r="F9" s="28">
        <f t="shared" si="0"/>
        <v>2708000</v>
      </c>
      <c r="H9" s="16">
        <f>F9*'[2]Prorrateo Centros de costos'!$I$7</f>
        <v>229281.15748668852</v>
      </c>
      <c r="I9" s="66">
        <f>F9*'[2]Prorrateo Centros de costos'!$I$6</f>
        <v>1904429.3367183972</v>
      </c>
      <c r="J9" s="16">
        <f>F9*'[2]Prorrateo Centros de costos'!$I$5</f>
        <v>574289.50579491432</v>
      </c>
      <c r="K9" s="40"/>
    </row>
    <row r="10" spans="1:11" x14ac:dyDescent="0.25">
      <c r="A10" s="121" t="s">
        <v>124</v>
      </c>
      <c r="B10" s="34" t="s">
        <v>94</v>
      </c>
      <c r="C10" s="16">
        <v>0</v>
      </c>
      <c r="D10" s="16">
        <v>0</v>
      </c>
      <c r="E10" s="25">
        <v>2000000</v>
      </c>
      <c r="F10" s="28">
        <f t="shared" si="0"/>
        <v>666666.66666666663</v>
      </c>
      <c r="H10" s="16">
        <f>F10*'[2]Prorrateo Centros de costos'!$I$7</f>
        <v>56445.38589037137</v>
      </c>
      <c r="I10" s="66">
        <f>F10*'[2]Prorrateo Centros de costos'!$I$6</f>
        <v>468840.30938414502</v>
      </c>
      <c r="J10" s="16">
        <f>F10*'[2]Prorrateo Centros de costos'!$I$5</f>
        <v>141380.97139215024</v>
      </c>
      <c r="K10" s="40"/>
    </row>
    <row r="11" spans="1:11" x14ac:dyDescent="0.25">
      <c r="A11" s="121" t="s">
        <v>123</v>
      </c>
      <c r="B11" s="34" t="s">
        <v>95</v>
      </c>
      <c r="C11" s="16">
        <v>0</v>
      </c>
      <c r="D11" s="16">
        <v>300000</v>
      </c>
      <c r="E11" s="25">
        <v>90000</v>
      </c>
      <c r="F11" s="28">
        <f t="shared" si="0"/>
        <v>130000</v>
      </c>
      <c r="H11" s="16">
        <f>F11*'[2]Prorrateo Centros de costos'!$I$7</f>
        <v>11006.850248622419</v>
      </c>
      <c r="I11" s="66">
        <f>F11*'[2]Prorrateo Centros de costos'!$I$6</f>
        <v>91423.86032990829</v>
      </c>
      <c r="J11" s="16">
        <f>F11*'[2]Prorrateo Centros de costos'!$I$5</f>
        <v>27569.289421469301</v>
      </c>
      <c r="K11" s="40"/>
    </row>
    <row r="12" spans="1:11" x14ac:dyDescent="0.25">
      <c r="A12" s="125" t="s">
        <v>96</v>
      </c>
      <c r="B12" s="126" t="s">
        <v>97</v>
      </c>
      <c r="C12" s="79">
        <v>0</v>
      </c>
      <c r="D12" s="79">
        <v>45000</v>
      </c>
      <c r="E12" s="79">
        <v>0</v>
      </c>
      <c r="F12" s="79">
        <f t="shared" si="0"/>
        <v>15000</v>
      </c>
      <c r="H12" s="16">
        <v>0</v>
      </c>
      <c r="I12" s="66">
        <v>0</v>
      </c>
      <c r="J12" s="16">
        <f>F12</f>
        <v>15000</v>
      </c>
      <c r="K12" s="40"/>
    </row>
    <row r="13" spans="1:11" x14ac:dyDescent="0.25">
      <c r="A13" s="125" t="s">
        <v>98</v>
      </c>
      <c r="B13" s="126" t="s">
        <v>99</v>
      </c>
      <c r="C13" s="79">
        <v>0</v>
      </c>
      <c r="D13" s="79">
        <v>35000</v>
      </c>
      <c r="E13" s="79">
        <v>0</v>
      </c>
      <c r="F13" s="79">
        <f t="shared" si="0"/>
        <v>11666.666666666666</v>
      </c>
      <c r="H13" s="16">
        <v>0</v>
      </c>
      <c r="I13" s="66">
        <v>0</v>
      </c>
      <c r="J13" s="16">
        <f>F13</f>
        <v>11666.666666666666</v>
      </c>
      <c r="K13" s="40"/>
    </row>
    <row r="14" spans="1:11" x14ac:dyDescent="0.25">
      <c r="A14" s="120" t="s">
        <v>100</v>
      </c>
      <c r="B14" s="77" t="s">
        <v>101</v>
      </c>
      <c r="C14" s="79">
        <f>300000+300000</f>
        <v>600000</v>
      </c>
      <c r="D14" s="79">
        <v>0</v>
      </c>
      <c r="E14" s="79">
        <v>0</v>
      </c>
      <c r="F14" s="79">
        <f t="shared" si="0"/>
        <v>200000</v>
      </c>
      <c r="H14" s="16">
        <v>0</v>
      </c>
      <c r="I14" s="66">
        <v>0</v>
      </c>
      <c r="J14" s="16">
        <f>F14</f>
        <v>200000</v>
      </c>
      <c r="K14" s="40"/>
    </row>
    <row r="15" spans="1:11" x14ac:dyDescent="0.25">
      <c r="A15" s="120" t="s">
        <v>102</v>
      </c>
      <c r="B15" s="77" t="s">
        <v>115</v>
      </c>
      <c r="C15" s="79">
        <f>70000+35000+35000+35000</f>
        <v>175000</v>
      </c>
      <c r="D15" s="79">
        <v>0</v>
      </c>
      <c r="E15" s="79">
        <f>45000+45000+90000+45000</f>
        <v>225000</v>
      </c>
      <c r="F15" s="79">
        <f t="shared" si="0"/>
        <v>133333.33333333334</v>
      </c>
      <c r="H15" s="16">
        <v>0</v>
      </c>
      <c r="I15" s="66">
        <f>F15*50%</f>
        <v>66666.666666666672</v>
      </c>
      <c r="J15" s="16">
        <f>F15*50%</f>
        <v>66666.666666666672</v>
      </c>
      <c r="K15" s="40"/>
    </row>
    <row r="16" spans="1:11" x14ac:dyDescent="0.25">
      <c r="A16" s="120" t="s">
        <v>103</v>
      </c>
      <c r="B16" s="77" t="s">
        <v>104</v>
      </c>
      <c r="C16" s="79">
        <v>35000</v>
      </c>
      <c r="D16" s="79">
        <f>35000+35000+70000</f>
        <v>140000</v>
      </c>
      <c r="E16" s="79">
        <f>35000+35000+70000</f>
        <v>140000</v>
      </c>
      <c r="F16" s="79">
        <f t="shared" si="0"/>
        <v>105000</v>
      </c>
      <c r="H16" s="16">
        <f>F16*'[2]Prorrateo Centros de costos'!$I$7</f>
        <v>8890.1482777334913</v>
      </c>
      <c r="I16" s="66">
        <f>F16*'[2]Prorrateo Centros de costos'!$I$6</f>
        <v>73842.348728002849</v>
      </c>
      <c r="J16" s="16">
        <f>F16*'[2]Prorrateo Centros de costos'!$I$5</f>
        <v>22267.502994263665</v>
      </c>
      <c r="K16" s="40"/>
    </row>
    <row r="17" spans="1:11" x14ac:dyDescent="0.25">
      <c r="A17" s="120" t="s">
        <v>122</v>
      </c>
      <c r="B17" s="77" t="s">
        <v>114</v>
      </c>
      <c r="C17" s="79">
        <f>45000+90000+45000+90000+90000</f>
        <v>360000</v>
      </c>
      <c r="D17" s="79">
        <f>45000+106200+90000+45000</f>
        <v>286200</v>
      </c>
      <c r="E17" s="79">
        <f>90000+45000+90000</f>
        <v>225000</v>
      </c>
      <c r="F17" s="79">
        <f t="shared" si="0"/>
        <v>290400</v>
      </c>
      <c r="H17" s="16">
        <v>0</v>
      </c>
      <c r="I17" s="66">
        <f>F17</f>
        <v>290400</v>
      </c>
      <c r="J17" s="16">
        <v>0</v>
      </c>
      <c r="K17" s="40"/>
    </row>
    <row r="18" spans="1:11" x14ac:dyDescent="0.25">
      <c r="A18" s="120" t="s">
        <v>105</v>
      </c>
      <c r="B18" s="77" t="s">
        <v>106</v>
      </c>
      <c r="C18" s="79">
        <f>90000+25000+45000+45000+45000+45000</f>
        <v>295000</v>
      </c>
      <c r="D18" s="79">
        <f>25000+45000+45000+45000+25000+45000</f>
        <v>230000</v>
      </c>
      <c r="E18" s="79">
        <f>45000+45000+90000+45000+25000</f>
        <v>250000</v>
      </c>
      <c r="F18" s="79">
        <f t="shared" si="0"/>
        <v>258333.33333333334</v>
      </c>
      <c r="H18" s="16">
        <f>F18*'[2]Prorrateo Centros de costos'!$I$7</f>
        <v>21872.58703251891</v>
      </c>
      <c r="I18" s="66">
        <f>F18*'[2]Prorrateo Centros de costos'!$I$6</f>
        <v>181675.6198863562</v>
      </c>
      <c r="J18" s="16">
        <f>F18*'[2]Prorrateo Centros de costos'!$I$5</f>
        <v>54785.126414458231</v>
      </c>
      <c r="K18" s="40"/>
    </row>
    <row r="19" spans="1:11" x14ac:dyDescent="0.25">
      <c r="A19" s="120" t="s">
        <v>107</v>
      </c>
      <c r="B19" s="77" t="s">
        <v>116</v>
      </c>
      <c r="C19" s="79">
        <f>55000+110000+110000+55000</f>
        <v>330000</v>
      </c>
      <c r="D19" s="79">
        <f>55000+110000</f>
        <v>165000</v>
      </c>
      <c r="E19" s="79">
        <f>55000+110000+110000+55000+55000</f>
        <v>385000</v>
      </c>
      <c r="F19" s="79">
        <f t="shared" si="0"/>
        <v>293333.33333333331</v>
      </c>
      <c r="H19" s="16">
        <v>0</v>
      </c>
      <c r="I19" s="66">
        <v>0</v>
      </c>
      <c r="J19" s="16">
        <f>F19</f>
        <v>293333.33333333331</v>
      </c>
      <c r="K19" s="40"/>
    </row>
    <row r="20" spans="1:11" x14ac:dyDescent="0.25">
      <c r="A20" s="120" t="s">
        <v>108</v>
      </c>
      <c r="B20" s="77" t="s">
        <v>109</v>
      </c>
      <c r="C20" s="79">
        <f>60000*14</f>
        <v>840000</v>
      </c>
      <c r="D20" s="79">
        <f>60000*8</f>
        <v>480000</v>
      </c>
      <c r="E20" s="79">
        <f>60000*9</f>
        <v>540000</v>
      </c>
      <c r="F20" s="79">
        <f t="shared" si="0"/>
        <v>620000</v>
      </c>
      <c r="H20" s="16">
        <v>0</v>
      </c>
      <c r="I20" s="66">
        <f>F20</f>
        <v>620000</v>
      </c>
      <c r="J20" s="16">
        <v>0</v>
      </c>
      <c r="K20" s="40"/>
    </row>
    <row r="21" spans="1:11" x14ac:dyDescent="0.25">
      <c r="A21" s="120" t="s">
        <v>110</v>
      </c>
      <c r="B21" s="77" t="s">
        <v>113</v>
      </c>
      <c r="C21" s="79">
        <f>55000+45000+90000+45000+45000+45000</f>
        <v>325000</v>
      </c>
      <c r="D21" s="79">
        <f>45000+45000+45000</f>
        <v>135000</v>
      </c>
      <c r="E21" s="79">
        <v>0</v>
      </c>
      <c r="F21" s="79">
        <f t="shared" si="0"/>
        <v>153333.33333333334</v>
      </c>
      <c r="H21" s="16">
        <v>0</v>
      </c>
      <c r="I21" s="66">
        <v>0</v>
      </c>
      <c r="J21" s="16">
        <f>F21</f>
        <v>153333.33333333334</v>
      </c>
      <c r="K21" s="40"/>
    </row>
    <row r="22" spans="1:11" ht="15.75" thickBot="1" x14ac:dyDescent="0.3">
      <c r="A22" s="122" t="s">
        <v>111</v>
      </c>
      <c r="B22" s="80" t="s">
        <v>109</v>
      </c>
      <c r="C22" s="81">
        <v>0</v>
      </c>
      <c r="D22" s="81">
        <f>35000+71000</f>
        <v>106000</v>
      </c>
      <c r="E22" s="81">
        <v>0</v>
      </c>
      <c r="F22" s="81">
        <f t="shared" si="0"/>
        <v>35333.333333333336</v>
      </c>
      <c r="H22" s="17">
        <v>0</v>
      </c>
      <c r="I22" s="129">
        <f>F22</f>
        <v>35333.333333333336</v>
      </c>
      <c r="J22" s="17">
        <v>0</v>
      </c>
      <c r="K22" s="40"/>
    </row>
    <row r="23" spans="1:11" ht="15.75" thickBot="1" x14ac:dyDescent="0.3">
      <c r="A23" s="412" t="s">
        <v>52</v>
      </c>
      <c r="B23" s="413"/>
      <c r="C23" s="41">
        <f>SUM(C3:C22)</f>
        <v>10122546</v>
      </c>
      <c r="D23" s="41">
        <f>SUM(D3:D22)</f>
        <v>9117869</v>
      </c>
      <c r="E23" s="41">
        <f>SUM(E3:E22)</f>
        <v>11341262</v>
      </c>
      <c r="F23" s="41">
        <f>SUM(F3:F22)</f>
        <v>10193892.333333336</v>
      </c>
      <c r="H23" s="89">
        <f t="shared" ref="H23:J23" si="1">SUM(H3:H22)</f>
        <v>714724.93836841721</v>
      </c>
      <c r="I23" s="89">
        <f t="shared" si="1"/>
        <v>6948967.8158358326</v>
      </c>
      <c r="J23" s="89">
        <f t="shared" si="1"/>
        <v>2530199.579129084</v>
      </c>
      <c r="K23" s="40"/>
    </row>
    <row r="25" spans="1:11" ht="15.75" thickBot="1" x14ac:dyDescent="0.3"/>
    <row r="26" spans="1:11" ht="15.75" thickBot="1" x14ac:dyDescent="0.3">
      <c r="A26" s="2"/>
      <c r="D26" s="409" t="s">
        <v>112</v>
      </c>
      <c r="E26" s="410"/>
      <c r="H26" s="409" t="s">
        <v>9</v>
      </c>
      <c r="I26" s="410"/>
    </row>
    <row r="27" spans="1:11" x14ac:dyDescent="0.25">
      <c r="A27" s="103"/>
      <c r="D27" s="10" t="s">
        <v>1</v>
      </c>
      <c r="E27" s="43">
        <f>H23</f>
        <v>714724.93836841721</v>
      </c>
      <c r="H27" s="10" t="s">
        <v>1</v>
      </c>
      <c r="I27" s="18">
        <f>E27/$E$30</f>
        <v>7.011305544510367E-2</v>
      </c>
    </row>
    <row r="28" spans="1:11" x14ac:dyDescent="0.25">
      <c r="A28" s="103"/>
      <c r="D28" s="11" t="s">
        <v>2</v>
      </c>
      <c r="E28" s="44">
        <f>I23</f>
        <v>6948967.8158358326</v>
      </c>
      <c r="H28" s="11" t="s">
        <v>2</v>
      </c>
      <c r="I28" s="47">
        <f>E28/$E$30</f>
        <v>0.68167953796345104</v>
      </c>
    </row>
    <row r="29" spans="1:11" ht="15.75" thickBot="1" x14ac:dyDescent="0.3">
      <c r="A29" s="103"/>
      <c r="D29" s="12" t="s">
        <v>3</v>
      </c>
      <c r="E29" s="45">
        <f>J23</f>
        <v>2530199.579129084</v>
      </c>
      <c r="H29" s="12" t="s">
        <v>3</v>
      </c>
      <c r="I29" s="48">
        <f>E29/$E$30</f>
        <v>0.2482074065914453</v>
      </c>
    </row>
    <row r="30" spans="1:11" ht="15.75" thickBot="1" x14ac:dyDescent="0.3">
      <c r="A30" s="103"/>
      <c r="D30" s="30" t="s">
        <v>52</v>
      </c>
      <c r="E30" s="70">
        <f>SUM(E27:E29)</f>
        <v>10193892.333333334</v>
      </c>
      <c r="H30" s="30" t="s">
        <v>52</v>
      </c>
      <c r="I30" s="87">
        <f>SUM(I27:I29)</f>
        <v>1</v>
      </c>
    </row>
    <row r="31" spans="1:11" x14ac:dyDescent="0.25">
      <c r="A31" s="103"/>
    </row>
    <row r="32" spans="1:11" x14ac:dyDescent="0.25">
      <c r="A32" s="104"/>
    </row>
    <row r="33" spans="1:1" x14ac:dyDescent="0.25">
      <c r="A33" s="104"/>
    </row>
    <row r="34" spans="1:1" x14ac:dyDescent="0.25">
      <c r="A34" s="104"/>
    </row>
    <row r="35" spans="1:1" x14ac:dyDescent="0.25">
      <c r="A35" s="104"/>
    </row>
  </sheetData>
  <mergeCells count="3">
    <mergeCell ref="A23:B23"/>
    <mergeCell ref="H26:I26"/>
    <mergeCell ref="D26:E26"/>
  </mergeCells>
  <pageMargins left="0.7" right="0.7" top="0.75" bottom="0.75" header="0.3" footer="0.3"/>
  <ignoredErrors>
    <ignoredError sqref="I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showGridLines="0" tabSelected="1" zoomScaleNormal="100" workbookViewId="0">
      <pane xSplit="2" topLeftCell="I1" activePane="topRight" state="frozen"/>
      <selection pane="topRight" activeCell="G6" sqref="G6:I6"/>
    </sheetView>
  </sheetViews>
  <sheetFormatPr baseColWidth="10" defaultRowHeight="15" x14ac:dyDescent="0.25"/>
  <cols>
    <col min="1" max="1" width="1.7109375" customWidth="1"/>
    <col min="2" max="2" width="30.140625" customWidth="1"/>
    <col min="3" max="3" width="15" customWidth="1"/>
    <col min="4" max="4" width="12.28515625" customWidth="1"/>
    <col min="5" max="5" width="13.42578125" customWidth="1"/>
    <col min="7" max="7" width="14.42578125" bestFit="1" customWidth="1"/>
    <col min="8" max="8" width="12.85546875" customWidth="1"/>
    <col min="9" max="9" width="12.28515625" customWidth="1"/>
    <col min="10" max="10" width="12.85546875" customWidth="1"/>
    <col min="11" max="11" width="14" customWidth="1"/>
    <col min="12" max="13" width="13.42578125" bestFit="1" customWidth="1"/>
    <col min="14" max="14" width="12.85546875" customWidth="1"/>
    <col min="15" max="15" width="16.28515625" bestFit="1" customWidth="1"/>
    <col min="16" max="16" width="12.7109375" customWidth="1"/>
    <col min="17" max="19" width="11.7109375" customWidth="1"/>
  </cols>
  <sheetData>
    <row r="1" spans="2:19" ht="15.75" thickBot="1" x14ac:dyDescent="0.3">
      <c r="C1" s="37"/>
      <c r="D1" s="37"/>
      <c r="E1" s="38"/>
      <c r="G1" s="37"/>
      <c r="H1" s="37"/>
      <c r="I1" s="37"/>
      <c r="K1" s="37"/>
      <c r="L1" s="37"/>
      <c r="M1" s="38"/>
    </row>
    <row r="2" spans="2:19" ht="15.75" customHeight="1" thickBot="1" x14ac:dyDescent="0.3">
      <c r="B2" s="1"/>
      <c r="C2" s="345" t="s">
        <v>1</v>
      </c>
      <c r="D2" s="346"/>
      <c r="E2" s="346"/>
      <c r="F2" s="347"/>
      <c r="G2" s="345" t="s">
        <v>2</v>
      </c>
      <c r="H2" s="346"/>
      <c r="I2" s="346"/>
      <c r="J2" s="347"/>
      <c r="K2" s="346" t="s">
        <v>3</v>
      </c>
      <c r="L2" s="346"/>
      <c r="M2" s="346"/>
      <c r="N2" s="347"/>
      <c r="O2" s="331" t="s">
        <v>25</v>
      </c>
      <c r="Q2" s="311" t="s">
        <v>162</v>
      </c>
      <c r="R2" s="312"/>
      <c r="S2" s="313"/>
    </row>
    <row r="3" spans="2:19" ht="15.75" thickBot="1" x14ac:dyDescent="0.3">
      <c r="B3" s="189" t="s">
        <v>60</v>
      </c>
      <c r="C3" s="190" t="s">
        <v>20</v>
      </c>
      <c r="D3" s="191" t="s">
        <v>21</v>
      </c>
      <c r="E3" s="191" t="s">
        <v>22</v>
      </c>
      <c r="F3" s="183" t="s">
        <v>23</v>
      </c>
      <c r="G3" s="173" t="s">
        <v>20</v>
      </c>
      <c r="H3" s="191" t="s">
        <v>21</v>
      </c>
      <c r="I3" s="191" t="s">
        <v>22</v>
      </c>
      <c r="J3" s="183" t="s">
        <v>23</v>
      </c>
      <c r="K3" s="173" t="s">
        <v>20</v>
      </c>
      <c r="L3" s="192" t="s">
        <v>21</v>
      </c>
      <c r="M3" s="192" t="s">
        <v>22</v>
      </c>
      <c r="N3" s="183" t="s">
        <v>23</v>
      </c>
      <c r="O3" s="332"/>
      <c r="Q3" s="314"/>
      <c r="R3" s="315"/>
      <c r="S3" s="316"/>
    </row>
    <row r="4" spans="2:19" x14ac:dyDescent="0.25">
      <c r="B4" s="175" t="s">
        <v>16</v>
      </c>
      <c r="C4" s="74">
        <f>(2721*517*[1]Hoja1!$B$19)</f>
        <v>118751.02581447964</v>
      </c>
      <c r="D4" s="66">
        <f>(2592*517*[1]Hoja1!$B$19)</f>
        <v>113121.15358733232</v>
      </c>
      <c r="E4" s="66">
        <f>(2553*509*[1]Hoja1!$B$19)</f>
        <v>109695.01255179293</v>
      </c>
      <c r="F4" s="184">
        <f t="shared" ref="F4:F5" si="0">AVERAGE(C4:E4)</f>
        <v>113855.73065120164</v>
      </c>
      <c r="G4" s="66">
        <f>(2721*517*[1]Hoja1!$C$19)</f>
        <v>659932.68772185931</v>
      </c>
      <c r="H4" s="66">
        <f>(2592*517*[1]Hoja1!$C$19)</f>
        <v>628645.91200847458</v>
      </c>
      <c r="I4" s="66">
        <f>(2553*509*[1]Hoja1!$C$19)</f>
        <v>609605.88733003533</v>
      </c>
      <c r="J4" s="184">
        <f t="shared" ref="J4:J5" si="1">AVERAGE(G4:I4)</f>
        <v>632728.16235345637</v>
      </c>
      <c r="K4" s="66">
        <f>(2721*517*[1]Hoja1!$D$19)+(239*548)</f>
        <v>759045.28646366112</v>
      </c>
      <c r="L4" s="66">
        <f>(2592*517*[1]Hoja1!$D$19)+(227*548)</f>
        <v>722692.93440419319</v>
      </c>
      <c r="M4" s="66">
        <f>(2553*509*[1]Hoja1!$D$19)+(210*548)</f>
        <v>695256.10011817177</v>
      </c>
      <c r="N4" s="184">
        <f t="shared" ref="N4:N5" si="2">AVERAGE(K4:M4)</f>
        <v>725664.77366200869</v>
      </c>
      <c r="O4" s="180">
        <f t="shared" ref="O4:O5" si="3">F4+J4+N4</f>
        <v>1472248.6666666667</v>
      </c>
      <c r="P4" s="40"/>
      <c r="Q4" s="305" t="s">
        <v>1</v>
      </c>
      <c r="R4" s="306"/>
      <c r="S4" s="18">
        <f>F12/O12</f>
        <v>7.4594183973884773E-2</v>
      </c>
    </row>
    <row r="5" spans="2:19" x14ac:dyDescent="0.25">
      <c r="B5" s="176" t="s">
        <v>17</v>
      </c>
      <c r="C5" s="36">
        <f>(48*1534*[1]Hoja1!B19)</f>
        <v>6215.6261051281526</v>
      </c>
      <c r="D5" s="36">
        <f>(35*1572*[1]Hoja1!$B$19)</f>
        <v>4644.4989719707592</v>
      </c>
      <c r="E5" s="36">
        <f>(42*1580*[1]Hoja1!$B$19)</f>
        <v>5601.7621188654966</v>
      </c>
      <c r="F5" s="185">
        <f t="shared" si="0"/>
        <v>5487.2957319881361</v>
      </c>
      <c r="G5" s="36">
        <f>(48*1534*[1]Hoja1!$C$19)</f>
        <v>34541.973960204887</v>
      </c>
      <c r="H5" s="36">
        <f>(35*1572*[1]Hoja1!$C$19)</f>
        <v>25810.78073786496</v>
      </c>
      <c r="I5" s="36">
        <f>(42*1580*[1]Hoja1!$C$19)</f>
        <v>31130.559973913463</v>
      </c>
      <c r="J5" s="185">
        <f t="shared" si="1"/>
        <v>30494.438223994435</v>
      </c>
      <c r="K5" s="36">
        <f>(48*1534*[1]Hoja1!$D$19)+(4*1495)</f>
        <v>38854.399934666966</v>
      </c>
      <c r="L5" s="36">
        <f>(35*1572*[1]Hoja1!$D$19)+(3*1495)</f>
        <v>29049.720290164281</v>
      </c>
      <c r="M5" s="36">
        <f>(42*1580*[1]Hoja1!$D$19)+(4*1495)</f>
        <v>35607.677907221041</v>
      </c>
      <c r="N5" s="185">
        <f t="shared" si="2"/>
        <v>34503.932710684101</v>
      </c>
      <c r="O5" s="181">
        <f t="shared" si="3"/>
        <v>70485.666666666672</v>
      </c>
      <c r="Q5" s="307" t="s">
        <v>2</v>
      </c>
      <c r="R5" s="308"/>
      <c r="S5" s="47">
        <f>J12/O12</f>
        <v>0.45073537780919387</v>
      </c>
    </row>
    <row r="6" spans="2:19" ht="15.75" thickBot="1" x14ac:dyDescent="0.3">
      <c r="B6" s="176" t="s">
        <v>141</v>
      </c>
      <c r="C6" s="36">
        <f>410000*[1]Hoja1!$B$19</f>
        <v>34610.043229880248</v>
      </c>
      <c r="D6" s="36">
        <f>410000*[1]Hoja1!$B$19</f>
        <v>34610.043229880248</v>
      </c>
      <c r="E6" s="36">
        <f>410000*[1]Hoja1!$B$19</f>
        <v>34610.043229880248</v>
      </c>
      <c r="F6" s="185">
        <f>AVERAGE(C6:E6)</f>
        <v>34610.043229880248</v>
      </c>
      <c r="G6" s="414">
        <f>410000*[1]Hoja1!$C$19</f>
        <v>192337.69724690355</v>
      </c>
      <c r="H6" s="414">
        <f>410000*[1]Hoja1!$C$19</f>
        <v>192337.69724690355</v>
      </c>
      <c r="I6" s="414">
        <f>410000*[1]Hoja1!$C$19</f>
        <v>192337.69724690355</v>
      </c>
      <c r="J6" s="185">
        <f>AVERAGE(G6:I6)</f>
        <v>192337.69724690355</v>
      </c>
      <c r="K6" s="36">
        <f>410000*[1]Hoja1!$D$19</f>
        <v>183052.2595232162</v>
      </c>
      <c r="L6" s="36">
        <f>410000*[1]Hoja1!$D$19</f>
        <v>183052.2595232162</v>
      </c>
      <c r="M6" s="36">
        <f>410000*[1]Hoja1!$D$19</f>
        <v>183052.2595232162</v>
      </c>
      <c r="N6" s="185">
        <f>AVERAGE(K6:M6)</f>
        <v>183052.2595232162</v>
      </c>
      <c r="O6" s="181">
        <f>F6+J6+N6</f>
        <v>410000</v>
      </c>
      <c r="Q6" s="309" t="s">
        <v>161</v>
      </c>
      <c r="R6" s="310"/>
      <c r="S6" s="48">
        <f>N12/O12</f>
        <v>0.47467043821692129</v>
      </c>
    </row>
    <row r="7" spans="2:19" ht="15.75" thickBot="1" x14ac:dyDescent="0.3">
      <c r="B7" s="176" t="s">
        <v>18</v>
      </c>
      <c r="C7" s="36">
        <f>(502000*[1]Hoja1!$B$19)</f>
        <v>42376.199271707039</v>
      </c>
      <c r="D7" s="36">
        <f>(502000*[1]Hoja1!$B$19)</f>
        <v>42376.199271707039</v>
      </c>
      <c r="E7" s="36">
        <f>(502000*[1]Hoja1!$B$19)</f>
        <v>42376.199271707039</v>
      </c>
      <c r="F7" s="185">
        <f>AVERAGE(C7:E7)</f>
        <v>42376.199271707039</v>
      </c>
      <c r="G7" s="36">
        <f>(502000*[1]Hoja1!$C$19)</f>
        <v>235496.40004376971</v>
      </c>
      <c r="H7" s="36">
        <f>(502000*[1]Hoja1!$C$19)</f>
        <v>235496.40004376971</v>
      </c>
      <c r="I7" s="36">
        <f>(502000*[1]Hoja1!$C$19)</f>
        <v>235496.40004376971</v>
      </c>
      <c r="J7" s="185">
        <f>AVERAGE(G7:I7)</f>
        <v>235496.40004376971</v>
      </c>
      <c r="K7" s="36">
        <f>(454440*[1]Hoja1!$D$19)+47560</f>
        <v>250453.33857983016</v>
      </c>
      <c r="L7" s="36">
        <f>(454440*[1]Hoja1!$D$19)+47560</f>
        <v>250453.33857983016</v>
      </c>
      <c r="M7" s="36">
        <f>(454440*[1]Hoja1!$D$19)+47560</f>
        <v>250453.33857983016</v>
      </c>
      <c r="N7" s="185">
        <f>AVERAGE(K7:M7)</f>
        <v>250453.33857983016</v>
      </c>
      <c r="O7" s="181">
        <f>F7+J7+N7</f>
        <v>528325.93789530685</v>
      </c>
      <c r="Q7" s="300" t="s">
        <v>25</v>
      </c>
      <c r="R7" s="301"/>
      <c r="S7" s="283">
        <f>SUM(S4:S6)</f>
        <v>1</v>
      </c>
    </row>
    <row r="8" spans="2:19" x14ac:dyDescent="0.25">
      <c r="B8" s="176" t="s">
        <v>140</v>
      </c>
      <c r="C8" s="36">
        <f>(1238000*[1]Hoja1!$B$19)</f>
        <v>104505.44760632134</v>
      </c>
      <c r="D8" s="36">
        <f>(1238000*[1]Hoja1!$B$19)</f>
        <v>104505.44760632134</v>
      </c>
      <c r="E8" s="36">
        <f>(1238000*[1]Hoja1!$B$19)</f>
        <v>104505.44760632134</v>
      </c>
      <c r="F8" s="185">
        <f>AVERAGE(C8:E8)</f>
        <v>104505.44760632135</v>
      </c>
      <c r="G8" s="36">
        <f>(1238000*[1]Hoja1!$C$19)</f>
        <v>580766.02241869899</v>
      </c>
      <c r="H8" s="36">
        <f>(1238000*[1]Hoja1!$C$19)</f>
        <v>580766.02241869899</v>
      </c>
      <c r="I8" s="36">
        <f>(1238000*[1]Hoja1!$C$19)</f>
        <v>580766.02241869899</v>
      </c>
      <c r="J8" s="185">
        <f>AVERAGE(G8:I8)</f>
        <v>580766.02241869899</v>
      </c>
      <c r="K8" s="36">
        <f>(1238000*[1]Hoja1!$D$19)</f>
        <v>552728.52997497958</v>
      </c>
      <c r="L8" s="36">
        <f>(1238000*[1]Hoja1!$D$19)</f>
        <v>552728.52997497958</v>
      </c>
      <c r="M8" s="36">
        <f>(1238000*[1]Hoja1!$D$19)</f>
        <v>552728.52997497958</v>
      </c>
      <c r="N8" s="185">
        <f>AVERAGE(K8:M8)</f>
        <v>552728.52997497958</v>
      </c>
      <c r="O8" s="181">
        <f>F8+J8+N8</f>
        <v>1238000</v>
      </c>
    </row>
    <row r="9" spans="2:19" x14ac:dyDescent="0.25">
      <c r="B9" s="176" t="s">
        <v>19</v>
      </c>
      <c r="C9" s="36">
        <v>0</v>
      </c>
      <c r="D9" s="36">
        <v>0</v>
      </c>
      <c r="E9" s="36">
        <v>0</v>
      </c>
      <c r="F9" s="185">
        <f t="shared" ref="F9:F11" si="4">AVERAGE(C9:E9)</f>
        <v>0</v>
      </c>
      <c r="G9" s="36">
        <v>40000</v>
      </c>
      <c r="H9" s="36">
        <v>40000</v>
      </c>
      <c r="I9" s="36">
        <v>40000</v>
      </c>
      <c r="J9" s="185">
        <f t="shared" ref="J9:J11" si="5">AVERAGE(G9:I9)</f>
        <v>40000</v>
      </c>
      <c r="K9" s="69">
        <v>0</v>
      </c>
      <c r="L9" s="69">
        <v>0</v>
      </c>
      <c r="M9" s="69">
        <v>0</v>
      </c>
      <c r="N9" s="185">
        <f t="shared" ref="N9:N11" si="6">AVERAGE(K9:M9)</f>
        <v>0</v>
      </c>
      <c r="O9" s="181">
        <f t="shared" ref="O9:O11" si="7">F9+J9+N9</f>
        <v>40000</v>
      </c>
    </row>
    <row r="10" spans="2:19" x14ac:dyDescent="0.25">
      <c r="B10" s="176" t="s">
        <v>61</v>
      </c>
      <c r="C10" s="36">
        <f>670257*5.87%</f>
        <v>39344.085899999998</v>
      </c>
      <c r="D10" s="36">
        <f t="shared" ref="D10:E10" si="8">670257*5.87%</f>
        <v>39344.085899999998</v>
      </c>
      <c r="E10" s="36">
        <f t="shared" si="8"/>
        <v>39344.085899999998</v>
      </c>
      <c r="F10" s="185">
        <f t="shared" si="4"/>
        <v>39344.085899999998</v>
      </c>
      <c r="G10" s="36">
        <f>670257*51.28%</f>
        <v>343707.78960000002</v>
      </c>
      <c r="H10" s="36">
        <f t="shared" ref="H10:I10" si="9">670257*51.28%</f>
        <v>343707.78960000002</v>
      </c>
      <c r="I10" s="36">
        <f t="shared" si="9"/>
        <v>343707.78960000002</v>
      </c>
      <c r="J10" s="185">
        <f t="shared" si="5"/>
        <v>343707.78960000002</v>
      </c>
      <c r="K10" s="92">
        <f>670257*42.85%</f>
        <v>287205.12449999998</v>
      </c>
      <c r="L10" s="92">
        <f t="shared" ref="L10:M10" si="10">670257*42.85%</f>
        <v>287205.12449999998</v>
      </c>
      <c r="M10" s="92">
        <f t="shared" si="10"/>
        <v>287205.12449999998</v>
      </c>
      <c r="N10" s="185">
        <f t="shared" si="6"/>
        <v>287205.12449999998</v>
      </c>
      <c r="O10" s="181">
        <f t="shared" si="7"/>
        <v>670257</v>
      </c>
    </row>
    <row r="11" spans="2:19" ht="15.75" thickBot="1" x14ac:dyDescent="0.3">
      <c r="B11" s="165" t="s">
        <v>59</v>
      </c>
      <c r="C11" s="36">
        <v>0</v>
      </c>
      <c r="D11" s="36">
        <v>0</v>
      </c>
      <c r="E11" s="36">
        <v>0</v>
      </c>
      <c r="F11" s="186">
        <f t="shared" si="4"/>
        <v>0</v>
      </c>
      <c r="G11" s="68">
        <v>0</v>
      </c>
      <c r="H11" s="68">
        <v>0</v>
      </c>
      <c r="I11" s="68">
        <v>0</v>
      </c>
      <c r="J11" s="186">
        <f t="shared" si="5"/>
        <v>0</v>
      </c>
      <c r="K11" s="67">
        <f>368550*[1]Hoja1!$D$19</f>
        <v>164546.12255434471</v>
      </c>
      <c r="L11" s="67">
        <f>440900*[1]Hoja1!$D$19</f>
        <v>196848.14932630738</v>
      </c>
      <c r="M11" s="67">
        <f>71300*[1]Hoja1!$D$19</f>
        <v>31833.234400012963</v>
      </c>
      <c r="N11" s="186">
        <f t="shared" si="6"/>
        <v>131075.83542688834</v>
      </c>
      <c r="O11" s="181">
        <f t="shared" si="7"/>
        <v>131075.83542688834</v>
      </c>
    </row>
    <row r="12" spans="2:19" ht="15.75" thickBot="1" x14ac:dyDescent="0.3">
      <c r="B12" s="317" t="s">
        <v>24</v>
      </c>
      <c r="C12" s="318"/>
      <c r="D12" s="318"/>
      <c r="E12" s="319"/>
      <c r="F12" s="187">
        <f>SUM(F4:F11)</f>
        <v>340178.8023910984</v>
      </c>
      <c r="G12" s="317" t="s">
        <v>76</v>
      </c>
      <c r="H12" s="318"/>
      <c r="I12" s="319"/>
      <c r="J12" s="187">
        <f>SUM(J4:J11)</f>
        <v>2055530.5098868231</v>
      </c>
      <c r="K12" s="177"/>
      <c r="L12" s="178" t="s">
        <v>75</v>
      </c>
      <c r="M12" s="179"/>
      <c r="N12" s="188">
        <f>SUM(N4:N11)</f>
        <v>2164683.7943776068</v>
      </c>
      <c r="O12" s="182">
        <f>SUM(O4:O11)</f>
        <v>4560393.1066555288</v>
      </c>
      <c r="P12" s="2"/>
    </row>
    <row r="14" spans="2:19" ht="15.75" thickBot="1" x14ac:dyDescent="0.3"/>
    <row r="15" spans="2:19" ht="15.75" thickBot="1" x14ac:dyDescent="0.3">
      <c r="C15" s="324" t="s">
        <v>26</v>
      </c>
      <c r="D15" s="325"/>
      <c r="E15" s="325"/>
      <c r="F15" s="326"/>
      <c r="H15" s="348" t="s">
        <v>27</v>
      </c>
      <c r="I15" s="349"/>
      <c r="J15" s="349"/>
      <c r="K15" s="350"/>
      <c r="M15" s="302" t="s">
        <v>80</v>
      </c>
      <c r="N15" s="303"/>
      <c r="O15" s="303"/>
      <c r="P15" s="304"/>
      <c r="Q15" s="3"/>
    </row>
    <row r="16" spans="2:19" x14ac:dyDescent="0.25">
      <c r="C16" s="305" t="s">
        <v>1</v>
      </c>
      <c r="D16" s="306"/>
      <c r="E16" s="327">
        <f>F4/O4</f>
        <v>7.7334578885361507E-2</v>
      </c>
      <c r="F16" s="328"/>
      <c r="H16" s="305" t="s">
        <v>1</v>
      </c>
      <c r="I16" s="306"/>
      <c r="J16" s="327">
        <f>F5/O5</f>
        <v>7.784980963488751E-2</v>
      </c>
      <c r="K16" s="328"/>
      <c r="M16" s="305" t="s">
        <v>1</v>
      </c>
      <c r="N16" s="306"/>
      <c r="O16" s="327">
        <f>F6/O6</f>
        <v>8.441473958507377E-2</v>
      </c>
      <c r="P16" s="328"/>
      <c r="Q16" s="4"/>
    </row>
    <row r="17" spans="3:17" x14ac:dyDescent="0.25">
      <c r="C17" s="307" t="s">
        <v>2</v>
      </c>
      <c r="D17" s="308"/>
      <c r="E17" s="329">
        <f>J4/O4</f>
        <v>0.42976990007131244</v>
      </c>
      <c r="F17" s="330"/>
      <c r="H17" s="307" t="s">
        <v>2</v>
      </c>
      <c r="I17" s="308"/>
      <c r="J17" s="329">
        <f>J5/O5</f>
        <v>0.43263318155456332</v>
      </c>
      <c r="K17" s="330"/>
      <c r="M17" s="307" t="s">
        <v>2</v>
      </c>
      <c r="N17" s="308"/>
      <c r="O17" s="329">
        <f>J6/O6</f>
        <v>0.46911633474854525</v>
      </c>
      <c r="P17" s="330"/>
      <c r="Q17" s="4"/>
    </row>
    <row r="18" spans="3:17" ht="15.75" thickBot="1" x14ac:dyDescent="0.3">
      <c r="C18" s="309" t="s">
        <v>3</v>
      </c>
      <c r="D18" s="310"/>
      <c r="E18" s="335">
        <f>N4/O4</f>
        <v>0.49289552104332601</v>
      </c>
      <c r="F18" s="336"/>
      <c r="H18" s="309" t="s">
        <v>3</v>
      </c>
      <c r="I18" s="310"/>
      <c r="J18" s="335">
        <f>N5/O5</f>
        <v>0.48951700881054916</v>
      </c>
      <c r="K18" s="336"/>
      <c r="M18" s="309" t="s">
        <v>3</v>
      </c>
      <c r="N18" s="310"/>
      <c r="O18" s="335">
        <f>N6/O6</f>
        <v>0.44646892566638097</v>
      </c>
      <c r="P18" s="336"/>
      <c r="Q18" s="4"/>
    </row>
    <row r="19" spans="3:17" ht="15.75" thickBot="1" x14ac:dyDescent="0.3">
      <c r="C19" s="320" t="s">
        <v>30</v>
      </c>
      <c r="D19" s="321"/>
      <c r="E19" s="322">
        <f>SUM(E16:F18)</f>
        <v>1</v>
      </c>
      <c r="F19" s="323"/>
      <c r="H19" s="320" t="s">
        <v>29</v>
      </c>
      <c r="I19" s="321"/>
      <c r="J19" s="322">
        <f>SUM(J16:K18)</f>
        <v>1</v>
      </c>
      <c r="K19" s="323"/>
      <c r="M19" s="320" t="s">
        <v>82</v>
      </c>
      <c r="N19" s="321"/>
      <c r="O19" s="322">
        <f>SUM(O16:P18)</f>
        <v>1</v>
      </c>
      <c r="P19" s="323"/>
      <c r="Q19" s="3"/>
    </row>
    <row r="21" spans="3:17" ht="15.75" thickBot="1" x14ac:dyDescent="0.3"/>
    <row r="22" spans="3:17" ht="30.75" customHeight="1" thickBot="1" x14ac:dyDescent="0.3">
      <c r="C22" s="302" t="s">
        <v>28</v>
      </c>
      <c r="D22" s="303"/>
      <c r="E22" s="303"/>
      <c r="F22" s="304"/>
      <c r="G22" s="2"/>
      <c r="H22" s="339" t="s">
        <v>142</v>
      </c>
      <c r="I22" s="340"/>
      <c r="J22" s="340"/>
      <c r="K22" s="341"/>
      <c r="L22" s="2"/>
      <c r="M22" s="342" t="s">
        <v>79</v>
      </c>
      <c r="N22" s="343"/>
      <c r="O22" s="343"/>
      <c r="P22" s="344"/>
    </row>
    <row r="23" spans="3:17" x14ac:dyDescent="0.25">
      <c r="C23" s="305" t="s">
        <v>1</v>
      </c>
      <c r="D23" s="306"/>
      <c r="E23" s="327">
        <f>F7/O7</f>
        <v>8.0208439965149536E-2</v>
      </c>
      <c r="F23" s="328"/>
      <c r="G23" s="2"/>
      <c r="H23" s="305" t="s">
        <v>1</v>
      </c>
      <c r="I23" s="306"/>
      <c r="J23" s="327">
        <f>F8/O8</f>
        <v>8.4414739585073784E-2</v>
      </c>
      <c r="K23" s="328"/>
      <c r="L23" s="2"/>
      <c r="M23" s="305" t="s">
        <v>1</v>
      </c>
      <c r="N23" s="306"/>
      <c r="O23" s="327">
        <f>F9/O9</f>
        <v>0</v>
      </c>
      <c r="P23" s="328"/>
    </row>
    <row r="24" spans="3:17" x14ac:dyDescent="0.25">
      <c r="C24" s="307" t="s">
        <v>2</v>
      </c>
      <c r="D24" s="308"/>
      <c r="E24" s="329">
        <f>J7/O7</f>
        <v>0.44574075045778977</v>
      </c>
      <c r="F24" s="330"/>
      <c r="G24" s="2"/>
      <c r="H24" s="307" t="s">
        <v>2</v>
      </c>
      <c r="I24" s="308"/>
      <c r="J24" s="329">
        <f>J8/O8</f>
        <v>0.46911633474854525</v>
      </c>
      <c r="K24" s="330"/>
      <c r="L24" s="2"/>
      <c r="M24" s="307" t="s">
        <v>2</v>
      </c>
      <c r="N24" s="308"/>
      <c r="O24" s="337">
        <f>J9/O9</f>
        <v>1</v>
      </c>
      <c r="P24" s="338"/>
    </row>
    <row r="25" spans="3:17" ht="15.75" thickBot="1" x14ac:dyDescent="0.3">
      <c r="C25" s="309" t="s">
        <v>3</v>
      </c>
      <c r="D25" s="310"/>
      <c r="E25" s="335">
        <f>N7/O7</f>
        <v>0.47405080957706081</v>
      </c>
      <c r="F25" s="336"/>
      <c r="G25" s="2"/>
      <c r="H25" s="309" t="s">
        <v>3</v>
      </c>
      <c r="I25" s="310"/>
      <c r="J25" s="335">
        <f>N8/O8</f>
        <v>0.44646892566638091</v>
      </c>
      <c r="K25" s="336"/>
      <c r="L25" s="2"/>
      <c r="M25" s="309" t="s">
        <v>3</v>
      </c>
      <c r="N25" s="310"/>
      <c r="O25" s="335">
        <f>N9/O9</f>
        <v>0</v>
      </c>
      <c r="P25" s="336"/>
    </row>
    <row r="26" spans="3:17" ht="15.75" thickBot="1" x14ac:dyDescent="0.3">
      <c r="C26" s="320" t="s">
        <v>31</v>
      </c>
      <c r="D26" s="321"/>
      <c r="E26" s="322">
        <f>SUM(E23:F25)</f>
        <v>1</v>
      </c>
      <c r="F26" s="323"/>
      <c r="G26" s="2"/>
      <c r="H26" s="320" t="s">
        <v>25</v>
      </c>
      <c r="I26" s="321"/>
      <c r="J26" s="322">
        <f>SUM(J23:K25)</f>
        <v>1</v>
      </c>
      <c r="K26" s="323"/>
      <c r="L26" s="2"/>
      <c r="M26" s="320" t="s">
        <v>81</v>
      </c>
      <c r="N26" s="321"/>
      <c r="O26" s="322">
        <f>SUM(O23:P25)</f>
        <v>1</v>
      </c>
      <c r="P26" s="323"/>
    </row>
    <row r="28" spans="3:17" ht="15.75" thickBot="1" x14ac:dyDescent="0.3"/>
    <row r="29" spans="3:17" ht="15.75" thickBot="1" x14ac:dyDescent="0.3">
      <c r="C29" s="324" t="s">
        <v>143</v>
      </c>
      <c r="D29" s="325"/>
      <c r="E29" s="325"/>
      <c r="F29" s="326"/>
      <c r="H29" s="324" t="s">
        <v>77</v>
      </c>
      <c r="I29" s="325"/>
      <c r="J29" s="325"/>
      <c r="K29" s="326"/>
    </row>
    <row r="30" spans="3:17" x14ac:dyDescent="0.25">
      <c r="C30" s="305" t="s">
        <v>1</v>
      </c>
      <c r="D30" s="306"/>
      <c r="E30" s="327">
        <f>F10/O10</f>
        <v>5.8699999999999995E-2</v>
      </c>
      <c r="F30" s="328"/>
      <c r="H30" s="305" t="s">
        <v>1</v>
      </c>
      <c r="I30" s="306"/>
      <c r="J30" s="327">
        <f>F11/O11</f>
        <v>0</v>
      </c>
      <c r="K30" s="328"/>
    </row>
    <row r="31" spans="3:17" x14ac:dyDescent="0.25">
      <c r="C31" s="307" t="s">
        <v>2</v>
      </c>
      <c r="D31" s="308"/>
      <c r="E31" s="329">
        <f>J10/O10</f>
        <v>0.51280000000000003</v>
      </c>
      <c r="F31" s="330"/>
      <c r="H31" s="307" t="s">
        <v>2</v>
      </c>
      <c r="I31" s="308"/>
      <c r="J31" s="329">
        <f>J11/O11</f>
        <v>0</v>
      </c>
      <c r="K31" s="330"/>
    </row>
    <row r="32" spans="3:17" ht="15.75" thickBot="1" x14ac:dyDescent="0.3">
      <c r="C32" s="309" t="s">
        <v>3</v>
      </c>
      <c r="D32" s="310"/>
      <c r="E32" s="333">
        <f>N10/O10</f>
        <v>0.42849999999999999</v>
      </c>
      <c r="F32" s="334"/>
      <c r="H32" s="309" t="s">
        <v>3</v>
      </c>
      <c r="I32" s="310"/>
      <c r="J32" s="333">
        <f>N11/O11</f>
        <v>1</v>
      </c>
      <c r="K32" s="334"/>
    </row>
    <row r="33" spans="3:11" ht="15.75" thickBot="1" x14ac:dyDescent="0.3">
      <c r="C33" s="320" t="s">
        <v>78</v>
      </c>
      <c r="D33" s="321"/>
      <c r="E33" s="322">
        <f>SUM(E30:F32)</f>
        <v>1</v>
      </c>
      <c r="F33" s="323"/>
      <c r="H33" s="320" t="s">
        <v>78</v>
      </c>
      <c r="I33" s="321"/>
      <c r="J33" s="322">
        <f>SUM(J30:K32)</f>
        <v>1</v>
      </c>
      <c r="K33" s="323"/>
    </row>
  </sheetData>
  <mergeCells count="83">
    <mergeCell ref="C2:F2"/>
    <mergeCell ref="C17:D17"/>
    <mergeCell ref="E17:F17"/>
    <mergeCell ref="M15:P15"/>
    <mergeCell ref="M16:N16"/>
    <mergeCell ref="O16:P16"/>
    <mergeCell ref="M17:N17"/>
    <mergeCell ref="O17:P17"/>
    <mergeCell ref="H15:K15"/>
    <mergeCell ref="K2:N2"/>
    <mergeCell ref="G2:J2"/>
    <mergeCell ref="C15:F15"/>
    <mergeCell ref="C16:D16"/>
    <mergeCell ref="H16:I16"/>
    <mergeCell ref="J16:K16"/>
    <mergeCell ref="E16:F16"/>
    <mergeCell ref="C26:D26"/>
    <mergeCell ref="E26:F26"/>
    <mergeCell ref="M22:P22"/>
    <mergeCell ref="M23:N23"/>
    <mergeCell ref="O23:P23"/>
    <mergeCell ref="M26:N26"/>
    <mergeCell ref="O26:P26"/>
    <mergeCell ref="H26:I26"/>
    <mergeCell ref="J26:K26"/>
    <mergeCell ref="H22:K22"/>
    <mergeCell ref="H23:I23"/>
    <mergeCell ref="H25:I25"/>
    <mergeCell ref="H17:I17"/>
    <mergeCell ref="J17:K17"/>
    <mergeCell ref="J25:K25"/>
    <mergeCell ref="H19:I19"/>
    <mergeCell ref="H18:I18"/>
    <mergeCell ref="J18:K18"/>
    <mergeCell ref="J19:K19"/>
    <mergeCell ref="C18:D18"/>
    <mergeCell ref="C19:D19"/>
    <mergeCell ref="E18:F18"/>
    <mergeCell ref="M18:N18"/>
    <mergeCell ref="O18:P18"/>
    <mergeCell ref="E19:F19"/>
    <mergeCell ref="C23:D23"/>
    <mergeCell ref="E23:F23"/>
    <mergeCell ref="M24:N24"/>
    <mergeCell ref="O24:P24"/>
    <mergeCell ref="M25:N25"/>
    <mergeCell ref="O25:P25"/>
    <mergeCell ref="B12:E12"/>
    <mergeCell ref="O2:O3"/>
    <mergeCell ref="H32:I32"/>
    <mergeCell ref="J32:K32"/>
    <mergeCell ref="J23:K23"/>
    <mergeCell ref="M19:N19"/>
    <mergeCell ref="O19:P19"/>
    <mergeCell ref="H24:I24"/>
    <mergeCell ref="J24:K24"/>
    <mergeCell ref="C32:D32"/>
    <mergeCell ref="E32:F32"/>
    <mergeCell ref="C22:F22"/>
    <mergeCell ref="E24:F24"/>
    <mergeCell ref="C25:D25"/>
    <mergeCell ref="E25:F25"/>
    <mergeCell ref="C24:D24"/>
    <mergeCell ref="H33:I33"/>
    <mergeCell ref="J33:K33"/>
    <mergeCell ref="H29:K29"/>
    <mergeCell ref="H30:I30"/>
    <mergeCell ref="J30:K30"/>
    <mergeCell ref="H31:I31"/>
    <mergeCell ref="J31:K31"/>
    <mergeCell ref="C33:D33"/>
    <mergeCell ref="E33:F33"/>
    <mergeCell ref="C29:F29"/>
    <mergeCell ref="C30:D30"/>
    <mergeCell ref="E30:F30"/>
    <mergeCell ref="C31:D31"/>
    <mergeCell ref="E31:F31"/>
    <mergeCell ref="Q4:R4"/>
    <mergeCell ref="Q2:S3"/>
    <mergeCell ref="G12:I12"/>
    <mergeCell ref="Q6:R6"/>
    <mergeCell ref="Q7:R7"/>
    <mergeCell ref="Q5:R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3"/>
  <sheetViews>
    <sheetView showGridLines="0" topLeftCell="B1" workbookViewId="0">
      <selection activeCell="C22" sqref="C22:D22"/>
    </sheetView>
  </sheetViews>
  <sheetFormatPr baseColWidth="10" defaultRowHeight="15" x14ac:dyDescent="0.25"/>
  <cols>
    <col min="1" max="1" width="1.42578125" customWidth="1"/>
    <col min="2" max="2" width="22.5703125" customWidth="1"/>
    <col min="3" max="3" width="22.7109375" customWidth="1"/>
    <col min="4" max="4" width="22.28515625" customWidth="1"/>
    <col min="5" max="5" width="20.85546875" customWidth="1"/>
    <col min="6" max="6" width="20.140625" customWidth="1"/>
    <col min="7" max="7" width="19" customWidth="1"/>
  </cols>
  <sheetData>
    <row r="1" spans="3:8" ht="15.75" thickBot="1" x14ac:dyDescent="0.3">
      <c r="C1" s="31"/>
      <c r="D1" s="31"/>
      <c r="E1" s="31"/>
      <c r="F1" s="31"/>
      <c r="G1" s="31"/>
      <c r="H1" s="31"/>
    </row>
    <row r="2" spans="3:8" ht="31.5" customHeight="1" thickBot="1" x14ac:dyDescent="0.3">
      <c r="C2" s="31"/>
      <c r="D2" s="193" t="s">
        <v>35</v>
      </c>
      <c r="E2" s="194" t="s">
        <v>47</v>
      </c>
      <c r="F2" s="195" t="s">
        <v>48</v>
      </c>
      <c r="G2" s="31"/>
      <c r="H2" s="31"/>
    </row>
    <row r="3" spans="3:8" x14ac:dyDescent="0.25">
      <c r="C3" s="31"/>
      <c r="D3" s="250" t="s">
        <v>36</v>
      </c>
      <c r="E3" s="26">
        <v>300000</v>
      </c>
      <c r="F3" s="18">
        <f t="shared" ref="F3:F13" si="0">E3/$E$14</f>
        <v>6.7202042942105439E-2</v>
      </c>
      <c r="G3" s="31"/>
      <c r="H3" s="31"/>
    </row>
    <row r="4" spans="3:8" x14ac:dyDescent="0.25">
      <c r="C4" s="31"/>
      <c r="D4" s="251" t="s">
        <v>37</v>
      </c>
      <c r="E4" s="19">
        <v>280300</v>
      </c>
      <c r="F4" s="47">
        <f t="shared" si="0"/>
        <v>6.2789108788907186E-2</v>
      </c>
      <c r="G4" s="31"/>
      <c r="H4" s="31"/>
    </row>
    <row r="5" spans="3:8" x14ac:dyDescent="0.25">
      <c r="C5" s="31"/>
      <c r="D5" s="251" t="s">
        <v>38</v>
      </c>
      <c r="E5" s="26">
        <v>200000</v>
      </c>
      <c r="F5" s="47">
        <f t="shared" si="0"/>
        <v>4.4801361961403628E-2</v>
      </c>
      <c r="G5" s="31"/>
      <c r="H5" s="31"/>
    </row>
    <row r="6" spans="3:8" x14ac:dyDescent="0.25">
      <c r="C6" s="31"/>
      <c r="D6" s="251" t="s">
        <v>39</v>
      </c>
      <c r="E6" s="26">
        <v>1200000</v>
      </c>
      <c r="F6" s="47">
        <f t="shared" si="0"/>
        <v>0.26880817176842176</v>
      </c>
      <c r="G6" s="31"/>
      <c r="H6" s="31"/>
    </row>
    <row r="7" spans="3:8" x14ac:dyDescent="0.25">
      <c r="C7" s="31"/>
      <c r="D7" s="251" t="s">
        <v>55</v>
      </c>
      <c r="E7" s="19">
        <v>150000</v>
      </c>
      <c r="F7" s="47">
        <f t="shared" si="0"/>
        <v>3.3601021471052719E-2</v>
      </c>
      <c r="G7" s="31"/>
      <c r="H7" s="31"/>
    </row>
    <row r="8" spans="3:8" x14ac:dyDescent="0.25">
      <c r="C8" s="31"/>
      <c r="D8" s="251" t="s">
        <v>40</v>
      </c>
      <c r="E8" s="19">
        <v>363850</v>
      </c>
      <c r="F8" s="47">
        <f t="shared" si="0"/>
        <v>8.150487774828355E-2</v>
      </c>
      <c r="G8" s="31"/>
      <c r="H8" s="31"/>
    </row>
    <row r="9" spans="3:8" x14ac:dyDescent="0.25">
      <c r="C9" s="31"/>
      <c r="D9" s="251" t="s">
        <v>41</v>
      </c>
      <c r="E9" s="26">
        <v>450000</v>
      </c>
      <c r="F9" s="47">
        <f t="shared" si="0"/>
        <v>0.10080306441315816</v>
      </c>
      <c r="G9" s="31"/>
      <c r="H9" s="31"/>
    </row>
    <row r="10" spans="3:8" x14ac:dyDescent="0.25">
      <c r="C10" s="31"/>
      <c r="D10" s="251" t="s">
        <v>42</v>
      </c>
      <c r="E10" s="26">
        <v>0</v>
      </c>
      <c r="F10" s="47">
        <f t="shared" si="0"/>
        <v>0</v>
      </c>
      <c r="G10" s="31"/>
      <c r="H10" s="31"/>
    </row>
    <row r="11" spans="3:8" x14ac:dyDescent="0.25">
      <c r="C11" s="31"/>
      <c r="D11" s="251" t="s">
        <v>43</v>
      </c>
      <c r="E11" s="19">
        <v>750000</v>
      </c>
      <c r="F11" s="47">
        <f t="shared" si="0"/>
        <v>0.16800510735526361</v>
      </c>
      <c r="G11" s="31"/>
      <c r="H11" s="31"/>
    </row>
    <row r="12" spans="3:8" x14ac:dyDescent="0.25">
      <c r="C12" s="31"/>
      <c r="D12" s="251" t="s">
        <v>56</v>
      </c>
      <c r="E12" s="19">
        <v>0</v>
      </c>
      <c r="F12" s="47">
        <f t="shared" si="0"/>
        <v>0</v>
      </c>
      <c r="G12" s="31"/>
      <c r="H12" s="31"/>
    </row>
    <row r="13" spans="3:8" ht="15.75" thickBot="1" x14ac:dyDescent="0.3">
      <c r="C13" s="31"/>
      <c r="D13" s="252" t="s">
        <v>44</v>
      </c>
      <c r="E13" s="19">
        <v>770000</v>
      </c>
      <c r="F13" s="48">
        <f t="shared" si="0"/>
        <v>0.17248524355140396</v>
      </c>
      <c r="G13" s="31"/>
      <c r="H13" s="31"/>
    </row>
    <row r="14" spans="3:8" ht="15.75" thickBot="1" x14ac:dyDescent="0.3">
      <c r="C14" s="31"/>
      <c r="D14" s="253" t="s">
        <v>52</v>
      </c>
      <c r="E14" s="196">
        <f>SUM(E3:E13)</f>
        <v>4464150</v>
      </c>
      <c r="F14" s="197">
        <f>SUM(F3:F13)</f>
        <v>0.99999999999999989</v>
      </c>
      <c r="G14" s="31"/>
      <c r="H14" s="31"/>
    </row>
    <row r="15" spans="3:8" x14ac:dyDescent="0.25">
      <c r="C15" s="31"/>
      <c r="D15" s="254"/>
      <c r="E15" s="32"/>
      <c r="F15" s="32"/>
      <c r="G15" s="31"/>
      <c r="H15" s="31"/>
    </row>
    <row r="16" spans="3:8" ht="15.75" thickBot="1" x14ac:dyDescent="0.3">
      <c r="C16" s="31"/>
      <c r="D16" s="31"/>
      <c r="E16" s="31"/>
      <c r="F16" s="31"/>
      <c r="G16" s="31"/>
      <c r="H16" s="31"/>
    </row>
    <row r="17" spans="3:8" ht="15.75" thickBot="1" x14ac:dyDescent="0.3">
      <c r="C17" s="348" t="s">
        <v>53</v>
      </c>
      <c r="D17" s="350"/>
      <c r="E17" s="31"/>
      <c r="F17" s="287" t="s">
        <v>51</v>
      </c>
      <c r="G17" s="288"/>
      <c r="H17" s="31"/>
    </row>
    <row r="18" spans="3:8" ht="15.75" thickBot="1" x14ac:dyDescent="0.3">
      <c r="C18" s="276" t="s">
        <v>45</v>
      </c>
      <c r="D18" s="277" t="s">
        <v>46</v>
      </c>
      <c r="E18" s="31"/>
      <c r="F18" s="159" t="s">
        <v>49</v>
      </c>
      <c r="G18" s="18">
        <f>D19/$D$22</f>
        <v>8.4668078835557062E-2</v>
      </c>
      <c r="H18" s="31"/>
    </row>
    <row r="19" spans="3:8" x14ac:dyDescent="0.25">
      <c r="C19" s="201" t="s">
        <v>49</v>
      </c>
      <c r="D19" s="20">
        <f>E14*'[2]Prorrateo Centros de costos'!$I$7</f>
        <v>377971.00413375208</v>
      </c>
      <c r="E19" s="74"/>
      <c r="F19" s="160" t="s">
        <v>2</v>
      </c>
      <c r="G19" s="47">
        <f t="shared" ref="G19:G20" si="1">D20/$D$22</f>
        <v>0.70326046407621756</v>
      </c>
      <c r="H19" s="31"/>
    </row>
    <row r="20" spans="3:8" ht="15.75" thickBot="1" x14ac:dyDescent="0.3">
      <c r="C20" s="202" t="s">
        <v>2</v>
      </c>
      <c r="D20" s="21">
        <f>E14*'[2]Prorrateo Centros de costos'!$I$6</f>
        <v>3139460.2007058468</v>
      </c>
      <c r="E20" s="37"/>
      <c r="F20" s="161" t="s">
        <v>3</v>
      </c>
      <c r="G20" s="48">
        <f t="shared" si="1"/>
        <v>0.21207145708822539</v>
      </c>
      <c r="H20" s="31"/>
    </row>
    <row r="21" spans="3:8" ht="15.75" thickBot="1" x14ac:dyDescent="0.3">
      <c r="C21" s="203" t="s">
        <v>3</v>
      </c>
      <c r="D21" s="22">
        <f>E14*'[2]Prorrateo Centros de costos'!$I$5</f>
        <v>946718.79516040138</v>
      </c>
      <c r="E21" s="37"/>
      <c r="F21" s="200" t="s">
        <v>50</v>
      </c>
      <c r="G21" s="249">
        <f>SUM(G18:G20)</f>
        <v>1</v>
      </c>
      <c r="H21" s="31"/>
    </row>
    <row r="22" spans="3:8" ht="15.75" thickBot="1" x14ac:dyDescent="0.3">
      <c r="C22" s="278" t="s">
        <v>52</v>
      </c>
      <c r="D22" s="279">
        <f>SUM(D19:D21)</f>
        <v>4464150</v>
      </c>
      <c r="E22" s="31"/>
      <c r="F22" s="31"/>
      <c r="G22" s="31"/>
      <c r="H22" s="31"/>
    </row>
    <row r="23" spans="3:8" x14ac:dyDescent="0.25">
      <c r="C23" s="31"/>
      <c r="D23" s="31"/>
      <c r="E23" s="31"/>
      <c r="F23" s="31"/>
      <c r="G23" s="31"/>
      <c r="H23" s="31"/>
    </row>
  </sheetData>
  <mergeCells count="2">
    <mergeCell ref="F17:G17"/>
    <mergeCell ref="C17:D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showGridLines="0" topLeftCell="A17" zoomScale="90" zoomScaleNormal="90" workbookViewId="0">
      <selection activeCell="J28" sqref="J28"/>
    </sheetView>
  </sheetViews>
  <sheetFormatPr baseColWidth="10" defaultRowHeight="15" x14ac:dyDescent="0.25"/>
  <cols>
    <col min="1" max="1" width="1.85546875" customWidth="1"/>
    <col min="2" max="2" width="23.85546875" customWidth="1"/>
    <col min="3" max="5" width="18.85546875" customWidth="1"/>
    <col min="6" max="9" width="16.85546875" customWidth="1"/>
    <col min="10" max="10" width="23.5703125" customWidth="1"/>
    <col min="11" max="11" width="12.7109375" bestFit="1" customWidth="1"/>
    <col min="12" max="12" width="11.85546875" bestFit="1" customWidth="1"/>
  </cols>
  <sheetData>
    <row r="1" spans="2:11" ht="16.5" thickBot="1" x14ac:dyDescent="0.3">
      <c r="B1" s="207"/>
      <c r="C1" s="211"/>
      <c r="D1" s="211"/>
      <c r="E1" s="211"/>
      <c r="F1" s="207"/>
      <c r="G1" s="207"/>
      <c r="H1" s="31"/>
      <c r="I1" s="31"/>
    </row>
    <row r="2" spans="2:11" ht="16.5" thickBot="1" x14ac:dyDescent="0.3">
      <c r="B2" s="207"/>
      <c r="C2" s="208" t="s">
        <v>32</v>
      </c>
      <c r="D2" s="208" t="s">
        <v>33</v>
      </c>
      <c r="E2" s="208" t="s">
        <v>34</v>
      </c>
      <c r="F2" s="207"/>
      <c r="G2" s="207"/>
      <c r="H2" s="31"/>
      <c r="I2" s="31"/>
      <c r="J2" s="207"/>
    </row>
    <row r="3" spans="2:11" ht="16.5" thickBot="1" x14ac:dyDescent="0.3">
      <c r="B3" s="209" t="s">
        <v>57</v>
      </c>
      <c r="C3" s="210">
        <v>1848800</v>
      </c>
      <c r="D3" s="210">
        <v>974400</v>
      </c>
      <c r="E3" s="210">
        <v>2050200</v>
      </c>
      <c r="F3" s="207"/>
      <c r="G3" s="207"/>
      <c r="H3" s="31"/>
      <c r="I3" s="31"/>
      <c r="J3" s="207"/>
    </row>
    <row r="4" spans="2:11" ht="15.75" x14ac:dyDescent="0.25">
      <c r="B4" s="207"/>
      <c r="C4" s="211"/>
      <c r="D4" s="211"/>
      <c r="E4" s="211"/>
      <c r="F4" s="207"/>
      <c r="G4" s="207"/>
      <c r="H4" s="31"/>
      <c r="I4" s="31"/>
      <c r="J4" s="207"/>
    </row>
    <row r="5" spans="2:11" ht="16.5" thickBot="1" x14ac:dyDescent="0.3">
      <c r="B5" s="207"/>
      <c r="C5" s="207"/>
      <c r="D5" s="207"/>
      <c r="E5" s="207"/>
      <c r="F5" s="207"/>
      <c r="G5" s="207"/>
      <c r="H5" s="31"/>
      <c r="I5" s="31"/>
      <c r="J5" s="207"/>
    </row>
    <row r="6" spans="2:11" ht="16.5" thickBot="1" x14ac:dyDescent="0.3">
      <c r="B6" s="212" t="s">
        <v>35</v>
      </c>
      <c r="C6" s="212" t="s">
        <v>54</v>
      </c>
      <c r="D6" s="207"/>
      <c r="E6" s="212" t="s">
        <v>35</v>
      </c>
      <c r="F6" s="212" t="s">
        <v>20</v>
      </c>
      <c r="G6" s="213" t="s">
        <v>62</v>
      </c>
      <c r="H6" s="213" t="s">
        <v>22</v>
      </c>
      <c r="I6" s="212" t="s">
        <v>23</v>
      </c>
      <c r="J6" s="207"/>
    </row>
    <row r="7" spans="2:11" ht="15.75" x14ac:dyDescent="0.25">
      <c r="B7" s="204" t="s">
        <v>36</v>
      </c>
      <c r="C7" s="214">
        <v>0.02</v>
      </c>
      <c r="D7" s="207"/>
      <c r="E7" s="204" t="s">
        <v>36</v>
      </c>
      <c r="F7" s="215">
        <f>($C$3*C7)</f>
        <v>36976</v>
      </c>
      <c r="G7" s="216">
        <f>($D$3*C7)</f>
        <v>19488</v>
      </c>
      <c r="H7" s="217">
        <f>($E$3*C7)</f>
        <v>41004</v>
      </c>
      <c r="I7" s="218">
        <f>AVERAGE(F7:H7)</f>
        <v>32489.333333333332</v>
      </c>
      <c r="J7" s="207"/>
    </row>
    <row r="8" spans="2:11" ht="15.75" x14ac:dyDescent="0.25">
      <c r="B8" s="205" t="s">
        <v>37</v>
      </c>
      <c r="C8" s="219">
        <v>0.01</v>
      </c>
      <c r="D8" s="207"/>
      <c r="E8" s="205" t="s">
        <v>37</v>
      </c>
      <c r="F8" s="215">
        <f t="shared" ref="F8:F17" si="0">($C$3*C8)</f>
        <v>18488</v>
      </c>
      <c r="G8" s="220">
        <f t="shared" ref="G8:G17" si="1">($D$3*C8)</f>
        <v>9744</v>
      </c>
      <c r="H8" s="221">
        <f t="shared" ref="H8:H17" si="2">($E$3*C8)</f>
        <v>20502</v>
      </c>
      <c r="I8" s="222">
        <f t="shared" ref="I8:I17" si="3">AVERAGE(F8:H8)</f>
        <v>16244.666666666666</v>
      </c>
      <c r="J8" s="207"/>
    </row>
    <row r="9" spans="2:11" ht="15.75" x14ac:dyDescent="0.25">
      <c r="B9" s="205" t="s">
        <v>38</v>
      </c>
      <c r="C9" s="219">
        <v>0.02</v>
      </c>
      <c r="D9" s="207"/>
      <c r="E9" s="205" t="s">
        <v>38</v>
      </c>
      <c r="F9" s="215">
        <f t="shared" si="0"/>
        <v>36976</v>
      </c>
      <c r="G9" s="220">
        <f t="shared" si="1"/>
        <v>19488</v>
      </c>
      <c r="H9" s="221">
        <f t="shared" si="2"/>
        <v>41004</v>
      </c>
      <c r="I9" s="222">
        <f t="shared" si="3"/>
        <v>32489.333333333332</v>
      </c>
      <c r="J9" s="207"/>
    </row>
    <row r="10" spans="2:11" ht="15.75" x14ac:dyDescent="0.25">
      <c r="B10" s="205" t="s">
        <v>39</v>
      </c>
      <c r="C10" s="219">
        <v>0.6</v>
      </c>
      <c r="D10" s="207"/>
      <c r="E10" s="205" t="s">
        <v>39</v>
      </c>
      <c r="F10" s="215">
        <f t="shared" si="0"/>
        <v>1109280</v>
      </c>
      <c r="G10" s="220">
        <f t="shared" si="1"/>
        <v>584640</v>
      </c>
      <c r="H10" s="221">
        <f t="shared" si="2"/>
        <v>1230120</v>
      </c>
      <c r="I10" s="222">
        <f t="shared" si="3"/>
        <v>974680</v>
      </c>
      <c r="J10" s="207"/>
    </row>
    <row r="11" spans="2:11" ht="15.75" x14ac:dyDescent="0.25">
      <c r="B11" s="205" t="s">
        <v>55</v>
      </c>
      <c r="C11" s="219">
        <v>0.04</v>
      </c>
      <c r="D11" s="207"/>
      <c r="E11" s="205" t="s">
        <v>55</v>
      </c>
      <c r="F11" s="215">
        <f t="shared" si="0"/>
        <v>73952</v>
      </c>
      <c r="G11" s="220">
        <f t="shared" si="1"/>
        <v>38976</v>
      </c>
      <c r="H11" s="221">
        <f t="shared" si="2"/>
        <v>82008</v>
      </c>
      <c r="I11" s="222">
        <f t="shared" si="3"/>
        <v>64978.666666666664</v>
      </c>
      <c r="J11" s="207"/>
    </row>
    <row r="12" spans="2:11" ht="15.75" x14ac:dyDescent="0.25">
      <c r="B12" s="205" t="s">
        <v>40</v>
      </c>
      <c r="C12" s="219">
        <v>7.0000000000000007E-2</v>
      </c>
      <c r="D12" s="207"/>
      <c r="E12" s="205" t="s">
        <v>40</v>
      </c>
      <c r="F12" s="215">
        <f t="shared" si="0"/>
        <v>129416.00000000001</v>
      </c>
      <c r="G12" s="220">
        <f t="shared" si="1"/>
        <v>68208</v>
      </c>
      <c r="H12" s="221">
        <f t="shared" si="2"/>
        <v>143514</v>
      </c>
      <c r="I12" s="222">
        <f t="shared" si="3"/>
        <v>113712.66666666667</v>
      </c>
      <c r="J12" s="207"/>
    </row>
    <row r="13" spans="2:11" ht="15.75" x14ac:dyDescent="0.25">
      <c r="B13" s="205" t="s">
        <v>58</v>
      </c>
      <c r="C13" s="219">
        <v>0.01</v>
      </c>
      <c r="D13" s="207"/>
      <c r="E13" s="205" t="s">
        <v>58</v>
      </c>
      <c r="F13" s="215">
        <f t="shared" si="0"/>
        <v>18488</v>
      </c>
      <c r="G13" s="220">
        <f t="shared" si="1"/>
        <v>9744</v>
      </c>
      <c r="H13" s="221">
        <f t="shared" si="2"/>
        <v>20502</v>
      </c>
      <c r="I13" s="222">
        <f t="shared" si="3"/>
        <v>16244.666666666666</v>
      </c>
      <c r="J13" s="207"/>
    </row>
    <row r="14" spans="2:11" ht="15.75" x14ac:dyDescent="0.25">
      <c r="B14" s="205" t="s">
        <v>42</v>
      </c>
      <c r="C14" s="219">
        <v>0.02</v>
      </c>
      <c r="D14" s="207"/>
      <c r="E14" s="205" t="s">
        <v>42</v>
      </c>
      <c r="F14" s="215">
        <f t="shared" si="0"/>
        <v>36976</v>
      </c>
      <c r="G14" s="220">
        <f t="shared" si="1"/>
        <v>19488</v>
      </c>
      <c r="H14" s="221">
        <f t="shared" si="2"/>
        <v>41004</v>
      </c>
      <c r="I14" s="222">
        <f t="shared" si="3"/>
        <v>32489.333333333332</v>
      </c>
      <c r="J14" s="223"/>
      <c r="K14" s="27"/>
    </row>
    <row r="15" spans="2:11" ht="15.75" x14ac:dyDescent="0.25">
      <c r="B15" s="205" t="s">
        <v>56</v>
      </c>
      <c r="C15" s="219">
        <v>0.1</v>
      </c>
      <c r="D15" s="207"/>
      <c r="E15" s="205" t="s">
        <v>56</v>
      </c>
      <c r="F15" s="215">
        <f>($C$3*C15)</f>
        <v>184880</v>
      </c>
      <c r="G15" s="220">
        <f>($D$3*C15)</f>
        <v>97440</v>
      </c>
      <c r="H15" s="221">
        <f>($E$3*C15)</f>
        <v>205020</v>
      </c>
      <c r="I15" s="222">
        <f>AVERAGE(F15:H15)</f>
        <v>162446.66666666666</v>
      </c>
      <c r="J15" s="223"/>
      <c r="K15" s="27"/>
    </row>
    <row r="16" spans="2:11" ht="15.75" x14ac:dyDescent="0.25">
      <c r="B16" s="205" t="s">
        <v>43</v>
      </c>
      <c r="C16" s="219">
        <v>0.06</v>
      </c>
      <c r="D16" s="207"/>
      <c r="E16" s="205" t="s">
        <v>43</v>
      </c>
      <c r="F16" s="215">
        <f t="shared" si="0"/>
        <v>110928</v>
      </c>
      <c r="G16" s="220">
        <f t="shared" si="1"/>
        <v>58464</v>
      </c>
      <c r="H16" s="221">
        <f t="shared" si="2"/>
        <v>123012</v>
      </c>
      <c r="I16" s="222">
        <f t="shared" si="3"/>
        <v>97468</v>
      </c>
      <c r="J16" s="207"/>
    </row>
    <row r="17" spans="2:10" ht="16.5" thickBot="1" x14ac:dyDescent="0.3">
      <c r="B17" s="206" t="s">
        <v>44</v>
      </c>
      <c r="C17" s="224">
        <v>0.05</v>
      </c>
      <c r="D17" s="207"/>
      <c r="E17" s="206" t="s">
        <v>44</v>
      </c>
      <c r="F17" s="215">
        <f t="shared" si="0"/>
        <v>92440</v>
      </c>
      <c r="G17" s="225">
        <f t="shared" si="1"/>
        <v>48720</v>
      </c>
      <c r="H17" s="226">
        <f t="shared" si="2"/>
        <v>102510</v>
      </c>
      <c r="I17" s="227">
        <f t="shared" si="3"/>
        <v>81223.333333333328</v>
      </c>
      <c r="J17" s="207"/>
    </row>
    <row r="18" spans="2:10" ht="16.5" thickBot="1" x14ac:dyDescent="0.3">
      <c r="B18" s="228" t="s">
        <v>52</v>
      </c>
      <c r="C18" s="229">
        <f>SUM(C7:C17)</f>
        <v>1</v>
      </c>
      <c r="D18" s="207"/>
      <c r="E18" s="228" t="s">
        <v>52</v>
      </c>
      <c r="F18" s="230">
        <f>SUM(F7:F17)</f>
        <v>1848800</v>
      </c>
      <c r="G18" s="231">
        <f>SUM(G7:G17)</f>
        <v>974400</v>
      </c>
      <c r="H18" s="231">
        <f>SUM(H7:H17)</f>
        <v>2050200</v>
      </c>
      <c r="I18" s="231">
        <f>SUM(I7:I17)</f>
        <v>1624466.6666666667</v>
      </c>
      <c r="J18" s="207"/>
    </row>
    <row r="19" spans="2:10" ht="15.75" x14ac:dyDescent="0.25">
      <c r="B19" s="207"/>
      <c r="C19" s="207"/>
      <c r="D19" s="207"/>
      <c r="E19" s="207"/>
      <c r="F19" s="207"/>
      <c r="G19" s="207"/>
      <c r="H19" s="207"/>
      <c r="I19" s="207"/>
      <c r="J19" s="207"/>
    </row>
    <row r="20" spans="2:10" ht="16.5" thickBot="1" x14ac:dyDescent="0.3">
      <c r="B20" s="207"/>
      <c r="C20" s="207"/>
      <c r="D20" s="207"/>
      <c r="E20" s="207"/>
      <c r="F20" s="207"/>
      <c r="G20" s="207"/>
      <c r="H20" s="31"/>
      <c r="I20" s="31"/>
      <c r="J20" s="207"/>
    </row>
    <row r="21" spans="2:10" ht="16.5" thickBot="1" x14ac:dyDescent="0.3">
      <c r="B21" s="212" t="s">
        <v>35</v>
      </c>
      <c r="C21" s="232" t="s">
        <v>1</v>
      </c>
      <c r="D21" s="232" t="s">
        <v>2</v>
      </c>
      <c r="E21" s="233" t="s">
        <v>3</v>
      </c>
      <c r="F21" s="207"/>
      <c r="G21" s="207"/>
      <c r="H21" s="31"/>
      <c r="I21" s="31"/>
      <c r="J21" s="207"/>
    </row>
    <row r="22" spans="2:10" ht="15.75" x14ac:dyDescent="0.25">
      <c r="B22" s="234" t="s">
        <v>36</v>
      </c>
      <c r="C22" s="255">
        <f>$I7*[1]Hoja1!$M2</f>
        <v>7846.2523174415028</v>
      </c>
      <c r="D22" s="255">
        <f>$I7*[1]Hoja1!$N2</f>
        <v>21640.912424957354</v>
      </c>
      <c r="E22" s="256">
        <f>$I7*[1]Hoja1!$O2</f>
        <v>3002.1685909344765</v>
      </c>
      <c r="F22" s="207"/>
      <c r="G22" s="207"/>
      <c r="H22" s="1"/>
      <c r="I22" s="31"/>
      <c r="J22" s="207"/>
    </row>
    <row r="23" spans="2:10" ht="15.75" x14ac:dyDescent="0.25">
      <c r="B23" s="235" t="s">
        <v>37</v>
      </c>
      <c r="C23" s="257">
        <f>$I8*[1]Hoja1!$M3</f>
        <v>387.76835666509191</v>
      </c>
      <c r="D23" s="257">
        <f>$I8*[1]Hoja1!$N3</f>
        <v>12763.984036601438</v>
      </c>
      <c r="E23" s="258">
        <f>$I8*[1]Hoja1!$O3</f>
        <v>3092.9142734001371</v>
      </c>
      <c r="F23" s="207"/>
      <c r="G23" s="207"/>
      <c r="H23" s="31"/>
      <c r="I23" s="31"/>
      <c r="J23" s="207"/>
    </row>
    <row r="24" spans="2:10" ht="15.75" x14ac:dyDescent="0.25">
      <c r="B24" s="235" t="s">
        <v>38</v>
      </c>
      <c r="C24" s="257">
        <f>$I9*[1]Hoja1!$M4</f>
        <v>325.45927316829324</v>
      </c>
      <c r="D24" s="257">
        <f>$I9*[1]Hoja1!$N4</f>
        <v>28669.469232463365</v>
      </c>
      <c r="E24" s="258">
        <f>$I9*[1]Hoja1!$O4</f>
        <v>3494.4048277016755</v>
      </c>
      <c r="F24" s="207"/>
      <c r="G24" s="207"/>
      <c r="H24" s="31"/>
      <c r="I24" s="31"/>
      <c r="J24" s="207"/>
    </row>
    <row r="25" spans="2:10" ht="15.75" x14ac:dyDescent="0.25">
      <c r="B25" s="235" t="s">
        <v>39</v>
      </c>
      <c r="C25" s="257">
        <f>$I10*[1]Hoja1!$M5</f>
        <v>244835.04449431118</v>
      </c>
      <c r="D25" s="257">
        <f>$I10*[1]Hoja1!$N5</f>
        <v>651012.65843949129</v>
      </c>
      <c r="E25" s="258">
        <f>$I10*[1]Hoja1!$O5</f>
        <v>78832.297066197585</v>
      </c>
      <c r="F25" s="207"/>
      <c r="G25" s="207"/>
      <c r="H25" s="31"/>
      <c r="I25" s="31"/>
      <c r="J25" s="207"/>
    </row>
    <row r="26" spans="2:10" ht="15.75" x14ac:dyDescent="0.25">
      <c r="B26" s="235" t="s">
        <v>55</v>
      </c>
      <c r="C26" s="257">
        <f>$I11*[1]Hoja1!$M6</f>
        <v>0</v>
      </c>
      <c r="D26" s="257">
        <f>$I11*[1]Hoja1!$N6</f>
        <v>64978.666666666664</v>
      </c>
      <c r="E26" s="258">
        <f>$I11*[1]Hoja1!$O6</f>
        <v>0</v>
      </c>
      <c r="F26" s="207"/>
      <c r="G26" s="207"/>
      <c r="H26" s="31"/>
      <c r="I26" s="31"/>
      <c r="J26" s="207"/>
    </row>
    <row r="27" spans="2:10" ht="15.75" x14ac:dyDescent="0.25">
      <c r="B27" s="235" t="s">
        <v>40</v>
      </c>
      <c r="C27" s="257">
        <f>$I12*[1]Hoja1!$M7</f>
        <v>50757.154621947775</v>
      </c>
      <c r="D27" s="257">
        <f>$I12*[1]Hoja1!$N7</f>
        <v>50953.700767614857</v>
      </c>
      <c r="E27" s="258">
        <f>$I12*[1]Hoja1!$O7</f>
        <v>12001.811277104038</v>
      </c>
      <c r="F27" s="207"/>
      <c r="G27" s="207"/>
      <c r="H27" s="31"/>
      <c r="I27" s="31"/>
      <c r="J27" s="207"/>
    </row>
    <row r="28" spans="2:10" ht="15.75" x14ac:dyDescent="0.25">
      <c r="B28" s="235" t="s">
        <v>58</v>
      </c>
      <c r="C28" s="257">
        <f>$I13*[1]Hoja1!$M8</f>
        <v>554.67944923738389</v>
      </c>
      <c r="D28" s="257">
        <f>$I13*[1]Hoja1!$N8</f>
        <v>14007.307533606967</v>
      </c>
      <c r="E28" s="258">
        <f>$I13*[1]Hoja1!$O8</f>
        <v>1682.6796838223158</v>
      </c>
      <c r="F28" s="207"/>
      <c r="G28" s="207"/>
      <c r="H28" s="31"/>
      <c r="I28" s="31"/>
      <c r="J28" s="207"/>
    </row>
    <row r="29" spans="2:10" ht="15.75" x14ac:dyDescent="0.25">
      <c r="B29" s="235" t="s">
        <v>42</v>
      </c>
      <c r="C29" s="257">
        <f>$I14*[1]Hoja1!$M9</f>
        <v>0</v>
      </c>
      <c r="D29" s="257">
        <f>$I14*[1]Hoja1!$N9</f>
        <v>32489.333333333332</v>
      </c>
      <c r="E29" s="258">
        <f>$I14*[1]Hoja1!$O9</f>
        <v>0</v>
      </c>
      <c r="F29" s="207"/>
      <c r="G29" s="207"/>
      <c r="H29" s="31"/>
      <c r="I29" s="31"/>
      <c r="J29" s="207"/>
    </row>
    <row r="30" spans="2:10" ht="15.75" x14ac:dyDescent="0.25">
      <c r="B30" s="235" t="s">
        <v>56</v>
      </c>
      <c r="C30" s="257">
        <f>$I15*[1]Hoja1!$M10</f>
        <v>0</v>
      </c>
      <c r="D30" s="257">
        <f>$I15*[1]Hoja1!$N10</f>
        <v>0</v>
      </c>
      <c r="E30" s="259">
        <f>$I15*[1]Hoja1!$O10</f>
        <v>54143.473999999995</v>
      </c>
      <c r="F30" s="207"/>
      <c r="G30" s="207"/>
      <c r="H30" s="31"/>
      <c r="I30" s="31"/>
      <c r="J30" s="207"/>
    </row>
    <row r="31" spans="2:10" ht="15.75" x14ac:dyDescent="0.25">
      <c r="B31" s="235" t="s">
        <v>43</v>
      </c>
      <c r="C31" s="257">
        <f>$I16*[1]Hoja1!$M11</f>
        <v>2137.1975670827651</v>
      </c>
      <c r="D31" s="257">
        <f>$I16*[1]Hoja1!$N11</f>
        <v>82877.982213348601</v>
      </c>
      <c r="E31" s="258">
        <f>$I16*[1]Hoja1!$O11</f>
        <v>12452.820219568637</v>
      </c>
      <c r="F31" s="207"/>
      <c r="G31" s="207"/>
      <c r="H31" s="31"/>
      <c r="I31" s="31"/>
      <c r="J31" s="207"/>
    </row>
    <row r="32" spans="2:10" ht="16.5" thickBot="1" x14ac:dyDescent="0.3">
      <c r="B32" s="236" t="s">
        <v>44</v>
      </c>
      <c r="C32" s="260">
        <f>$I17*[1]Hoja1!$M12</f>
        <v>1441.5533804915435</v>
      </c>
      <c r="D32" s="260">
        <f>$I17*[1]Hoja1!$N12</f>
        <v>78599.935930762731</v>
      </c>
      <c r="E32" s="261">
        <f>$I17*[1]Hoja1!$O12</f>
        <v>1181.8440220790544</v>
      </c>
      <c r="F32" s="207"/>
      <c r="G32" s="207"/>
      <c r="H32" s="31"/>
      <c r="I32" s="31"/>
      <c r="J32" s="207"/>
    </row>
    <row r="33" spans="2:10" ht="16.5" thickBot="1" x14ac:dyDescent="0.3">
      <c r="B33" s="228" t="s">
        <v>52</v>
      </c>
      <c r="C33" s="237">
        <f>SUM(C22:C32)</f>
        <v>308285.10946034553</v>
      </c>
      <c r="D33" s="237">
        <f>SUM(D22:D32)</f>
        <v>1037993.9505788467</v>
      </c>
      <c r="E33" s="237">
        <f>SUM(E22:E32)</f>
        <v>169884.4139608079</v>
      </c>
      <c r="F33" s="207"/>
      <c r="G33" s="207"/>
      <c r="H33" s="31"/>
      <c r="I33" s="31"/>
      <c r="J33" s="207"/>
    </row>
    <row r="34" spans="2:10" ht="15.75" x14ac:dyDescent="0.25">
      <c r="B34" s="207"/>
      <c r="C34" s="207"/>
      <c r="D34" s="207"/>
      <c r="E34" s="207"/>
      <c r="F34" s="207"/>
      <c r="G34" s="207"/>
      <c r="H34" s="31"/>
      <c r="I34" s="31"/>
      <c r="J34" s="207"/>
    </row>
    <row r="35" spans="2:10" ht="16.5" thickBot="1" x14ac:dyDescent="0.3">
      <c r="B35" s="207"/>
      <c r="C35" s="207"/>
      <c r="D35" s="207"/>
      <c r="E35" s="207"/>
      <c r="F35" s="207"/>
      <c r="G35" s="207"/>
      <c r="H35" s="31"/>
      <c r="I35" s="31"/>
      <c r="J35" s="207"/>
    </row>
    <row r="36" spans="2:10" ht="16.5" thickBot="1" x14ac:dyDescent="0.3">
      <c r="B36" s="351" t="s">
        <v>57</v>
      </c>
      <c r="C36" s="352"/>
      <c r="D36" s="207"/>
      <c r="E36" s="351" t="s">
        <v>48</v>
      </c>
      <c r="F36" s="353"/>
      <c r="G36" s="207"/>
      <c r="H36" s="31"/>
      <c r="I36" s="31"/>
      <c r="J36" s="207"/>
    </row>
    <row r="37" spans="2:10" ht="15.75" x14ac:dyDescent="0.25">
      <c r="B37" s="238" t="s">
        <v>1</v>
      </c>
      <c r="C37" s="239">
        <f>C33</f>
        <v>308285.10946034553</v>
      </c>
      <c r="D37" s="207"/>
      <c r="E37" s="240" t="s">
        <v>1</v>
      </c>
      <c r="F37" s="241">
        <f>C37/$C$40</f>
        <v>0.20333236801109317</v>
      </c>
      <c r="G37" s="207"/>
      <c r="H37" s="31"/>
      <c r="I37" s="31"/>
      <c r="J37" s="207"/>
    </row>
    <row r="38" spans="2:10" ht="15.75" x14ac:dyDescent="0.25">
      <c r="B38" s="242" t="s">
        <v>72</v>
      </c>
      <c r="C38" s="243">
        <f>D33</f>
        <v>1037993.9505788467</v>
      </c>
      <c r="D38" s="207"/>
      <c r="E38" s="240" t="s">
        <v>72</v>
      </c>
      <c r="F38" s="244">
        <f t="shared" ref="F38:F39" si="4">C38/$C$40</f>
        <v>0.68461875541716588</v>
      </c>
      <c r="G38" s="207"/>
      <c r="H38" s="31"/>
      <c r="I38" s="31"/>
      <c r="J38" s="207"/>
    </row>
    <row r="39" spans="2:10" ht="16.5" thickBot="1" x14ac:dyDescent="0.3">
      <c r="B39" s="245" t="s">
        <v>3</v>
      </c>
      <c r="C39" s="246">
        <f>E33</f>
        <v>169884.4139608079</v>
      </c>
      <c r="D39" s="207"/>
      <c r="E39" s="247" t="s">
        <v>3</v>
      </c>
      <c r="F39" s="248">
        <f t="shared" si="4"/>
        <v>0.1120488765717409</v>
      </c>
      <c r="G39" s="207"/>
      <c r="H39" s="31"/>
      <c r="I39" s="31"/>
      <c r="J39" s="207"/>
    </row>
    <row r="40" spans="2:10" ht="16.5" thickBot="1" x14ac:dyDescent="0.3">
      <c r="B40" s="280" t="s">
        <v>52</v>
      </c>
      <c r="C40" s="281">
        <f>SUM(C37:C39)</f>
        <v>1516163.4740000002</v>
      </c>
      <c r="D40" s="207"/>
      <c r="E40" s="280" t="s">
        <v>52</v>
      </c>
      <c r="F40" s="282">
        <f>SUM(F37:F39)</f>
        <v>1</v>
      </c>
      <c r="G40" s="207"/>
      <c r="H40" s="31"/>
      <c r="I40" s="31"/>
      <c r="J40" s="207"/>
    </row>
    <row r="41" spans="2:10" ht="15.75" x14ac:dyDescent="0.25">
      <c r="B41" s="207"/>
      <c r="C41" s="207"/>
      <c r="D41" s="207"/>
      <c r="E41" s="207"/>
      <c r="F41" s="207"/>
      <c r="G41" s="207"/>
      <c r="H41" s="31"/>
      <c r="I41" s="31"/>
      <c r="J41" s="207"/>
    </row>
    <row r="42" spans="2:10" x14ac:dyDescent="0.25">
      <c r="B42" s="31"/>
      <c r="C42" s="31"/>
      <c r="D42" s="31"/>
      <c r="E42" s="31"/>
      <c r="F42" s="31"/>
      <c r="G42" s="31"/>
      <c r="H42" s="31"/>
      <c r="I42" s="31"/>
    </row>
  </sheetData>
  <mergeCells count="2">
    <mergeCell ref="B36:C36"/>
    <mergeCell ref="E36:F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showGridLines="0" zoomScaleNormal="100" workbookViewId="0">
      <selection activeCell="K15" sqref="K15"/>
    </sheetView>
  </sheetViews>
  <sheetFormatPr baseColWidth="10" defaultRowHeight="15" x14ac:dyDescent="0.25"/>
  <cols>
    <col min="1" max="1" width="1" customWidth="1"/>
    <col min="4" max="4" width="14" customWidth="1"/>
    <col min="9" max="9" width="1.28515625" customWidth="1"/>
    <col min="10" max="10" width="14" customWidth="1"/>
    <col min="11" max="11" width="16.7109375" customWidth="1"/>
    <col min="12" max="12" width="16.5703125" customWidth="1"/>
    <col min="13" max="13" width="14.5703125" customWidth="1"/>
  </cols>
  <sheetData>
    <row r="1" spans="2:15" ht="15.75" thickBot="1" x14ac:dyDescent="0.3">
      <c r="B1" s="31"/>
      <c r="C1" s="31"/>
      <c r="D1" s="31"/>
      <c r="E1" s="31"/>
      <c r="F1" s="31"/>
      <c r="G1" s="31"/>
      <c r="H1" s="31"/>
      <c r="I1" s="31"/>
      <c r="J1" s="37"/>
      <c r="K1" s="37"/>
      <c r="L1" s="37"/>
      <c r="M1" s="31"/>
      <c r="N1" s="31"/>
      <c r="O1" s="31"/>
    </row>
    <row r="2" spans="2:15" ht="15.75" thickBot="1" x14ac:dyDescent="0.3">
      <c r="B2" s="31"/>
      <c r="C2" s="31"/>
      <c r="D2" s="31"/>
      <c r="E2" s="31"/>
      <c r="F2" s="31"/>
      <c r="G2" s="31"/>
      <c r="H2" s="31"/>
      <c r="I2" s="31"/>
      <c r="J2" s="356" t="s">
        <v>64</v>
      </c>
      <c r="K2" s="357"/>
      <c r="L2" s="357"/>
      <c r="M2" s="358"/>
      <c r="N2" s="31"/>
      <c r="O2" s="31"/>
    </row>
    <row r="3" spans="2:15" ht="15.75" thickBot="1" x14ac:dyDescent="0.3">
      <c r="B3" s="369" t="s">
        <v>63</v>
      </c>
      <c r="C3" s="370"/>
      <c r="D3" s="371"/>
      <c r="E3" s="157" t="s">
        <v>20</v>
      </c>
      <c r="F3" s="9" t="s">
        <v>62</v>
      </c>
      <c r="G3" s="9" t="s">
        <v>22</v>
      </c>
      <c r="H3" s="9" t="s">
        <v>23</v>
      </c>
      <c r="I3" s="93"/>
      <c r="J3" s="127" t="s">
        <v>1</v>
      </c>
      <c r="K3" s="127" t="s">
        <v>2</v>
      </c>
      <c r="L3" s="127" t="s">
        <v>3</v>
      </c>
      <c r="M3" s="95" t="s">
        <v>23</v>
      </c>
      <c r="N3" s="31"/>
      <c r="O3" s="31"/>
    </row>
    <row r="4" spans="2:15" x14ac:dyDescent="0.25">
      <c r="B4" s="373" t="s">
        <v>133</v>
      </c>
      <c r="C4" s="374"/>
      <c r="D4" s="374"/>
      <c r="E4" s="98">
        <v>20000</v>
      </c>
      <c r="F4" s="98">
        <v>0</v>
      </c>
      <c r="G4" s="98">
        <v>140000</v>
      </c>
      <c r="H4" s="98">
        <f>AVERAGE(E4:G4)</f>
        <v>53333.333333333336</v>
      </c>
      <c r="I4" s="94"/>
      <c r="J4" s="96">
        <f>$H4*[1]Hoja1!$B$19</f>
        <v>4502.1194445372685</v>
      </c>
      <c r="K4" s="96">
        <f>$H4*[1]Hoja1!$C$19</f>
        <v>25019.537853255748</v>
      </c>
      <c r="L4" s="96">
        <f>$H4*[1]Hoja1!$D$19</f>
        <v>23811.67603554032</v>
      </c>
      <c r="M4" s="97">
        <f>SUM(J4:L4)</f>
        <v>53333.333333333336</v>
      </c>
      <c r="N4" s="31"/>
      <c r="O4" s="31"/>
    </row>
    <row r="5" spans="2:15" x14ac:dyDescent="0.25">
      <c r="B5" s="375" t="s">
        <v>132</v>
      </c>
      <c r="C5" s="376"/>
      <c r="D5" s="376"/>
      <c r="E5" s="99">
        <v>423600</v>
      </c>
      <c r="F5" s="99">
        <v>215000</v>
      </c>
      <c r="G5" s="99">
        <v>85000</v>
      </c>
      <c r="H5" s="101">
        <f t="shared" ref="H5:H9" si="0">AVERAGE(E5:G5)</f>
        <v>241200</v>
      </c>
      <c r="I5" s="158"/>
      <c r="J5" s="96">
        <f>$H5*[1]Hoja1!$B$19</f>
        <v>20360.835187919798</v>
      </c>
      <c r="K5" s="96">
        <f>$H5*[1]Hoja1!$C$19</f>
        <v>113150.85994134912</v>
      </c>
      <c r="L5" s="96">
        <f>$H5*[1]Hoja1!$D$19</f>
        <v>107688.3048707311</v>
      </c>
      <c r="M5" s="73">
        <f t="shared" ref="M5:M9" si="1">SUM(J5:L5)</f>
        <v>241200</v>
      </c>
      <c r="N5" s="31"/>
      <c r="O5" s="31"/>
    </row>
    <row r="6" spans="2:15" x14ac:dyDescent="0.25">
      <c r="B6" s="364" t="s">
        <v>65</v>
      </c>
      <c r="C6" s="368"/>
      <c r="D6" s="368"/>
      <c r="E6" s="25">
        <v>0</v>
      </c>
      <c r="F6" s="25">
        <v>0</v>
      </c>
      <c r="G6" s="25">
        <v>242000</v>
      </c>
      <c r="H6" s="101">
        <f t="shared" si="0"/>
        <v>80666.666666666672</v>
      </c>
      <c r="I6" s="156"/>
      <c r="J6" s="96">
        <f>$H6*[1]Hoja1!$B$19</f>
        <v>6809.4556598626186</v>
      </c>
      <c r="K6" s="96">
        <f>$H6*[1]Hoja1!$C$19</f>
        <v>37842.051003049317</v>
      </c>
      <c r="L6" s="96">
        <f>$H6*[1]Hoja1!$D$19</f>
        <v>36015.160003754732</v>
      </c>
      <c r="M6" s="73">
        <f t="shared" si="1"/>
        <v>80666.666666666672</v>
      </c>
      <c r="N6" s="31"/>
      <c r="O6" s="31"/>
    </row>
    <row r="7" spans="2:15" x14ac:dyDescent="0.25">
      <c r="B7" s="364" t="s">
        <v>66</v>
      </c>
      <c r="C7" s="368"/>
      <c r="D7" s="368"/>
      <c r="E7" s="25">
        <v>146552</v>
      </c>
      <c r="F7" s="25">
        <v>45000</v>
      </c>
      <c r="G7" s="25">
        <v>0</v>
      </c>
      <c r="H7" s="101">
        <f t="shared" si="0"/>
        <v>63850.666666666664</v>
      </c>
      <c r="I7" s="156"/>
      <c r="J7" s="96">
        <f>$H7*[1]Hoja1!$B$19</f>
        <v>5389.9373990000176</v>
      </c>
      <c r="K7" s="96">
        <f>$H7*[1]Hoja1!$C$19</f>
        <v>29953.39071791778</v>
      </c>
      <c r="L7" s="96">
        <f>$H7*[1]Hoja1!$D$19</f>
        <v>28507.338549748867</v>
      </c>
      <c r="M7" s="73">
        <f t="shared" si="1"/>
        <v>63850.666666666672</v>
      </c>
      <c r="N7" s="31"/>
      <c r="O7" s="31"/>
    </row>
    <row r="8" spans="2:15" s="1" customFormat="1" x14ac:dyDescent="0.25">
      <c r="B8" s="364" t="s">
        <v>134</v>
      </c>
      <c r="C8" s="368"/>
      <c r="D8" s="368"/>
      <c r="E8" s="25">
        <v>798000</v>
      </c>
      <c r="F8" s="25">
        <v>4598500</v>
      </c>
      <c r="G8" s="25">
        <v>430000</v>
      </c>
      <c r="H8" s="101">
        <f t="shared" si="0"/>
        <v>1942166.6666666667</v>
      </c>
      <c r="I8" s="156"/>
      <c r="J8" s="96">
        <v>0</v>
      </c>
      <c r="K8" s="96">
        <f>H8</f>
        <v>1942166.6666666667</v>
      </c>
      <c r="L8" s="96">
        <v>0</v>
      </c>
      <c r="M8" s="73">
        <f t="shared" si="1"/>
        <v>1942166.6666666667</v>
      </c>
    </row>
    <row r="9" spans="2:15" s="1" customFormat="1" ht="15.75" thickBot="1" x14ac:dyDescent="0.3">
      <c r="B9" s="366" t="s">
        <v>131</v>
      </c>
      <c r="C9" s="372"/>
      <c r="D9" s="372"/>
      <c r="E9" s="262">
        <v>313664</v>
      </c>
      <c r="F9" s="262">
        <v>104000</v>
      </c>
      <c r="G9" s="262">
        <v>32000</v>
      </c>
      <c r="H9" s="102">
        <f t="shared" si="0"/>
        <v>149888</v>
      </c>
      <c r="I9" s="156"/>
      <c r="J9" s="96">
        <v>0</v>
      </c>
      <c r="K9" s="96">
        <v>0</v>
      </c>
      <c r="L9" s="96">
        <f>H9</f>
        <v>149888</v>
      </c>
      <c r="M9" s="73">
        <f t="shared" si="1"/>
        <v>149888</v>
      </c>
    </row>
    <row r="10" spans="2:15" ht="15.75" thickBot="1" x14ac:dyDescent="0.3">
      <c r="B10" s="366" t="s">
        <v>52</v>
      </c>
      <c r="C10" s="372"/>
      <c r="D10" s="367"/>
      <c r="E10" s="100">
        <f>SUM(E4:E9)</f>
        <v>1701816</v>
      </c>
      <c r="F10" s="100">
        <f t="shared" ref="F10:H10" si="2">SUM(F4:F9)</f>
        <v>4962500</v>
      </c>
      <c r="G10" s="100">
        <f t="shared" si="2"/>
        <v>929000</v>
      </c>
      <c r="H10" s="100">
        <f t="shared" si="2"/>
        <v>2531105.3333333335</v>
      </c>
      <c r="I10" s="156"/>
      <c r="J10" s="61">
        <f>SUM(J4:J9)</f>
        <v>37062.347691319701</v>
      </c>
      <c r="K10" s="61">
        <f t="shared" ref="K10:M10" si="3">SUM(K4:K9)</f>
        <v>2148132.5061822389</v>
      </c>
      <c r="L10" s="61">
        <f t="shared" si="3"/>
        <v>345910.47945977503</v>
      </c>
      <c r="M10" s="61">
        <f t="shared" si="3"/>
        <v>2531105.3333333335</v>
      </c>
      <c r="N10" s="31"/>
      <c r="O10" s="31"/>
    </row>
    <row r="11" spans="2:15" x14ac:dyDescent="0.25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</row>
    <row r="12" spans="2:15" ht="15.75" thickBot="1" x14ac:dyDescent="0.3"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</row>
    <row r="13" spans="2:15" ht="30.75" customHeight="1" thickBot="1" x14ac:dyDescent="0.3">
      <c r="B13" s="31"/>
      <c r="C13" s="31"/>
      <c r="D13" s="31"/>
      <c r="E13" s="359" t="s">
        <v>83</v>
      </c>
      <c r="F13" s="360"/>
      <c r="G13" s="361"/>
      <c r="H13" s="31"/>
      <c r="I13" s="31"/>
      <c r="J13" s="31"/>
      <c r="K13" s="31"/>
      <c r="L13" s="31"/>
      <c r="M13" s="31"/>
      <c r="N13" s="31"/>
      <c r="O13" s="31"/>
    </row>
    <row r="14" spans="2:15" ht="16.5" customHeight="1" x14ac:dyDescent="0.25">
      <c r="B14" s="31"/>
      <c r="C14" s="31"/>
      <c r="D14" s="31"/>
      <c r="E14" s="362" t="s">
        <v>1</v>
      </c>
      <c r="F14" s="363"/>
      <c r="G14" s="71">
        <f>J10/M10</f>
        <v>1.464275200373053E-2</v>
      </c>
      <c r="H14" s="31"/>
      <c r="I14" s="31"/>
      <c r="J14" s="31"/>
      <c r="K14" s="31"/>
      <c r="L14" s="31"/>
      <c r="M14" s="3"/>
      <c r="N14" s="31"/>
      <c r="O14" s="31"/>
    </row>
    <row r="15" spans="2:15" s="1" customFormat="1" x14ac:dyDescent="0.25">
      <c r="E15" s="364" t="s">
        <v>2</v>
      </c>
      <c r="F15" s="365"/>
      <c r="G15" s="71">
        <f>K10/M10</f>
        <v>0.84869344546529035</v>
      </c>
      <c r="J15" s="114"/>
      <c r="L15" s="113"/>
      <c r="M15" s="5"/>
    </row>
    <row r="16" spans="2:15" ht="15.75" thickBot="1" x14ac:dyDescent="0.3">
      <c r="B16" s="31"/>
      <c r="C16" s="31"/>
      <c r="D16" s="31"/>
      <c r="E16" s="366" t="s">
        <v>3</v>
      </c>
      <c r="F16" s="367"/>
      <c r="G16" s="72">
        <f>L10/M10</f>
        <v>0.13666380253097923</v>
      </c>
      <c r="H16" s="31"/>
      <c r="I16" s="31"/>
      <c r="J16" s="1"/>
      <c r="K16" s="31"/>
      <c r="L16" s="263"/>
      <c r="M16" s="112"/>
      <c r="N16" s="31"/>
      <c r="O16" s="31"/>
    </row>
    <row r="17" spans="2:13" s="1" customFormat="1" ht="15.75" thickBot="1" x14ac:dyDescent="0.3">
      <c r="E17" s="354" t="s">
        <v>52</v>
      </c>
      <c r="F17" s="355"/>
      <c r="G17" s="155">
        <f>SUM(G14:G16)</f>
        <v>1.0000000000000002</v>
      </c>
      <c r="K17" s="115"/>
      <c r="M17" s="5"/>
    </row>
    <row r="18" spans="2:13" x14ac:dyDescent="0.25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</row>
    <row r="19" spans="2:13" x14ac:dyDescent="0.25">
      <c r="L19" s="116"/>
    </row>
  </sheetData>
  <mergeCells count="14">
    <mergeCell ref="B6:D6"/>
    <mergeCell ref="B3:D3"/>
    <mergeCell ref="B7:D7"/>
    <mergeCell ref="B10:D10"/>
    <mergeCell ref="B4:D4"/>
    <mergeCell ref="B5:D5"/>
    <mergeCell ref="B8:D8"/>
    <mergeCell ref="B9:D9"/>
    <mergeCell ref="E17:F17"/>
    <mergeCell ref="J2:M2"/>
    <mergeCell ref="E13:G13"/>
    <mergeCell ref="E14:F14"/>
    <mergeCell ref="E15:F15"/>
    <mergeCell ref="E16:F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zoomScale="90" zoomScaleNormal="90" workbookViewId="0">
      <selection activeCell="H22" sqref="H22"/>
    </sheetView>
  </sheetViews>
  <sheetFormatPr baseColWidth="10" defaultRowHeight="15" x14ac:dyDescent="0.25"/>
  <cols>
    <col min="1" max="1" width="2" customWidth="1"/>
    <col min="3" max="3" width="17.5703125" customWidth="1"/>
    <col min="4" max="4" width="17.28515625" customWidth="1"/>
    <col min="5" max="7" width="19.28515625" customWidth="1"/>
    <col min="8" max="8" width="12.7109375" customWidth="1"/>
  </cols>
  <sheetData>
    <row r="1" spans="1:7" ht="15.75" thickBot="1" x14ac:dyDescent="0.3">
      <c r="A1" s="31"/>
      <c r="B1" s="31"/>
      <c r="C1" s="31"/>
      <c r="D1" s="31"/>
      <c r="E1" s="31"/>
      <c r="F1" s="31"/>
    </row>
    <row r="2" spans="1:7" ht="15.75" thickBot="1" x14ac:dyDescent="0.3">
      <c r="B2" s="388" t="s">
        <v>71</v>
      </c>
      <c r="C2" s="389"/>
      <c r="D2" s="390"/>
      <c r="E2" s="199" t="s">
        <v>138</v>
      </c>
      <c r="F2" s="264" t="s">
        <v>139</v>
      </c>
      <c r="G2" s="32"/>
    </row>
    <row r="3" spans="1:7" x14ac:dyDescent="0.25">
      <c r="B3" s="397" t="s">
        <v>135</v>
      </c>
      <c r="C3" s="398"/>
      <c r="D3" s="399"/>
      <c r="E3" s="117">
        <v>4476326</v>
      </c>
      <c r="F3" s="20">
        <f>E3/12</f>
        <v>373027.16666666669</v>
      </c>
      <c r="G3" s="31"/>
    </row>
    <row r="4" spans="1:7" x14ac:dyDescent="0.25">
      <c r="B4" s="400" t="s">
        <v>136</v>
      </c>
      <c r="C4" s="401"/>
      <c r="D4" s="402"/>
      <c r="E4" s="118">
        <v>9895914</v>
      </c>
      <c r="F4" s="21">
        <f>E4/12</f>
        <v>824659.5</v>
      </c>
      <c r="G4" s="31"/>
    </row>
    <row r="5" spans="1:7" x14ac:dyDescent="0.25">
      <c r="B5" s="400" t="s">
        <v>133</v>
      </c>
      <c r="C5" s="401"/>
      <c r="D5" s="402"/>
      <c r="E5" s="118">
        <v>556000</v>
      </c>
      <c r="F5" s="21">
        <f>E5/12</f>
        <v>46333.333333333336</v>
      </c>
      <c r="G5" s="31"/>
    </row>
    <row r="6" spans="1:7" x14ac:dyDescent="0.25">
      <c r="B6" s="400" t="s">
        <v>137</v>
      </c>
      <c r="C6" s="401"/>
      <c r="D6" s="402"/>
      <c r="E6" s="118">
        <v>15293515</v>
      </c>
      <c r="F6" s="21">
        <f>E6/12</f>
        <v>1274459.5833333333</v>
      </c>
      <c r="G6" s="31"/>
    </row>
    <row r="7" spans="1:7" ht="15.75" thickBot="1" x14ac:dyDescent="0.3">
      <c r="B7" s="380" t="s">
        <v>131</v>
      </c>
      <c r="C7" s="381"/>
      <c r="D7" s="382"/>
      <c r="E7" s="118">
        <v>22615029</v>
      </c>
      <c r="F7" s="21">
        <f>E7/12</f>
        <v>1884585.75</v>
      </c>
      <c r="G7" s="31"/>
    </row>
    <row r="8" spans="1:7" ht="15.75" thickBot="1" x14ac:dyDescent="0.3">
      <c r="B8" s="385" t="s">
        <v>52</v>
      </c>
      <c r="C8" s="386"/>
      <c r="D8" s="387"/>
      <c r="E8" s="265">
        <f>SUM(E3:E7)</f>
        <v>52836784</v>
      </c>
      <c r="F8" s="266">
        <f>SUM(F3:F7)</f>
        <v>4403065.333333333</v>
      </c>
      <c r="G8" s="31"/>
    </row>
    <row r="9" spans="1:7" x14ac:dyDescent="0.25">
      <c r="B9" s="32"/>
      <c r="C9" s="32"/>
      <c r="D9" s="32"/>
      <c r="E9" s="32"/>
      <c r="F9" s="32"/>
      <c r="G9" s="31"/>
    </row>
    <row r="10" spans="1:7" ht="15.75" thickBot="1" x14ac:dyDescent="0.3">
      <c r="B10" s="31"/>
      <c r="C10" s="31"/>
      <c r="D10" s="31"/>
      <c r="E10" s="31"/>
      <c r="F10" s="31"/>
      <c r="G10" s="31"/>
    </row>
    <row r="11" spans="1:7" ht="15.75" thickBot="1" x14ac:dyDescent="0.3">
      <c r="D11" s="3"/>
      <c r="E11" s="377" t="s">
        <v>67</v>
      </c>
      <c r="F11" s="378"/>
      <c r="G11" s="379"/>
    </row>
    <row r="12" spans="1:7" ht="15.75" thickBot="1" x14ac:dyDescent="0.3">
      <c r="B12" s="377" t="s">
        <v>71</v>
      </c>
      <c r="C12" s="378"/>
      <c r="D12" s="379"/>
      <c r="E12" s="198" t="s">
        <v>3</v>
      </c>
      <c r="F12" s="198" t="s">
        <v>2</v>
      </c>
      <c r="G12" s="267" t="s">
        <v>1</v>
      </c>
    </row>
    <row r="13" spans="1:7" x14ac:dyDescent="0.25">
      <c r="B13" s="391" t="s">
        <v>135</v>
      </c>
      <c r="C13" s="392"/>
      <c r="D13" s="393"/>
      <c r="E13" s="21">
        <f>F3*'[2]Prorrateo Centros de costos'!$I$5</f>
        <v>79108.414768492308</v>
      </c>
      <c r="F13" s="16">
        <f>F3*'[2]Prorrateo Centros de costos'!$I$6</f>
        <v>262335.25834303658</v>
      </c>
      <c r="G13" s="21">
        <f>F3*'[2]Prorrateo Centros de costos'!$I$7</f>
        <v>31583.493555137818</v>
      </c>
    </row>
    <row r="14" spans="1:7" x14ac:dyDescent="0.25">
      <c r="B14" s="394" t="s">
        <v>136</v>
      </c>
      <c r="C14" s="395"/>
      <c r="D14" s="396"/>
      <c r="E14" s="21">
        <f>F4*'[2]Prorrateo Centros de costos'!$I$5</f>
        <v>174886.74176664741</v>
      </c>
      <c r="F14" s="16">
        <f>F4*'[2]Prorrateo Centros de costos'!$I$6</f>
        <v>579950.4226748615</v>
      </c>
      <c r="G14" s="21">
        <f>F4*'[2]Prorrateo Centros de costos'!$I$7</f>
        <v>69822.335558491075</v>
      </c>
    </row>
    <row r="15" spans="1:7" x14ac:dyDescent="0.25">
      <c r="B15" s="394" t="s">
        <v>133</v>
      </c>
      <c r="C15" s="395"/>
      <c r="D15" s="396"/>
      <c r="E15" s="21">
        <f>F5*'[2]Prorrateo Centros de costos'!$I$5</f>
        <v>9825.9775117544432</v>
      </c>
      <c r="F15" s="16">
        <f>F5*'[2]Prorrateo Centros de costos'!$I$6</f>
        <v>32584.401502198081</v>
      </c>
      <c r="G15" s="21">
        <f>F5*'[2]Prorrateo Centros de costos'!$I$7</f>
        <v>3922.9543193808108</v>
      </c>
    </row>
    <row r="16" spans="1:7" x14ac:dyDescent="0.25">
      <c r="B16" s="394" t="s">
        <v>137</v>
      </c>
      <c r="C16" s="395"/>
      <c r="D16" s="396"/>
      <c r="E16" s="21">
        <f>F6*'[2]Prorrateo Centros de costos'!$I$5</f>
        <v>270276.50083755259</v>
      </c>
      <c r="F16" s="16">
        <f>F6*'[2]Prorrateo Centros de costos'!$I$6</f>
        <v>896277.03802138276</v>
      </c>
      <c r="G16" s="21">
        <f>F6*'[2]Prorrateo Centros de costos'!$I$7</f>
        <v>107906.04447439786</v>
      </c>
    </row>
    <row r="17" spans="2:8" ht="15.75" thickBot="1" x14ac:dyDescent="0.3">
      <c r="B17" s="403" t="s">
        <v>131</v>
      </c>
      <c r="C17" s="404"/>
      <c r="D17" s="405"/>
      <c r="E17" s="21">
        <f>F7</f>
        <v>1884585.75</v>
      </c>
      <c r="F17" s="16">
        <v>0</v>
      </c>
      <c r="G17" s="21">
        <v>0</v>
      </c>
    </row>
    <row r="18" spans="2:8" ht="15.75" thickBot="1" x14ac:dyDescent="0.3">
      <c r="B18" s="385" t="s">
        <v>52</v>
      </c>
      <c r="C18" s="386"/>
      <c r="D18" s="387"/>
      <c r="E18" s="268">
        <f>SUM(E13:E17)</f>
        <v>2418683.3848844469</v>
      </c>
      <c r="F18" s="268">
        <f t="shared" ref="F18:G18" si="0">SUM(F13:F17)</f>
        <v>1771147.120541479</v>
      </c>
      <c r="G18" s="268">
        <f t="shared" si="0"/>
        <v>213234.82790740754</v>
      </c>
      <c r="H18" s="40"/>
    </row>
    <row r="19" spans="2:8" ht="15.75" thickBot="1" x14ac:dyDescent="0.3">
      <c r="B19" s="31"/>
      <c r="C19" s="31"/>
      <c r="D19" s="31"/>
      <c r="E19" s="31"/>
      <c r="F19" s="31"/>
      <c r="G19" s="31"/>
    </row>
    <row r="20" spans="2:8" ht="15.75" thickBot="1" x14ac:dyDescent="0.3">
      <c r="D20" s="383" t="s">
        <v>9</v>
      </c>
      <c r="E20" s="384"/>
      <c r="F20" s="3"/>
      <c r="G20" s="31"/>
    </row>
    <row r="21" spans="2:8" x14ac:dyDescent="0.25">
      <c r="D21" s="270" t="s">
        <v>3</v>
      </c>
      <c r="E21" s="106">
        <f>E18/F8</f>
        <v>0.54931807769779029</v>
      </c>
      <c r="G21" s="31"/>
    </row>
    <row r="22" spans="2:8" x14ac:dyDescent="0.25">
      <c r="D22" s="271" t="s">
        <v>2</v>
      </c>
      <c r="E22" s="106">
        <f>F18/F8</f>
        <v>0.40225320009063664</v>
      </c>
      <c r="G22" s="31"/>
    </row>
    <row r="23" spans="2:8" ht="15.75" thickBot="1" x14ac:dyDescent="0.3">
      <c r="D23" s="272" t="s">
        <v>1</v>
      </c>
      <c r="E23" s="107">
        <f>G18/F8</f>
        <v>4.8428722211573107E-2</v>
      </c>
      <c r="G23" s="31"/>
    </row>
    <row r="24" spans="2:8" ht="15.75" thickBot="1" x14ac:dyDescent="0.3">
      <c r="D24" s="173" t="s">
        <v>52</v>
      </c>
      <c r="E24" s="269">
        <f>SUM(E21:E23)</f>
        <v>1</v>
      </c>
      <c r="G24" s="31"/>
    </row>
  </sheetData>
  <mergeCells count="16">
    <mergeCell ref="B2:D2"/>
    <mergeCell ref="B13:D13"/>
    <mergeCell ref="B14:D14"/>
    <mergeCell ref="B15:D15"/>
    <mergeCell ref="B16:D16"/>
    <mergeCell ref="B3:D3"/>
    <mergeCell ref="B4:D4"/>
    <mergeCell ref="B5:D5"/>
    <mergeCell ref="B6:D6"/>
    <mergeCell ref="B8:D8"/>
    <mergeCell ref="E11:G11"/>
    <mergeCell ref="B7:D7"/>
    <mergeCell ref="D20:E20"/>
    <mergeCell ref="B18:D18"/>
    <mergeCell ref="B12:D12"/>
    <mergeCell ref="B17:D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showGridLines="0" workbookViewId="0">
      <selection activeCell="F16" sqref="F16"/>
    </sheetView>
  </sheetViews>
  <sheetFormatPr baseColWidth="10" defaultRowHeight="15" x14ac:dyDescent="0.25"/>
  <cols>
    <col min="1" max="1" width="1.5703125" customWidth="1"/>
    <col min="2" max="2" width="21.7109375" customWidth="1"/>
    <col min="3" max="5" width="17" customWidth="1"/>
    <col min="6" max="6" width="18.7109375" customWidth="1"/>
    <col min="7" max="7" width="13" customWidth="1"/>
  </cols>
  <sheetData>
    <row r="1" spans="2:7" ht="15.75" thickBot="1" x14ac:dyDescent="0.3"/>
    <row r="2" spans="2:7" ht="15.75" thickBot="1" x14ac:dyDescent="0.3">
      <c r="B2" s="406" t="s">
        <v>70</v>
      </c>
      <c r="C2" s="407"/>
      <c r="D2" s="408"/>
    </row>
    <row r="3" spans="2:7" ht="15.75" thickBot="1" x14ac:dyDescent="0.3">
      <c r="B3" s="62" t="s">
        <v>118</v>
      </c>
      <c r="C3" s="63" t="s">
        <v>119</v>
      </c>
      <c r="D3" s="63" t="s">
        <v>46</v>
      </c>
    </row>
    <row r="4" spans="2:7" ht="15.75" thickBot="1" x14ac:dyDescent="0.3">
      <c r="B4" s="64" t="s">
        <v>117</v>
      </c>
      <c r="C4" s="59">
        <f>D4*12</f>
        <v>12000000</v>
      </c>
      <c r="D4" s="59">
        <v>1000000</v>
      </c>
    </row>
    <row r="5" spans="2:7" ht="15.75" thickBot="1" x14ac:dyDescent="0.3">
      <c r="B5" s="359" t="s">
        <v>52</v>
      </c>
      <c r="C5" s="361"/>
      <c r="D5" s="60">
        <f>SUM(D4)</f>
        <v>1000000</v>
      </c>
    </row>
    <row r="7" spans="2:7" ht="15.75" thickBot="1" x14ac:dyDescent="0.3">
      <c r="B7" s="2"/>
      <c r="C7" s="2"/>
      <c r="D7" s="2"/>
      <c r="E7" s="2"/>
      <c r="F7" s="2"/>
    </row>
    <row r="8" spans="2:7" ht="15.75" thickBot="1" x14ac:dyDescent="0.3">
      <c r="C8" s="377" t="s">
        <v>64</v>
      </c>
      <c r="D8" s="378"/>
      <c r="E8" s="379"/>
      <c r="F8" s="3"/>
    </row>
    <row r="9" spans="2:7" ht="15.75" thickBot="1" x14ac:dyDescent="0.3">
      <c r="B9" s="273" t="s">
        <v>118</v>
      </c>
      <c r="C9" s="274" t="s">
        <v>1</v>
      </c>
      <c r="D9" s="198" t="s">
        <v>2</v>
      </c>
      <c r="E9" s="198" t="s">
        <v>3</v>
      </c>
      <c r="F9" s="85"/>
    </row>
    <row r="10" spans="2:7" ht="15.75" thickBot="1" x14ac:dyDescent="0.3">
      <c r="B10" s="64" t="s">
        <v>117</v>
      </c>
      <c r="C10" s="82">
        <f>D4*'[2]Prorrateo Centros de costos'!$I$7</f>
        <v>84668.078835557055</v>
      </c>
      <c r="D10" s="44">
        <f>D4*'[2]Prorrateo Centros de costos'!$I$6</f>
        <v>703260.46407621761</v>
      </c>
      <c r="E10" s="44">
        <f>D4*'[2]Prorrateo Centros de costos'!$I$5</f>
        <v>212071.4570882254</v>
      </c>
      <c r="F10" s="36"/>
      <c r="G10" s="37"/>
    </row>
    <row r="11" spans="2:7" ht="15.75" thickBot="1" x14ac:dyDescent="0.3">
      <c r="B11" s="8" t="s">
        <v>52</v>
      </c>
      <c r="C11" s="83">
        <f>SUM(C10)</f>
        <v>84668.078835557055</v>
      </c>
      <c r="D11" s="83">
        <f t="shared" ref="D11:E11" si="0">SUM(D10)</f>
        <v>703260.46407621761</v>
      </c>
      <c r="E11" s="83">
        <f t="shared" si="0"/>
        <v>212071.4570882254</v>
      </c>
      <c r="F11" s="84"/>
      <c r="G11" s="37"/>
    </row>
    <row r="12" spans="2:7" x14ac:dyDescent="0.25">
      <c r="G12" s="37"/>
    </row>
    <row r="13" spans="2:7" ht="15.75" thickBot="1" x14ac:dyDescent="0.3">
      <c r="G13" s="37"/>
    </row>
    <row r="14" spans="2:7" ht="15.75" thickBot="1" x14ac:dyDescent="0.3">
      <c r="C14" s="377" t="s">
        <v>73</v>
      </c>
      <c r="D14" s="379"/>
      <c r="G14" s="86"/>
    </row>
    <row r="15" spans="2:7" ht="30.75" thickBot="1" x14ac:dyDescent="0.3">
      <c r="C15" s="65" t="s">
        <v>64</v>
      </c>
      <c r="D15" s="35" t="s">
        <v>54</v>
      </c>
    </row>
    <row r="16" spans="2:7" x14ac:dyDescent="0.25">
      <c r="C16" s="11" t="s">
        <v>1</v>
      </c>
      <c r="D16" s="124">
        <f>C11/D5</f>
        <v>8.4668078835557048E-2</v>
      </c>
    </row>
    <row r="17" spans="3:4" x14ac:dyDescent="0.25">
      <c r="C17" s="11" t="s">
        <v>2</v>
      </c>
      <c r="D17" s="124">
        <f>D11/D5</f>
        <v>0.70326046407621756</v>
      </c>
    </row>
    <row r="18" spans="3:4" ht="15.75" thickBot="1" x14ac:dyDescent="0.3">
      <c r="C18" s="12" t="s">
        <v>3</v>
      </c>
      <c r="D18" s="123">
        <f>E11/D5</f>
        <v>0.21207145708822542</v>
      </c>
    </row>
    <row r="19" spans="3:4" ht="15.75" thickBot="1" x14ac:dyDescent="0.3">
      <c r="C19" s="30" t="s">
        <v>52</v>
      </c>
      <c r="D19" s="128">
        <f>SUM(D16:D18)</f>
        <v>1</v>
      </c>
    </row>
  </sheetData>
  <mergeCells count="4">
    <mergeCell ref="C14:D14"/>
    <mergeCell ref="B2:D2"/>
    <mergeCell ref="B5:C5"/>
    <mergeCell ref="C8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GridLines="0" workbookViewId="0">
      <selection activeCell="G6" sqref="G6"/>
    </sheetView>
  </sheetViews>
  <sheetFormatPr baseColWidth="10" defaultRowHeight="15" x14ac:dyDescent="0.25"/>
  <cols>
    <col min="1" max="1" width="1" customWidth="1"/>
    <col min="2" max="2" width="27.85546875" customWidth="1"/>
    <col min="3" max="3" width="17" customWidth="1"/>
    <col min="4" max="4" width="18.140625" customWidth="1"/>
    <col min="5" max="5" width="17.5703125" customWidth="1"/>
    <col min="6" max="6" width="15.140625" customWidth="1"/>
    <col min="7" max="7" width="11.85546875" bestFit="1" customWidth="1"/>
  </cols>
  <sheetData>
    <row r="1" spans="1:7" ht="15.75" thickBot="1" x14ac:dyDescent="0.3">
      <c r="A1" s="29"/>
      <c r="B1" s="29"/>
      <c r="C1" s="29"/>
      <c r="D1" s="29"/>
      <c r="E1" s="29"/>
    </row>
    <row r="2" spans="1:7" ht="30.75" thickBot="1" x14ac:dyDescent="0.3">
      <c r="B2" s="356" t="s">
        <v>68</v>
      </c>
      <c r="C2" s="358"/>
      <c r="D2" s="14" t="s">
        <v>119</v>
      </c>
      <c r="E2" s="135" t="s">
        <v>139</v>
      </c>
      <c r="F2" s="29"/>
    </row>
    <row r="3" spans="1:7" x14ac:dyDescent="0.25">
      <c r="B3" s="362" t="s">
        <v>156</v>
      </c>
      <c r="C3" s="363"/>
      <c r="D3" s="33">
        <v>8813180</v>
      </c>
      <c r="E3" s="53">
        <f>D3/12</f>
        <v>734431.66666666663</v>
      </c>
      <c r="F3" s="29"/>
    </row>
    <row r="4" spans="1:7" ht="15.75" thickBot="1" x14ac:dyDescent="0.3">
      <c r="B4" s="366" t="s">
        <v>157</v>
      </c>
      <c r="C4" s="367"/>
      <c r="D4" s="33">
        <f>429400*2</f>
        <v>858800</v>
      </c>
      <c r="E4" s="53">
        <f>D4/12</f>
        <v>71566.666666666672</v>
      </c>
      <c r="F4" s="29"/>
    </row>
    <row r="5" spans="1:7" ht="15.75" thickBot="1" x14ac:dyDescent="0.3">
      <c r="B5" s="409" t="s">
        <v>52</v>
      </c>
      <c r="C5" s="410"/>
      <c r="D5" s="39">
        <f>SUM(D3:D4)</f>
        <v>9671980</v>
      </c>
      <c r="E5" s="54">
        <f>SUM(E3:E4)</f>
        <v>805998.33333333326</v>
      </c>
      <c r="F5" s="29"/>
    </row>
    <row r="6" spans="1:7" x14ac:dyDescent="0.25">
      <c r="B6" s="29"/>
      <c r="C6" s="29"/>
      <c r="D6" s="29"/>
      <c r="E6" s="29"/>
      <c r="F6" s="29"/>
    </row>
    <row r="7" spans="1:7" ht="15.75" thickBot="1" x14ac:dyDescent="0.3">
      <c r="B7" s="29"/>
      <c r="C7" s="29"/>
      <c r="D7" s="29"/>
      <c r="E7" s="29"/>
      <c r="F7" s="29"/>
    </row>
    <row r="8" spans="1:7" ht="15.75" thickBot="1" x14ac:dyDescent="0.3">
      <c r="B8" s="356" t="s">
        <v>69</v>
      </c>
      <c r="C8" s="357"/>
      <c r="D8" s="357"/>
      <c r="E8" s="357"/>
      <c r="F8" s="358"/>
    </row>
    <row r="9" spans="1:7" ht="15.75" thickBot="1" x14ac:dyDescent="0.3">
      <c r="B9" s="409" t="s">
        <v>68</v>
      </c>
      <c r="C9" s="410"/>
      <c r="D9" s="13" t="s">
        <v>3</v>
      </c>
      <c r="E9" s="13" t="s">
        <v>2</v>
      </c>
      <c r="F9" s="132" t="s">
        <v>1</v>
      </c>
    </row>
    <row r="10" spans="1:7" x14ac:dyDescent="0.25">
      <c r="B10" s="362" t="s">
        <v>156</v>
      </c>
      <c r="C10" s="363"/>
      <c r="D10" s="51">
        <f>E3</f>
        <v>734431.66666666663</v>
      </c>
      <c r="E10" s="51">
        <v>0</v>
      </c>
      <c r="F10" s="51">
        <v>0</v>
      </c>
      <c r="G10" s="40"/>
    </row>
    <row r="11" spans="1:7" ht="15.75" thickBot="1" x14ac:dyDescent="0.3">
      <c r="B11" s="366" t="s">
        <v>157</v>
      </c>
      <c r="C11" s="367"/>
      <c r="D11" s="51">
        <v>0</v>
      </c>
      <c r="E11" s="51">
        <f>E4</f>
        <v>71566.666666666672</v>
      </c>
      <c r="F11" s="53">
        <v>0</v>
      </c>
    </row>
    <row r="12" spans="1:7" ht="15.75" thickBot="1" x14ac:dyDescent="0.3">
      <c r="B12" s="409" t="s">
        <v>52</v>
      </c>
      <c r="C12" s="410"/>
      <c r="D12" s="130">
        <f>SUM(D10:D11)</f>
        <v>734431.66666666663</v>
      </c>
      <c r="E12" s="130">
        <f t="shared" ref="E12:F12" si="0">SUM(E10:E11)</f>
        <v>71566.666666666672</v>
      </c>
      <c r="F12" s="52">
        <f t="shared" si="0"/>
        <v>0</v>
      </c>
    </row>
    <row r="13" spans="1:7" x14ac:dyDescent="0.25">
      <c r="B13" s="29"/>
      <c r="C13" s="29"/>
      <c r="D13" s="29"/>
      <c r="E13" s="29"/>
      <c r="F13" s="29"/>
    </row>
    <row r="14" spans="1:7" ht="15.75" thickBot="1" x14ac:dyDescent="0.3">
      <c r="B14" s="29"/>
      <c r="C14" s="29"/>
      <c r="D14" s="29"/>
      <c r="E14" s="29"/>
      <c r="F14" s="29"/>
    </row>
    <row r="15" spans="1:7" ht="15.75" thickBot="1" x14ac:dyDescent="0.3">
      <c r="C15" s="409" t="s">
        <v>48</v>
      </c>
      <c r="D15" s="410"/>
      <c r="F15" s="29"/>
    </row>
    <row r="16" spans="1:7" x14ac:dyDescent="0.25">
      <c r="B16" s="55"/>
      <c r="C16" s="10" t="s">
        <v>3</v>
      </c>
      <c r="D16" s="56">
        <f>D12/E5</f>
        <v>0.91120742598723325</v>
      </c>
      <c r="F16" s="29"/>
    </row>
    <row r="17" spans="2:6" x14ac:dyDescent="0.25">
      <c r="B17" s="55"/>
      <c r="C17" s="11" t="s">
        <v>2</v>
      </c>
      <c r="D17" s="57">
        <f>E12/E5</f>
        <v>8.8792574012766787E-2</v>
      </c>
      <c r="F17" s="29"/>
    </row>
    <row r="18" spans="2:6" ht="15.75" thickBot="1" x14ac:dyDescent="0.3">
      <c r="B18" s="55"/>
      <c r="C18" s="12" t="s">
        <v>1</v>
      </c>
      <c r="D18" s="58">
        <f>F12/E5</f>
        <v>0</v>
      </c>
      <c r="F18" s="29"/>
    </row>
    <row r="19" spans="2:6" ht="15.75" thickBot="1" x14ac:dyDescent="0.3">
      <c r="C19" s="13" t="s">
        <v>52</v>
      </c>
      <c r="D19" s="42">
        <f>SUM(D16:D18)</f>
        <v>1</v>
      </c>
    </row>
  </sheetData>
  <mergeCells count="10">
    <mergeCell ref="C15:D15"/>
    <mergeCell ref="B8:F8"/>
    <mergeCell ref="B10:C10"/>
    <mergeCell ref="B11:C11"/>
    <mergeCell ref="B12:C12"/>
    <mergeCell ref="B2:C2"/>
    <mergeCell ref="B3:C3"/>
    <mergeCell ref="B4:C4"/>
    <mergeCell ref="B5:C5"/>
    <mergeCell ref="B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showGridLines="0" topLeftCell="A7" workbookViewId="0">
      <selection activeCell="C20" sqref="C20"/>
    </sheetView>
  </sheetViews>
  <sheetFormatPr baseColWidth="10" defaultRowHeight="15" x14ac:dyDescent="0.25"/>
  <cols>
    <col min="1" max="1" width="1.7109375" customWidth="1"/>
    <col min="2" max="2" width="31.7109375" customWidth="1"/>
    <col min="3" max="5" width="14.85546875" customWidth="1"/>
    <col min="6" max="6" width="14" customWidth="1"/>
    <col min="7" max="7" width="15.85546875" customWidth="1"/>
    <col min="8" max="8" width="13.42578125" customWidth="1"/>
  </cols>
  <sheetData>
    <row r="1" spans="2:6" ht="15.75" thickBot="1" x14ac:dyDescent="0.3"/>
    <row r="2" spans="2:6" ht="15.75" thickBot="1" x14ac:dyDescent="0.3">
      <c r="B2" s="13" t="s">
        <v>155</v>
      </c>
      <c r="C2" s="131" t="s">
        <v>20</v>
      </c>
      <c r="D2" s="13" t="s">
        <v>62</v>
      </c>
      <c r="E2" s="132" t="s">
        <v>22</v>
      </c>
      <c r="F2" s="88" t="s">
        <v>23</v>
      </c>
    </row>
    <row r="3" spans="2:6" x14ac:dyDescent="0.25">
      <c r="B3" s="6" t="s">
        <v>144</v>
      </c>
      <c r="C3" s="90">
        <v>602119</v>
      </c>
      <c r="D3" s="15">
        <v>26940</v>
      </c>
      <c r="E3" s="20">
        <v>507774</v>
      </c>
      <c r="F3" s="137">
        <f>AVERAGE(C3:E3)</f>
        <v>378944.33333333331</v>
      </c>
    </row>
    <row r="4" spans="2:6" x14ac:dyDescent="0.25">
      <c r="B4" s="7" t="s">
        <v>145</v>
      </c>
      <c r="C4" s="91">
        <v>302715</v>
      </c>
      <c r="D4" s="16">
        <v>751500</v>
      </c>
      <c r="E4" s="21">
        <v>1305500</v>
      </c>
      <c r="F4" s="28">
        <f t="shared" ref="F4:F11" si="0">AVERAGE(C4:E4)</f>
        <v>786571.66666666663</v>
      </c>
    </row>
    <row r="5" spans="2:6" x14ac:dyDescent="0.25">
      <c r="B5" s="7" t="s">
        <v>146</v>
      </c>
      <c r="C5" s="91">
        <v>9858850</v>
      </c>
      <c r="D5" s="16">
        <v>12902460</v>
      </c>
      <c r="E5" s="21">
        <v>1011860</v>
      </c>
      <c r="F5" s="28">
        <f t="shared" si="0"/>
        <v>7924390</v>
      </c>
    </row>
    <row r="6" spans="2:6" x14ac:dyDescent="0.25">
      <c r="B6" s="7" t="s">
        <v>147</v>
      </c>
      <c r="C6" s="91">
        <v>424800</v>
      </c>
      <c r="D6" s="16">
        <v>535000</v>
      </c>
      <c r="E6" s="21">
        <v>42600</v>
      </c>
      <c r="F6" s="28">
        <f t="shared" si="0"/>
        <v>334133.33333333331</v>
      </c>
    </row>
    <row r="7" spans="2:6" x14ac:dyDescent="0.25">
      <c r="B7" s="7" t="s">
        <v>148</v>
      </c>
      <c r="C7" s="91">
        <v>80500</v>
      </c>
      <c r="D7" s="16">
        <v>222500</v>
      </c>
      <c r="E7" s="21">
        <v>1668000</v>
      </c>
      <c r="F7" s="28">
        <f t="shared" si="0"/>
        <v>657000</v>
      </c>
    </row>
    <row r="8" spans="2:6" x14ac:dyDescent="0.25">
      <c r="B8" s="7" t="s">
        <v>158</v>
      </c>
      <c r="C8" s="91">
        <v>1141100</v>
      </c>
      <c r="D8" s="16">
        <v>220000</v>
      </c>
      <c r="E8" s="21">
        <v>470000</v>
      </c>
      <c r="F8" s="28">
        <f t="shared" si="0"/>
        <v>610366.66666666663</v>
      </c>
    </row>
    <row r="9" spans="2:6" x14ac:dyDescent="0.25">
      <c r="B9" s="7" t="s">
        <v>149</v>
      </c>
      <c r="C9" s="91">
        <v>260862</v>
      </c>
      <c r="D9" s="16">
        <v>50000</v>
      </c>
      <c r="E9" s="21">
        <v>50000</v>
      </c>
      <c r="F9" s="28">
        <f t="shared" si="0"/>
        <v>120287.33333333333</v>
      </c>
    </row>
    <row r="10" spans="2:6" x14ac:dyDescent="0.25">
      <c r="B10" s="7" t="s">
        <v>150</v>
      </c>
      <c r="C10" s="91">
        <v>519017</v>
      </c>
      <c r="D10" s="16">
        <v>478569</v>
      </c>
      <c r="E10" s="21">
        <v>429500</v>
      </c>
      <c r="F10" s="28">
        <f t="shared" si="0"/>
        <v>475695.33333333331</v>
      </c>
    </row>
    <row r="11" spans="2:6" ht="15.75" thickBot="1" x14ac:dyDescent="0.3">
      <c r="B11" s="23" t="s">
        <v>152</v>
      </c>
      <c r="C11" s="129">
        <v>0</v>
      </c>
      <c r="D11" s="17">
        <v>0</v>
      </c>
      <c r="E11" s="129">
        <v>350000</v>
      </c>
      <c r="F11" s="105">
        <f t="shared" si="0"/>
        <v>116666.66666666667</v>
      </c>
    </row>
    <row r="12" spans="2:6" ht="15.75" thickBot="1" x14ac:dyDescent="0.3">
      <c r="B12" s="409" t="s">
        <v>52</v>
      </c>
      <c r="C12" s="411"/>
      <c r="D12" s="411"/>
      <c r="E12" s="410"/>
      <c r="F12" s="41">
        <f>SUM(F3:F11)</f>
        <v>11404055.333333334</v>
      </c>
    </row>
    <row r="14" spans="2:6" ht="15.75" thickBot="1" x14ac:dyDescent="0.3"/>
    <row r="15" spans="2:6" ht="15.75" thickBot="1" x14ac:dyDescent="0.3">
      <c r="B15" s="409" t="s">
        <v>45</v>
      </c>
      <c r="C15" s="411"/>
      <c r="D15" s="411"/>
      <c r="E15" s="410"/>
    </row>
    <row r="16" spans="2:6" ht="15.75" thickBot="1" x14ac:dyDescent="0.3">
      <c r="B16" s="13" t="s">
        <v>153</v>
      </c>
      <c r="C16" s="133" t="s">
        <v>1</v>
      </c>
      <c r="D16" s="10" t="s">
        <v>2</v>
      </c>
      <c r="E16" s="134" t="s">
        <v>3</v>
      </c>
    </row>
    <row r="17" spans="2:8" ht="15.75" thickBot="1" x14ac:dyDescent="0.3">
      <c r="B17" s="138" t="s">
        <v>144</v>
      </c>
      <c r="C17" s="144">
        <f>F3*'[2]Prorrateo Centros de costos'!$I$7</f>
        <v>32084.488688954279</v>
      </c>
      <c r="D17" s="144">
        <f>F3*'[2]Prorrateo Centros de costos'!$I$6</f>
        <v>266496.56771905289</v>
      </c>
      <c r="E17" s="141">
        <f>F3*'[2]Prorrateo Centros de costos'!$I$5</f>
        <v>80363.276925326179</v>
      </c>
      <c r="G17" s="409" t="s">
        <v>48</v>
      </c>
      <c r="H17" s="410"/>
    </row>
    <row r="18" spans="2:8" x14ac:dyDescent="0.25">
      <c r="B18" s="139" t="s">
        <v>145</v>
      </c>
      <c r="C18" s="145">
        <v>0</v>
      </c>
      <c r="D18" s="145">
        <v>0</v>
      </c>
      <c r="E18" s="142">
        <f>F4</f>
        <v>786571.66666666663</v>
      </c>
      <c r="G18" s="138" t="s">
        <v>1</v>
      </c>
      <c r="H18" s="18">
        <f>C26/F12</f>
        <v>1.9994559848757257E-2</v>
      </c>
    </row>
    <row r="19" spans="2:8" x14ac:dyDescent="0.25">
      <c r="B19" s="139" t="s">
        <v>146</v>
      </c>
      <c r="C19" s="145">
        <v>0</v>
      </c>
      <c r="D19" s="145">
        <f>F5</f>
        <v>7924390</v>
      </c>
      <c r="E19" s="142">
        <v>0</v>
      </c>
      <c r="G19" s="139" t="s">
        <v>2</v>
      </c>
      <c r="H19" s="47">
        <f>D26/F12</f>
        <v>0.86095130327212166</v>
      </c>
    </row>
    <row r="20" spans="2:8" ht="15.75" thickBot="1" x14ac:dyDescent="0.3">
      <c r="B20" s="139" t="s">
        <v>147</v>
      </c>
      <c r="C20" s="145">
        <f>F6*'[2]Prorrateo Centros de costos'!$I$7</f>
        <v>28290.427408254131</v>
      </c>
      <c r="D20" s="145">
        <f>F6*'[2]Prorrateo Centros de costos'!$I$6</f>
        <v>234982.76306333349</v>
      </c>
      <c r="E20" s="142">
        <f>F6*'[2]Prorrateo Centros de costos'!$I$5</f>
        <v>70860.142861745713</v>
      </c>
      <c r="G20" s="147" t="s">
        <v>3</v>
      </c>
      <c r="H20" s="48">
        <f>E26/F12</f>
        <v>0.11905413687912111</v>
      </c>
    </row>
    <row r="21" spans="2:8" ht="15.75" thickBot="1" x14ac:dyDescent="0.3">
      <c r="B21" s="139" t="s">
        <v>148</v>
      </c>
      <c r="C21" s="145">
        <f>F7*'[2]Prorrateo Centros de costos'!$I$7</f>
        <v>55626.92779496099</v>
      </c>
      <c r="D21" s="145">
        <f>F7*'[2]Prorrateo Centros de costos'!$I$6</f>
        <v>462042.12489807495</v>
      </c>
      <c r="E21" s="142">
        <f>F7*'[2]Prorrateo Centros de costos'!$I$5</f>
        <v>139330.94730696408</v>
      </c>
      <c r="G21" s="13" t="s">
        <v>52</v>
      </c>
      <c r="H21" s="46">
        <f>SUM(H18:H20)</f>
        <v>1</v>
      </c>
    </row>
    <row r="22" spans="2:8" x14ac:dyDescent="0.25">
      <c r="B22" s="139" t="s">
        <v>158</v>
      </c>
      <c r="C22" s="145">
        <f>F8*'[2]Prorrateo Centros de costos'!$I$7</f>
        <v>51678.57305192951</v>
      </c>
      <c r="D22" s="145">
        <f>F8*'[2]Prorrateo Centros de costos'!$I$6</f>
        <v>429246.74525665399</v>
      </c>
      <c r="E22" s="142">
        <f>F8*'[2]Prorrateo Centros de costos'!$I$5</f>
        <v>129441.34835808317</v>
      </c>
    </row>
    <row r="23" spans="2:8" x14ac:dyDescent="0.25">
      <c r="B23" s="139" t="s">
        <v>149</v>
      </c>
      <c r="C23" s="145">
        <f>F9*'[2]Prorrateo Centros de costos'!$I$7</f>
        <v>10184.497421585596</v>
      </c>
      <c r="D23" s="145">
        <f>F9*'[2]Prorrateo Centros de costos'!$I$6</f>
        <v>84593.325862490674</v>
      </c>
      <c r="E23" s="142">
        <f>F9*'[2]Prorrateo Centros de costos'!$I$5</f>
        <v>25509.510049257064</v>
      </c>
    </row>
    <row r="24" spans="2:8" x14ac:dyDescent="0.25">
      <c r="B24" s="139" t="s">
        <v>150</v>
      </c>
      <c r="C24" s="145">
        <f>F10*'[2]Prorrateo Centros de costos'!$I$7</f>
        <v>40276.209984373258</v>
      </c>
      <c r="D24" s="145">
        <f>F10*'[2]Prorrateo Centros de costos'!$I$6</f>
        <v>334537.72087889101</v>
      </c>
      <c r="E24" s="142">
        <f>F10*'[2]Prorrateo Centros de costos'!$I$5</f>
        <v>100881.40247006906</v>
      </c>
    </row>
    <row r="25" spans="2:8" ht="15.75" thickBot="1" x14ac:dyDescent="0.3">
      <c r="B25" s="140" t="s">
        <v>152</v>
      </c>
      <c r="C25" s="146">
        <f>F11*'[2]Prorrateo Centros de costos'!$I$7</f>
        <v>9877.9425308149912</v>
      </c>
      <c r="D25" s="146">
        <f>F11*'[2]Prorrateo Centros de costos'!$I$6</f>
        <v>82047.054142225388</v>
      </c>
      <c r="E25" s="143">
        <f>F11*'[2]Prorrateo Centros de costos'!$I$5</f>
        <v>24741.669993626296</v>
      </c>
    </row>
    <row r="26" spans="2:8" ht="15.75" thickBot="1" x14ac:dyDescent="0.3">
      <c r="B26" s="30" t="s">
        <v>52</v>
      </c>
      <c r="C26" s="152">
        <f>SUM(C17:C25)</f>
        <v>228019.06688087274</v>
      </c>
      <c r="D26" s="153">
        <f t="shared" ref="D26:E26" si="1">SUM(D17:D25)</f>
        <v>9818336.3018207233</v>
      </c>
      <c r="E26" s="154">
        <f t="shared" si="1"/>
        <v>1357699.9646317379</v>
      </c>
    </row>
  </sheetData>
  <mergeCells count="3">
    <mergeCell ref="B15:E15"/>
    <mergeCell ref="B12:E12"/>
    <mergeCell ref="G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Impuestos</vt:lpstr>
      <vt:lpstr>Servicios públicos</vt:lpstr>
      <vt:lpstr>Arriendos</vt:lpstr>
      <vt:lpstr>papeleria</vt:lpstr>
      <vt:lpstr>Mantenimiento</vt:lpstr>
      <vt:lpstr>Depreciación</vt:lpstr>
      <vt:lpstr>Sistematización</vt:lpstr>
      <vt:lpstr>Seguros</vt:lpstr>
      <vt:lpstr>Diversos</vt:lpstr>
      <vt:lpstr>Legales</vt:lpstr>
      <vt:lpstr>MOI</vt:lpstr>
      <vt:lpstr>Enero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2016-06-02T18:26:03Z</dcterms:created>
  <dcterms:modified xsi:type="dcterms:W3CDTF">2016-07-30T22:14:21Z</dcterms:modified>
</cp:coreProperties>
</file>