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os karen\Documentos\Proyecto Sotra\Sistema\"/>
    </mc:Choice>
  </mc:AlternateContent>
  <bookViews>
    <workbookView xWindow="0" yWindow="0" windowWidth="19560" windowHeight="8340" firstSheet="4" activeTab="8"/>
  </bookViews>
  <sheets>
    <sheet name="Matriz ABC" sheetId="1" r:id="rId1"/>
    <sheet name="Inductores Primarios" sheetId="2" r:id="rId2"/>
    <sheet name="Matriz ABC Act. a Productos" sheetId="3" r:id="rId3"/>
    <sheet name="Inductores Secundarios" sheetId="4" r:id="rId4"/>
    <sheet name="Buseta 8 puestos" sheetId="7" r:id="rId5"/>
    <sheet name="Buseta 15 puestos" sheetId="8" r:id="rId6"/>
    <sheet name="Buseta 19 puestos" sheetId="9" r:id="rId7"/>
    <sheet name="Taxi" sheetId="10" r:id="rId8"/>
    <sheet name="Camionetas" sheetId="11" r:id="rId9"/>
    <sheet name="Promedio" sheetId="12" r:id="rId10"/>
  </sheets>
  <externalReferences>
    <externalReference r:id="rId11"/>
    <externalReference r:id="rId12"/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7" l="1"/>
  <c r="K58" i="7"/>
  <c r="K57" i="7"/>
  <c r="K56" i="7"/>
  <c r="I59" i="7"/>
  <c r="I58" i="7"/>
  <c r="I57" i="7"/>
  <c r="I56" i="7"/>
  <c r="G59" i="7"/>
  <c r="G58" i="7"/>
  <c r="G57" i="7"/>
  <c r="G56" i="7"/>
  <c r="E59" i="7"/>
  <c r="E58" i="7"/>
  <c r="E56" i="7"/>
  <c r="C59" i="7"/>
  <c r="C58" i="7"/>
  <c r="C57" i="7"/>
  <c r="C56" i="7"/>
  <c r="C62" i="7"/>
  <c r="M55" i="7"/>
  <c r="M54" i="7"/>
  <c r="M53" i="7"/>
  <c r="I3" i="12"/>
  <c r="H11" i="12"/>
  <c r="F11" i="12"/>
  <c r="F8" i="12"/>
  <c r="E21" i="10"/>
  <c r="E9" i="10"/>
  <c r="K31" i="11"/>
  <c r="I31" i="11"/>
  <c r="G31" i="11"/>
  <c r="E31" i="11"/>
  <c r="K29" i="11"/>
  <c r="I29" i="11"/>
  <c r="G29" i="11"/>
  <c r="E29" i="11"/>
  <c r="C29" i="11"/>
  <c r="K18" i="11"/>
  <c r="I18" i="11"/>
  <c r="G18" i="11"/>
  <c r="E18" i="11"/>
  <c r="C18" i="11"/>
  <c r="K7" i="11"/>
  <c r="I7" i="11"/>
  <c r="G7" i="11"/>
  <c r="E7" i="11"/>
  <c r="C7" i="11"/>
  <c r="C31" i="11"/>
  <c r="C30" i="11"/>
  <c r="K19" i="10"/>
  <c r="I19" i="10"/>
  <c r="G19" i="10"/>
  <c r="E19" i="10"/>
  <c r="C19" i="10"/>
  <c r="K7" i="10"/>
  <c r="I7" i="10"/>
  <c r="G7" i="10"/>
  <c r="E7" i="10"/>
  <c r="C7" i="10"/>
  <c r="G9" i="10"/>
  <c r="I9" i="10"/>
  <c r="K9" i="10"/>
  <c r="C21" i="10"/>
  <c r="K69" i="9"/>
  <c r="K68" i="9"/>
  <c r="K66" i="9"/>
  <c r="I69" i="9"/>
  <c r="I68" i="9"/>
  <c r="I67" i="9"/>
  <c r="I66" i="9"/>
  <c r="G69" i="9"/>
  <c r="G68" i="9"/>
  <c r="G66" i="9"/>
  <c r="E69" i="9"/>
  <c r="E68" i="9"/>
  <c r="E66" i="9"/>
  <c r="C69" i="9"/>
  <c r="C68" i="9"/>
  <c r="C67" i="9"/>
  <c r="C66" i="9"/>
  <c r="K70" i="8"/>
  <c r="K69" i="8"/>
  <c r="K68" i="8"/>
  <c r="K67" i="8"/>
  <c r="I70" i="8"/>
  <c r="I69" i="8"/>
  <c r="I67" i="8"/>
  <c r="G70" i="8"/>
  <c r="G69" i="8"/>
  <c r="G68" i="8"/>
  <c r="G67" i="8"/>
  <c r="E70" i="8"/>
  <c r="E69" i="8"/>
  <c r="M69" i="8" s="1"/>
  <c r="E67" i="8"/>
  <c r="C70" i="8"/>
  <c r="M70" i="8" s="1"/>
  <c r="C69" i="8"/>
  <c r="C68" i="8"/>
  <c r="M68" i="8" s="1"/>
  <c r="C67" i="8"/>
  <c r="J12" i="4"/>
  <c r="J13" i="4"/>
  <c r="J14" i="4"/>
  <c r="J15" i="4"/>
  <c r="J16" i="4"/>
  <c r="J17" i="4"/>
  <c r="J18" i="4"/>
  <c r="J19" i="4"/>
  <c r="J11" i="4"/>
  <c r="M32" i="11"/>
  <c r="M31" i="11"/>
  <c r="I30" i="11"/>
  <c r="G30" i="11"/>
  <c r="M30" i="11"/>
  <c r="M29" i="11"/>
  <c r="M28" i="11"/>
  <c r="M27" i="11"/>
  <c r="M26" i="11"/>
  <c r="M67" i="9"/>
  <c r="M66" i="9"/>
  <c r="M65" i="9"/>
  <c r="M64" i="9"/>
  <c r="M63" i="9"/>
  <c r="M67" i="8"/>
  <c r="M66" i="8"/>
  <c r="M65" i="8"/>
  <c r="M64" i="8"/>
  <c r="M57" i="7" l="1"/>
  <c r="M56" i="7"/>
  <c r="M59" i="7"/>
  <c r="M58" i="7"/>
  <c r="M33" i="11"/>
  <c r="N33" i="11" s="1"/>
  <c r="M68" i="9"/>
  <c r="M69" i="9"/>
  <c r="M70" i="9" s="1"/>
  <c r="N70" i="9" s="1"/>
  <c r="E7" i="12" s="1"/>
  <c r="M71" i="8"/>
  <c r="N71" i="8" s="1"/>
  <c r="D7" i="12" s="1"/>
  <c r="K45" i="9"/>
  <c r="K44" i="9"/>
  <c r="K42" i="9"/>
  <c r="I45" i="9"/>
  <c r="I44" i="9"/>
  <c r="I43" i="9"/>
  <c r="I42" i="9"/>
  <c r="G45" i="9"/>
  <c r="G44" i="9"/>
  <c r="E43" i="9"/>
  <c r="G42" i="9"/>
  <c r="E45" i="9"/>
  <c r="E44" i="9"/>
  <c r="M44" i="9" s="1"/>
  <c r="E42" i="9"/>
  <c r="C45" i="9"/>
  <c r="C44" i="9"/>
  <c r="C43" i="9"/>
  <c r="C42" i="9"/>
  <c r="K58" i="8"/>
  <c r="K57" i="8"/>
  <c r="K56" i="8"/>
  <c r="K55" i="8"/>
  <c r="I58" i="8"/>
  <c r="I57" i="8"/>
  <c r="I55" i="8"/>
  <c r="G58" i="8"/>
  <c r="G57" i="8"/>
  <c r="G56" i="8"/>
  <c r="G55" i="8"/>
  <c r="E58" i="8"/>
  <c r="E57" i="8"/>
  <c r="E55" i="8"/>
  <c r="C58" i="8"/>
  <c r="C57" i="8"/>
  <c r="C56" i="8"/>
  <c r="C55" i="8"/>
  <c r="M41" i="9"/>
  <c r="M40" i="9"/>
  <c r="M39" i="9"/>
  <c r="M54" i="8"/>
  <c r="M53" i="8"/>
  <c r="M52" i="8"/>
  <c r="K46" i="7"/>
  <c r="K45" i="7"/>
  <c r="I46" i="7"/>
  <c r="I45" i="7"/>
  <c r="G46" i="7"/>
  <c r="G34" i="7"/>
  <c r="G45" i="7"/>
  <c r="E46" i="7"/>
  <c r="E45" i="7"/>
  <c r="C45" i="7"/>
  <c r="K44" i="7"/>
  <c r="I44" i="7"/>
  <c r="G44" i="7"/>
  <c r="C44" i="7"/>
  <c r="M44" i="7" s="1"/>
  <c r="K43" i="7"/>
  <c r="I43" i="7"/>
  <c r="G43" i="7"/>
  <c r="E43" i="7"/>
  <c r="E31" i="7"/>
  <c r="C43" i="7"/>
  <c r="C46" i="7"/>
  <c r="M45" i="7"/>
  <c r="M42" i="7"/>
  <c r="M41" i="7"/>
  <c r="M40" i="7"/>
  <c r="C25" i="4"/>
  <c r="C26" i="4"/>
  <c r="C27" i="4"/>
  <c r="C28" i="4"/>
  <c r="C29" i="4"/>
  <c r="C30" i="4"/>
  <c r="C31" i="4"/>
  <c r="C32" i="4"/>
  <c r="M56" i="8" l="1"/>
  <c r="M58" i="8"/>
  <c r="M60" i="7"/>
  <c r="N60" i="7" s="1"/>
  <c r="C9" i="12" s="1"/>
  <c r="M55" i="8"/>
  <c r="M57" i="8"/>
  <c r="M42" i="9"/>
  <c r="M43" i="9"/>
  <c r="M45" i="9"/>
  <c r="M43" i="7"/>
  <c r="M46" i="7"/>
  <c r="K20" i="11"/>
  <c r="K9" i="11"/>
  <c r="I20" i="11"/>
  <c r="I9" i="11"/>
  <c r="G20" i="11"/>
  <c r="G9" i="11"/>
  <c r="E20" i="11"/>
  <c r="E9" i="11"/>
  <c r="C20" i="11"/>
  <c r="C9" i="11"/>
  <c r="I19" i="11"/>
  <c r="C19" i="11"/>
  <c r="I8" i="11"/>
  <c r="C8" i="11"/>
  <c r="C20" i="10"/>
  <c r="K21" i="10"/>
  <c r="I21" i="10"/>
  <c r="G21" i="10"/>
  <c r="C9" i="10"/>
  <c r="K20" i="10"/>
  <c r="I20" i="10"/>
  <c r="K8" i="10"/>
  <c r="I8" i="10"/>
  <c r="K81" i="7"/>
  <c r="K69" i="7"/>
  <c r="I81" i="7"/>
  <c r="I69" i="7"/>
  <c r="G81" i="7"/>
  <c r="G69" i="7"/>
  <c r="K31" i="7"/>
  <c r="I31" i="7"/>
  <c r="G31" i="7"/>
  <c r="K84" i="7"/>
  <c r="K72" i="7"/>
  <c r="K34" i="7"/>
  <c r="I84" i="7"/>
  <c r="I72" i="7"/>
  <c r="I34" i="7"/>
  <c r="G84" i="7"/>
  <c r="G72" i="7"/>
  <c r="K83" i="7"/>
  <c r="K71" i="7"/>
  <c r="K33" i="7"/>
  <c r="I83" i="7"/>
  <c r="I71" i="7"/>
  <c r="I33" i="7"/>
  <c r="G83" i="7"/>
  <c r="G71" i="7"/>
  <c r="G33" i="7"/>
  <c r="K19" i="7"/>
  <c r="I19" i="7"/>
  <c r="G19" i="7"/>
  <c r="K22" i="7"/>
  <c r="I22" i="7"/>
  <c r="G22" i="7"/>
  <c r="K21" i="7"/>
  <c r="I21" i="7"/>
  <c r="G21" i="7"/>
  <c r="K70" i="7"/>
  <c r="I70" i="7"/>
  <c r="G70" i="7"/>
  <c r="K32" i="7"/>
  <c r="I32" i="7"/>
  <c r="G32" i="7"/>
  <c r="K20" i="7"/>
  <c r="I20" i="7"/>
  <c r="G20" i="7"/>
  <c r="K10" i="7"/>
  <c r="I10" i="7"/>
  <c r="G10" i="7"/>
  <c r="I9" i="7"/>
  <c r="K9" i="7"/>
  <c r="G9" i="7"/>
  <c r="I8" i="7"/>
  <c r="G8" i="7"/>
  <c r="K7" i="7"/>
  <c r="C7" i="7"/>
  <c r="I7" i="7"/>
  <c r="G7" i="7"/>
  <c r="C20" i="8"/>
  <c r="C8" i="10"/>
  <c r="K57" i="9"/>
  <c r="K56" i="9"/>
  <c r="K54" i="9"/>
  <c r="K22" i="9"/>
  <c r="K21" i="9"/>
  <c r="K19" i="9"/>
  <c r="K10" i="9"/>
  <c r="K9" i="9"/>
  <c r="K7" i="9"/>
  <c r="I7" i="9"/>
  <c r="I8" i="9"/>
  <c r="I9" i="9"/>
  <c r="I10" i="9"/>
  <c r="I19" i="9"/>
  <c r="I20" i="9"/>
  <c r="I21" i="9"/>
  <c r="I22" i="9"/>
  <c r="I30" i="9"/>
  <c r="I31" i="9"/>
  <c r="I32" i="9"/>
  <c r="I33" i="9"/>
  <c r="I54" i="9"/>
  <c r="I55" i="9"/>
  <c r="I56" i="9"/>
  <c r="I57" i="9"/>
  <c r="G57" i="9"/>
  <c r="G56" i="9"/>
  <c r="G54" i="9"/>
  <c r="G22" i="9"/>
  <c r="G21" i="9"/>
  <c r="G19" i="9"/>
  <c r="G10" i="9"/>
  <c r="G9" i="9"/>
  <c r="G7" i="9"/>
  <c r="E7" i="9"/>
  <c r="E8" i="9"/>
  <c r="E9" i="9"/>
  <c r="E10" i="9"/>
  <c r="E19" i="9"/>
  <c r="E20" i="9"/>
  <c r="E21" i="9"/>
  <c r="E22" i="9"/>
  <c r="E54" i="9"/>
  <c r="E55" i="9"/>
  <c r="E56" i="9"/>
  <c r="E57" i="9"/>
  <c r="E30" i="9"/>
  <c r="E31" i="9"/>
  <c r="E32" i="9"/>
  <c r="E33" i="9"/>
  <c r="C33" i="9"/>
  <c r="C32" i="9"/>
  <c r="C31" i="9"/>
  <c r="C30" i="9"/>
  <c r="C57" i="9"/>
  <c r="C56" i="9"/>
  <c r="C55" i="9"/>
  <c r="C54" i="9"/>
  <c r="C22" i="9"/>
  <c r="C21" i="9"/>
  <c r="C20" i="9"/>
  <c r="C19" i="9"/>
  <c r="C10" i="9"/>
  <c r="C9" i="9"/>
  <c r="C8" i="9"/>
  <c r="C7" i="9"/>
  <c r="K31" i="8"/>
  <c r="K7" i="8"/>
  <c r="K8" i="8"/>
  <c r="K9" i="8"/>
  <c r="K10" i="8"/>
  <c r="K19" i="8"/>
  <c r="K20" i="8"/>
  <c r="K21" i="8"/>
  <c r="K22" i="8"/>
  <c r="K32" i="8"/>
  <c r="K33" i="8"/>
  <c r="K34" i="8"/>
  <c r="K43" i="8"/>
  <c r="K44" i="8"/>
  <c r="K45" i="8"/>
  <c r="K46" i="8"/>
  <c r="I46" i="8"/>
  <c r="I45" i="8"/>
  <c r="I43" i="8"/>
  <c r="I34" i="8"/>
  <c r="I33" i="8"/>
  <c r="I31" i="8"/>
  <c r="I22" i="8"/>
  <c r="I21" i="8"/>
  <c r="I19" i="8"/>
  <c r="I10" i="8"/>
  <c r="I9" i="8"/>
  <c r="I7" i="8"/>
  <c r="G7" i="8"/>
  <c r="G8" i="8"/>
  <c r="G9" i="8"/>
  <c r="G10" i="8"/>
  <c r="G19" i="8"/>
  <c r="G20" i="8"/>
  <c r="G21" i="8"/>
  <c r="G22" i="8"/>
  <c r="G32" i="8"/>
  <c r="G31" i="8"/>
  <c r="G33" i="8"/>
  <c r="G34" i="8"/>
  <c r="G43" i="8"/>
  <c r="G44" i="8"/>
  <c r="G45" i="8"/>
  <c r="G46" i="8"/>
  <c r="E46" i="8"/>
  <c r="E34" i="8"/>
  <c r="E33" i="8"/>
  <c r="E31" i="8"/>
  <c r="E22" i="8"/>
  <c r="E21" i="8"/>
  <c r="E19" i="8"/>
  <c r="E7" i="8"/>
  <c r="E9" i="8"/>
  <c r="E10" i="8"/>
  <c r="E45" i="8"/>
  <c r="E43" i="8"/>
  <c r="C46" i="8"/>
  <c r="C45" i="8"/>
  <c r="C44" i="8"/>
  <c r="C43" i="8"/>
  <c r="C34" i="8"/>
  <c r="C33" i="8"/>
  <c r="C32" i="8"/>
  <c r="C31" i="8"/>
  <c r="C22" i="8"/>
  <c r="C21" i="8"/>
  <c r="C19" i="8"/>
  <c r="C10" i="8"/>
  <c r="C9" i="8"/>
  <c r="C8" i="8"/>
  <c r="C7" i="8"/>
  <c r="E84" i="7"/>
  <c r="E83" i="7"/>
  <c r="E81" i="7"/>
  <c r="E72" i="7"/>
  <c r="E71" i="7"/>
  <c r="E69" i="7"/>
  <c r="E34" i="7"/>
  <c r="E33" i="7"/>
  <c r="E22" i="7"/>
  <c r="E21" i="7"/>
  <c r="E19" i="7"/>
  <c r="C84" i="7"/>
  <c r="C81" i="7"/>
  <c r="C83" i="7"/>
  <c r="C82" i="7"/>
  <c r="C72" i="7"/>
  <c r="C71" i="7"/>
  <c r="C70" i="7"/>
  <c r="C69" i="7"/>
  <c r="C33" i="7"/>
  <c r="C34" i="7"/>
  <c r="C32" i="7"/>
  <c r="C31" i="7"/>
  <c r="C19" i="7"/>
  <c r="C22" i="7"/>
  <c r="C21" i="7"/>
  <c r="C20" i="7"/>
  <c r="C10" i="7"/>
  <c r="C9" i="7"/>
  <c r="C8" i="7"/>
  <c r="E9" i="7"/>
  <c r="E7" i="7"/>
  <c r="E10" i="7"/>
  <c r="M59" i="8" l="1"/>
  <c r="N59" i="8" s="1"/>
  <c r="D6" i="12" s="1"/>
  <c r="M46" i="9"/>
  <c r="N46" i="9" s="1"/>
  <c r="E6" i="12" s="1"/>
  <c r="M47" i="7"/>
  <c r="N47" i="7" s="1"/>
  <c r="C6" i="12" s="1"/>
  <c r="I82" i="7"/>
  <c r="G82" i="7"/>
  <c r="K32" i="9"/>
  <c r="G32" i="9"/>
  <c r="M16" i="8"/>
  <c r="M30" i="8"/>
  <c r="H6" i="12" l="1"/>
  <c r="K6" i="12" s="1"/>
  <c r="K33" i="9"/>
  <c r="G33" i="9"/>
  <c r="K30" i="9"/>
  <c r="G30" i="9"/>
  <c r="M28" i="8" l="1"/>
  <c r="M4" i="8"/>
  <c r="M46" i="8" l="1"/>
  <c r="M45" i="8"/>
  <c r="M44" i="8"/>
  <c r="M43" i="8"/>
  <c r="M42" i="8"/>
  <c r="M41" i="8"/>
  <c r="M40" i="8"/>
  <c r="M33" i="9"/>
  <c r="M32" i="9"/>
  <c r="M31" i="9"/>
  <c r="M30" i="9"/>
  <c r="M29" i="9"/>
  <c r="M28" i="9"/>
  <c r="M27" i="9"/>
  <c r="M34" i="9" l="1"/>
  <c r="N34" i="9" s="1"/>
  <c r="E5" i="12" s="1"/>
  <c r="M47" i="8"/>
  <c r="N47" i="8" s="1"/>
  <c r="D5" i="12" s="1"/>
  <c r="M21" i="11"/>
  <c r="M20" i="11"/>
  <c r="M19" i="11"/>
  <c r="M18" i="11"/>
  <c r="M17" i="11"/>
  <c r="M16" i="11"/>
  <c r="M15" i="11"/>
  <c r="M10" i="11"/>
  <c r="M9" i="11"/>
  <c r="M8" i="11"/>
  <c r="M7" i="11"/>
  <c r="M6" i="11"/>
  <c r="M5" i="11"/>
  <c r="M4" i="11"/>
  <c r="M22" i="10"/>
  <c r="M21" i="10"/>
  <c r="M20" i="10"/>
  <c r="M19" i="10"/>
  <c r="M18" i="10"/>
  <c r="M17" i="10"/>
  <c r="M16" i="10"/>
  <c r="M10" i="10"/>
  <c r="M9" i="10"/>
  <c r="M8" i="10"/>
  <c r="M7" i="10"/>
  <c r="M6" i="10"/>
  <c r="M5" i="10"/>
  <c r="M4" i="10"/>
  <c r="M57" i="9"/>
  <c r="M56" i="9"/>
  <c r="M55" i="9"/>
  <c r="M54" i="9"/>
  <c r="M53" i="9"/>
  <c r="M52" i="9"/>
  <c r="M51" i="9"/>
  <c r="M22" i="9"/>
  <c r="M21" i="9"/>
  <c r="M20" i="9"/>
  <c r="M19" i="9"/>
  <c r="M18" i="9"/>
  <c r="M17" i="9"/>
  <c r="M16" i="9"/>
  <c r="M10" i="9"/>
  <c r="M9" i="9"/>
  <c r="M8" i="9"/>
  <c r="M7" i="9"/>
  <c r="M6" i="9"/>
  <c r="M5" i="9"/>
  <c r="M4" i="9"/>
  <c r="M34" i="8"/>
  <c r="M33" i="8"/>
  <c r="M32" i="8"/>
  <c r="M31" i="8"/>
  <c r="M29" i="8"/>
  <c r="M22" i="8"/>
  <c r="M21" i="8"/>
  <c r="M20" i="8"/>
  <c r="M19" i="8"/>
  <c r="M18" i="8"/>
  <c r="M17" i="8"/>
  <c r="M10" i="8"/>
  <c r="M9" i="8"/>
  <c r="M8" i="8"/>
  <c r="M7" i="8"/>
  <c r="M6" i="8"/>
  <c r="M5" i="8"/>
  <c r="M84" i="7"/>
  <c r="M83" i="7"/>
  <c r="M82" i="7"/>
  <c r="M81" i="7"/>
  <c r="M80" i="7"/>
  <c r="M79" i="7"/>
  <c r="M78" i="7"/>
  <c r="M72" i="7"/>
  <c r="M71" i="7"/>
  <c r="M70" i="7"/>
  <c r="M69" i="7"/>
  <c r="M68" i="7"/>
  <c r="M67" i="7"/>
  <c r="M66" i="7"/>
  <c r="M34" i="7"/>
  <c r="M33" i="7"/>
  <c r="M32" i="7"/>
  <c r="M31" i="7"/>
  <c r="M30" i="7"/>
  <c r="M29" i="7"/>
  <c r="M28" i="7"/>
  <c r="M22" i="7"/>
  <c r="M21" i="7"/>
  <c r="M20" i="7"/>
  <c r="M19" i="7"/>
  <c r="M18" i="7"/>
  <c r="M17" i="7"/>
  <c r="M16" i="7"/>
  <c r="M10" i="7"/>
  <c r="M9" i="7"/>
  <c r="M8" i="7"/>
  <c r="M7" i="7"/>
  <c r="M6" i="7"/>
  <c r="M5" i="7"/>
  <c r="M4" i="7"/>
  <c r="M11" i="11" l="1"/>
  <c r="N11" i="11" s="1"/>
  <c r="M23" i="10"/>
  <c r="N23" i="10" s="1"/>
  <c r="G11" i="12" s="1"/>
  <c r="M11" i="10"/>
  <c r="N11" i="10" s="1"/>
  <c r="G10" i="12" s="1"/>
  <c r="H10" i="12" s="1"/>
  <c r="M22" i="11"/>
  <c r="N22" i="11" s="1"/>
  <c r="F7" i="12" s="1"/>
  <c r="M85" i="7"/>
  <c r="N85" i="7" s="1"/>
  <c r="C8" i="12" s="1"/>
  <c r="H8" i="12" s="1"/>
  <c r="M35" i="7"/>
  <c r="N35" i="7" s="1"/>
  <c r="C5" i="12" s="1"/>
  <c r="H5" i="12" s="1"/>
  <c r="M11" i="7"/>
  <c r="N11" i="7" s="1"/>
  <c r="C3" i="12" s="1"/>
  <c r="M23" i="7"/>
  <c r="N23" i="7" s="1"/>
  <c r="C4" i="12" s="1"/>
  <c r="M73" i="7"/>
  <c r="N73" i="7" s="1"/>
  <c r="C7" i="12" s="1"/>
  <c r="H7" i="12" s="1"/>
  <c r="M35" i="8"/>
  <c r="N35" i="8" s="1"/>
  <c r="D9" i="12" s="1"/>
  <c r="M23" i="8"/>
  <c r="N23" i="8" s="1"/>
  <c r="D4" i="12" s="1"/>
  <c r="M11" i="8"/>
  <c r="N11" i="8" s="1"/>
  <c r="D3" i="12" s="1"/>
  <c r="M23" i="9"/>
  <c r="N23" i="9" s="1"/>
  <c r="E4" i="12" s="1"/>
  <c r="M58" i="9"/>
  <c r="N58" i="9" s="1"/>
  <c r="E9" i="12" s="1"/>
  <c r="M11" i="9"/>
  <c r="N11" i="9" s="1"/>
  <c r="E3" i="12" s="1"/>
  <c r="H9" i="12" l="1"/>
  <c r="H4" i="12"/>
  <c r="H3" i="12"/>
  <c r="F11" i="4"/>
  <c r="G11" i="4" s="1"/>
  <c r="K11" i="4" s="1"/>
  <c r="F12" i="4"/>
  <c r="G12" i="4" s="1"/>
  <c r="K12" i="4" s="1"/>
  <c r="F13" i="4"/>
  <c r="G13" i="4" s="1"/>
  <c r="K13" i="4" s="1"/>
  <c r="F14" i="4"/>
  <c r="G14" i="4" s="1"/>
  <c r="K14" i="4" s="1"/>
  <c r="F15" i="4"/>
  <c r="G15" i="4" s="1"/>
  <c r="K15" i="4" s="1"/>
  <c r="F16" i="4"/>
  <c r="G16" i="4" s="1"/>
  <c r="K16" i="4" s="1"/>
  <c r="F17" i="4"/>
  <c r="G17" i="4" s="1"/>
  <c r="K17" i="4" s="1"/>
  <c r="F18" i="4"/>
  <c r="G18" i="4" s="1"/>
  <c r="K18" i="4" s="1"/>
  <c r="F19" i="4"/>
  <c r="G19" i="4" s="1"/>
  <c r="K19" i="4" s="1"/>
  <c r="L19" i="4" l="1"/>
  <c r="L18" i="4"/>
  <c r="L17" i="4"/>
  <c r="L16" i="4"/>
  <c r="L15" i="4"/>
  <c r="L14" i="4"/>
  <c r="L13" i="4"/>
  <c r="L12" i="4"/>
  <c r="L11" i="4"/>
  <c r="C24" i="4"/>
  <c r="H33" i="1"/>
  <c r="J33" i="1"/>
  <c r="L33" i="1"/>
  <c r="N33" i="1"/>
  <c r="F32" i="1"/>
  <c r="F33" i="1"/>
  <c r="F34" i="1"/>
  <c r="F35" i="1"/>
  <c r="F36" i="1"/>
  <c r="F37" i="1"/>
  <c r="F38" i="1"/>
  <c r="F39" i="1"/>
  <c r="F40" i="1"/>
  <c r="F41" i="1"/>
  <c r="I7" i="3" l="1"/>
  <c r="I5" i="3"/>
  <c r="I6" i="3"/>
  <c r="I8" i="3"/>
  <c r="K7" i="3"/>
  <c r="K5" i="3"/>
  <c r="K6" i="3"/>
  <c r="K8" i="3"/>
  <c r="M7" i="3"/>
  <c r="M5" i="3"/>
  <c r="M6" i="3"/>
  <c r="M8" i="3"/>
  <c r="O7" i="3"/>
  <c r="O5" i="3"/>
  <c r="O6" i="3"/>
  <c r="O8" i="3"/>
  <c r="Q7" i="3"/>
  <c r="Q5" i="3"/>
  <c r="Q6" i="3"/>
  <c r="Q8" i="3"/>
  <c r="S7" i="3"/>
  <c r="S5" i="3"/>
  <c r="S8" i="3"/>
  <c r="S6" i="3"/>
  <c r="U7" i="3"/>
  <c r="U5" i="3"/>
  <c r="U6" i="3"/>
  <c r="U8" i="3"/>
  <c r="L20" i="4"/>
  <c r="D6" i="3" s="1"/>
  <c r="E7" i="3"/>
  <c r="E5" i="3"/>
  <c r="E6" i="3"/>
  <c r="E8" i="3"/>
  <c r="G6" i="3"/>
  <c r="G8" i="3"/>
  <c r="G7" i="3"/>
  <c r="G5" i="3"/>
  <c r="C33" i="4"/>
  <c r="D41" i="1"/>
  <c r="D33" i="1"/>
  <c r="D34" i="1"/>
  <c r="D35" i="1"/>
  <c r="D36" i="1"/>
  <c r="D37" i="1"/>
  <c r="D38" i="1"/>
  <c r="D39" i="1"/>
  <c r="D40" i="1"/>
  <c r="D32" i="1"/>
  <c r="B41" i="1"/>
  <c r="B33" i="1"/>
  <c r="B34" i="1"/>
  <c r="B35" i="1"/>
  <c r="B36" i="1"/>
  <c r="B37" i="1"/>
  <c r="B38" i="1"/>
  <c r="B39" i="1"/>
  <c r="B40" i="1"/>
  <c r="B32" i="1"/>
  <c r="D8" i="3" l="1"/>
  <c r="D5" i="3"/>
  <c r="D27" i="4"/>
  <c r="D7" i="3"/>
  <c r="D31" i="4"/>
  <c r="D29" i="4"/>
  <c r="D25" i="4"/>
  <c r="D32" i="4"/>
  <c r="D30" i="4"/>
  <c r="D28" i="4"/>
  <c r="D26" i="4"/>
  <c r="D24" i="4"/>
  <c r="N39" i="1"/>
  <c r="J39" i="1"/>
  <c r="H39" i="1"/>
  <c r="L39" i="1"/>
  <c r="N37" i="1"/>
  <c r="J37" i="1"/>
  <c r="H37" i="1"/>
  <c r="L37" i="1"/>
  <c r="N35" i="1"/>
  <c r="J35" i="1"/>
  <c r="L35" i="1"/>
  <c r="H35" i="1"/>
  <c r="L40" i="1"/>
  <c r="N40" i="1"/>
  <c r="J40" i="1"/>
  <c r="H40" i="1"/>
  <c r="L38" i="1"/>
  <c r="N38" i="1"/>
  <c r="J38" i="1"/>
  <c r="H38" i="1"/>
  <c r="L36" i="1"/>
  <c r="N36" i="1"/>
  <c r="J36" i="1"/>
  <c r="H36" i="1"/>
  <c r="H34" i="1"/>
  <c r="L34" i="1"/>
  <c r="N34" i="1"/>
  <c r="J34" i="1"/>
  <c r="N41" i="1"/>
  <c r="J41" i="1"/>
  <c r="H41" i="1"/>
  <c r="L41" i="1"/>
  <c r="H32" i="1"/>
  <c r="N32" i="1"/>
  <c r="J32" i="1"/>
  <c r="L32" i="1"/>
  <c r="D33" i="4" l="1"/>
  <c r="C19" i="2"/>
  <c r="F73" i="1" l="1"/>
  <c r="F74" i="1"/>
  <c r="F75" i="1"/>
  <c r="F76" i="1"/>
  <c r="F77" i="1"/>
  <c r="F78" i="1"/>
  <c r="F79" i="1"/>
  <c r="F80" i="1"/>
  <c r="F81" i="1"/>
  <c r="F82" i="1"/>
  <c r="F83" i="1"/>
  <c r="F84" i="1"/>
  <c r="F7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4" i="1"/>
  <c r="D73" i="1" l="1"/>
  <c r="D74" i="1"/>
  <c r="D75" i="1"/>
  <c r="D76" i="1"/>
  <c r="D77" i="1"/>
  <c r="D78" i="1"/>
  <c r="D79" i="1"/>
  <c r="D80" i="1"/>
  <c r="D81" i="1"/>
  <c r="D82" i="1"/>
  <c r="D83" i="1"/>
  <c r="D84" i="1"/>
  <c r="D72" i="1"/>
  <c r="B62" i="1"/>
  <c r="B63" i="1"/>
  <c r="B64" i="1"/>
  <c r="B65" i="1"/>
  <c r="B66" i="1"/>
  <c r="B67" i="1"/>
  <c r="B68" i="1"/>
  <c r="B69" i="1"/>
  <c r="B70" i="1"/>
  <c r="B73" i="1"/>
  <c r="B74" i="1"/>
  <c r="B75" i="1"/>
  <c r="B76" i="1"/>
  <c r="B77" i="1"/>
  <c r="B78" i="1"/>
  <c r="B79" i="1"/>
  <c r="B80" i="1"/>
  <c r="B81" i="1"/>
  <c r="B82" i="1"/>
  <c r="B83" i="1"/>
  <c r="B84" i="1"/>
  <c r="B72" i="1"/>
  <c r="D63" i="1"/>
  <c r="D64" i="1"/>
  <c r="D65" i="1"/>
  <c r="D66" i="1"/>
  <c r="D67" i="1"/>
  <c r="D68" i="1"/>
  <c r="D69" i="1"/>
  <c r="D70" i="1"/>
  <c r="D6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42" i="1"/>
  <c r="D51" i="1" l="1"/>
  <c r="D52" i="1"/>
  <c r="D53" i="1"/>
  <c r="D54" i="1"/>
  <c r="D58" i="1"/>
  <c r="D59" i="1"/>
  <c r="D60" i="1"/>
  <c r="D61" i="1"/>
  <c r="D31" i="1"/>
  <c r="D30" i="1"/>
  <c r="B31" i="1"/>
  <c r="B30" i="1"/>
  <c r="D29" i="1"/>
  <c r="B26" i="1"/>
  <c r="B27" i="1"/>
  <c r="B28" i="1"/>
  <c r="B29" i="1"/>
  <c r="B25" i="1"/>
  <c r="D23" i="1"/>
  <c r="D24" i="1"/>
  <c r="B17" i="1" l="1"/>
  <c r="B16" i="1"/>
  <c r="D13" i="1"/>
  <c r="D14" i="1"/>
  <c r="D15" i="1"/>
  <c r="B13" i="1"/>
  <c r="B14" i="1"/>
  <c r="L12" i="1" l="1"/>
  <c r="N12" i="1"/>
  <c r="J12" i="1"/>
  <c r="D43" i="1"/>
  <c r="D44" i="1"/>
  <c r="D45" i="1"/>
  <c r="D46" i="1"/>
  <c r="D47" i="1"/>
  <c r="D48" i="1"/>
  <c r="D49" i="1"/>
  <c r="D50" i="1"/>
  <c r="D42" i="1"/>
  <c r="D57" i="1"/>
  <c r="D55" i="1"/>
  <c r="D17" i="1"/>
  <c r="D6" i="1"/>
  <c r="D7" i="1"/>
  <c r="D5" i="1"/>
  <c r="B7" i="1" l="1"/>
  <c r="D56" i="1" l="1"/>
  <c r="D25" i="1" l="1"/>
  <c r="D26" i="1" l="1"/>
  <c r="D28" i="1"/>
  <c r="D27" i="1"/>
  <c r="D16" i="1" l="1"/>
  <c r="B6" i="1" l="1"/>
  <c r="B5" i="1" l="1"/>
  <c r="H29" i="1" l="1"/>
  <c r="J29" i="1"/>
  <c r="L29" i="1"/>
  <c r="N29" i="1"/>
  <c r="N24" i="1" l="1"/>
  <c r="H24" i="1"/>
  <c r="J24" i="1"/>
  <c r="L24" i="1"/>
  <c r="L23" i="1" l="1"/>
  <c r="N23" i="1"/>
  <c r="H23" i="1"/>
  <c r="J23" i="1"/>
  <c r="H7" i="1" l="1"/>
  <c r="N7" i="1" l="1"/>
  <c r="J7" i="1"/>
  <c r="L7" i="1"/>
  <c r="O9" i="2" l="1"/>
  <c r="H16" i="1" l="1"/>
  <c r="L65" i="1"/>
  <c r="N10" i="1"/>
  <c r="N13" i="1"/>
  <c r="N14" i="1"/>
  <c r="N15" i="1"/>
  <c r="N16" i="1"/>
  <c r="N17" i="1"/>
  <c r="N25" i="1"/>
  <c r="N26" i="1"/>
  <c r="N27" i="1"/>
  <c r="N28" i="1"/>
  <c r="N30" i="1"/>
  <c r="N3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L10" i="1"/>
  <c r="L11" i="1"/>
  <c r="L13" i="1"/>
  <c r="L14" i="1"/>
  <c r="L15" i="1"/>
  <c r="L16" i="1"/>
  <c r="L17" i="1"/>
  <c r="L18" i="1"/>
  <c r="L25" i="1"/>
  <c r="L26" i="1"/>
  <c r="L27" i="1"/>
  <c r="L28" i="1"/>
  <c r="L30" i="1"/>
  <c r="L3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6" i="1"/>
  <c r="L67" i="1"/>
  <c r="L68" i="1"/>
  <c r="L69" i="1"/>
  <c r="L70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J10" i="1"/>
  <c r="J13" i="1"/>
  <c r="J14" i="1"/>
  <c r="J15" i="1"/>
  <c r="J17" i="1"/>
  <c r="J18" i="1"/>
  <c r="J25" i="1"/>
  <c r="J26" i="1"/>
  <c r="J27" i="1"/>
  <c r="J28" i="1"/>
  <c r="J30" i="1"/>
  <c r="J3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H11" i="1"/>
  <c r="H13" i="1"/>
  <c r="H14" i="1"/>
  <c r="H15" i="1"/>
  <c r="H17" i="1"/>
  <c r="H18" i="1"/>
  <c r="H25" i="1"/>
  <c r="H26" i="1"/>
  <c r="H27" i="1"/>
  <c r="H28" i="1"/>
  <c r="H30" i="1"/>
  <c r="H3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J16" i="1" l="1"/>
  <c r="H5" i="1"/>
  <c r="J5" i="1"/>
  <c r="L5" i="1"/>
  <c r="N5" i="1"/>
  <c r="H6" i="1"/>
  <c r="J6" i="1"/>
  <c r="L6" i="1"/>
  <c r="N6" i="1"/>
  <c r="G23" i="2"/>
  <c r="F23" i="2"/>
  <c r="E23" i="2"/>
  <c r="O5" i="2"/>
  <c r="O10" i="2" s="1"/>
  <c r="N13" i="2" s="1"/>
  <c r="G8" i="2"/>
  <c r="F8" i="2"/>
  <c r="E8" i="2"/>
  <c r="H23" i="2" l="1"/>
  <c r="H8" i="2"/>
  <c r="D12" i="1" l="1"/>
  <c r="H12" i="1" s="1"/>
  <c r="D11" i="1"/>
  <c r="C13" i="2"/>
  <c r="C9" i="2"/>
  <c r="C27" i="2"/>
  <c r="C23" i="2"/>
  <c r="D8" i="1" l="1"/>
  <c r="C5" i="2"/>
  <c r="J11" i="1"/>
  <c r="N11" i="1"/>
  <c r="B12" i="1"/>
  <c r="D9" i="1"/>
  <c r="B9" i="1" l="1"/>
  <c r="J9" i="1"/>
  <c r="N9" i="1"/>
  <c r="L9" i="1"/>
  <c r="H9" i="1"/>
  <c r="B8" i="1"/>
  <c r="N8" i="1"/>
  <c r="L8" i="1"/>
  <c r="H8" i="1"/>
  <c r="J8" i="1"/>
  <c r="D4" i="1"/>
  <c r="H4" i="1" l="1"/>
  <c r="N4" i="1"/>
  <c r="J4" i="1"/>
  <c r="L4" i="1"/>
  <c r="B11" i="1"/>
  <c r="B24" i="1" l="1"/>
  <c r="B23" i="1" l="1"/>
  <c r="D21" i="1"/>
  <c r="D19" i="1"/>
  <c r="D22" i="1"/>
  <c r="D20" i="1"/>
  <c r="H20" i="1" l="1"/>
  <c r="N20" i="1"/>
  <c r="L20" i="1"/>
  <c r="J20" i="1"/>
  <c r="N21" i="1"/>
  <c r="L21" i="1"/>
  <c r="J21" i="1"/>
  <c r="H21" i="1"/>
  <c r="H22" i="1"/>
  <c r="N22" i="1"/>
  <c r="L22" i="1"/>
  <c r="J22" i="1"/>
  <c r="N19" i="1"/>
  <c r="L19" i="1"/>
  <c r="J19" i="1"/>
  <c r="H19" i="1"/>
  <c r="B7" i="3" l="1"/>
  <c r="K85" i="1"/>
  <c r="B6" i="3"/>
  <c r="I85" i="1"/>
  <c r="N6" i="3" l="1"/>
  <c r="P6" i="3"/>
  <c r="R6" i="3"/>
  <c r="T6" i="3"/>
  <c r="V6" i="3"/>
  <c r="L6" i="3"/>
  <c r="H6" i="3"/>
  <c r="J6" i="3"/>
  <c r="F6" i="3"/>
  <c r="N7" i="3"/>
  <c r="P7" i="3"/>
  <c r="R7" i="3"/>
  <c r="T7" i="3"/>
  <c r="V7" i="3"/>
  <c r="J7" i="3"/>
  <c r="H7" i="3"/>
  <c r="L7" i="3"/>
  <c r="F7" i="3"/>
  <c r="D10" i="1" l="1"/>
  <c r="H10" i="1" s="1"/>
  <c r="B5" i="3" l="1"/>
  <c r="G85" i="1"/>
  <c r="B10" i="1"/>
  <c r="N5" i="3" l="1"/>
  <c r="P5" i="3"/>
  <c r="R5" i="3"/>
  <c r="T5" i="3"/>
  <c r="V5" i="3"/>
  <c r="L5" i="3"/>
  <c r="F5" i="3"/>
  <c r="H5" i="3"/>
  <c r="J5" i="3"/>
  <c r="D18" i="1" l="1"/>
  <c r="N18" i="1" s="1"/>
  <c r="B8" i="3" l="1"/>
  <c r="M85" i="1"/>
  <c r="N8" i="3" l="1"/>
  <c r="M9" i="3" s="1"/>
  <c r="N11" i="3" s="1"/>
  <c r="I10" i="12" s="1"/>
  <c r="K10" i="12" s="1"/>
  <c r="P8" i="3"/>
  <c r="O9" i="3" s="1"/>
  <c r="P11" i="3" s="1"/>
  <c r="I8" i="12" s="1"/>
  <c r="K8" i="12" s="1"/>
  <c r="R8" i="3"/>
  <c r="Q9" i="3" s="1"/>
  <c r="R11" i="3" s="1"/>
  <c r="I6" i="12" s="1"/>
  <c r="T8" i="3"/>
  <c r="S9" i="3" s="1"/>
  <c r="T11" i="3" s="1"/>
  <c r="I4" i="12" s="1"/>
  <c r="K4" i="12" s="1"/>
  <c r="V8" i="3"/>
  <c r="U9" i="3" s="1"/>
  <c r="V11" i="3" s="1"/>
  <c r="I11" i="12" s="1"/>
  <c r="K11" i="12" s="1"/>
  <c r="H8" i="3"/>
  <c r="G9" i="3" s="1"/>
  <c r="J8" i="3"/>
  <c r="I9" i="3" s="1"/>
  <c r="J11" i="3" s="1"/>
  <c r="I5" i="12" s="1"/>
  <c r="F8" i="3"/>
  <c r="E9" i="3" s="1"/>
  <c r="L8" i="3"/>
  <c r="K9" i="3" s="1"/>
  <c r="L11" i="3" s="1"/>
  <c r="K3" i="12" s="1"/>
  <c r="F11" i="3" l="1"/>
  <c r="I9" i="12" s="1"/>
  <c r="K9" i="12" s="1"/>
  <c r="K5" i="12"/>
  <c r="H11" i="3"/>
  <c r="I7" i="12" s="1"/>
  <c r="K7" i="12" s="1"/>
  <c r="B18" i="1"/>
  <c r="K12" i="12" l="1"/>
  <c r="B19" i="1"/>
  <c r="B20" i="1"/>
  <c r="B21" i="1"/>
  <c r="B4" i="1"/>
  <c r="B22" i="1"/>
  <c r="L9" i="12" l="1"/>
  <c r="L6" i="12"/>
  <c r="L11" i="12"/>
  <c r="L3" i="12"/>
  <c r="L4" i="12"/>
  <c r="L10" i="12"/>
  <c r="L8" i="12"/>
  <c r="L7" i="12"/>
  <c r="L5" i="12"/>
  <c r="M3" i="12" l="1"/>
</calcChain>
</file>

<file path=xl/sharedStrings.xml><?xml version="1.0" encoding="utf-8"?>
<sst xmlns="http://schemas.openxmlformats.org/spreadsheetml/2006/main" count="827" uniqueCount="210">
  <si>
    <t>RECURSOS</t>
  </si>
  <si>
    <t>VALOR BRUTO</t>
  </si>
  <si>
    <t>BASE ASIGNACIÓN</t>
  </si>
  <si>
    <t>VALOR TOTAL POR CENTRO DE COSTOS</t>
  </si>
  <si>
    <t>INDUCTOR  PRIMARIO</t>
  </si>
  <si>
    <t>CANTIDAD TOTAL</t>
  </si>
  <si>
    <t>ACTIVIDADES</t>
  </si>
  <si>
    <t>2. RECEPCIÓN DE DATOS</t>
  </si>
  <si>
    <t>3. COBRO DE SERVICIO</t>
  </si>
  <si>
    <t>CIF</t>
  </si>
  <si>
    <t>CANTIDAD</t>
  </si>
  <si>
    <t>COSTOS DISTRIBUIDO</t>
  </si>
  <si>
    <t>1. ATENCIÓN A CLIENTE</t>
  </si>
  <si>
    <t>4. IMPRESIÓN DEL TIQUETE</t>
  </si>
  <si>
    <t>KW/MENSUALES</t>
  </si>
  <si>
    <t>KW CONSUMIDOS</t>
  </si>
  <si>
    <t xml:space="preserve">VALOR PAGADO </t>
  </si>
  <si>
    <t xml:space="preserve">PROMEDIO </t>
  </si>
  <si>
    <t>PROMEDIO</t>
  </si>
  <si>
    <t>TIQUETES GENERADOS</t>
  </si>
  <si>
    <t>1 ROLLO</t>
  </si>
  <si>
    <t xml:space="preserve">1 ROLLO </t>
  </si>
  <si>
    <t xml:space="preserve">1 GIRO </t>
  </si>
  <si>
    <t>x ROLLO</t>
  </si>
  <si>
    <t xml:space="preserve"> </t>
  </si>
  <si>
    <t>ROLLOS</t>
  </si>
  <si>
    <t xml:space="preserve"> M³/MENSUALES</t>
  </si>
  <si>
    <t>CONSUMO EN  M³</t>
  </si>
  <si>
    <t>ENERGÍA ENERO</t>
  </si>
  <si>
    <t>ENERGÍA FEBRERO</t>
  </si>
  <si>
    <t>ENERGÍA MARZO</t>
  </si>
  <si>
    <t>ACUEDUCTO ENERO</t>
  </si>
  <si>
    <t>ACUEDUCTO FEBRERO</t>
  </si>
  <si>
    <t>ACUEDUCTO MARZO</t>
  </si>
  <si>
    <t>ENERO</t>
  </si>
  <si>
    <t>FEBRERO</t>
  </si>
  <si>
    <t>MARZO</t>
  </si>
  <si>
    <t>FEBRER</t>
  </si>
  <si>
    <t>COSTO TOTAL POR ACTIVIDAD</t>
  </si>
  <si>
    <t>INDUCTOR SECUNDARIO</t>
  </si>
  <si>
    <t>BASE DE ASIGANCIÓN</t>
  </si>
  <si>
    <t>CANTIDAD INDUCTOR N°2</t>
  </si>
  <si>
    <t>COSTO DISTRIBUIDO</t>
  </si>
  <si>
    <t>1. Llegada del cliente</t>
  </si>
  <si>
    <t>2. Recepción de datos</t>
  </si>
  <si>
    <t>3. Cobro del servicio</t>
  </si>
  <si>
    <t>4. Impresión de factura</t>
  </si>
  <si>
    <t>COSTO DE MANO DE OBRA Y CIF</t>
  </si>
  <si>
    <t>COSTOS POR MANO DE OBRA Y CIF UNITARIO</t>
  </si>
  <si>
    <t>IMPUESTO DE INDUSTRIA Y COMERCIO</t>
  </si>
  <si>
    <t>IMPUESTO PREDIAL</t>
  </si>
  <si>
    <t>IMPUESTO CREE</t>
  </si>
  <si>
    <t>SERVICIO DE ENERGIA ELÉCTRICA</t>
  </si>
  <si>
    <t>SERVICIO DE TELÉFONO</t>
  </si>
  <si>
    <t>SERVICIO TRANSPORTE, FLETES Y ACARREOS</t>
  </si>
  <si>
    <t>SERVICIO DE INTERNET</t>
  </si>
  <si>
    <t>SERVICIO DE PARABÓLICA</t>
  </si>
  <si>
    <t>SERVICIO DE VIGILANCIA Y ASEO</t>
  </si>
  <si>
    <t>ARRIENDOS</t>
  </si>
  <si>
    <t>PAPELERIA</t>
  </si>
  <si>
    <t>MANTENIMIENTO DE MAQUINARIA Y EQUIPO</t>
  </si>
  <si>
    <t>MANTENIMIENTO DE EQUIPOS DE OFICINA</t>
  </si>
  <si>
    <t>MANTENIMIENTO DE EQUIPO DE COMPUTACIÓN Y COMUNICACIÓN</t>
  </si>
  <si>
    <t>MANTENIMIENTO DE CONSTRUCCIÓN Y EDIFICACIÓN</t>
  </si>
  <si>
    <t>DEPRECIACIÓN DE EDIFICACIONES</t>
  </si>
  <si>
    <t>DEPRECIACIÓN DE EQUIPO DE COMPUTACIÓN Y COMUNICACIÓN</t>
  </si>
  <si>
    <t>DEPRECIACIÓN DE MAQUINARIA Y EQUIPO</t>
  </si>
  <si>
    <t>DEPRECIACIÓN DE EQUIPO DE OFICINA</t>
  </si>
  <si>
    <t>PÓLIZA DE CUMPLIMIENTO</t>
  </si>
  <si>
    <t>PÓLIZA DE ACCIDENTES DE TRÁNSITO</t>
  </si>
  <si>
    <t>MANO DE OBRA DIRECTA</t>
  </si>
  <si>
    <t>JEFE DE ENCOMIENDAS</t>
  </si>
  <si>
    <t>JEFE DE RUTAS</t>
  </si>
  <si>
    <t>AUXILIAR LOGISTICO DE PASAJES Y ENCOMIENDAS</t>
  </si>
  <si>
    <t>AUXILIAR DE PASAJES</t>
  </si>
  <si>
    <t>AUXILIAR LOGISTICA DE PASAJES Y ENCOMIENDAS</t>
  </si>
  <si>
    <t>AUXILIAR LOGISTICO DE ENCOMIENDAS Y PASAJES</t>
  </si>
  <si>
    <t>AUXILIAR LOGISTICO DE ENCOMIENDAS</t>
  </si>
  <si>
    <t>COORDINADORA GIROS BGA</t>
  </si>
  <si>
    <t>AUXILIAR LOGISTICO DE PASAJES</t>
  </si>
  <si>
    <t>AUXILIAR DE GIROS</t>
  </si>
  <si>
    <t>AUXILIAR DE BODEGA</t>
  </si>
  <si>
    <t>AGENTE GAMARRA</t>
  </si>
  <si>
    <t>AGENTE AGUACHICA</t>
  </si>
  <si>
    <t>AGENTE GIRÓN</t>
  </si>
  <si>
    <t>AGENTE CERRO DE BURGOS</t>
  </si>
  <si>
    <t>AGENTE PUERTO WILCHES</t>
  </si>
  <si>
    <t>TURNO ENCOMIENDAS</t>
  </si>
  <si>
    <t>TURNO VIGILANCIA</t>
  </si>
  <si>
    <t>DOMICILIOS</t>
  </si>
  <si>
    <t>TURNO SIMITÍ</t>
  </si>
  <si>
    <t>TURNO SAN PABLO</t>
  </si>
  <si>
    <t>TURNO TERMINAL</t>
  </si>
  <si>
    <t>REVISOR FISCAL</t>
  </si>
  <si>
    <t>ASESOR JURÍDICO</t>
  </si>
  <si>
    <t>ASESORA FINANCIERA</t>
  </si>
  <si>
    <t>ASESORA TÉCNICA</t>
  </si>
  <si>
    <t>SALARIO AUXILIAR CONTABLE</t>
  </si>
  <si>
    <t>SALARIO JEFE DE TRANSPORTE</t>
  </si>
  <si>
    <t>SALARIO SECRETARIA GENERAL</t>
  </si>
  <si>
    <t>SALARIO CONTADOR</t>
  </si>
  <si>
    <t>SALARIO SECRETARIA</t>
  </si>
  <si>
    <t>SALARIO GERENTE GENERAL</t>
  </si>
  <si>
    <t>SALARIO TESORERA GENERAL</t>
  </si>
  <si>
    <t>SALARIO AUXILIAR DE SERVICIOS GENERALES</t>
  </si>
  <si>
    <t>SALARIO VIGILANTE</t>
  </si>
  <si>
    <t>Distribución equitativa</t>
  </si>
  <si>
    <t>Porcentaje por área</t>
  </si>
  <si>
    <t>Consumo M³</t>
  </si>
  <si>
    <t>Consumo KWH</t>
  </si>
  <si>
    <t>Directo al área</t>
  </si>
  <si>
    <t xml:space="preserve">24 CM </t>
  </si>
  <si>
    <t>IMPUESTO DE RENTA</t>
  </si>
  <si>
    <t>SERVICIO  ACUEDUCTO</t>
  </si>
  <si>
    <t>Horas de mano de obra indirecta</t>
  </si>
  <si>
    <t>AUXILIAR ENCOMIENDAS</t>
  </si>
  <si>
    <t>Horas de mano de obra directa</t>
  </si>
  <si>
    <t>CANTIDAD DEL INDUCTOR</t>
  </si>
  <si>
    <t>ACTIVIDAD</t>
  </si>
  <si>
    <t>Número de productos vendidos * Factor de ponderación</t>
  </si>
  <si>
    <t>Llegada del cliente</t>
  </si>
  <si>
    <t>Impresión del tiquete</t>
  </si>
  <si>
    <t>Cobro del servicio</t>
  </si>
  <si>
    <t xml:space="preserve">Registro de datos </t>
  </si>
  <si>
    <t>SERVICIO</t>
  </si>
  <si>
    <t xml:space="preserve">                           COSTO TOTAL POR ACTIVIDAD</t>
  </si>
  <si>
    <t>N° de Productos Vendidos* Factor de Ponderación</t>
  </si>
  <si>
    <t xml:space="preserve">4800 CM </t>
  </si>
  <si>
    <t>Tiquetes</t>
  </si>
  <si>
    <t>TURNO PASAJES SANTA ROSA</t>
  </si>
  <si>
    <t xml:space="preserve">TURNO ENCOMIENDA SANTA  ROSA </t>
  </si>
  <si>
    <t>TURNO  ENCOMIENDA Y PASAJES SANTA ROSA</t>
  </si>
  <si>
    <t>TURNO ENCOMEINDA SANTA ROSA</t>
  </si>
  <si>
    <t>DEPRECIACIÓN DE FLOTA Y EQUIPO DE TRANSPORTE</t>
  </si>
  <si>
    <t>SERVICIO DE TELÉFONO MÓVIL</t>
  </si>
  <si>
    <t>MANTENIMIENTO DE FLOTA FLUVIAL</t>
  </si>
  <si>
    <t>FACTOR DE PONDERACIÓN</t>
  </si>
  <si>
    <t>TOTAL</t>
  </si>
  <si>
    <t>MANTENIMIENTO FLOTA Y EQUIPO DE TRANSPORTE</t>
  </si>
  <si>
    <t>SISTEMATIZACIÓN (ARRIENDO DEL SILOG)</t>
  </si>
  <si>
    <t>ELEMENTOS DE ASEOS Y CAFETERIA</t>
  </si>
  <si>
    <t>COMBUSTIBLES Y LUBRICANTES</t>
  </si>
  <si>
    <t>COMBUSTIBLES CHALUPA</t>
  </si>
  <si>
    <t>TAXIS Y BUSES</t>
  </si>
  <si>
    <t>CASINO Y RESTAURANTE</t>
  </si>
  <si>
    <t>VIAJES</t>
  </si>
  <si>
    <t>PARQUEADEROS</t>
  </si>
  <si>
    <t xml:space="preserve">SEGUROS FUNEBRES </t>
  </si>
  <si>
    <t>ASAMBLEA Y ACCIONISTAS</t>
  </si>
  <si>
    <t>GASTOS LEGALES</t>
  </si>
  <si>
    <t>Bucaramanga - Gamarra</t>
  </si>
  <si>
    <t>Bucaramanga - Aguachica</t>
  </si>
  <si>
    <t>Santa Rosa - Simití</t>
  </si>
  <si>
    <t>Santa Rosa - Cerro de Burgos</t>
  </si>
  <si>
    <t>Santa Rosa - San Pablo</t>
  </si>
  <si>
    <t>Simití - San Pablo</t>
  </si>
  <si>
    <t>ORIGEN - DESTINO</t>
  </si>
  <si>
    <t>N° PASAJES</t>
  </si>
  <si>
    <t>NÚMERO DE PRODUCTOS VENDIDOS</t>
  </si>
  <si>
    <t>Santa Rosa VSP - San Pablo</t>
  </si>
  <si>
    <t>Bucaramanga VSP - Santa Rosa</t>
  </si>
  <si>
    <t>Bucaramanga VGA - Gamarra</t>
  </si>
  <si>
    <t>Bucaramanga VSP - San Pablo</t>
  </si>
  <si>
    <t>Bucaramanga VGA - Aguachica</t>
  </si>
  <si>
    <t>Santa Rosa VSP - Simití</t>
  </si>
  <si>
    <t>PORCENTAJE</t>
  </si>
  <si>
    <t>SANTA ROSA - SAN PABLO</t>
  </si>
  <si>
    <t>BUCARAMANGA VSP - SANTA ROSA</t>
  </si>
  <si>
    <t>BUCARAMANGA - GAMARRA</t>
  </si>
  <si>
    <t>BUCARAMANGA VSP - SAN PABLO</t>
  </si>
  <si>
    <t>BUCARAMANGA - AGUACHICA</t>
  </si>
  <si>
    <t>SANTA ROSA VSP - SIMITÍ</t>
  </si>
  <si>
    <t>ACPM</t>
  </si>
  <si>
    <t>183 Km</t>
  </si>
  <si>
    <t>VIÁTICOS</t>
  </si>
  <si>
    <t>PEAJES</t>
  </si>
  <si>
    <t>MANTENIMIENTO</t>
  </si>
  <si>
    <t>SALARIO CONDUCTOR</t>
  </si>
  <si>
    <t>PÓLIZAS</t>
  </si>
  <si>
    <t>DEPRECIACIÓN</t>
  </si>
  <si>
    <t>168 Km</t>
  </si>
  <si>
    <t>17,8 Km</t>
  </si>
  <si>
    <t>75 Km</t>
  </si>
  <si>
    <t>252 Km</t>
  </si>
  <si>
    <t>69,8 Km</t>
  </si>
  <si>
    <t>143,6 Km</t>
  </si>
  <si>
    <t>22 Km</t>
  </si>
  <si>
    <t>9,7 Km</t>
  </si>
  <si>
    <t>Bucaramanga - Santa Rosa</t>
  </si>
  <si>
    <t>TOTAL DE KILOMETROS RECORRIDOS</t>
  </si>
  <si>
    <t>KM/MES</t>
  </si>
  <si>
    <t>DESTINOS</t>
  </si>
  <si>
    <t>CAPACIDAD DE LA BUSETA</t>
  </si>
  <si>
    <t>COSTOS SOCIOS</t>
  </si>
  <si>
    <t>COSTO EMPRESA</t>
  </si>
  <si>
    <t>CAMIONETA</t>
  </si>
  <si>
    <t>TAXI</t>
  </si>
  <si>
    <t>PRECIO DE VENTA</t>
  </si>
  <si>
    <t>UTILIDAD OPERATIVA</t>
  </si>
  <si>
    <t>% UTILIDAD O PÉRDIDA</t>
  </si>
  <si>
    <t>UTILIDAD PROMEDIO</t>
  </si>
  <si>
    <t xml:space="preserve"> SANTA ROSA - CERRO DE BURGOS</t>
  </si>
  <si>
    <t>Bucaramanga - San Pablo</t>
  </si>
  <si>
    <t>171 Km</t>
  </si>
  <si>
    <t xml:space="preserve"> Bucaramanga - Puerto Wilches</t>
  </si>
  <si>
    <t>Bucaramanga - Puerto Wilches</t>
  </si>
  <si>
    <t>San Pablo - Simití</t>
  </si>
  <si>
    <t>Bucaramanga Puerto Wilches</t>
  </si>
  <si>
    <t>BUCARAMANGA - PUERTO WILCHES</t>
  </si>
  <si>
    <t>SAN PABLO - SIMITÍ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</si>
</sst>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([$$-240A]\ * #,##0_);_([$$-240A]\ * \(#,##0\);_([$$-240A]\ * &quot;-&quot;??_);_(@_)"/>
    <numFmt numFmtId="165" formatCode="&quot;$&quot;\ #,##0_);[Red]\(&quot;$&quot;\ #,##0\)"/>
    <numFmt numFmtId="166" formatCode="_(&quot;$&quot;* #,##0.00_);_(&quot;$&quot;* \(#,##0.00\);_(&quot;$&quot;* &quot;-&quot;??_);_(@_)"/>
    <numFmt numFmtId="167" formatCode="_-&quot;$&quot;* #,##0.00_-;\-&quot;$&quot;* #,##0.00_-;_-&quot;$&quot;* &quot;-&quot;_-;_-@_-"/>
    <numFmt numFmtId="168" formatCode="0.00000"/>
    <numFmt numFmtId="169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95">
    <xf numFmtId="0" fontId="0" fillId="0" borderId="0" xfId="0"/>
    <xf numFmtId="0" fontId="0" fillId="0" borderId="3" xfId="0" applyBorder="1"/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/>
    <xf numFmtId="164" fontId="1" fillId="0" borderId="9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8" xfId="0" applyFont="1" applyFill="1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4" fontId="0" fillId="0" borderId="7" xfId="0" applyNumberFormat="1" applyFill="1" applyBorder="1" applyAlignment="1">
      <alignment horizont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2" xfId="0" applyFill="1" applyBorder="1"/>
    <xf numFmtId="0" fontId="0" fillId="0" borderId="14" xfId="0" applyFill="1" applyBorder="1"/>
    <xf numFmtId="0" fontId="0" fillId="0" borderId="15" xfId="0" applyFill="1" applyBorder="1"/>
    <xf numFmtId="165" fontId="0" fillId="0" borderId="0" xfId="0" applyNumberFormat="1" applyFill="1" applyBorder="1"/>
    <xf numFmtId="0" fontId="0" fillId="0" borderId="13" xfId="0" applyFill="1" applyBorder="1"/>
    <xf numFmtId="0" fontId="0" fillId="0" borderId="7" xfId="0" applyFill="1" applyBorder="1"/>
    <xf numFmtId="0" fontId="0" fillId="0" borderId="11" xfId="0" applyBorder="1"/>
    <xf numFmtId="0" fontId="0" fillId="0" borderId="10" xfId="0" applyBorder="1"/>
    <xf numFmtId="0" fontId="0" fillId="0" borderId="6" xfId="0" applyBorder="1"/>
    <xf numFmtId="1" fontId="0" fillId="0" borderId="9" xfId="0" applyNumberForma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5" xfId="0" applyBorder="1" applyAlignment="1">
      <alignment vertical="center"/>
    </xf>
    <xf numFmtId="42" fontId="0" fillId="0" borderId="5" xfId="1" applyFont="1" applyBorder="1" applyAlignment="1">
      <alignment horizontal="center" vertical="center"/>
    </xf>
    <xf numFmtId="42" fontId="0" fillId="0" borderId="1" xfId="1" applyFont="1" applyBorder="1" applyAlignment="1">
      <alignment horizontal="center" vertical="center"/>
    </xf>
    <xf numFmtId="42" fontId="0" fillId="0" borderId="9" xfId="1" applyFont="1" applyBorder="1" applyAlignment="1">
      <alignment horizontal="center" vertical="center"/>
    </xf>
    <xf numFmtId="0" fontId="0" fillId="0" borderId="0" xfId="0" applyAlignment="1">
      <alignment vertical="center"/>
    </xf>
    <xf numFmtId="42" fontId="0" fillId="0" borderId="10" xfId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166" fontId="0" fillId="0" borderId="1" xfId="0" applyNumberFormat="1" applyFill="1" applyBorder="1"/>
    <xf numFmtId="166" fontId="0" fillId="0" borderId="5" xfId="0" applyNumberFormat="1" applyFill="1" applyBorder="1"/>
    <xf numFmtId="166" fontId="0" fillId="0" borderId="9" xfId="0" applyNumberFormat="1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2" fontId="0" fillId="0" borderId="1" xfId="1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2" fontId="0" fillId="0" borderId="5" xfId="1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2" fontId="0" fillId="0" borderId="9" xfId="1" applyFont="1" applyBorder="1" applyAlignment="1">
      <alignment vertical="center"/>
    </xf>
    <xf numFmtId="42" fontId="0" fillId="0" borderId="3" xfId="1" applyFont="1" applyBorder="1" applyAlignment="1">
      <alignment vertical="center"/>
    </xf>
    <xf numFmtId="42" fontId="0" fillId="0" borderId="4" xfId="1" applyFont="1" applyBorder="1" applyAlignment="1">
      <alignment vertical="center"/>
    </xf>
    <xf numFmtId="0" fontId="0" fillId="0" borderId="0" xfId="0" applyBorder="1"/>
    <xf numFmtId="165" fontId="0" fillId="0" borderId="4" xfId="0" applyNumberForma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4" xfId="0" applyFill="1" applyBorder="1" applyAlignment="1">
      <alignment horizontal="center"/>
    </xf>
    <xf numFmtId="42" fontId="0" fillId="0" borderId="0" xfId="0" applyNumberFormat="1"/>
    <xf numFmtId="0" fontId="1" fillId="0" borderId="11" xfId="0" applyFont="1" applyBorder="1" applyAlignment="1">
      <alignment horizontal="center"/>
    </xf>
    <xf numFmtId="0" fontId="0" fillId="0" borderId="14" xfId="0" applyBorder="1"/>
    <xf numFmtId="0" fontId="0" fillId="0" borderId="9" xfId="0" applyNumberFormat="1" applyBorder="1" applyAlignment="1">
      <alignment horizontal="center" vertical="center"/>
    </xf>
    <xf numFmtId="42" fontId="0" fillId="0" borderId="12" xfId="1" applyFont="1" applyBorder="1" applyAlignment="1">
      <alignment horizontal="center" vertical="center"/>
    </xf>
    <xf numFmtId="42" fontId="0" fillId="0" borderId="0" xfId="1" applyFont="1" applyBorder="1" applyAlignment="1">
      <alignment horizontal="center" vertical="center"/>
    </xf>
    <xf numFmtId="0" fontId="0" fillId="0" borderId="12" xfId="0" applyBorder="1"/>
    <xf numFmtId="42" fontId="0" fillId="0" borderId="13" xfId="1" applyFont="1" applyBorder="1"/>
    <xf numFmtId="42" fontId="0" fillId="0" borderId="12" xfId="1" applyFont="1" applyBorder="1" applyAlignment="1">
      <alignment vertical="center"/>
    </xf>
    <xf numFmtId="42" fontId="0" fillId="0" borderId="0" xfId="1" applyFont="1" applyBorder="1" applyAlignment="1">
      <alignment vertical="center"/>
    </xf>
    <xf numFmtId="42" fontId="0" fillId="0" borderId="13" xfId="1" applyFont="1" applyBorder="1" applyAlignment="1">
      <alignment vertical="center"/>
    </xf>
    <xf numFmtId="0" fontId="0" fillId="0" borderId="0" xfId="0" applyFont="1" applyBorder="1" applyAlignment="1"/>
    <xf numFmtId="42" fontId="0" fillId="0" borderId="1" xfId="0" applyNumberFormat="1" applyBorder="1" applyAlignment="1">
      <alignment horizontal="center" vertical="center"/>
    </xf>
    <xf numFmtId="42" fontId="0" fillId="0" borderId="5" xfId="0" applyNumberFormat="1" applyBorder="1" applyAlignment="1">
      <alignment horizontal="center" vertical="center"/>
    </xf>
    <xf numFmtId="42" fontId="0" fillId="0" borderId="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42" fontId="0" fillId="0" borderId="14" xfId="1" applyFont="1" applyBorder="1" applyAlignment="1">
      <alignment horizontal="center" vertical="center"/>
    </xf>
    <xf numFmtId="42" fontId="0" fillId="0" borderId="15" xfId="1" applyFont="1" applyBorder="1" applyAlignment="1">
      <alignment horizontal="center" vertical="center"/>
    </xf>
    <xf numFmtId="42" fontId="0" fillId="0" borderId="12" xfId="1" applyFont="1" applyBorder="1"/>
    <xf numFmtId="42" fontId="0" fillId="0" borderId="0" xfId="1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/>
    <xf numFmtId="0" fontId="0" fillId="0" borderId="12" xfId="0" applyBorder="1" applyAlignment="1">
      <alignment horizontal="center" vertical="center" wrapText="1"/>
    </xf>
    <xf numFmtId="42" fontId="3" fillId="0" borderId="2" xfId="1" applyFont="1" applyFill="1" applyBorder="1" applyAlignment="1">
      <alignment horizontal="center" vertical="center"/>
    </xf>
    <xf numFmtId="42" fontId="0" fillId="0" borderId="3" xfId="1" applyFont="1" applyBorder="1" applyAlignment="1">
      <alignment horizontal="center" vertical="center"/>
    </xf>
    <xf numFmtId="42" fontId="0" fillId="0" borderId="3" xfId="1" applyFont="1" applyBorder="1"/>
    <xf numFmtId="0" fontId="0" fillId="0" borderId="3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42" fontId="0" fillId="0" borderId="0" xfId="0" applyNumberFormat="1" applyBorder="1"/>
    <xf numFmtId="42" fontId="0" fillId="0" borderId="8" xfId="0" applyNumberFormat="1" applyBorder="1"/>
    <xf numFmtId="164" fontId="0" fillId="0" borderId="0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42" fontId="0" fillId="0" borderId="7" xfId="1" applyFont="1" applyBorder="1" applyAlignment="1">
      <alignment horizontal="center" vertical="center"/>
    </xf>
    <xf numFmtId="42" fontId="2" fillId="0" borderId="1" xfId="1" applyFont="1" applyBorder="1" applyAlignment="1">
      <alignment horizontal="left" vertical="center"/>
    </xf>
    <xf numFmtId="42" fontId="2" fillId="0" borderId="5" xfId="1" applyFont="1" applyBorder="1" applyAlignment="1">
      <alignment horizontal="left" vertical="center"/>
    </xf>
    <xf numFmtId="42" fontId="2" fillId="0" borderId="5" xfId="1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42" fontId="0" fillId="0" borderId="5" xfId="1" applyFont="1" applyBorder="1" applyAlignment="1">
      <alignment horizontal="left" vertical="center"/>
    </xf>
    <xf numFmtId="42" fontId="0" fillId="0" borderId="5" xfId="1" applyFont="1" applyFill="1" applyBorder="1" applyAlignment="1">
      <alignment horizontal="left" vertical="center"/>
    </xf>
    <xf numFmtId="42" fontId="0" fillId="0" borderId="9" xfId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0" borderId="9" xfId="0" applyNumberFormat="1" applyBorder="1" applyAlignment="1">
      <alignment horizontal="center"/>
    </xf>
    <xf numFmtId="0" fontId="0" fillId="0" borderId="9" xfId="0" applyFont="1" applyFill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/>
    </xf>
    <xf numFmtId="0" fontId="0" fillId="0" borderId="9" xfId="0" applyNumberFormat="1" applyFont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0" fillId="0" borderId="9" xfId="0" applyBorder="1"/>
    <xf numFmtId="2" fontId="0" fillId="0" borderId="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8" fontId="0" fillId="0" borderId="5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15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0" fillId="0" borderId="10" xfId="0" applyNumberFormat="1" applyFont="1" applyBorder="1" applyAlignment="1">
      <alignment horizontal="center"/>
    </xf>
    <xf numFmtId="0" fontId="0" fillId="0" borderId="15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10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4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1" xfId="0" applyNumberFormat="1" applyFont="1" applyBorder="1" applyAlignment="1">
      <alignment horizontal="center"/>
    </xf>
    <xf numFmtId="0" fontId="0" fillId="0" borderId="1" xfId="0" applyBorder="1"/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/>
    <xf numFmtId="0" fontId="0" fillId="0" borderId="0" xfId="2" applyNumberFormat="1" applyFont="1" applyAlignment="1">
      <alignment horizontal="center"/>
    </xf>
    <xf numFmtId="0" fontId="0" fillId="0" borderId="0" xfId="2" applyNumberFormat="1" applyFont="1" applyFill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0" fillId="0" borderId="9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1" fillId="0" borderId="11" xfId="0" applyFont="1" applyBorder="1"/>
    <xf numFmtId="42" fontId="0" fillId="0" borderId="14" xfId="1" applyFont="1" applyBorder="1"/>
    <xf numFmtId="42" fontId="0" fillId="0" borderId="1" xfId="1" applyFont="1" applyBorder="1"/>
    <xf numFmtId="42" fontId="0" fillId="0" borderId="15" xfId="1" applyFont="1" applyBorder="1"/>
    <xf numFmtId="42" fontId="0" fillId="0" borderId="5" xfId="1" applyFont="1" applyBorder="1"/>
    <xf numFmtId="0" fontId="1" fillId="0" borderId="6" xfId="0" applyFont="1" applyBorder="1"/>
    <xf numFmtId="42" fontId="0" fillId="0" borderId="7" xfId="1" applyFont="1" applyBorder="1"/>
    <xf numFmtId="42" fontId="0" fillId="0" borderId="9" xfId="1" applyFont="1" applyBorder="1"/>
    <xf numFmtId="0" fontId="1" fillId="0" borderId="1" xfId="0" applyFont="1" applyBorder="1"/>
    <xf numFmtId="0" fontId="1" fillId="0" borderId="5" xfId="0" applyFont="1" applyBorder="1"/>
    <xf numFmtId="42" fontId="0" fillId="0" borderId="5" xfId="0" applyNumberFormat="1" applyFill="1" applyBorder="1"/>
    <xf numFmtId="0" fontId="1" fillId="0" borderId="9" xfId="0" applyFont="1" applyBorder="1"/>
    <xf numFmtId="42" fontId="0" fillId="0" borderId="0" xfId="1" applyFont="1"/>
    <xf numFmtId="0" fontId="1" fillId="0" borderId="0" xfId="0" applyFont="1" applyBorder="1"/>
    <xf numFmtId="0" fontId="0" fillId="0" borderId="0" xfId="0" applyBorder="1" applyAlignment="1">
      <alignment vertical="center"/>
    </xf>
    <xf numFmtId="0" fontId="1" fillId="0" borderId="0" xfId="0" applyFont="1" applyBorder="1" applyAlignment="1"/>
    <xf numFmtId="42" fontId="0" fillId="0" borderId="1" xfId="1" applyFont="1" applyBorder="1" applyAlignment="1"/>
    <xf numFmtId="42" fontId="0" fillId="0" borderId="5" xfId="1" applyFont="1" applyBorder="1" applyAlignment="1"/>
    <xf numFmtId="44" fontId="0" fillId="0" borderId="0" xfId="0" applyNumberFormat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2" fontId="0" fillId="0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42" fontId="0" fillId="0" borderId="0" xfId="1" applyFont="1" applyBorder="1" applyAlignment="1">
      <alignment horizontal="center"/>
    </xf>
    <xf numFmtId="42" fontId="0" fillId="0" borderId="9" xfId="1" applyFont="1" applyBorder="1" applyAlignment="1"/>
    <xf numFmtId="167" fontId="1" fillId="0" borderId="2" xfId="0" applyNumberFormat="1" applyFont="1" applyBorder="1" applyAlignment="1">
      <alignment vertical="center"/>
    </xf>
    <xf numFmtId="0" fontId="1" fillId="4" borderId="8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/>
    </xf>
    <xf numFmtId="42" fontId="0" fillId="5" borderId="8" xfId="0" applyNumberFormat="1" applyFill="1" applyBorder="1"/>
    <xf numFmtId="42" fontId="0" fillId="6" borderId="15" xfId="1" applyFont="1" applyFill="1" applyBorder="1"/>
    <xf numFmtId="42" fontId="0" fillId="6" borderId="5" xfId="1" applyFont="1" applyFill="1" applyBorder="1"/>
    <xf numFmtId="42" fontId="0" fillId="6" borderId="15" xfId="0" applyNumberFormat="1" applyFont="1" applyFill="1" applyBorder="1"/>
    <xf numFmtId="42" fontId="0" fillId="6" borderId="5" xfId="0" applyNumberFormat="1" applyFill="1" applyBorder="1"/>
    <xf numFmtId="42" fontId="0" fillId="6" borderId="5" xfId="1" applyFont="1" applyFill="1" applyBorder="1" applyAlignment="1">
      <alignment wrapText="1"/>
    </xf>
    <xf numFmtId="42" fontId="0" fillId="6" borderId="7" xfId="1" applyFont="1" applyFill="1" applyBorder="1"/>
    <xf numFmtId="42" fontId="0" fillId="6" borderId="9" xfId="1" applyFont="1" applyFill="1" applyBorder="1"/>
    <xf numFmtId="42" fontId="0" fillId="6" borderId="7" xfId="0" applyNumberFormat="1" applyFont="1" applyFill="1" applyBorder="1"/>
    <xf numFmtId="42" fontId="0" fillId="6" borderId="9" xfId="0" applyNumberFormat="1" applyFill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9" fontId="1" fillId="6" borderId="5" xfId="2" applyNumberFormat="1" applyFont="1" applyFill="1" applyBorder="1" applyAlignment="1">
      <alignment horizontal="center"/>
    </xf>
    <xf numFmtId="169" fontId="1" fillId="6" borderId="9" xfId="2" applyNumberFormat="1" applyFont="1" applyFill="1" applyBorder="1" applyAlignment="1">
      <alignment horizontal="center"/>
    </xf>
    <xf numFmtId="9" fontId="1" fillId="0" borderId="8" xfId="0" applyNumberFormat="1" applyFont="1" applyBorder="1" applyAlignment="1">
      <alignment horizontal="center"/>
    </xf>
    <xf numFmtId="9" fontId="0" fillId="0" borderId="14" xfId="2" applyFont="1" applyBorder="1" applyAlignment="1">
      <alignment horizontal="center"/>
    </xf>
    <xf numFmtId="9" fontId="0" fillId="0" borderId="15" xfId="2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2" fontId="1" fillId="0" borderId="6" xfId="0" applyNumberFormat="1" applyFont="1" applyBorder="1" applyAlignment="1">
      <alignment horizontal="center" vertical="center"/>
    </xf>
    <xf numFmtId="42" fontId="1" fillId="0" borderId="4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42" fontId="0" fillId="0" borderId="11" xfId="1" applyFont="1" applyBorder="1" applyAlignment="1">
      <alignment horizontal="center" vertical="center"/>
    </xf>
    <xf numFmtId="42" fontId="0" fillId="0" borderId="10" xfId="1" applyFont="1" applyBorder="1" applyAlignment="1">
      <alignment horizontal="center" vertical="center"/>
    </xf>
    <xf numFmtId="42" fontId="0" fillId="0" borderId="6" xfId="1" applyFont="1" applyBorder="1" applyAlignment="1">
      <alignment horizontal="center" vertical="center"/>
    </xf>
    <xf numFmtId="42" fontId="0" fillId="0" borderId="1" xfId="1" applyFont="1" applyBorder="1" applyAlignment="1">
      <alignment horizontal="center" vertical="center"/>
    </xf>
    <xf numFmtId="42" fontId="0" fillId="0" borderId="5" xfId="1" applyFont="1" applyBorder="1" applyAlignment="1">
      <alignment horizontal="center" vertical="center"/>
    </xf>
    <xf numFmtId="42" fontId="0" fillId="0" borderId="9" xfId="1" applyFont="1" applyBorder="1" applyAlignment="1">
      <alignment horizontal="center" vertical="center"/>
    </xf>
    <xf numFmtId="42" fontId="1" fillId="0" borderId="2" xfId="1" applyFont="1" applyBorder="1" applyAlignment="1">
      <alignment horizontal="center"/>
    </xf>
    <xf numFmtId="42" fontId="1" fillId="0" borderId="4" xfId="1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9" fontId="1" fillId="6" borderId="5" xfId="0" applyNumberFormat="1" applyFont="1" applyFill="1" applyBorder="1" applyAlignment="1">
      <alignment horizontal="center" vertical="center"/>
    </xf>
    <xf numFmtId="169" fontId="1" fillId="6" borderId="9" xfId="0" applyNumberFormat="1" applyFont="1" applyFill="1" applyBorder="1" applyAlignment="1">
      <alignment horizontal="center" vertical="center"/>
    </xf>
    <xf numFmtId="42" fontId="1" fillId="2" borderId="10" xfId="1" applyFont="1" applyFill="1" applyBorder="1" applyAlignment="1">
      <alignment horizontal="center"/>
    </xf>
    <xf numFmtId="42" fontId="1" fillId="2" borderId="15" xfId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11" xfId="0" applyFill="1" applyBorder="1"/>
    <xf numFmtId="0" fontId="0" fillId="0" borderId="10" xfId="0" applyFill="1" applyBorder="1"/>
    <xf numFmtId="0" fontId="0" fillId="0" borderId="6" xfId="0" applyFill="1" applyBorder="1"/>
    <xf numFmtId="42" fontId="0" fillId="0" borderId="8" xfId="1" applyFont="1" applyBorder="1"/>
    <xf numFmtId="42" fontId="1" fillId="0" borderId="8" xfId="0" applyNumberFormat="1" applyFont="1" applyBorder="1"/>
    <xf numFmtId="42" fontId="0" fillId="0" borderId="2" xfId="0" applyNumberFormat="1" applyBorder="1"/>
    <xf numFmtId="42" fontId="1" fillId="0" borderId="4" xfId="0" applyNumberFormat="1" applyFont="1" applyBorder="1"/>
    <xf numFmtId="42" fontId="1" fillId="0" borderId="8" xfId="1" applyFont="1" applyBorder="1"/>
    <xf numFmtId="42" fontId="1" fillId="0" borderId="0" xfId="0" applyNumberFormat="1" applyFont="1" applyBorder="1"/>
  </cellXfs>
  <cellStyles count="3">
    <cellStyle name="Moneda [0]" xfId="1" builtinId="7"/>
    <cellStyle name="Normal" xfId="0" builtinId="0"/>
    <cellStyle name="Porcentaje" xfId="2" builtinId="5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8</xdr:row>
      <xdr:rowOff>123825</xdr:rowOff>
    </xdr:from>
    <xdr:to>
      <xdr:col>12</xdr:col>
      <xdr:colOff>504825</xdr:colOff>
      <xdr:row>9</xdr:row>
      <xdr:rowOff>95250</xdr:rowOff>
    </xdr:to>
    <xdr:sp macro="" textlink="">
      <xdr:nvSpPr>
        <xdr:cNvPr id="2" name="1 Flecha derecha"/>
        <xdr:cNvSpPr/>
      </xdr:nvSpPr>
      <xdr:spPr>
        <a:xfrm>
          <a:off x="9782175" y="1714500"/>
          <a:ext cx="238125" cy="17145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NO-DE-OBR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93;REA-DE-OCUPACI&#211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uestos"/>
      <sheetName val="Servicios públicos"/>
      <sheetName val="Arriendos"/>
      <sheetName val="papeleria"/>
      <sheetName val="Mantenimiento"/>
      <sheetName val="Depreciación"/>
      <sheetName val="Sistematización"/>
      <sheetName val="Seguros"/>
      <sheetName val="Diversos"/>
      <sheetName val="Legales"/>
      <sheetName val="MOI"/>
    </sheetNames>
    <sheetDataSet>
      <sheetData sheetId="0">
        <row r="3">
          <cell r="D3">
            <v>149801.31636110923</v>
          </cell>
          <cell r="F3">
            <v>319326.58333333337</v>
          </cell>
        </row>
        <row r="4">
          <cell r="D4">
            <v>546008.02521653229</v>
          </cell>
          <cell r="F4">
            <v>776395.16666666663</v>
          </cell>
        </row>
        <row r="5">
          <cell r="D5">
            <v>89372.683976352637</v>
          </cell>
          <cell r="F5">
            <v>127083.33333333333</v>
          </cell>
        </row>
        <row r="6">
          <cell r="D6">
            <v>703260.46407621761</v>
          </cell>
          <cell r="F6">
            <v>1000000.0000000001</v>
          </cell>
        </row>
      </sheetData>
      <sheetData sheetId="1">
        <row r="4">
          <cell r="G4">
            <v>659932.68772185931</v>
          </cell>
          <cell r="H4">
            <v>628645.91200847458</v>
          </cell>
          <cell r="I4">
            <v>609605.88733003533</v>
          </cell>
          <cell r="J4">
            <v>632728.16235345637</v>
          </cell>
          <cell r="O4">
            <v>1472248.6666666667</v>
          </cell>
        </row>
        <row r="5">
          <cell r="H5">
            <v>25810.78073786496</v>
          </cell>
          <cell r="I5">
            <v>31130.559973913463</v>
          </cell>
          <cell r="J5">
            <v>30494.438223994435</v>
          </cell>
          <cell r="O5">
            <v>70485.666666666672</v>
          </cell>
        </row>
        <row r="6">
          <cell r="J6">
            <v>192337.69724690355</v>
          </cell>
          <cell r="O6">
            <v>410000</v>
          </cell>
        </row>
        <row r="7">
          <cell r="J7">
            <v>235496.40004376971</v>
          </cell>
          <cell r="O7">
            <v>528325.93789530685</v>
          </cell>
        </row>
        <row r="8">
          <cell r="J8">
            <v>580766.02241869899</v>
          </cell>
          <cell r="O8">
            <v>1238000</v>
          </cell>
        </row>
        <row r="9">
          <cell r="J9">
            <v>40000</v>
          </cell>
          <cell r="O9">
            <v>40000</v>
          </cell>
        </row>
        <row r="10">
          <cell r="J10">
            <v>343707.78960000002</v>
          </cell>
          <cell r="O10">
            <v>670257</v>
          </cell>
        </row>
        <row r="11">
          <cell r="J11">
            <v>0</v>
          </cell>
        </row>
      </sheetData>
      <sheetData sheetId="2">
        <row r="14">
          <cell r="E14">
            <v>4464150</v>
          </cell>
        </row>
        <row r="20">
          <cell r="D20">
            <v>3139460.2007058468</v>
          </cell>
        </row>
      </sheetData>
      <sheetData sheetId="3">
        <row r="38">
          <cell r="C38">
            <v>1037993.9505788467</v>
          </cell>
        </row>
        <row r="40">
          <cell r="C40">
            <v>1516163.4740000002</v>
          </cell>
        </row>
      </sheetData>
      <sheetData sheetId="4">
        <row r="4">
          <cell r="K4">
            <v>25019.537853255748</v>
          </cell>
          <cell r="M4">
            <v>53333.333333333336</v>
          </cell>
        </row>
        <row r="5">
          <cell r="K5">
            <v>113150.85994134912</v>
          </cell>
          <cell r="M5">
            <v>241200</v>
          </cell>
        </row>
        <row r="6">
          <cell r="K6">
            <v>37842.051003049317</v>
          </cell>
          <cell r="M6">
            <v>80666.666666666672</v>
          </cell>
        </row>
        <row r="7">
          <cell r="K7">
            <v>29953.39071791778</v>
          </cell>
          <cell r="M7">
            <v>63850.666666666672</v>
          </cell>
        </row>
        <row r="8">
          <cell r="K8">
            <v>1942166.6666666667</v>
          </cell>
          <cell r="M8">
            <v>1942166.6666666667</v>
          </cell>
        </row>
        <row r="9">
          <cell r="K9">
            <v>0</v>
          </cell>
          <cell r="M9">
            <v>149888</v>
          </cell>
        </row>
      </sheetData>
      <sheetData sheetId="5">
        <row r="3">
          <cell r="F3">
            <v>373027.16666666669</v>
          </cell>
        </row>
        <row r="4">
          <cell r="F4">
            <v>824659.5</v>
          </cell>
        </row>
        <row r="5">
          <cell r="F5">
            <v>46333.333333333336</v>
          </cell>
        </row>
        <row r="6">
          <cell r="F6">
            <v>1274459.5833333333</v>
          </cell>
        </row>
        <row r="7">
          <cell r="F7">
            <v>1884585.75</v>
          </cell>
        </row>
        <row r="13">
          <cell r="F13">
            <v>262335.25834303658</v>
          </cell>
        </row>
        <row r="14">
          <cell r="F14">
            <v>579950.4226748615</v>
          </cell>
        </row>
        <row r="15">
          <cell r="F15">
            <v>32584.401502198081</v>
          </cell>
        </row>
        <row r="16">
          <cell r="F16">
            <v>896277.03802138276</v>
          </cell>
        </row>
        <row r="17">
          <cell r="F17">
            <v>0</v>
          </cell>
        </row>
      </sheetData>
      <sheetData sheetId="6">
        <row r="4">
          <cell r="D4">
            <v>1000000</v>
          </cell>
        </row>
        <row r="10">
          <cell r="D10">
            <v>703260.46407621761</v>
          </cell>
        </row>
      </sheetData>
      <sheetData sheetId="7">
        <row r="3">
          <cell r="E3">
            <v>734431.66666666663</v>
          </cell>
        </row>
        <row r="4">
          <cell r="E4">
            <v>71566.666666666672</v>
          </cell>
        </row>
        <row r="10">
          <cell r="E10">
            <v>0</v>
          </cell>
        </row>
        <row r="11">
          <cell r="E11">
            <v>71566.666666666672</v>
          </cell>
        </row>
      </sheetData>
      <sheetData sheetId="8">
        <row r="3">
          <cell r="F3">
            <v>378944.33333333331</v>
          </cell>
        </row>
        <row r="4">
          <cell r="F4">
            <v>786571.66666666663</v>
          </cell>
        </row>
        <row r="5">
          <cell r="F5">
            <v>7924390</v>
          </cell>
        </row>
        <row r="6">
          <cell r="F6">
            <v>334133.33333333331</v>
          </cell>
        </row>
        <row r="7">
          <cell r="F7">
            <v>657000</v>
          </cell>
        </row>
        <row r="8">
          <cell r="F8">
            <v>610366.66666666663</v>
          </cell>
        </row>
        <row r="9">
          <cell r="F9">
            <v>120287.33333333333</v>
          </cell>
        </row>
        <row r="10">
          <cell r="F10">
            <v>475695.33333333331</v>
          </cell>
        </row>
        <row r="11">
          <cell r="F11">
            <v>116666.66666666667</v>
          </cell>
        </row>
        <row r="17">
          <cell r="D17">
            <v>266496.56771905289</v>
          </cell>
        </row>
        <row r="18">
          <cell r="D18">
            <v>0</v>
          </cell>
        </row>
        <row r="19">
          <cell r="D19">
            <v>7924390</v>
          </cell>
        </row>
        <row r="20">
          <cell r="D20">
            <v>234982.76306333349</v>
          </cell>
        </row>
        <row r="21">
          <cell r="D21">
            <v>462042.12489807495</v>
          </cell>
        </row>
        <row r="22">
          <cell r="D22">
            <v>429246.74525665399</v>
          </cell>
        </row>
        <row r="23">
          <cell r="D23">
            <v>84593.325862490674</v>
          </cell>
        </row>
        <row r="24">
          <cell r="D24">
            <v>334537.72087889101</v>
          </cell>
        </row>
        <row r="25">
          <cell r="D25">
            <v>82047.054142225388</v>
          </cell>
        </row>
      </sheetData>
      <sheetData sheetId="9">
        <row r="4">
          <cell r="F4">
            <v>855906.66666666663</v>
          </cell>
        </row>
        <row r="9">
          <cell r="D9">
            <v>601925.31960592838</v>
          </cell>
        </row>
      </sheetData>
      <sheetData sheetId="10">
        <row r="3">
          <cell r="F3">
            <v>438146.66666666669</v>
          </cell>
          <cell r="I3">
            <v>308131.22813344782</v>
          </cell>
        </row>
        <row r="4">
          <cell r="F4">
            <v>388046.66666666669</v>
          </cell>
          <cell r="I4">
            <v>272897.87888322934</v>
          </cell>
        </row>
        <row r="5">
          <cell r="F5">
            <v>745152.66666666663</v>
          </cell>
          <cell r="I5">
            <v>524036.41016763105</v>
          </cell>
        </row>
        <row r="6">
          <cell r="F6">
            <v>771995</v>
          </cell>
          <cell r="I6">
            <v>542913.56196451955</v>
          </cell>
        </row>
        <row r="7">
          <cell r="F7">
            <v>573484.66666666663</v>
          </cell>
          <cell r="I7">
            <v>403309.0928205949</v>
          </cell>
        </row>
        <row r="8">
          <cell r="F8">
            <v>1656666.6666666667</v>
          </cell>
          <cell r="I8">
            <v>1165068.1688196005</v>
          </cell>
        </row>
        <row r="9">
          <cell r="F9">
            <v>2708000</v>
          </cell>
          <cell r="I9">
            <v>1904429.3367183972</v>
          </cell>
        </row>
        <row r="10">
          <cell r="F10">
            <v>666666.66666666663</v>
          </cell>
          <cell r="I10">
            <v>468840.30938414502</v>
          </cell>
        </row>
        <row r="11">
          <cell r="F11">
            <v>130000</v>
          </cell>
          <cell r="I11">
            <v>91423.86032990829</v>
          </cell>
        </row>
        <row r="12">
          <cell r="F12">
            <v>15000</v>
          </cell>
          <cell r="I12">
            <v>0</v>
          </cell>
        </row>
        <row r="13">
          <cell r="F13">
            <v>11666.666666666666</v>
          </cell>
          <cell r="I13">
            <v>0</v>
          </cell>
        </row>
        <row r="14">
          <cell r="F14">
            <v>200000</v>
          </cell>
          <cell r="I14">
            <v>0</v>
          </cell>
        </row>
        <row r="15">
          <cell r="F15">
            <v>133333.33333333334</v>
          </cell>
          <cell r="I15">
            <v>66666.666666666672</v>
          </cell>
        </row>
        <row r="16">
          <cell r="F16">
            <v>105000</v>
          </cell>
          <cell r="I16">
            <v>73842.348728002849</v>
          </cell>
        </row>
        <row r="17">
          <cell r="F17">
            <v>290400</v>
          </cell>
          <cell r="I17">
            <v>290400</v>
          </cell>
        </row>
        <row r="18">
          <cell r="F18">
            <v>258333.33333333334</v>
          </cell>
          <cell r="I18">
            <v>181675.6198863562</v>
          </cell>
        </row>
        <row r="19">
          <cell r="F19">
            <v>293333.33333333331</v>
          </cell>
          <cell r="I19">
            <v>0</v>
          </cell>
        </row>
        <row r="20">
          <cell r="F20">
            <v>620000</v>
          </cell>
          <cell r="I20">
            <v>620000</v>
          </cell>
        </row>
        <row r="21">
          <cell r="F21">
            <v>153333.33333333334</v>
          </cell>
          <cell r="I21">
            <v>0</v>
          </cell>
        </row>
        <row r="22">
          <cell r="F22">
            <v>35333.333333333336</v>
          </cell>
          <cell r="I22">
            <v>35333.333333333336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"/>
      <sheetName val="MOI"/>
      <sheetName val="MOD POR CENTROS DE COSTOS"/>
      <sheetName val="MOI POR CENTROS DE COSTOS"/>
    </sheetNames>
    <sheetDataSet>
      <sheetData sheetId="0"/>
      <sheetData sheetId="1"/>
      <sheetData sheetId="2">
        <row r="4">
          <cell r="C4">
            <v>1119321.3599999999</v>
          </cell>
          <cell r="E4">
            <v>1119321.3599999999</v>
          </cell>
        </row>
        <row r="5">
          <cell r="C5">
            <v>1394331.88</v>
          </cell>
          <cell r="E5">
            <v>0</v>
          </cell>
        </row>
        <row r="6">
          <cell r="C6">
            <v>859102.96</v>
          </cell>
          <cell r="E6">
            <v>859102.96</v>
          </cell>
        </row>
        <row r="7">
          <cell r="C7">
            <v>859102.96</v>
          </cell>
          <cell r="E7">
            <v>0</v>
          </cell>
        </row>
        <row r="8">
          <cell r="C8">
            <v>746998.8</v>
          </cell>
          <cell r="E8">
            <v>0</v>
          </cell>
        </row>
        <row r="9">
          <cell r="C9">
            <v>801197.6</v>
          </cell>
          <cell r="E9">
            <v>400598.8</v>
          </cell>
        </row>
        <row r="10">
          <cell r="C10">
            <v>870573.24</v>
          </cell>
          <cell r="E10">
            <v>0</v>
          </cell>
        </row>
        <row r="11">
          <cell r="C11">
            <v>1131404.8400000001</v>
          </cell>
          <cell r="E11">
            <v>0</v>
          </cell>
        </row>
        <row r="12">
          <cell r="C12">
            <v>956755.24</v>
          </cell>
          <cell r="E12">
            <v>478377.62</v>
          </cell>
        </row>
        <row r="13">
          <cell r="C13">
            <v>725213.24</v>
          </cell>
          <cell r="E13">
            <v>725213.24</v>
          </cell>
        </row>
        <row r="14">
          <cell r="C14">
            <v>802669.6</v>
          </cell>
          <cell r="E14">
            <v>0</v>
          </cell>
        </row>
        <row r="15">
          <cell r="C15">
            <v>1086028.24</v>
          </cell>
          <cell r="E15">
            <v>543014.12</v>
          </cell>
        </row>
        <row r="16">
          <cell r="C16">
            <v>891998.8</v>
          </cell>
          <cell r="E16">
            <v>0</v>
          </cell>
        </row>
      </sheetData>
      <sheetData sheetId="3">
        <row r="4">
          <cell r="D4">
            <v>1423420</v>
          </cell>
          <cell r="F4">
            <v>1001035.0097753695</v>
          </cell>
        </row>
        <row r="5">
          <cell r="D5">
            <v>813700</v>
          </cell>
          <cell r="F5">
            <v>572243.03961881821</v>
          </cell>
        </row>
        <row r="6">
          <cell r="D6">
            <v>848700</v>
          </cell>
          <cell r="F6">
            <v>424350</v>
          </cell>
        </row>
        <row r="7">
          <cell r="D7">
            <v>711955</v>
          </cell>
          <cell r="F7">
            <v>500689.80370138347</v>
          </cell>
        </row>
        <row r="8">
          <cell r="D8">
            <v>1362100</v>
          </cell>
          <cell r="F8">
            <v>957911.0781182159</v>
          </cell>
        </row>
        <row r="9">
          <cell r="D9">
            <v>711955</v>
          </cell>
          <cell r="F9">
            <v>500689.80370138347</v>
          </cell>
        </row>
        <row r="10">
          <cell r="D10">
            <v>1363200</v>
          </cell>
          <cell r="F10">
            <v>958684.66462869977</v>
          </cell>
        </row>
        <row r="11">
          <cell r="D11">
            <v>394827.5</v>
          </cell>
          <cell r="F11">
            <v>277666.57088005281</v>
          </cell>
        </row>
        <row r="12">
          <cell r="D12">
            <v>711955</v>
          </cell>
          <cell r="F1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19">
          <cell r="C19">
            <v>0.46911633474854525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showGridLines="0" topLeftCell="A16" zoomScale="80" zoomScaleNormal="80" workbookViewId="0">
      <pane xSplit="1" topLeftCell="B1" activePane="topRight" state="frozen"/>
      <selection pane="topRight" activeCell="C84" sqref="C84"/>
    </sheetView>
  </sheetViews>
  <sheetFormatPr baseColWidth="10" defaultRowHeight="15" x14ac:dyDescent="0.25"/>
  <cols>
    <col min="1" max="1" width="59.140625" customWidth="1"/>
    <col min="2" max="4" width="21.85546875" customWidth="1"/>
    <col min="5" max="5" width="25.140625" customWidth="1"/>
    <col min="6" max="6" width="21.85546875" customWidth="1"/>
    <col min="7" max="7" width="15.7109375" customWidth="1"/>
    <col min="8" max="8" width="21.28515625" customWidth="1"/>
    <col min="9" max="9" width="14.85546875" customWidth="1"/>
    <col min="10" max="10" width="22" customWidth="1"/>
    <col min="11" max="11" width="13.85546875" customWidth="1"/>
    <col min="12" max="12" width="21.85546875" customWidth="1"/>
    <col min="13" max="13" width="13.5703125" customWidth="1"/>
    <col min="14" max="14" width="21.140625" customWidth="1"/>
  </cols>
  <sheetData>
    <row r="1" spans="1:14" ht="15.75" customHeight="1" thickBot="1" x14ac:dyDescent="0.3">
      <c r="A1" s="216" t="s">
        <v>0</v>
      </c>
      <c r="B1" s="216" t="s">
        <v>1</v>
      </c>
      <c r="C1" s="216" t="s">
        <v>2</v>
      </c>
      <c r="D1" s="218" t="s">
        <v>3</v>
      </c>
      <c r="E1" s="216" t="s">
        <v>4</v>
      </c>
      <c r="F1" s="216" t="s">
        <v>5</v>
      </c>
      <c r="G1" s="223" t="s">
        <v>6</v>
      </c>
      <c r="H1" s="224"/>
      <c r="I1" s="224"/>
      <c r="J1" s="224"/>
      <c r="K1" s="224"/>
      <c r="L1" s="224"/>
      <c r="M1" s="224"/>
      <c r="N1" s="224"/>
    </row>
    <row r="2" spans="1:14" ht="22.5" customHeight="1" thickBot="1" x14ac:dyDescent="0.3">
      <c r="A2" s="217"/>
      <c r="B2" s="217"/>
      <c r="C2" s="217"/>
      <c r="D2" s="219"/>
      <c r="E2" s="217"/>
      <c r="F2" s="217"/>
      <c r="G2" s="225" t="s">
        <v>12</v>
      </c>
      <c r="H2" s="226"/>
      <c r="I2" s="225" t="s">
        <v>7</v>
      </c>
      <c r="J2" s="226"/>
      <c r="K2" s="225" t="s">
        <v>8</v>
      </c>
      <c r="L2" s="226"/>
      <c r="M2" s="225" t="s">
        <v>13</v>
      </c>
      <c r="N2" s="226"/>
    </row>
    <row r="3" spans="1:14" ht="24" customHeight="1" thickBot="1" x14ac:dyDescent="0.3">
      <c r="A3" s="70" t="s">
        <v>9</v>
      </c>
      <c r="B3" s="75"/>
      <c r="C3" s="75"/>
      <c r="D3" s="75"/>
      <c r="E3" s="1"/>
      <c r="F3" s="71"/>
      <c r="G3" s="2" t="s">
        <v>10</v>
      </c>
      <c r="H3" s="3" t="s">
        <v>11</v>
      </c>
      <c r="I3" s="2" t="s">
        <v>10</v>
      </c>
      <c r="J3" s="22" t="s">
        <v>11</v>
      </c>
      <c r="K3" s="2" t="s">
        <v>10</v>
      </c>
      <c r="L3" s="22" t="s">
        <v>11</v>
      </c>
      <c r="M3" s="2" t="s">
        <v>10</v>
      </c>
      <c r="N3" s="23" t="s">
        <v>11</v>
      </c>
    </row>
    <row r="4" spans="1:14" ht="28.5" customHeight="1" x14ac:dyDescent="0.25">
      <c r="A4" s="109" t="s">
        <v>50</v>
      </c>
      <c r="B4" s="88">
        <f>[1]Impuestos!$F3</f>
        <v>319326.58333333337</v>
      </c>
      <c r="C4" s="90"/>
      <c r="D4" s="38">
        <f>[1]Impuestos!$D3</f>
        <v>149801.31636110923</v>
      </c>
      <c r="E4" s="43" t="s">
        <v>107</v>
      </c>
      <c r="F4" s="51">
        <f>G4+I4+K4+M4</f>
        <v>4</v>
      </c>
      <c r="G4" s="51">
        <v>1</v>
      </c>
      <c r="H4" s="52">
        <f>IF(G4&gt;0,(D4/F4)*G4,0)</f>
        <v>37450.329090277308</v>
      </c>
      <c r="I4" s="53">
        <v>1</v>
      </c>
      <c r="J4" s="52">
        <f>IF(I4&gt;0,(D4/F4)*I4,0)</f>
        <v>37450.329090277308</v>
      </c>
      <c r="K4" s="54">
        <v>1</v>
      </c>
      <c r="L4" s="52">
        <f>IF(K4&gt;0,(D4/F4)*K4,0)</f>
        <v>37450.329090277308</v>
      </c>
      <c r="M4" s="51">
        <v>1</v>
      </c>
      <c r="N4" s="52">
        <f>IF(M4&gt;0,(D4/F4)*M4,0)</f>
        <v>37450.329090277308</v>
      </c>
    </row>
    <row r="5" spans="1:14" ht="29.25" customHeight="1" x14ac:dyDescent="0.25">
      <c r="A5" s="110" t="s">
        <v>49</v>
      </c>
      <c r="B5" s="89">
        <f>[1]Impuestos!$F4</f>
        <v>776395.16666666663</v>
      </c>
      <c r="C5" s="91"/>
      <c r="D5" s="37">
        <f>[1]Impuestos!$D4</f>
        <v>546008.02521653229</v>
      </c>
      <c r="E5" s="43" t="s">
        <v>106</v>
      </c>
      <c r="F5" s="42">
        <f t="shared" ref="F5:F70" si="0">G5+I5+K5+M5</f>
        <v>4</v>
      </c>
      <c r="G5" s="42">
        <v>1</v>
      </c>
      <c r="H5" s="56">
        <f t="shared" ref="H5:H82" si="1">IF(G5&gt;0,(D5/F5)*G5,0)</f>
        <v>136502.00630413307</v>
      </c>
      <c r="I5" s="57">
        <v>1</v>
      </c>
      <c r="J5" s="56">
        <f t="shared" ref="J5:J82" si="2">IF(I5&gt;0,(D5/F5)*I5,0)</f>
        <v>136502.00630413307</v>
      </c>
      <c r="K5" s="43">
        <v>1</v>
      </c>
      <c r="L5" s="56">
        <f t="shared" ref="L5:L82" si="3">IF(K5&gt;0,(D5/F5)*K5,0)</f>
        <v>136502.00630413307</v>
      </c>
      <c r="M5" s="42">
        <v>1</v>
      </c>
      <c r="N5" s="56">
        <f t="shared" ref="N5:N82" si="4">IF(M5&gt;0,(D5/F5)*M5,0)</f>
        <v>136502.00630413307</v>
      </c>
    </row>
    <row r="6" spans="1:14" ht="27" customHeight="1" x14ac:dyDescent="0.25">
      <c r="A6" s="110" t="s">
        <v>51</v>
      </c>
      <c r="B6" s="89">
        <f>[1]Impuestos!$F5</f>
        <v>127083.33333333333</v>
      </c>
      <c r="C6" s="91"/>
      <c r="D6" s="37">
        <f>[1]Impuestos!$D5</f>
        <v>89372.683976352637</v>
      </c>
      <c r="E6" s="43" t="s">
        <v>106</v>
      </c>
      <c r="F6" s="42">
        <f t="shared" si="0"/>
        <v>4</v>
      </c>
      <c r="G6" s="42">
        <v>1</v>
      </c>
      <c r="H6" s="56">
        <f t="shared" si="1"/>
        <v>22343.170994088159</v>
      </c>
      <c r="I6" s="57">
        <v>1</v>
      </c>
      <c r="J6" s="56">
        <f t="shared" si="2"/>
        <v>22343.170994088159</v>
      </c>
      <c r="K6" s="43">
        <v>1</v>
      </c>
      <c r="L6" s="56">
        <f t="shared" si="3"/>
        <v>22343.170994088159</v>
      </c>
      <c r="M6" s="42">
        <v>1</v>
      </c>
      <c r="N6" s="56">
        <f t="shared" si="4"/>
        <v>22343.170994088159</v>
      </c>
    </row>
    <row r="7" spans="1:14" ht="30.75" customHeight="1" x14ac:dyDescent="0.25">
      <c r="A7" s="110" t="s">
        <v>112</v>
      </c>
      <c r="B7" s="89">
        <f>[1]Impuestos!$F6</f>
        <v>1000000.0000000001</v>
      </c>
      <c r="C7" s="91"/>
      <c r="D7" s="37">
        <f>[1]Impuestos!$D6</f>
        <v>703260.46407621761</v>
      </c>
      <c r="E7" s="43" t="s">
        <v>106</v>
      </c>
      <c r="F7" s="42">
        <f t="shared" si="0"/>
        <v>4</v>
      </c>
      <c r="G7" s="42">
        <v>1</v>
      </c>
      <c r="H7" s="56">
        <f t="shared" si="1"/>
        <v>175815.1160190544</v>
      </c>
      <c r="I7" s="57">
        <v>1</v>
      </c>
      <c r="J7" s="56">
        <f t="shared" si="2"/>
        <v>175815.1160190544</v>
      </c>
      <c r="K7" s="43">
        <v>1</v>
      </c>
      <c r="L7" s="56">
        <f t="shared" si="3"/>
        <v>175815.1160190544</v>
      </c>
      <c r="M7" s="42">
        <v>1</v>
      </c>
      <c r="N7" s="56">
        <f t="shared" si="4"/>
        <v>175815.1160190544</v>
      </c>
    </row>
    <row r="8" spans="1:14" ht="30" customHeight="1" x14ac:dyDescent="0.25">
      <c r="A8" s="110" t="s">
        <v>113</v>
      </c>
      <c r="B8" s="89">
        <f>'[1]Servicios públicos'!$O4</f>
        <v>1472248.6666666667</v>
      </c>
      <c r="C8" s="91"/>
      <c r="D8" s="37">
        <f>'[1]Servicios públicos'!$J4</f>
        <v>632728.16235345637</v>
      </c>
      <c r="E8" s="43" t="s">
        <v>108</v>
      </c>
      <c r="F8" s="42">
        <f t="shared" si="0"/>
        <v>1230</v>
      </c>
      <c r="G8" s="42">
        <v>307.5</v>
      </c>
      <c r="H8" s="56">
        <f t="shared" si="1"/>
        <v>158182.04058836409</v>
      </c>
      <c r="I8" s="42">
        <v>307.5</v>
      </c>
      <c r="J8" s="56">
        <f t="shared" si="2"/>
        <v>158182.04058836409</v>
      </c>
      <c r="K8" s="42">
        <v>307.5</v>
      </c>
      <c r="L8" s="56">
        <f t="shared" si="3"/>
        <v>158182.04058836409</v>
      </c>
      <c r="M8" s="42">
        <v>307.5</v>
      </c>
      <c r="N8" s="56">
        <f t="shared" si="4"/>
        <v>158182.04058836409</v>
      </c>
    </row>
    <row r="9" spans="1:14" ht="33" customHeight="1" x14ac:dyDescent="0.25">
      <c r="A9" s="110" t="s">
        <v>52</v>
      </c>
      <c r="B9" s="89">
        <f>'[1]Servicios públicos'!$O5</f>
        <v>70485.666666666672</v>
      </c>
      <c r="C9" s="91"/>
      <c r="D9" s="37">
        <f>'[1]Servicios públicos'!$J5</f>
        <v>30494.438223994435</v>
      </c>
      <c r="E9" s="92" t="s">
        <v>109</v>
      </c>
      <c r="F9" s="42">
        <f t="shared" si="0"/>
        <v>20</v>
      </c>
      <c r="G9" s="42">
        <v>5</v>
      </c>
      <c r="H9" s="56">
        <f t="shared" si="1"/>
        <v>7623.6095559986088</v>
      </c>
      <c r="I9" s="57">
        <v>5</v>
      </c>
      <c r="J9" s="56">
        <f t="shared" si="2"/>
        <v>7623.6095559986088</v>
      </c>
      <c r="K9" s="43">
        <v>5</v>
      </c>
      <c r="L9" s="56">
        <f t="shared" si="3"/>
        <v>7623.6095559986088</v>
      </c>
      <c r="M9" s="42">
        <v>5</v>
      </c>
      <c r="N9" s="56">
        <f t="shared" si="4"/>
        <v>7623.6095559986088</v>
      </c>
    </row>
    <row r="10" spans="1:14" ht="33.75" customHeight="1" x14ac:dyDescent="0.25">
      <c r="A10" s="110" t="s">
        <v>53</v>
      </c>
      <c r="B10" s="89">
        <f>'[1]Servicios públicos'!$O6</f>
        <v>410000</v>
      </c>
      <c r="C10" s="91"/>
      <c r="D10" s="37">
        <f>'[1]Servicios públicos'!$J6</f>
        <v>192337.69724690355</v>
      </c>
      <c r="E10" s="43" t="s">
        <v>107</v>
      </c>
      <c r="F10" s="42">
        <f t="shared" si="0"/>
        <v>1</v>
      </c>
      <c r="G10" s="42">
        <v>1</v>
      </c>
      <c r="H10" s="56">
        <f t="shared" si="1"/>
        <v>192337.69724690355</v>
      </c>
      <c r="I10" s="57">
        <v>0</v>
      </c>
      <c r="J10" s="56">
        <f t="shared" si="2"/>
        <v>0</v>
      </c>
      <c r="K10" s="43">
        <v>0</v>
      </c>
      <c r="L10" s="56">
        <f t="shared" si="3"/>
        <v>0</v>
      </c>
      <c r="M10" s="42">
        <v>0</v>
      </c>
      <c r="N10" s="56">
        <f t="shared" si="4"/>
        <v>0</v>
      </c>
    </row>
    <row r="11" spans="1:14" ht="33" customHeight="1" x14ac:dyDescent="0.25">
      <c r="A11" s="110" t="s">
        <v>55</v>
      </c>
      <c r="B11" s="89">
        <f>'[1]Servicios públicos'!$O7</f>
        <v>528325.93789530685</v>
      </c>
      <c r="C11" s="91"/>
      <c r="D11" s="37">
        <f>'[1]Servicios públicos'!$J7</f>
        <v>235496.40004376971</v>
      </c>
      <c r="E11" s="43" t="s">
        <v>107</v>
      </c>
      <c r="F11" s="42">
        <f t="shared" si="0"/>
        <v>2</v>
      </c>
      <c r="G11" s="42">
        <v>0</v>
      </c>
      <c r="H11" s="56">
        <f t="shared" si="1"/>
        <v>0</v>
      </c>
      <c r="I11" s="57">
        <v>1</v>
      </c>
      <c r="J11" s="56">
        <f t="shared" si="2"/>
        <v>117748.20002188486</v>
      </c>
      <c r="K11" s="43">
        <v>0</v>
      </c>
      <c r="L11" s="56">
        <f t="shared" si="3"/>
        <v>0</v>
      </c>
      <c r="M11" s="42">
        <v>1</v>
      </c>
      <c r="N11" s="56">
        <f t="shared" si="4"/>
        <v>117748.20002188486</v>
      </c>
    </row>
    <row r="12" spans="1:14" ht="33" customHeight="1" x14ac:dyDescent="0.25">
      <c r="A12" s="110" t="s">
        <v>134</v>
      </c>
      <c r="B12" s="89">
        <f>'[1]Servicios públicos'!$O8</f>
        <v>1238000</v>
      </c>
      <c r="C12" s="91"/>
      <c r="D12" s="37">
        <f>'[1]Servicios públicos'!$J8</f>
        <v>580766.02241869899</v>
      </c>
      <c r="E12" s="43" t="s">
        <v>107</v>
      </c>
      <c r="F12" s="42">
        <f t="shared" si="0"/>
        <v>1</v>
      </c>
      <c r="G12" s="42">
        <v>1</v>
      </c>
      <c r="H12" s="56">
        <f t="shared" si="1"/>
        <v>580766.02241869899</v>
      </c>
      <c r="I12" s="57">
        <v>0</v>
      </c>
      <c r="J12" s="56">
        <f t="shared" si="2"/>
        <v>0</v>
      </c>
      <c r="K12" s="43">
        <v>0</v>
      </c>
      <c r="L12" s="56">
        <f t="shared" si="3"/>
        <v>0</v>
      </c>
      <c r="M12" s="42">
        <v>0</v>
      </c>
      <c r="N12" s="56">
        <f t="shared" si="4"/>
        <v>0</v>
      </c>
    </row>
    <row r="13" spans="1:14" ht="33" customHeight="1" x14ac:dyDescent="0.25">
      <c r="A13" s="110" t="s">
        <v>56</v>
      </c>
      <c r="B13" s="89">
        <f>'[1]Servicios públicos'!$O9</f>
        <v>40000</v>
      </c>
      <c r="C13" s="91"/>
      <c r="D13" s="37">
        <f>'[1]Servicios públicos'!$J9</f>
        <v>40000</v>
      </c>
      <c r="E13" s="43" t="s">
        <v>110</v>
      </c>
      <c r="F13" s="42">
        <f t="shared" si="0"/>
        <v>4</v>
      </c>
      <c r="G13" s="42">
        <v>1</v>
      </c>
      <c r="H13" s="56">
        <f t="shared" si="1"/>
        <v>10000</v>
      </c>
      <c r="I13" s="57">
        <v>1</v>
      </c>
      <c r="J13" s="56">
        <f t="shared" si="2"/>
        <v>10000</v>
      </c>
      <c r="K13" s="43">
        <v>1</v>
      </c>
      <c r="L13" s="56">
        <f t="shared" si="3"/>
        <v>10000</v>
      </c>
      <c r="M13" s="42">
        <v>1</v>
      </c>
      <c r="N13" s="56">
        <f t="shared" si="4"/>
        <v>10000</v>
      </c>
    </row>
    <row r="14" spans="1:14" ht="33" customHeight="1" x14ac:dyDescent="0.25">
      <c r="A14" s="110" t="s">
        <v>57</v>
      </c>
      <c r="B14" s="89">
        <f>'[1]Servicios públicos'!$O10</f>
        <v>670257</v>
      </c>
      <c r="C14" s="91"/>
      <c r="D14" s="37">
        <f>'[1]Servicios públicos'!$J10</f>
        <v>343707.78960000002</v>
      </c>
      <c r="E14" s="43" t="s">
        <v>107</v>
      </c>
      <c r="F14" s="42">
        <f t="shared" si="0"/>
        <v>4</v>
      </c>
      <c r="G14" s="42">
        <v>1</v>
      </c>
      <c r="H14" s="56">
        <f t="shared" si="1"/>
        <v>85926.947400000005</v>
      </c>
      <c r="I14" s="57">
        <v>1</v>
      </c>
      <c r="J14" s="56">
        <f t="shared" si="2"/>
        <v>85926.947400000005</v>
      </c>
      <c r="K14" s="43">
        <v>1</v>
      </c>
      <c r="L14" s="56">
        <f t="shared" si="3"/>
        <v>85926.947400000005</v>
      </c>
      <c r="M14" s="42">
        <v>1</v>
      </c>
      <c r="N14" s="56">
        <f t="shared" si="4"/>
        <v>85926.947400000005</v>
      </c>
    </row>
    <row r="15" spans="1:14" ht="27.75" customHeight="1" x14ac:dyDescent="0.25">
      <c r="A15" s="110" t="s">
        <v>54</v>
      </c>
      <c r="B15" s="89">
        <v>300794.6283333333</v>
      </c>
      <c r="C15" s="91"/>
      <c r="D15" s="37">
        <f>'[1]Servicios públicos'!$J11</f>
        <v>0</v>
      </c>
      <c r="E15" s="43" t="s">
        <v>110</v>
      </c>
      <c r="F15" s="42">
        <f t="shared" si="0"/>
        <v>0</v>
      </c>
      <c r="G15" s="42">
        <v>0</v>
      </c>
      <c r="H15" s="56">
        <f t="shared" si="1"/>
        <v>0</v>
      </c>
      <c r="I15" s="57">
        <v>0</v>
      </c>
      <c r="J15" s="56">
        <f t="shared" si="2"/>
        <v>0</v>
      </c>
      <c r="K15" s="43">
        <v>0</v>
      </c>
      <c r="L15" s="56">
        <f t="shared" si="3"/>
        <v>0</v>
      </c>
      <c r="M15" s="42">
        <v>0</v>
      </c>
      <c r="N15" s="56">
        <f t="shared" si="4"/>
        <v>0</v>
      </c>
    </row>
    <row r="16" spans="1:14" ht="33" customHeight="1" x14ac:dyDescent="0.25">
      <c r="A16" s="110" t="s">
        <v>58</v>
      </c>
      <c r="B16" s="89">
        <f>[1]Arriendos!$E$14</f>
        <v>4464150</v>
      </c>
      <c r="C16" s="91"/>
      <c r="D16" s="37">
        <f>[1]Arriendos!$D$20</f>
        <v>3139460.2007058468</v>
      </c>
      <c r="E16" s="43" t="s">
        <v>106</v>
      </c>
      <c r="F16" s="42">
        <f t="shared" si="0"/>
        <v>4</v>
      </c>
      <c r="G16" s="42">
        <v>1</v>
      </c>
      <c r="H16" s="56">
        <f t="shared" si="1"/>
        <v>784865.05017646169</v>
      </c>
      <c r="I16" s="57">
        <v>1</v>
      </c>
      <c r="J16" s="56">
        <f t="shared" si="2"/>
        <v>784865.05017646169</v>
      </c>
      <c r="K16" s="43">
        <v>1</v>
      </c>
      <c r="L16" s="56">
        <f t="shared" si="3"/>
        <v>784865.05017646169</v>
      </c>
      <c r="M16" s="42">
        <v>1</v>
      </c>
      <c r="N16" s="56">
        <f t="shared" si="4"/>
        <v>784865.05017646169</v>
      </c>
    </row>
    <row r="17" spans="1:14" ht="32.25" customHeight="1" x14ac:dyDescent="0.25">
      <c r="A17" s="110" t="s">
        <v>139</v>
      </c>
      <c r="B17" s="89">
        <f>[1]Sistematización!$D$4</f>
        <v>1000000</v>
      </c>
      <c r="C17" s="91"/>
      <c r="D17" s="37">
        <f>[1]Sistematización!$D$10</f>
        <v>703260.46407621761</v>
      </c>
      <c r="E17" s="43" t="s">
        <v>106</v>
      </c>
      <c r="F17" s="42">
        <f t="shared" si="0"/>
        <v>2</v>
      </c>
      <c r="G17" s="42">
        <v>0</v>
      </c>
      <c r="H17" s="56">
        <f t="shared" si="1"/>
        <v>0</v>
      </c>
      <c r="I17" s="57">
        <v>1</v>
      </c>
      <c r="J17" s="56">
        <f t="shared" si="2"/>
        <v>351630.23203810881</v>
      </c>
      <c r="K17" s="43">
        <v>0</v>
      </c>
      <c r="L17" s="56">
        <f t="shared" si="3"/>
        <v>0</v>
      </c>
      <c r="M17" s="42">
        <v>1</v>
      </c>
      <c r="N17" s="56">
        <f t="shared" si="4"/>
        <v>351630.23203810881</v>
      </c>
    </row>
    <row r="18" spans="1:14" ht="30.75" customHeight="1" x14ac:dyDescent="0.25">
      <c r="A18" s="110" t="s">
        <v>59</v>
      </c>
      <c r="B18" s="89">
        <f>[1]papeleria!$C$40</f>
        <v>1516163.4740000002</v>
      </c>
      <c r="C18" s="91"/>
      <c r="D18" s="37">
        <f>[1]papeleria!$C$38</f>
        <v>1037993.9505788467</v>
      </c>
      <c r="E18" s="43" t="s">
        <v>106</v>
      </c>
      <c r="F18" s="42">
        <f t="shared" si="0"/>
        <v>64</v>
      </c>
      <c r="G18" s="42">
        <v>0</v>
      </c>
      <c r="H18" s="56">
        <f t="shared" si="1"/>
        <v>0</v>
      </c>
      <c r="I18" s="57">
        <v>0</v>
      </c>
      <c r="J18" s="56">
        <f t="shared" si="2"/>
        <v>0</v>
      </c>
      <c r="K18" s="43">
        <v>0</v>
      </c>
      <c r="L18" s="56">
        <f t="shared" si="3"/>
        <v>0</v>
      </c>
      <c r="M18" s="42">
        <v>64</v>
      </c>
      <c r="N18" s="56">
        <f t="shared" si="4"/>
        <v>1037993.9505788467</v>
      </c>
    </row>
    <row r="19" spans="1:14" ht="33" customHeight="1" x14ac:dyDescent="0.25">
      <c r="A19" s="110" t="s">
        <v>60</v>
      </c>
      <c r="B19" s="89">
        <f>[1]Mantenimiento!$M4</f>
        <v>53333.333333333336</v>
      </c>
      <c r="C19" s="91"/>
      <c r="D19" s="37">
        <f>[1]Mantenimiento!$K4</f>
        <v>25019.537853255748</v>
      </c>
      <c r="E19" s="43" t="s">
        <v>107</v>
      </c>
      <c r="F19" s="42">
        <f t="shared" si="0"/>
        <v>4</v>
      </c>
      <c r="G19" s="42">
        <v>1</v>
      </c>
      <c r="H19" s="56">
        <f t="shared" si="1"/>
        <v>6254.884463313937</v>
      </c>
      <c r="I19" s="57">
        <v>1</v>
      </c>
      <c r="J19" s="56">
        <f t="shared" si="2"/>
        <v>6254.884463313937</v>
      </c>
      <c r="K19" s="43">
        <v>1</v>
      </c>
      <c r="L19" s="56">
        <f t="shared" si="3"/>
        <v>6254.884463313937</v>
      </c>
      <c r="M19" s="42">
        <v>1</v>
      </c>
      <c r="N19" s="56">
        <f t="shared" si="4"/>
        <v>6254.884463313937</v>
      </c>
    </row>
    <row r="20" spans="1:14" ht="30" customHeight="1" x14ac:dyDescent="0.25">
      <c r="A20" s="110" t="s">
        <v>61</v>
      </c>
      <c r="B20" s="89">
        <f>[1]Mantenimiento!$M5</f>
        <v>241200</v>
      </c>
      <c r="C20" s="91"/>
      <c r="D20" s="37">
        <f>[1]Mantenimiento!$K5</f>
        <v>113150.85994134912</v>
      </c>
      <c r="E20" s="43" t="s">
        <v>107</v>
      </c>
      <c r="F20" s="42">
        <f t="shared" si="0"/>
        <v>4</v>
      </c>
      <c r="G20" s="42">
        <v>1</v>
      </c>
      <c r="H20" s="56">
        <f t="shared" si="1"/>
        <v>28287.714985337279</v>
      </c>
      <c r="I20" s="57">
        <v>1</v>
      </c>
      <c r="J20" s="56">
        <f t="shared" si="2"/>
        <v>28287.714985337279</v>
      </c>
      <c r="K20" s="43">
        <v>1</v>
      </c>
      <c r="L20" s="56">
        <f t="shared" si="3"/>
        <v>28287.714985337279</v>
      </c>
      <c r="M20" s="42">
        <v>1</v>
      </c>
      <c r="N20" s="56">
        <f t="shared" si="4"/>
        <v>28287.714985337279</v>
      </c>
    </row>
    <row r="21" spans="1:14" ht="33" customHeight="1" x14ac:dyDescent="0.25">
      <c r="A21" s="110" t="s">
        <v>62</v>
      </c>
      <c r="B21" s="89">
        <f>[1]Mantenimiento!$M$6</f>
        <v>80666.666666666672</v>
      </c>
      <c r="C21" s="91"/>
      <c r="D21" s="37">
        <f>[1]Mantenimiento!$K6</f>
        <v>37842.051003049317</v>
      </c>
      <c r="E21" s="43" t="s">
        <v>107</v>
      </c>
      <c r="F21" s="42">
        <f t="shared" si="0"/>
        <v>4</v>
      </c>
      <c r="G21" s="42">
        <v>1</v>
      </c>
      <c r="H21" s="56">
        <f t="shared" si="1"/>
        <v>9460.5127507623292</v>
      </c>
      <c r="I21" s="57">
        <v>1</v>
      </c>
      <c r="J21" s="56">
        <f t="shared" si="2"/>
        <v>9460.5127507623292</v>
      </c>
      <c r="K21" s="43">
        <v>1</v>
      </c>
      <c r="L21" s="56">
        <f t="shared" si="3"/>
        <v>9460.5127507623292</v>
      </c>
      <c r="M21" s="42">
        <v>1</v>
      </c>
      <c r="N21" s="56">
        <f t="shared" si="4"/>
        <v>9460.5127507623292</v>
      </c>
    </row>
    <row r="22" spans="1:14" ht="32.25" customHeight="1" x14ac:dyDescent="0.25">
      <c r="A22" s="111" t="s">
        <v>63</v>
      </c>
      <c r="B22" s="89">
        <f>[1]Mantenimiento!$M7</f>
        <v>63850.666666666672</v>
      </c>
      <c r="C22" s="91"/>
      <c r="D22" s="37">
        <f>[1]Mantenimiento!$K7</f>
        <v>29953.39071791778</v>
      </c>
      <c r="E22" s="43" t="s">
        <v>107</v>
      </c>
      <c r="F22" s="42">
        <f t="shared" si="0"/>
        <v>4</v>
      </c>
      <c r="G22" s="42">
        <v>1</v>
      </c>
      <c r="H22" s="56">
        <f t="shared" si="1"/>
        <v>7488.3476794794451</v>
      </c>
      <c r="I22" s="57">
        <v>1</v>
      </c>
      <c r="J22" s="56">
        <f>IF(I22&gt;0,(D22/F22)*I22,0)</f>
        <v>7488.3476794794451</v>
      </c>
      <c r="K22" s="43">
        <v>1</v>
      </c>
      <c r="L22" s="56">
        <f t="shared" si="3"/>
        <v>7488.3476794794451</v>
      </c>
      <c r="M22" s="42">
        <v>1</v>
      </c>
      <c r="N22" s="56">
        <f t="shared" si="4"/>
        <v>7488.3476794794451</v>
      </c>
    </row>
    <row r="23" spans="1:14" ht="30" customHeight="1" x14ac:dyDescent="0.25">
      <c r="A23" s="111" t="s">
        <v>135</v>
      </c>
      <c r="B23" s="89">
        <f>[1]Mantenimiento!$M8</f>
        <v>1942166.6666666667</v>
      </c>
      <c r="C23" s="91"/>
      <c r="D23" s="37">
        <f>[1]Mantenimiento!$K8</f>
        <v>1942166.6666666667</v>
      </c>
      <c r="E23" s="43" t="s">
        <v>107</v>
      </c>
      <c r="F23" s="42">
        <f t="shared" si="0"/>
        <v>4</v>
      </c>
      <c r="G23" s="42">
        <v>1</v>
      </c>
      <c r="H23" s="56">
        <f t="shared" si="1"/>
        <v>485541.66666666669</v>
      </c>
      <c r="I23" s="57">
        <v>1</v>
      </c>
      <c r="J23" s="56">
        <f>IF(I23&gt;0,(D23/F23)*I23,0)</f>
        <v>485541.66666666669</v>
      </c>
      <c r="K23" s="43">
        <v>1</v>
      </c>
      <c r="L23" s="56">
        <f t="shared" si="3"/>
        <v>485541.66666666669</v>
      </c>
      <c r="M23" s="42">
        <v>1</v>
      </c>
      <c r="N23" s="56">
        <f t="shared" si="4"/>
        <v>485541.66666666669</v>
      </c>
    </row>
    <row r="24" spans="1:14" ht="30" customHeight="1" x14ac:dyDescent="0.25">
      <c r="A24" s="112" t="s">
        <v>138</v>
      </c>
      <c r="B24" s="89">
        <f>[1]Mantenimiento!$M9</f>
        <v>149888</v>
      </c>
      <c r="C24" s="80"/>
      <c r="D24" s="37">
        <f>[1]Mantenimiento!$K9</f>
        <v>0</v>
      </c>
      <c r="E24" s="43" t="s">
        <v>110</v>
      </c>
      <c r="F24" s="42">
        <f t="shared" si="0"/>
        <v>0</v>
      </c>
      <c r="G24" s="42">
        <v>0</v>
      </c>
      <c r="H24" s="56">
        <f t="shared" si="1"/>
        <v>0</v>
      </c>
      <c r="I24" s="57">
        <v>0</v>
      </c>
      <c r="J24" s="56">
        <f>IF(I24&gt;0,(D24/F24)*I24,0)</f>
        <v>0</v>
      </c>
      <c r="K24" s="43">
        <v>0</v>
      </c>
      <c r="L24" s="56">
        <f t="shared" si="3"/>
        <v>0</v>
      </c>
      <c r="M24" s="42">
        <v>0</v>
      </c>
      <c r="N24" s="56">
        <f t="shared" si="4"/>
        <v>0</v>
      </c>
    </row>
    <row r="25" spans="1:14" ht="27" customHeight="1" x14ac:dyDescent="0.25">
      <c r="A25" s="111" t="s">
        <v>64</v>
      </c>
      <c r="B25" s="89">
        <f>[1]Depreciación!$F3</f>
        <v>373027.16666666669</v>
      </c>
      <c r="C25" s="91"/>
      <c r="D25" s="37">
        <f>[1]Depreciación!$F13</f>
        <v>262335.25834303658</v>
      </c>
      <c r="E25" s="43" t="s">
        <v>106</v>
      </c>
      <c r="F25" s="42">
        <f t="shared" si="0"/>
        <v>4</v>
      </c>
      <c r="G25" s="42">
        <v>1</v>
      </c>
      <c r="H25" s="56">
        <f t="shared" si="1"/>
        <v>65583.814585759144</v>
      </c>
      <c r="I25" s="57">
        <v>1</v>
      </c>
      <c r="J25" s="56">
        <f t="shared" si="2"/>
        <v>65583.814585759144</v>
      </c>
      <c r="K25" s="43">
        <v>1</v>
      </c>
      <c r="L25" s="56">
        <f t="shared" si="3"/>
        <v>65583.814585759144</v>
      </c>
      <c r="M25" s="42">
        <v>1</v>
      </c>
      <c r="N25" s="56">
        <f t="shared" si="4"/>
        <v>65583.814585759144</v>
      </c>
    </row>
    <row r="26" spans="1:14" ht="29.25" customHeight="1" x14ac:dyDescent="0.25">
      <c r="A26" s="110" t="s">
        <v>65</v>
      </c>
      <c r="B26" s="89">
        <f>[1]Depreciación!$F4</f>
        <v>824659.5</v>
      </c>
      <c r="C26" s="91"/>
      <c r="D26" s="37">
        <f>[1]Depreciación!$F14</f>
        <v>579950.4226748615</v>
      </c>
      <c r="E26" s="43" t="s">
        <v>106</v>
      </c>
      <c r="F26" s="42">
        <f t="shared" si="0"/>
        <v>4</v>
      </c>
      <c r="G26" s="42">
        <v>1</v>
      </c>
      <c r="H26" s="56">
        <f t="shared" si="1"/>
        <v>144987.60566871538</v>
      </c>
      <c r="I26" s="57">
        <v>1</v>
      </c>
      <c r="J26" s="56">
        <f t="shared" si="2"/>
        <v>144987.60566871538</v>
      </c>
      <c r="K26" s="43">
        <v>1</v>
      </c>
      <c r="L26" s="56">
        <f t="shared" si="3"/>
        <v>144987.60566871538</v>
      </c>
      <c r="M26" s="42">
        <v>1</v>
      </c>
      <c r="N26" s="56">
        <f t="shared" si="4"/>
        <v>144987.60566871538</v>
      </c>
    </row>
    <row r="27" spans="1:14" ht="29.25" customHeight="1" x14ac:dyDescent="0.25">
      <c r="A27" s="110" t="s">
        <v>66</v>
      </c>
      <c r="B27" s="89">
        <f>[1]Depreciación!$F5</f>
        <v>46333.333333333336</v>
      </c>
      <c r="C27" s="91"/>
      <c r="D27" s="37">
        <f>[1]Depreciación!$F15</f>
        <v>32584.401502198081</v>
      </c>
      <c r="E27" s="43" t="s">
        <v>106</v>
      </c>
      <c r="F27" s="42">
        <f t="shared" si="0"/>
        <v>4</v>
      </c>
      <c r="G27" s="42">
        <v>1</v>
      </c>
      <c r="H27" s="56">
        <f t="shared" si="1"/>
        <v>8146.1003755495203</v>
      </c>
      <c r="I27" s="57">
        <v>1</v>
      </c>
      <c r="J27" s="56">
        <f t="shared" si="2"/>
        <v>8146.1003755495203</v>
      </c>
      <c r="K27" s="43">
        <v>1</v>
      </c>
      <c r="L27" s="56">
        <f t="shared" si="3"/>
        <v>8146.1003755495203</v>
      </c>
      <c r="M27" s="42">
        <v>1</v>
      </c>
      <c r="N27" s="56">
        <f t="shared" si="4"/>
        <v>8146.1003755495203</v>
      </c>
    </row>
    <row r="28" spans="1:14" ht="30.75" customHeight="1" x14ac:dyDescent="0.25">
      <c r="A28" s="111" t="s">
        <v>67</v>
      </c>
      <c r="B28" s="89">
        <f>[1]Depreciación!$F6</f>
        <v>1274459.5833333333</v>
      </c>
      <c r="C28" s="91"/>
      <c r="D28" s="37">
        <f>[1]Depreciación!$F16</f>
        <v>896277.03802138276</v>
      </c>
      <c r="E28" s="43" t="s">
        <v>106</v>
      </c>
      <c r="F28" s="42">
        <f t="shared" si="0"/>
        <v>4</v>
      </c>
      <c r="G28" s="42">
        <v>1</v>
      </c>
      <c r="H28" s="56">
        <f t="shared" si="1"/>
        <v>224069.25950534569</v>
      </c>
      <c r="I28" s="57">
        <v>1</v>
      </c>
      <c r="J28" s="56">
        <f t="shared" si="2"/>
        <v>224069.25950534569</v>
      </c>
      <c r="K28" s="43">
        <v>1</v>
      </c>
      <c r="L28" s="56">
        <f t="shared" si="3"/>
        <v>224069.25950534569</v>
      </c>
      <c r="M28" s="42">
        <v>1</v>
      </c>
      <c r="N28" s="56">
        <f t="shared" si="4"/>
        <v>224069.25950534569</v>
      </c>
    </row>
    <row r="29" spans="1:14" ht="30.75" customHeight="1" x14ac:dyDescent="0.25">
      <c r="A29" s="111" t="s">
        <v>133</v>
      </c>
      <c r="B29" s="89">
        <f>[1]Depreciación!$F7</f>
        <v>1884585.75</v>
      </c>
      <c r="C29" s="91"/>
      <c r="D29" s="37">
        <f>[1]Depreciación!$F17</f>
        <v>0</v>
      </c>
      <c r="E29" s="43" t="s">
        <v>110</v>
      </c>
      <c r="F29" s="42">
        <f t="shared" si="0"/>
        <v>0</v>
      </c>
      <c r="G29" s="42">
        <v>0</v>
      </c>
      <c r="H29" s="56">
        <f t="shared" si="1"/>
        <v>0</v>
      </c>
      <c r="I29" s="57">
        <v>0</v>
      </c>
      <c r="J29" s="56">
        <f t="shared" si="2"/>
        <v>0</v>
      </c>
      <c r="K29" s="43">
        <v>0</v>
      </c>
      <c r="L29" s="56">
        <f t="shared" si="3"/>
        <v>0</v>
      </c>
      <c r="M29" s="42">
        <v>0</v>
      </c>
      <c r="N29" s="56">
        <f t="shared" si="4"/>
        <v>0</v>
      </c>
    </row>
    <row r="30" spans="1:14" ht="30" customHeight="1" x14ac:dyDescent="0.25">
      <c r="A30" s="110" t="s">
        <v>68</v>
      </c>
      <c r="B30" s="89">
        <f>[1]Seguros!$E3</f>
        <v>734431.66666666663</v>
      </c>
      <c r="C30" s="91"/>
      <c r="D30" s="37">
        <f>[1]Seguros!$E10</f>
        <v>0</v>
      </c>
      <c r="E30" s="43" t="s">
        <v>110</v>
      </c>
      <c r="F30" s="42">
        <f t="shared" si="0"/>
        <v>0</v>
      </c>
      <c r="G30" s="42">
        <v>0</v>
      </c>
      <c r="H30" s="56">
        <f t="shared" si="1"/>
        <v>0</v>
      </c>
      <c r="I30" s="57">
        <v>0</v>
      </c>
      <c r="J30" s="56">
        <f t="shared" si="2"/>
        <v>0</v>
      </c>
      <c r="K30" s="43">
        <v>0</v>
      </c>
      <c r="L30" s="56">
        <f t="shared" si="3"/>
        <v>0</v>
      </c>
      <c r="M30" s="42">
        <v>0</v>
      </c>
      <c r="N30" s="56">
        <f t="shared" si="4"/>
        <v>0</v>
      </c>
    </row>
    <row r="31" spans="1:14" ht="29.25" customHeight="1" x14ac:dyDescent="0.25">
      <c r="A31" s="110" t="s">
        <v>69</v>
      </c>
      <c r="B31" s="89">
        <f>[1]Seguros!$E4</f>
        <v>71566.666666666672</v>
      </c>
      <c r="C31" s="91"/>
      <c r="D31" s="37">
        <f>[1]Seguros!$E11</f>
        <v>71566.666666666672</v>
      </c>
      <c r="E31" s="43" t="s">
        <v>110</v>
      </c>
      <c r="F31" s="42">
        <f t="shared" si="0"/>
        <v>4</v>
      </c>
      <c r="G31" s="42">
        <v>1</v>
      </c>
      <c r="H31" s="56">
        <f t="shared" si="1"/>
        <v>17891.666666666668</v>
      </c>
      <c r="I31" s="57">
        <v>1</v>
      </c>
      <c r="J31" s="56">
        <f t="shared" si="2"/>
        <v>17891.666666666668</v>
      </c>
      <c r="K31" s="43">
        <v>1</v>
      </c>
      <c r="L31" s="56">
        <f t="shared" si="3"/>
        <v>17891.666666666668</v>
      </c>
      <c r="M31" s="42">
        <v>1</v>
      </c>
      <c r="N31" s="56">
        <f t="shared" si="4"/>
        <v>17891.666666666668</v>
      </c>
    </row>
    <row r="32" spans="1:14" ht="29.25" customHeight="1" x14ac:dyDescent="0.25">
      <c r="A32" s="107" t="s">
        <v>140</v>
      </c>
      <c r="B32" s="89">
        <f>[1]Diversos!$F3</f>
        <v>378944.33333333331</v>
      </c>
      <c r="C32" s="91"/>
      <c r="D32" s="37">
        <f>[1]Diversos!$D17</f>
        <v>266496.56771905289</v>
      </c>
      <c r="E32" s="43" t="s">
        <v>106</v>
      </c>
      <c r="F32" s="42">
        <f t="shared" si="0"/>
        <v>4</v>
      </c>
      <c r="G32" s="42">
        <v>1</v>
      </c>
      <c r="H32" s="56">
        <f t="shared" si="1"/>
        <v>66624.141929763224</v>
      </c>
      <c r="I32" s="57">
        <v>1</v>
      </c>
      <c r="J32" s="56">
        <f t="shared" si="2"/>
        <v>66624.141929763224</v>
      </c>
      <c r="K32" s="43">
        <v>1</v>
      </c>
      <c r="L32" s="56">
        <f t="shared" si="3"/>
        <v>66624.141929763224</v>
      </c>
      <c r="M32" s="42">
        <v>1</v>
      </c>
      <c r="N32" s="56">
        <f t="shared" si="4"/>
        <v>66624.141929763224</v>
      </c>
    </row>
    <row r="33" spans="1:14" ht="29.25" customHeight="1" x14ac:dyDescent="0.25">
      <c r="A33" s="107" t="s">
        <v>141</v>
      </c>
      <c r="B33" s="89">
        <f>[1]Diversos!$F4</f>
        <v>786571.66666666663</v>
      </c>
      <c r="C33" s="91"/>
      <c r="D33" s="37">
        <f>[1]Diversos!$D18</f>
        <v>0</v>
      </c>
      <c r="E33" s="43" t="s">
        <v>110</v>
      </c>
      <c r="F33" s="42">
        <f t="shared" si="0"/>
        <v>0</v>
      </c>
      <c r="G33" s="42">
        <v>0</v>
      </c>
      <c r="H33" s="56">
        <f>IF(G33&gt;0,(D33/F33)*G33,0)</f>
        <v>0</v>
      </c>
      <c r="I33" s="57">
        <v>0</v>
      </c>
      <c r="J33" s="56">
        <f t="shared" si="2"/>
        <v>0</v>
      </c>
      <c r="K33" s="43">
        <v>0</v>
      </c>
      <c r="L33" s="56">
        <f t="shared" si="3"/>
        <v>0</v>
      </c>
      <c r="M33" s="42">
        <v>0</v>
      </c>
      <c r="N33" s="56">
        <f t="shared" si="4"/>
        <v>0</v>
      </c>
    </row>
    <row r="34" spans="1:14" ht="29.25" customHeight="1" x14ac:dyDescent="0.25">
      <c r="A34" s="107" t="s">
        <v>142</v>
      </c>
      <c r="B34" s="89">
        <f>[1]Diversos!$F5</f>
        <v>7924390</v>
      </c>
      <c r="C34" s="91"/>
      <c r="D34" s="37">
        <f>[1]Diversos!$D19</f>
        <v>7924390</v>
      </c>
      <c r="E34" s="43" t="s">
        <v>110</v>
      </c>
      <c r="F34" s="42">
        <f t="shared" si="0"/>
        <v>4</v>
      </c>
      <c r="G34" s="42">
        <v>1</v>
      </c>
      <c r="H34" s="56">
        <f t="shared" ref="H34:H41" si="5">IF(G34&gt;0,(D34/F34)*G34,0)</f>
        <v>1981097.5</v>
      </c>
      <c r="I34" s="57">
        <v>1</v>
      </c>
      <c r="J34" s="56">
        <f t="shared" si="2"/>
        <v>1981097.5</v>
      </c>
      <c r="K34" s="43">
        <v>1</v>
      </c>
      <c r="L34" s="56">
        <f t="shared" si="3"/>
        <v>1981097.5</v>
      </c>
      <c r="M34" s="42">
        <v>1</v>
      </c>
      <c r="N34" s="56">
        <f t="shared" si="4"/>
        <v>1981097.5</v>
      </c>
    </row>
    <row r="35" spans="1:14" ht="29.25" customHeight="1" x14ac:dyDescent="0.25">
      <c r="A35" s="107" t="s">
        <v>143</v>
      </c>
      <c r="B35" s="89">
        <f>[1]Diversos!$F6</f>
        <v>334133.33333333331</v>
      </c>
      <c r="C35" s="91"/>
      <c r="D35" s="37">
        <f>[1]Diversos!$D20</f>
        <v>234982.76306333349</v>
      </c>
      <c r="E35" s="43" t="s">
        <v>106</v>
      </c>
      <c r="F35" s="42">
        <f t="shared" si="0"/>
        <v>4</v>
      </c>
      <c r="G35" s="42">
        <v>1</v>
      </c>
      <c r="H35" s="56">
        <f t="shared" si="5"/>
        <v>58745.690765833373</v>
      </c>
      <c r="I35" s="57">
        <v>1</v>
      </c>
      <c r="J35" s="56">
        <f t="shared" si="2"/>
        <v>58745.690765833373</v>
      </c>
      <c r="K35" s="43">
        <v>1</v>
      </c>
      <c r="L35" s="56">
        <f t="shared" si="3"/>
        <v>58745.690765833373</v>
      </c>
      <c r="M35" s="42">
        <v>1</v>
      </c>
      <c r="N35" s="56">
        <f t="shared" si="4"/>
        <v>58745.690765833373</v>
      </c>
    </row>
    <row r="36" spans="1:14" ht="29.25" customHeight="1" x14ac:dyDescent="0.25">
      <c r="A36" s="107" t="s">
        <v>144</v>
      </c>
      <c r="B36" s="89">
        <f>[1]Diversos!$F7</f>
        <v>657000</v>
      </c>
      <c r="C36" s="91"/>
      <c r="D36" s="37">
        <f>[1]Diversos!$D21</f>
        <v>462042.12489807495</v>
      </c>
      <c r="E36" s="43" t="s">
        <v>106</v>
      </c>
      <c r="F36" s="42">
        <f t="shared" si="0"/>
        <v>4</v>
      </c>
      <c r="G36" s="42">
        <v>1</v>
      </c>
      <c r="H36" s="56">
        <f t="shared" si="5"/>
        <v>115510.53122451874</v>
      </c>
      <c r="I36" s="57">
        <v>1</v>
      </c>
      <c r="J36" s="56">
        <f t="shared" si="2"/>
        <v>115510.53122451874</v>
      </c>
      <c r="K36" s="43">
        <v>1</v>
      </c>
      <c r="L36" s="56">
        <f t="shared" si="3"/>
        <v>115510.53122451874</v>
      </c>
      <c r="M36" s="42">
        <v>1</v>
      </c>
      <c r="N36" s="56">
        <f t="shared" si="4"/>
        <v>115510.53122451874</v>
      </c>
    </row>
    <row r="37" spans="1:14" ht="29.25" customHeight="1" x14ac:dyDescent="0.25">
      <c r="A37" s="107" t="s">
        <v>145</v>
      </c>
      <c r="B37" s="89">
        <f>[1]Diversos!$F8</f>
        <v>610366.66666666663</v>
      </c>
      <c r="C37" s="91"/>
      <c r="D37" s="37">
        <f>[1]Diversos!$D22</f>
        <v>429246.74525665399</v>
      </c>
      <c r="E37" s="43" t="s">
        <v>106</v>
      </c>
      <c r="F37" s="42">
        <f t="shared" si="0"/>
        <v>4</v>
      </c>
      <c r="G37" s="42">
        <v>1</v>
      </c>
      <c r="H37" s="56">
        <f t="shared" si="5"/>
        <v>107311.6863141635</v>
      </c>
      <c r="I37" s="57">
        <v>1</v>
      </c>
      <c r="J37" s="56">
        <f t="shared" si="2"/>
        <v>107311.6863141635</v>
      </c>
      <c r="K37" s="43">
        <v>1</v>
      </c>
      <c r="L37" s="56">
        <f t="shared" si="3"/>
        <v>107311.6863141635</v>
      </c>
      <c r="M37" s="42">
        <v>1</v>
      </c>
      <c r="N37" s="56">
        <f t="shared" si="4"/>
        <v>107311.6863141635</v>
      </c>
    </row>
    <row r="38" spans="1:14" ht="29.25" customHeight="1" x14ac:dyDescent="0.25">
      <c r="A38" s="107" t="s">
        <v>146</v>
      </c>
      <c r="B38" s="89">
        <f>[1]Diversos!$F9</f>
        <v>120287.33333333333</v>
      </c>
      <c r="C38" s="91"/>
      <c r="D38" s="37">
        <f>[1]Diversos!$D23</f>
        <v>84593.325862490674</v>
      </c>
      <c r="E38" s="43" t="s">
        <v>106</v>
      </c>
      <c r="F38" s="42">
        <f t="shared" si="0"/>
        <v>4</v>
      </c>
      <c r="G38" s="42">
        <v>1</v>
      </c>
      <c r="H38" s="56">
        <f t="shared" si="5"/>
        <v>21148.331465622668</v>
      </c>
      <c r="I38" s="57">
        <v>1</v>
      </c>
      <c r="J38" s="56">
        <f t="shared" si="2"/>
        <v>21148.331465622668</v>
      </c>
      <c r="K38" s="43">
        <v>1</v>
      </c>
      <c r="L38" s="56">
        <f t="shared" si="3"/>
        <v>21148.331465622668</v>
      </c>
      <c r="M38" s="42">
        <v>1</v>
      </c>
      <c r="N38" s="56">
        <f t="shared" si="4"/>
        <v>21148.331465622668</v>
      </c>
    </row>
    <row r="39" spans="1:14" ht="29.25" customHeight="1" x14ac:dyDescent="0.25">
      <c r="A39" s="107" t="s">
        <v>147</v>
      </c>
      <c r="B39" s="89">
        <f>[1]Diversos!$F10</f>
        <v>475695.33333333331</v>
      </c>
      <c r="C39" s="91"/>
      <c r="D39" s="37">
        <f>[1]Diversos!$D24</f>
        <v>334537.72087889101</v>
      </c>
      <c r="E39" s="43" t="s">
        <v>106</v>
      </c>
      <c r="F39" s="42">
        <f t="shared" si="0"/>
        <v>4</v>
      </c>
      <c r="G39" s="42">
        <v>1</v>
      </c>
      <c r="H39" s="56">
        <f t="shared" si="5"/>
        <v>83634.430219722752</v>
      </c>
      <c r="I39" s="57">
        <v>1</v>
      </c>
      <c r="J39" s="56">
        <f t="shared" si="2"/>
        <v>83634.430219722752</v>
      </c>
      <c r="K39" s="43">
        <v>1</v>
      </c>
      <c r="L39" s="56">
        <f t="shared" si="3"/>
        <v>83634.430219722752</v>
      </c>
      <c r="M39" s="42">
        <v>1</v>
      </c>
      <c r="N39" s="56">
        <f t="shared" si="4"/>
        <v>83634.430219722752</v>
      </c>
    </row>
    <row r="40" spans="1:14" ht="29.25" customHeight="1" x14ac:dyDescent="0.25">
      <c r="A40" s="113" t="s">
        <v>148</v>
      </c>
      <c r="B40" s="89">
        <f>[1]Diversos!$F11</f>
        <v>116666.66666666667</v>
      </c>
      <c r="C40" s="91"/>
      <c r="D40" s="37">
        <f>[1]Diversos!$D25</f>
        <v>82047.054142225388</v>
      </c>
      <c r="E40" s="43" t="s">
        <v>106</v>
      </c>
      <c r="F40" s="42">
        <f t="shared" si="0"/>
        <v>4</v>
      </c>
      <c r="G40" s="42">
        <v>1</v>
      </c>
      <c r="H40" s="56">
        <f t="shared" si="5"/>
        <v>20511.763535556347</v>
      </c>
      <c r="I40" s="57">
        <v>1</v>
      </c>
      <c r="J40" s="56">
        <f t="shared" si="2"/>
        <v>20511.763535556347</v>
      </c>
      <c r="K40" s="43">
        <v>1</v>
      </c>
      <c r="L40" s="56">
        <f t="shared" si="3"/>
        <v>20511.763535556347</v>
      </c>
      <c r="M40" s="42">
        <v>1</v>
      </c>
      <c r="N40" s="56">
        <f t="shared" si="4"/>
        <v>20511.763535556347</v>
      </c>
    </row>
    <row r="41" spans="1:14" ht="29.25" customHeight="1" x14ac:dyDescent="0.25">
      <c r="A41" s="113" t="s">
        <v>149</v>
      </c>
      <c r="B41" s="89">
        <f>[1]Legales!$F$4</f>
        <v>855906.66666666663</v>
      </c>
      <c r="C41" s="91"/>
      <c r="D41" s="37">
        <f>[1]Legales!$D$9</f>
        <v>601925.31960592838</v>
      </c>
      <c r="E41" s="43" t="s">
        <v>106</v>
      </c>
      <c r="F41" s="42">
        <f t="shared" si="0"/>
        <v>4</v>
      </c>
      <c r="G41" s="42">
        <v>1</v>
      </c>
      <c r="H41" s="56">
        <f t="shared" si="5"/>
        <v>150481.3299014821</v>
      </c>
      <c r="I41" s="57">
        <v>1</v>
      </c>
      <c r="J41" s="56">
        <f t="shared" si="2"/>
        <v>150481.3299014821</v>
      </c>
      <c r="K41" s="43">
        <v>1</v>
      </c>
      <c r="L41" s="56">
        <f t="shared" si="3"/>
        <v>150481.3299014821</v>
      </c>
      <c r="M41" s="42">
        <v>1</v>
      </c>
      <c r="N41" s="56">
        <f t="shared" si="4"/>
        <v>150481.3299014821</v>
      </c>
    </row>
    <row r="42" spans="1:14" ht="33.75" customHeight="1" x14ac:dyDescent="0.25">
      <c r="A42" s="110" t="s">
        <v>82</v>
      </c>
      <c r="B42" s="89">
        <f>[1]MOI!$F3</f>
        <v>438146.66666666669</v>
      </c>
      <c r="C42" s="91"/>
      <c r="D42" s="37">
        <f>[1]MOI!$I3</f>
        <v>308131.22813344782</v>
      </c>
      <c r="E42" s="93" t="s">
        <v>114</v>
      </c>
      <c r="F42" s="42">
        <f t="shared" si="0"/>
        <v>208</v>
      </c>
      <c r="G42" s="42">
        <v>52</v>
      </c>
      <c r="H42" s="56">
        <f t="shared" si="1"/>
        <v>77032.807033361954</v>
      </c>
      <c r="I42" s="57">
        <v>52</v>
      </c>
      <c r="J42" s="56">
        <f t="shared" si="2"/>
        <v>77032.807033361954</v>
      </c>
      <c r="K42" s="43">
        <v>52</v>
      </c>
      <c r="L42" s="56">
        <f t="shared" si="3"/>
        <v>77032.807033361954</v>
      </c>
      <c r="M42" s="42">
        <v>52</v>
      </c>
      <c r="N42" s="56">
        <f t="shared" si="4"/>
        <v>77032.807033361954</v>
      </c>
    </row>
    <row r="43" spans="1:14" ht="30.75" customHeight="1" x14ac:dyDescent="0.25">
      <c r="A43" s="110" t="s">
        <v>83</v>
      </c>
      <c r="B43" s="89">
        <f>[1]MOI!$F4</f>
        <v>388046.66666666669</v>
      </c>
      <c r="C43" s="91"/>
      <c r="D43" s="37">
        <f>[1]MOI!$I4</f>
        <v>272897.87888322934</v>
      </c>
      <c r="E43" s="93" t="s">
        <v>114</v>
      </c>
      <c r="F43" s="42">
        <f t="shared" si="0"/>
        <v>208</v>
      </c>
      <c r="G43" s="42">
        <v>52</v>
      </c>
      <c r="H43" s="56">
        <f t="shared" si="1"/>
        <v>68224.469720807334</v>
      </c>
      <c r="I43" s="57">
        <v>52</v>
      </c>
      <c r="J43" s="56">
        <f t="shared" si="2"/>
        <v>68224.469720807334</v>
      </c>
      <c r="K43" s="43">
        <v>52</v>
      </c>
      <c r="L43" s="56">
        <f t="shared" si="3"/>
        <v>68224.469720807334</v>
      </c>
      <c r="M43" s="42">
        <v>52</v>
      </c>
      <c r="N43" s="56">
        <f t="shared" si="4"/>
        <v>68224.469720807334</v>
      </c>
    </row>
    <row r="44" spans="1:14" ht="30" x14ac:dyDescent="0.25">
      <c r="A44" s="114" t="s">
        <v>84</v>
      </c>
      <c r="B44" s="89">
        <f>[1]MOI!$F5</f>
        <v>745152.66666666663</v>
      </c>
      <c r="C44" s="91"/>
      <c r="D44" s="37">
        <f>[1]MOI!$I5</f>
        <v>524036.41016763105</v>
      </c>
      <c r="E44" s="93" t="s">
        <v>114</v>
      </c>
      <c r="F44" s="42">
        <f t="shared" si="0"/>
        <v>208</v>
      </c>
      <c r="G44" s="42">
        <v>52</v>
      </c>
      <c r="H44" s="56">
        <f t="shared" si="1"/>
        <v>131009.10254190775</v>
      </c>
      <c r="I44" s="57">
        <v>52</v>
      </c>
      <c r="J44" s="56">
        <f t="shared" si="2"/>
        <v>131009.10254190775</v>
      </c>
      <c r="K44" s="43">
        <v>52</v>
      </c>
      <c r="L44" s="56">
        <f t="shared" si="3"/>
        <v>131009.10254190775</v>
      </c>
      <c r="M44" s="42">
        <v>52</v>
      </c>
      <c r="N44" s="56">
        <f t="shared" si="4"/>
        <v>131009.10254190775</v>
      </c>
    </row>
    <row r="45" spans="1:14" ht="30" x14ac:dyDescent="0.25">
      <c r="A45" s="114" t="s">
        <v>85</v>
      </c>
      <c r="B45" s="89">
        <f>[1]MOI!$F6</f>
        <v>771995</v>
      </c>
      <c r="C45" s="91"/>
      <c r="D45" s="37">
        <f>[1]MOI!$I6</f>
        <v>542913.56196451955</v>
      </c>
      <c r="E45" s="93" t="s">
        <v>114</v>
      </c>
      <c r="F45" s="42">
        <f t="shared" si="0"/>
        <v>208</v>
      </c>
      <c r="G45" s="42">
        <v>52</v>
      </c>
      <c r="H45" s="56">
        <f t="shared" si="1"/>
        <v>135728.39049112989</v>
      </c>
      <c r="I45" s="57">
        <v>52</v>
      </c>
      <c r="J45" s="56">
        <f t="shared" si="2"/>
        <v>135728.39049112989</v>
      </c>
      <c r="K45" s="43">
        <v>52</v>
      </c>
      <c r="L45" s="56">
        <f t="shared" si="3"/>
        <v>135728.39049112989</v>
      </c>
      <c r="M45" s="42">
        <v>52</v>
      </c>
      <c r="N45" s="56">
        <f t="shared" si="4"/>
        <v>135728.39049112989</v>
      </c>
    </row>
    <row r="46" spans="1:14" ht="30" x14ac:dyDescent="0.25">
      <c r="A46" s="114" t="s">
        <v>86</v>
      </c>
      <c r="B46" s="89">
        <f>[1]MOI!$F7</f>
        <v>573484.66666666663</v>
      </c>
      <c r="C46" s="91"/>
      <c r="D46" s="37">
        <f>[1]MOI!$I7</f>
        <v>403309.0928205949</v>
      </c>
      <c r="E46" s="93" t="s">
        <v>114</v>
      </c>
      <c r="F46" s="42">
        <f t="shared" si="0"/>
        <v>208</v>
      </c>
      <c r="G46" s="42">
        <v>52</v>
      </c>
      <c r="H46" s="56">
        <f t="shared" si="1"/>
        <v>100827.27320514873</v>
      </c>
      <c r="I46" s="57">
        <v>52</v>
      </c>
      <c r="J46" s="56">
        <f t="shared" si="2"/>
        <v>100827.27320514873</v>
      </c>
      <c r="K46" s="43">
        <v>52</v>
      </c>
      <c r="L46" s="56">
        <f t="shared" si="3"/>
        <v>100827.27320514873</v>
      </c>
      <c r="M46" s="42">
        <v>52</v>
      </c>
      <c r="N46" s="56">
        <f t="shared" si="4"/>
        <v>100827.27320514873</v>
      </c>
    </row>
    <row r="47" spans="1:14" ht="30" x14ac:dyDescent="0.25">
      <c r="A47" s="114" t="s">
        <v>93</v>
      </c>
      <c r="B47" s="89">
        <f>[1]MOI!$F8</f>
        <v>1656666.6666666667</v>
      </c>
      <c r="C47" s="91"/>
      <c r="D47" s="37">
        <f>[1]MOI!$I8</f>
        <v>1165068.1688196005</v>
      </c>
      <c r="E47" s="93" t="s">
        <v>114</v>
      </c>
      <c r="F47" s="42">
        <f t="shared" si="0"/>
        <v>240</v>
      </c>
      <c r="G47" s="42">
        <v>60</v>
      </c>
      <c r="H47" s="56">
        <f t="shared" si="1"/>
        <v>291267.04220490012</v>
      </c>
      <c r="I47" s="57">
        <v>60</v>
      </c>
      <c r="J47" s="56">
        <f t="shared" si="2"/>
        <v>291267.04220490012</v>
      </c>
      <c r="K47" s="43">
        <v>60</v>
      </c>
      <c r="L47" s="56">
        <f t="shared" si="3"/>
        <v>291267.04220490012</v>
      </c>
      <c r="M47" s="42">
        <v>60</v>
      </c>
      <c r="N47" s="56">
        <f t="shared" si="4"/>
        <v>291267.04220490012</v>
      </c>
    </row>
    <row r="48" spans="1:14" ht="30" x14ac:dyDescent="0.25">
      <c r="A48" s="114" t="s">
        <v>94</v>
      </c>
      <c r="B48" s="89">
        <f>[1]MOI!$F9</f>
        <v>2708000</v>
      </c>
      <c r="C48" s="91"/>
      <c r="D48" s="37">
        <f>[1]MOI!$I9</f>
        <v>1904429.3367183972</v>
      </c>
      <c r="E48" s="93" t="s">
        <v>114</v>
      </c>
      <c r="F48" s="42">
        <f t="shared" si="0"/>
        <v>240</v>
      </c>
      <c r="G48" s="42">
        <v>60</v>
      </c>
      <c r="H48" s="56">
        <f t="shared" si="1"/>
        <v>476107.3341795993</v>
      </c>
      <c r="I48" s="57">
        <v>60</v>
      </c>
      <c r="J48" s="56">
        <f t="shared" si="2"/>
        <v>476107.3341795993</v>
      </c>
      <c r="K48" s="43">
        <v>60</v>
      </c>
      <c r="L48" s="56">
        <f t="shared" si="3"/>
        <v>476107.3341795993</v>
      </c>
      <c r="M48" s="42">
        <v>60</v>
      </c>
      <c r="N48" s="56">
        <f t="shared" si="4"/>
        <v>476107.3341795993</v>
      </c>
    </row>
    <row r="49" spans="1:14" ht="30" x14ac:dyDescent="0.25">
      <c r="A49" s="114" t="s">
        <v>95</v>
      </c>
      <c r="B49" s="89">
        <f>[1]MOI!$F10</f>
        <v>666666.66666666663</v>
      </c>
      <c r="C49" s="91"/>
      <c r="D49" s="37">
        <f>[1]MOI!$I10</f>
        <v>468840.30938414502</v>
      </c>
      <c r="E49" s="93" t="s">
        <v>114</v>
      </c>
      <c r="F49" s="42">
        <f t="shared" si="0"/>
        <v>240</v>
      </c>
      <c r="G49" s="42">
        <v>60</v>
      </c>
      <c r="H49" s="56">
        <f t="shared" si="1"/>
        <v>117210.07734603625</v>
      </c>
      <c r="I49" s="57">
        <v>60</v>
      </c>
      <c r="J49" s="56">
        <f t="shared" si="2"/>
        <v>117210.07734603625</v>
      </c>
      <c r="K49" s="43">
        <v>60</v>
      </c>
      <c r="L49" s="56">
        <f t="shared" si="3"/>
        <v>117210.07734603625</v>
      </c>
      <c r="M49" s="42">
        <v>60</v>
      </c>
      <c r="N49" s="56">
        <f t="shared" si="4"/>
        <v>117210.07734603625</v>
      </c>
    </row>
    <row r="50" spans="1:14" ht="30" x14ac:dyDescent="0.25">
      <c r="A50" s="114" t="s">
        <v>96</v>
      </c>
      <c r="B50" s="89">
        <f>[1]MOI!$F11</f>
        <v>130000</v>
      </c>
      <c r="C50" s="91"/>
      <c r="D50" s="37">
        <f>[1]MOI!$I11</f>
        <v>91423.86032990829</v>
      </c>
      <c r="E50" s="93" t="s">
        <v>114</v>
      </c>
      <c r="F50" s="42">
        <f t="shared" si="0"/>
        <v>240</v>
      </c>
      <c r="G50" s="42">
        <v>60</v>
      </c>
      <c r="H50" s="56">
        <f t="shared" si="1"/>
        <v>22855.965082477072</v>
      </c>
      <c r="I50" s="57">
        <v>60</v>
      </c>
      <c r="J50" s="56">
        <f t="shared" si="2"/>
        <v>22855.965082477072</v>
      </c>
      <c r="K50" s="43">
        <v>60</v>
      </c>
      <c r="L50" s="56">
        <f t="shared" si="3"/>
        <v>22855.965082477072</v>
      </c>
      <c r="M50" s="42">
        <v>60</v>
      </c>
      <c r="N50" s="56">
        <f t="shared" si="4"/>
        <v>22855.965082477072</v>
      </c>
    </row>
    <row r="51" spans="1:14" ht="30" x14ac:dyDescent="0.25">
      <c r="A51" s="114" t="s">
        <v>87</v>
      </c>
      <c r="B51" s="89">
        <f>[1]MOI!$F12</f>
        <v>15000</v>
      </c>
      <c r="C51" s="91"/>
      <c r="D51" s="37">
        <f>[1]MOI!$I12</f>
        <v>0</v>
      </c>
      <c r="E51" s="93" t="s">
        <v>114</v>
      </c>
      <c r="F51" s="42">
        <f t="shared" si="0"/>
        <v>0</v>
      </c>
      <c r="G51" s="42">
        <v>0</v>
      </c>
      <c r="H51" s="56">
        <f t="shared" si="1"/>
        <v>0</v>
      </c>
      <c r="I51" s="57">
        <v>0</v>
      </c>
      <c r="J51" s="56">
        <f t="shared" si="2"/>
        <v>0</v>
      </c>
      <c r="K51" s="43">
        <v>0</v>
      </c>
      <c r="L51" s="56">
        <f t="shared" si="3"/>
        <v>0</v>
      </c>
      <c r="M51" s="42">
        <v>0</v>
      </c>
      <c r="N51" s="56">
        <f t="shared" si="4"/>
        <v>0</v>
      </c>
    </row>
    <row r="52" spans="1:14" ht="30" x14ac:dyDescent="0.25">
      <c r="A52" s="114" t="s">
        <v>88</v>
      </c>
      <c r="B52" s="89">
        <f>[1]MOI!$F13</f>
        <v>11666.666666666666</v>
      </c>
      <c r="C52" s="91"/>
      <c r="D52" s="37">
        <f>[1]MOI!$I13</f>
        <v>0</v>
      </c>
      <c r="E52" s="93" t="s">
        <v>114</v>
      </c>
      <c r="F52" s="42">
        <f t="shared" si="0"/>
        <v>0</v>
      </c>
      <c r="G52" s="42">
        <v>0</v>
      </c>
      <c r="H52" s="56">
        <f t="shared" si="1"/>
        <v>0</v>
      </c>
      <c r="I52" s="57">
        <v>0</v>
      </c>
      <c r="J52" s="56">
        <f t="shared" si="2"/>
        <v>0</v>
      </c>
      <c r="K52" s="43">
        <v>0</v>
      </c>
      <c r="L52" s="56">
        <f t="shared" si="3"/>
        <v>0</v>
      </c>
      <c r="M52" s="42">
        <v>0</v>
      </c>
      <c r="N52" s="56">
        <f t="shared" si="4"/>
        <v>0</v>
      </c>
    </row>
    <row r="53" spans="1:14" ht="30" x14ac:dyDescent="0.25">
      <c r="A53" s="114" t="s">
        <v>89</v>
      </c>
      <c r="B53" s="89">
        <f>[1]MOI!$F14</f>
        <v>200000</v>
      </c>
      <c r="C53" s="91"/>
      <c r="D53" s="37">
        <f>[1]MOI!$I14</f>
        <v>0</v>
      </c>
      <c r="E53" s="93" t="s">
        <v>114</v>
      </c>
      <c r="F53" s="42">
        <f t="shared" si="0"/>
        <v>0</v>
      </c>
      <c r="G53" s="42">
        <v>0</v>
      </c>
      <c r="H53" s="56">
        <f t="shared" si="1"/>
        <v>0</v>
      </c>
      <c r="I53" s="57">
        <v>0</v>
      </c>
      <c r="J53" s="56">
        <f t="shared" si="2"/>
        <v>0</v>
      </c>
      <c r="K53" s="43">
        <v>0</v>
      </c>
      <c r="L53" s="56">
        <f t="shared" si="3"/>
        <v>0</v>
      </c>
      <c r="M53" s="42">
        <v>0</v>
      </c>
      <c r="N53" s="56">
        <f t="shared" si="4"/>
        <v>0</v>
      </c>
    </row>
    <row r="54" spans="1:14" ht="30" x14ac:dyDescent="0.25">
      <c r="A54" s="114" t="s">
        <v>131</v>
      </c>
      <c r="B54" s="89">
        <f>[1]MOI!$F15</f>
        <v>133333.33333333334</v>
      </c>
      <c r="C54" s="91"/>
      <c r="D54" s="37">
        <f>[1]MOI!$I15</f>
        <v>66666.666666666672</v>
      </c>
      <c r="E54" s="93" t="s">
        <v>114</v>
      </c>
      <c r="F54" s="42">
        <f t="shared" si="0"/>
        <v>24</v>
      </c>
      <c r="G54" s="42">
        <v>6</v>
      </c>
      <c r="H54" s="56">
        <f t="shared" si="1"/>
        <v>16666.666666666668</v>
      </c>
      <c r="I54" s="57">
        <v>6</v>
      </c>
      <c r="J54" s="56">
        <f t="shared" si="2"/>
        <v>16666.666666666668</v>
      </c>
      <c r="K54" s="43">
        <v>6</v>
      </c>
      <c r="L54" s="56">
        <f t="shared" si="3"/>
        <v>16666.666666666668</v>
      </c>
      <c r="M54" s="42">
        <v>6</v>
      </c>
      <c r="N54" s="56">
        <f t="shared" si="4"/>
        <v>16666.666666666668</v>
      </c>
    </row>
    <row r="55" spans="1:14" ht="30" x14ac:dyDescent="0.25">
      <c r="A55" s="114" t="s">
        <v>90</v>
      </c>
      <c r="B55" s="89">
        <f>[1]MOI!$F16</f>
        <v>105000</v>
      </c>
      <c r="C55" s="91"/>
      <c r="D55" s="37">
        <f>[1]MOI!$I16</f>
        <v>73842.348728002849</v>
      </c>
      <c r="E55" s="93" t="s">
        <v>114</v>
      </c>
      <c r="F55" s="42">
        <f t="shared" si="0"/>
        <v>24</v>
      </c>
      <c r="G55" s="42">
        <v>6</v>
      </c>
      <c r="H55" s="56">
        <f t="shared" si="1"/>
        <v>18460.587182000712</v>
      </c>
      <c r="I55" s="57">
        <v>6</v>
      </c>
      <c r="J55" s="56">
        <f t="shared" si="2"/>
        <v>18460.587182000712</v>
      </c>
      <c r="K55" s="43">
        <v>6</v>
      </c>
      <c r="L55" s="56">
        <f t="shared" si="3"/>
        <v>18460.587182000712</v>
      </c>
      <c r="M55" s="42">
        <v>6</v>
      </c>
      <c r="N55" s="56">
        <f t="shared" si="4"/>
        <v>18460.587182000712</v>
      </c>
    </row>
    <row r="56" spans="1:14" ht="30" x14ac:dyDescent="0.25">
      <c r="A56" s="114" t="s">
        <v>129</v>
      </c>
      <c r="B56" s="89">
        <f>[1]MOI!$F17</f>
        <v>290400</v>
      </c>
      <c r="C56" s="91"/>
      <c r="D56" s="37">
        <f>[1]MOI!$I17</f>
        <v>290400</v>
      </c>
      <c r="E56" s="93" t="s">
        <v>114</v>
      </c>
      <c r="F56" s="42">
        <f t="shared" si="0"/>
        <v>24</v>
      </c>
      <c r="G56" s="42">
        <v>6</v>
      </c>
      <c r="H56" s="56">
        <f t="shared" si="1"/>
        <v>72600</v>
      </c>
      <c r="I56" s="57">
        <v>6</v>
      </c>
      <c r="J56" s="56">
        <f t="shared" si="2"/>
        <v>72600</v>
      </c>
      <c r="K56" s="43">
        <v>6</v>
      </c>
      <c r="L56" s="56">
        <f t="shared" si="3"/>
        <v>72600</v>
      </c>
      <c r="M56" s="42">
        <v>6</v>
      </c>
      <c r="N56" s="56">
        <f t="shared" si="4"/>
        <v>72600</v>
      </c>
    </row>
    <row r="57" spans="1:14" ht="30" x14ac:dyDescent="0.25">
      <c r="A57" s="114" t="s">
        <v>91</v>
      </c>
      <c r="B57" s="89">
        <f>[1]MOI!$F18</f>
        <v>258333.33333333334</v>
      </c>
      <c r="C57" s="91"/>
      <c r="D57" s="37">
        <f>[1]MOI!$I18</f>
        <v>181675.6198863562</v>
      </c>
      <c r="E57" s="93" t="s">
        <v>114</v>
      </c>
      <c r="F57" s="42">
        <f t="shared" si="0"/>
        <v>40</v>
      </c>
      <c r="G57" s="42">
        <v>10</v>
      </c>
      <c r="H57" s="56">
        <f t="shared" si="1"/>
        <v>45418.904971589058</v>
      </c>
      <c r="I57" s="57">
        <v>10</v>
      </c>
      <c r="J57" s="56">
        <f t="shared" si="2"/>
        <v>45418.904971589058</v>
      </c>
      <c r="K57" s="43">
        <v>10</v>
      </c>
      <c r="L57" s="56">
        <f t="shared" si="3"/>
        <v>45418.904971589058</v>
      </c>
      <c r="M57" s="42">
        <v>10</v>
      </c>
      <c r="N57" s="56">
        <f t="shared" si="4"/>
        <v>45418.904971589058</v>
      </c>
    </row>
    <row r="58" spans="1:14" ht="30" x14ac:dyDescent="0.25">
      <c r="A58" s="114" t="s">
        <v>130</v>
      </c>
      <c r="B58" s="89">
        <f>[1]MOI!$F19</f>
        <v>293333.33333333331</v>
      </c>
      <c r="C58" s="91"/>
      <c r="D58" s="37">
        <f>[1]MOI!$I19</f>
        <v>0</v>
      </c>
      <c r="E58" s="93" t="s">
        <v>114</v>
      </c>
      <c r="F58" s="42">
        <f t="shared" si="0"/>
        <v>0</v>
      </c>
      <c r="G58" s="42">
        <v>0</v>
      </c>
      <c r="H58" s="56">
        <f t="shared" si="1"/>
        <v>0</v>
      </c>
      <c r="I58" s="57">
        <v>0</v>
      </c>
      <c r="J58" s="56">
        <f t="shared" si="2"/>
        <v>0</v>
      </c>
      <c r="K58" s="43">
        <v>0</v>
      </c>
      <c r="L58" s="56">
        <f t="shared" si="3"/>
        <v>0</v>
      </c>
      <c r="M58" s="42">
        <v>0</v>
      </c>
      <c r="N58" s="56">
        <f t="shared" si="4"/>
        <v>0</v>
      </c>
    </row>
    <row r="59" spans="1:14" ht="30" x14ac:dyDescent="0.25">
      <c r="A59" s="114" t="s">
        <v>92</v>
      </c>
      <c r="B59" s="89">
        <f>[1]MOI!$F20</f>
        <v>620000</v>
      </c>
      <c r="C59" s="91"/>
      <c r="D59" s="37">
        <f>[1]MOI!$I20</f>
        <v>620000</v>
      </c>
      <c r="E59" s="93" t="s">
        <v>114</v>
      </c>
      <c r="F59" s="42">
        <f t="shared" si="0"/>
        <v>88</v>
      </c>
      <c r="G59" s="42">
        <v>22</v>
      </c>
      <c r="H59" s="56">
        <f t="shared" si="1"/>
        <v>155000</v>
      </c>
      <c r="I59" s="57">
        <v>22</v>
      </c>
      <c r="J59" s="56">
        <f t="shared" si="2"/>
        <v>155000</v>
      </c>
      <c r="K59" s="43">
        <v>22</v>
      </c>
      <c r="L59" s="56">
        <f t="shared" si="3"/>
        <v>155000</v>
      </c>
      <c r="M59" s="42">
        <v>22</v>
      </c>
      <c r="N59" s="56">
        <f t="shared" si="4"/>
        <v>155000</v>
      </c>
    </row>
    <row r="60" spans="1:14" ht="30" x14ac:dyDescent="0.25">
      <c r="A60" s="114" t="s">
        <v>132</v>
      </c>
      <c r="B60" s="89">
        <f>[1]MOI!$F21</f>
        <v>153333.33333333334</v>
      </c>
      <c r="C60" s="91"/>
      <c r="D60" s="37">
        <f>[1]MOI!$I21</f>
        <v>0</v>
      </c>
      <c r="E60" s="93" t="s">
        <v>114</v>
      </c>
      <c r="F60" s="42">
        <f t="shared" si="0"/>
        <v>0</v>
      </c>
      <c r="G60" s="42">
        <v>0</v>
      </c>
      <c r="H60" s="56">
        <f t="shared" si="1"/>
        <v>0</v>
      </c>
      <c r="I60" s="57">
        <v>0</v>
      </c>
      <c r="J60" s="56">
        <f t="shared" si="2"/>
        <v>0</v>
      </c>
      <c r="K60" s="43">
        <v>0</v>
      </c>
      <c r="L60" s="56">
        <f t="shared" si="3"/>
        <v>0</v>
      </c>
      <c r="M60" s="42">
        <v>0</v>
      </c>
      <c r="N60" s="56">
        <f t="shared" si="4"/>
        <v>0</v>
      </c>
    </row>
    <row r="61" spans="1:14" ht="30" x14ac:dyDescent="0.25">
      <c r="A61" s="114" t="s">
        <v>92</v>
      </c>
      <c r="B61" s="89">
        <f>[1]MOI!$F22</f>
        <v>35333.333333333336</v>
      </c>
      <c r="C61" s="91"/>
      <c r="D61" s="37">
        <f>[1]MOI!$I22</f>
        <v>35333.333333333336</v>
      </c>
      <c r="E61" s="93" t="s">
        <v>114</v>
      </c>
      <c r="F61" s="42">
        <f t="shared" si="0"/>
        <v>8</v>
      </c>
      <c r="G61" s="42">
        <v>2</v>
      </c>
      <c r="H61" s="56">
        <f t="shared" si="1"/>
        <v>8833.3333333333339</v>
      </c>
      <c r="I61" s="57">
        <v>2</v>
      </c>
      <c r="J61" s="56">
        <f t="shared" si="2"/>
        <v>8833.3333333333339</v>
      </c>
      <c r="K61" s="43">
        <v>2</v>
      </c>
      <c r="L61" s="56">
        <f t="shared" si="3"/>
        <v>8833.3333333333339</v>
      </c>
      <c r="M61" s="42">
        <v>2</v>
      </c>
      <c r="N61" s="56">
        <f t="shared" si="4"/>
        <v>8833.3333333333339</v>
      </c>
    </row>
    <row r="62" spans="1:14" ht="30" x14ac:dyDescent="0.25">
      <c r="A62" s="114" t="s">
        <v>102</v>
      </c>
      <c r="B62" s="89">
        <f>'[2]MOI POR CENTROS DE COSTOS'!$D4</f>
        <v>1423420</v>
      </c>
      <c r="C62" s="91"/>
      <c r="D62" s="37">
        <f>'[2]MOI POR CENTROS DE COSTOS'!$F4</f>
        <v>1001035.0097753695</v>
      </c>
      <c r="E62" s="93" t="s">
        <v>114</v>
      </c>
      <c r="F62" s="42">
        <f t="shared" si="0"/>
        <v>240</v>
      </c>
      <c r="G62" s="42">
        <v>60</v>
      </c>
      <c r="H62" s="56">
        <f t="shared" si="1"/>
        <v>250258.75244384239</v>
      </c>
      <c r="I62" s="57">
        <v>60</v>
      </c>
      <c r="J62" s="56">
        <f t="shared" si="2"/>
        <v>250258.75244384239</v>
      </c>
      <c r="K62" s="43">
        <v>60</v>
      </c>
      <c r="L62" s="56">
        <f t="shared" si="3"/>
        <v>250258.75244384239</v>
      </c>
      <c r="M62" s="42">
        <v>60</v>
      </c>
      <c r="N62" s="56">
        <f t="shared" si="4"/>
        <v>250258.75244384239</v>
      </c>
    </row>
    <row r="63" spans="1:14" ht="30" x14ac:dyDescent="0.25">
      <c r="A63" s="114" t="s">
        <v>97</v>
      </c>
      <c r="B63" s="89">
        <f>'[2]MOI POR CENTROS DE COSTOS'!$D5</f>
        <v>813700</v>
      </c>
      <c r="C63" s="91"/>
      <c r="D63" s="37">
        <f>'[2]MOI POR CENTROS DE COSTOS'!$F5</f>
        <v>572243.03961881821</v>
      </c>
      <c r="E63" s="93" t="s">
        <v>114</v>
      </c>
      <c r="F63" s="42">
        <f t="shared" si="0"/>
        <v>240</v>
      </c>
      <c r="G63" s="42">
        <v>60</v>
      </c>
      <c r="H63" s="56">
        <f t="shared" si="1"/>
        <v>143060.75990470455</v>
      </c>
      <c r="I63" s="57">
        <v>60</v>
      </c>
      <c r="J63" s="56">
        <f t="shared" si="2"/>
        <v>143060.75990470455</v>
      </c>
      <c r="K63" s="43">
        <v>60</v>
      </c>
      <c r="L63" s="56">
        <f t="shared" si="3"/>
        <v>143060.75990470455</v>
      </c>
      <c r="M63" s="42">
        <v>60</v>
      </c>
      <c r="N63" s="56">
        <f t="shared" si="4"/>
        <v>143060.75990470455</v>
      </c>
    </row>
    <row r="64" spans="1:14" ht="30" x14ac:dyDescent="0.25">
      <c r="A64" s="114" t="s">
        <v>98</v>
      </c>
      <c r="B64" s="89">
        <f>'[2]MOI POR CENTROS DE COSTOS'!$D6</f>
        <v>848700</v>
      </c>
      <c r="C64" s="91"/>
      <c r="D64" s="37">
        <f>'[2]MOI POR CENTROS DE COSTOS'!$F6</f>
        <v>424350</v>
      </c>
      <c r="E64" s="93" t="s">
        <v>114</v>
      </c>
      <c r="F64" s="42">
        <f t="shared" si="0"/>
        <v>240</v>
      </c>
      <c r="G64" s="42">
        <v>60</v>
      </c>
      <c r="H64" s="56">
        <f t="shared" si="1"/>
        <v>106087.5</v>
      </c>
      <c r="I64" s="57">
        <v>60</v>
      </c>
      <c r="J64" s="56">
        <f t="shared" si="2"/>
        <v>106087.5</v>
      </c>
      <c r="K64" s="43">
        <v>60</v>
      </c>
      <c r="L64" s="56">
        <f t="shared" si="3"/>
        <v>106087.5</v>
      </c>
      <c r="M64" s="42">
        <v>60</v>
      </c>
      <c r="N64" s="56">
        <f t="shared" si="4"/>
        <v>106087.5</v>
      </c>
    </row>
    <row r="65" spans="1:14" ht="30" x14ac:dyDescent="0.25">
      <c r="A65" s="115" t="s">
        <v>99</v>
      </c>
      <c r="B65" s="89">
        <f>'[2]MOI POR CENTROS DE COSTOS'!$D7</f>
        <v>711955</v>
      </c>
      <c r="C65" s="91"/>
      <c r="D65" s="37">
        <f>'[2]MOI POR CENTROS DE COSTOS'!$F7</f>
        <v>500689.80370138347</v>
      </c>
      <c r="E65" s="93" t="s">
        <v>114</v>
      </c>
      <c r="F65" s="42">
        <f t="shared" si="0"/>
        <v>240</v>
      </c>
      <c r="G65" s="42">
        <v>60</v>
      </c>
      <c r="H65" s="56">
        <f t="shared" si="1"/>
        <v>125172.45092534588</v>
      </c>
      <c r="I65" s="57">
        <v>60</v>
      </c>
      <c r="J65" s="56">
        <f t="shared" si="2"/>
        <v>125172.45092534588</v>
      </c>
      <c r="K65" s="43">
        <v>60</v>
      </c>
      <c r="L65" s="56">
        <f t="shared" si="3"/>
        <v>125172.45092534588</v>
      </c>
      <c r="M65" s="42">
        <v>60</v>
      </c>
      <c r="N65" s="56">
        <f t="shared" si="4"/>
        <v>125172.45092534588</v>
      </c>
    </row>
    <row r="66" spans="1:14" ht="30" x14ac:dyDescent="0.25">
      <c r="A66" s="115" t="s">
        <v>100</v>
      </c>
      <c r="B66" s="89">
        <f>'[2]MOI POR CENTROS DE COSTOS'!$D8</f>
        <v>1362100</v>
      </c>
      <c r="C66" s="91"/>
      <c r="D66" s="37">
        <f>'[2]MOI POR CENTROS DE COSTOS'!$F8</f>
        <v>957911.0781182159</v>
      </c>
      <c r="E66" s="93" t="s">
        <v>114</v>
      </c>
      <c r="F66" s="42">
        <f t="shared" si="0"/>
        <v>240</v>
      </c>
      <c r="G66" s="42">
        <v>60</v>
      </c>
      <c r="H66" s="56">
        <f t="shared" si="1"/>
        <v>239477.76952955397</v>
      </c>
      <c r="I66" s="57">
        <v>60</v>
      </c>
      <c r="J66" s="56">
        <f t="shared" si="2"/>
        <v>239477.76952955397</v>
      </c>
      <c r="K66" s="43">
        <v>60</v>
      </c>
      <c r="L66" s="56">
        <f t="shared" si="3"/>
        <v>239477.76952955397</v>
      </c>
      <c r="M66" s="42">
        <v>60</v>
      </c>
      <c r="N66" s="56">
        <f t="shared" si="4"/>
        <v>239477.76952955397</v>
      </c>
    </row>
    <row r="67" spans="1:14" ht="30" x14ac:dyDescent="0.25">
      <c r="A67" s="115" t="s">
        <v>101</v>
      </c>
      <c r="B67" s="89">
        <f>'[2]MOI POR CENTROS DE COSTOS'!$D9</f>
        <v>711955</v>
      </c>
      <c r="C67" s="91"/>
      <c r="D67" s="37">
        <f>'[2]MOI POR CENTROS DE COSTOS'!$F9</f>
        <v>500689.80370138347</v>
      </c>
      <c r="E67" s="93" t="s">
        <v>114</v>
      </c>
      <c r="F67" s="42">
        <f t="shared" si="0"/>
        <v>240</v>
      </c>
      <c r="G67" s="42">
        <v>60</v>
      </c>
      <c r="H67" s="56">
        <f t="shared" si="1"/>
        <v>125172.45092534588</v>
      </c>
      <c r="I67" s="57">
        <v>60</v>
      </c>
      <c r="J67" s="56">
        <f t="shared" si="2"/>
        <v>125172.45092534588</v>
      </c>
      <c r="K67" s="43">
        <v>60</v>
      </c>
      <c r="L67" s="56">
        <f t="shared" si="3"/>
        <v>125172.45092534588</v>
      </c>
      <c r="M67" s="42">
        <v>60</v>
      </c>
      <c r="N67" s="56">
        <f t="shared" si="4"/>
        <v>125172.45092534588</v>
      </c>
    </row>
    <row r="68" spans="1:14" ht="30" x14ac:dyDescent="0.25">
      <c r="A68" s="115" t="s">
        <v>103</v>
      </c>
      <c r="B68" s="89">
        <f>'[2]MOI POR CENTROS DE COSTOS'!$D10</f>
        <v>1363200</v>
      </c>
      <c r="C68" s="91"/>
      <c r="D68" s="37">
        <f>'[2]MOI POR CENTROS DE COSTOS'!$F10</f>
        <v>958684.66462869977</v>
      </c>
      <c r="E68" s="93" t="s">
        <v>114</v>
      </c>
      <c r="F68" s="42">
        <f t="shared" si="0"/>
        <v>240</v>
      </c>
      <c r="G68" s="42">
        <v>60</v>
      </c>
      <c r="H68" s="56">
        <f t="shared" si="1"/>
        <v>239671.16615717494</v>
      </c>
      <c r="I68" s="57">
        <v>60</v>
      </c>
      <c r="J68" s="56">
        <f t="shared" si="2"/>
        <v>239671.16615717494</v>
      </c>
      <c r="K68" s="43">
        <v>60</v>
      </c>
      <c r="L68" s="56">
        <f t="shared" si="3"/>
        <v>239671.16615717494</v>
      </c>
      <c r="M68" s="42">
        <v>60</v>
      </c>
      <c r="N68" s="56">
        <f t="shared" si="4"/>
        <v>239671.16615717494</v>
      </c>
    </row>
    <row r="69" spans="1:14" ht="30" x14ac:dyDescent="0.25">
      <c r="A69" s="115" t="s">
        <v>104</v>
      </c>
      <c r="B69" s="89">
        <f>'[2]MOI POR CENTROS DE COSTOS'!$D11</f>
        <v>394827.5</v>
      </c>
      <c r="C69" s="91"/>
      <c r="D69" s="37">
        <f>'[2]MOI POR CENTROS DE COSTOS'!$F11</f>
        <v>277666.57088005281</v>
      </c>
      <c r="E69" s="93" t="s">
        <v>114</v>
      </c>
      <c r="F69" s="42">
        <f t="shared" si="0"/>
        <v>240</v>
      </c>
      <c r="G69" s="42">
        <v>60</v>
      </c>
      <c r="H69" s="56">
        <f t="shared" si="1"/>
        <v>69416.642720013202</v>
      </c>
      <c r="I69" s="57">
        <v>60</v>
      </c>
      <c r="J69" s="56">
        <f t="shared" si="2"/>
        <v>69416.642720013202</v>
      </c>
      <c r="K69" s="43">
        <v>60</v>
      </c>
      <c r="L69" s="56">
        <f t="shared" si="3"/>
        <v>69416.642720013202</v>
      </c>
      <c r="M69" s="42">
        <v>60</v>
      </c>
      <c r="N69" s="56">
        <f t="shared" si="4"/>
        <v>69416.642720013202</v>
      </c>
    </row>
    <row r="70" spans="1:14" ht="30.75" thickBot="1" x14ac:dyDescent="0.3">
      <c r="A70" s="116" t="s">
        <v>105</v>
      </c>
      <c r="B70" s="108">
        <f>'[2]MOI POR CENTROS DE COSTOS'!$D12</f>
        <v>711955</v>
      </c>
      <c r="C70" s="76"/>
      <c r="D70" s="39">
        <f>'[2]MOI POR CENTROS DE COSTOS'!$F12</f>
        <v>0</v>
      </c>
      <c r="E70" s="94" t="s">
        <v>114</v>
      </c>
      <c r="F70" s="58">
        <f t="shared" si="0"/>
        <v>0</v>
      </c>
      <c r="G70" s="58">
        <v>0</v>
      </c>
      <c r="H70" s="59">
        <f t="shared" si="1"/>
        <v>0</v>
      </c>
      <c r="I70" s="57">
        <v>0</v>
      </c>
      <c r="J70" s="59">
        <f t="shared" si="2"/>
        <v>0</v>
      </c>
      <c r="K70" s="43">
        <v>0</v>
      </c>
      <c r="L70" s="59">
        <f t="shared" si="3"/>
        <v>0</v>
      </c>
      <c r="M70" s="42">
        <v>0</v>
      </c>
      <c r="N70" s="59">
        <f t="shared" si="4"/>
        <v>0</v>
      </c>
    </row>
    <row r="71" spans="1:14" ht="23.25" customHeight="1" thickBot="1" x14ac:dyDescent="0.3">
      <c r="A71" s="97" t="s">
        <v>70</v>
      </c>
      <c r="B71" s="98"/>
      <c r="C71" s="99"/>
      <c r="D71" s="98"/>
      <c r="E71" s="100"/>
      <c r="F71" s="100"/>
      <c r="G71" s="100"/>
      <c r="H71" s="60"/>
      <c r="I71" s="100"/>
      <c r="J71" s="60"/>
      <c r="K71" s="100"/>
      <c r="L71" s="60"/>
      <c r="M71" s="100"/>
      <c r="N71" s="61"/>
    </row>
    <row r="72" spans="1:14" ht="30" x14ac:dyDescent="0.25">
      <c r="A72" s="40" t="s">
        <v>72</v>
      </c>
      <c r="B72" s="38">
        <f>'[2]MOD POR CENTROS DE COSTOS'!$C4</f>
        <v>1119321.3599999999</v>
      </c>
      <c r="C72" s="90"/>
      <c r="D72" s="81">
        <f>'[2]MOD POR CENTROS DE COSTOS'!$E4</f>
        <v>1119321.3599999999</v>
      </c>
      <c r="E72" s="96" t="s">
        <v>116</v>
      </c>
      <c r="F72" s="51">
        <f>G72+I72+K72+M72</f>
        <v>240</v>
      </c>
      <c r="G72" s="50">
        <v>60</v>
      </c>
      <c r="H72" s="77">
        <f t="shared" si="1"/>
        <v>279830.33999999997</v>
      </c>
      <c r="I72" s="51">
        <v>60</v>
      </c>
      <c r="J72" s="77">
        <f t="shared" si="2"/>
        <v>279830.33999999997</v>
      </c>
      <c r="K72" s="51">
        <v>60</v>
      </c>
      <c r="L72" s="77">
        <f t="shared" si="3"/>
        <v>279830.33999999997</v>
      </c>
      <c r="M72" s="51">
        <v>60</v>
      </c>
      <c r="N72" s="52">
        <f t="shared" si="4"/>
        <v>279830.33999999997</v>
      </c>
    </row>
    <row r="73" spans="1:14" ht="30" x14ac:dyDescent="0.25">
      <c r="A73" s="40" t="s">
        <v>71</v>
      </c>
      <c r="B73" s="37">
        <f>'[2]MOD POR CENTROS DE COSTOS'!$C5</f>
        <v>1394331.88</v>
      </c>
      <c r="C73" s="91"/>
      <c r="D73" s="82">
        <f>'[2]MOD POR CENTROS DE COSTOS'!$E5</f>
        <v>0</v>
      </c>
      <c r="E73" s="93" t="s">
        <v>116</v>
      </c>
      <c r="F73" s="42">
        <f t="shared" ref="F73:F84" si="6">G73+I73+K73+M73</f>
        <v>0</v>
      </c>
      <c r="G73" s="55">
        <v>0</v>
      </c>
      <c r="H73" s="78">
        <f t="shared" si="1"/>
        <v>0</v>
      </c>
      <c r="I73" s="42">
        <v>0</v>
      </c>
      <c r="J73" s="78">
        <f t="shared" si="2"/>
        <v>0</v>
      </c>
      <c r="K73" s="42">
        <v>0</v>
      </c>
      <c r="L73" s="78">
        <f t="shared" si="3"/>
        <v>0</v>
      </c>
      <c r="M73" s="42">
        <v>0</v>
      </c>
      <c r="N73" s="56">
        <f t="shared" si="4"/>
        <v>0</v>
      </c>
    </row>
    <row r="74" spans="1:14" ht="30" x14ac:dyDescent="0.25">
      <c r="A74" s="40" t="s">
        <v>79</v>
      </c>
      <c r="B74" s="37">
        <f>'[2]MOD POR CENTROS DE COSTOS'!$C6</f>
        <v>859102.96</v>
      </c>
      <c r="C74" s="91"/>
      <c r="D74" s="82">
        <f>'[2]MOD POR CENTROS DE COSTOS'!$E6</f>
        <v>859102.96</v>
      </c>
      <c r="E74" s="93" t="s">
        <v>116</v>
      </c>
      <c r="F74" s="42">
        <f t="shared" si="6"/>
        <v>240</v>
      </c>
      <c r="G74" s="55">
        <v>60</v>
      </c>
      <c r="H74" s="78">
        <f t="shared" si="1"/>
        <v>214775.74</v>
      </c>
      <c r="I74" s="42">
        <v>60</v>
      </c>
      <c r="J74" s="78">
        <f t="shared" si="2"/>
        <v>214775.74</v>
      </c>
      <c r="K74" s="42">
        <v>60</v>
      </c>
      <c r="L74" s="78">
        <f t="shared" si="3"/>
        <v>214775.74</v>
      </c>
      <c r="M74" s="42">
        <v>60</v>
      </c>
      <c r="N74" s="56">
        <f t="shared" si="4"/>
        <v>214775.74</v>
      </c>
    </row>
    <row r="75" spans="1:14" ht="30" x14ac:dyDescent="0.25">
      <c r="A75" s="41" t="s">
        <v>80</v>
      </c>
      <c r="B75" s="37">
        <f>'[2]MOD POR CENTROS DE COSTOS'!$C7</f>
        <v>859102.96</v>
      </c>
      <c r="C75" s="91"/>
      <c r="D75" s="82">
        <f>'[2]MOD POR CENTROS DE COSTOS'!$E7</f>
        <v>0</v>
      </c>
      <c r="E75" s="93" t="s">
        <v>116</v>
      </c>
      <c r="F75" s="42">
        <f t="shared" si="6"/>
        <v>0</v>
      </c>
      <c r="G75" s="55">
        <v>0</v>
      </c>
      <c r="H75" s="78">
        <f t="shared" si="1"/>
        <v>0</v>
      </c>
      <c r="I75" s="42">
        <v>0</v>
      </c>
      <c r="J75" s="78">
        <f t="shared" si="2"/>
        <v>0</v>
      </c>
      <c r="K75" s="42">
        <v>0</v>
      </c>
      <c r="L75" s="78">
        <f t="shared" si="3"/>
        <v>0</v>
      </c>
      <c r="M75" s="42">
        <v>0</v>
      </c>
      <c r="N75" s="56">
        <f t="shared" si="4"/>
        <v>0</v>
      </c>
    </row>
    <row r="76" spans="1:14" ht="30" x14ac:dyDescent="0.25">
      <c r="A76" s="41" t="s">
        <v>81</v>
      </c>
      <c r="B76" s="37">
        <f>'[2]MOD POR CENTROS DE COSTOS'!$C8</f>
        <v>746998.8</v>
      </c>
      <c r="C76" s="91"/>
      <c r="D76" s="82">
        <f>'[2]MOD POR CENTROS DE COSTOS'!$E8</f>
        <v>0</v>
      </c>
      <c r="E76" s="93" t="s">
        <v>116</v>
      </c>
      <c r="F76" s="42">
        <f t="shared" si="6"/>
        <v>0</v>
      </c>
      <c r="G76" s="55">
        <v>0</v>
      </c>
      <c r="H76" s="78">
        <f t="shared" si="1"/>
        <v>0</v>
      </c>
      <c r="I76" s="42">
        <v>0</v>
      </c>
      <c r="J76" s="78">
        <f t="shared" si="2"/>
        <v>0</v>
      </c>
      <c r="K76" s="42">
        <v>0</v>
      </c>
      <c r="L76" s="78">
        <f t="shared" si="3"/>
        <v>0</v>
      </c>
      <c r="M76" s="42">
        <v>0</v>
      </c>
      <c r="N76" s="56">
        <f t="shared" si="4"/>
        <v>0</v>
      </c>
    </row>
    <row r="77" spans="1:14" ht="30" x14ac:dyDescent="0.25">
      <c r="A77" s="41" t="s">
        <v>73</v>
      </c>
      <c r="B77" s="37">
        <f>'[2]MOD POR CENTROS DE COSTOS'!$C9</f>
        <v>801197.6</v>
      </c>
      <c r="C77" s="91"/>
      <c r="D77" s="82">
        <f>'[2]MOD POR CENTROS DE COSTOS'!$E9</f>
        <v>400598.8</v>
      </c>
      <c r="E77" s="93" t="s">
        <v>116</v>
      </c>
      <c r="F77" s="42">
        <f t="shared" si="6"/>
        <v>240</v>
      </c>
      <c r="G77" s="55">
        <v>60</v>
      </c>
      <c r="H77" s="78">
        <f t="shared" si="1"/>
        <v>100149.7</v>
      </c>
      <c r="I77" s="42">
        <v>60</v>
      </c>
      <c r="J77" s="78">
        <f t="shared" si="2"/>
        <v>100149.7</v>
      </c>
      <c r="K77" s="42">
        <v>60</v>
      </c>
      <c r="L77" s="78">
        <f t="shared" si="3"/>
        <v>100149.7</v>
      </c>
      <c r="M77" s="42">
        <v>60</v>
      </c>
      <c r="N77" s="56">
        <f t="shared" si="4"/>
        <v>100149.7</v>
      </c>
    </row>
    <row r="78" spans="1:14" ht="30" x14ac:dyDescent="0.25">
      <c r="A78" s="41" t="s">
        <v>77</v>
      </c>
      <c r="B78" s="37">
        <f>'[2]MOD POR CENTROS DE COSTOS'!$C10</f>
        <v>870573.24</v>
      </c>
      <c r="C78" s="91"/>
      <c r="D78" s="82">
        <f>'[2]MOD POR CENTROS DE COSTOS'!$E10</f>
        <v>0</v>
      </c>
      <c r="E78" s="93" t="s">
        <v>116</v>
      </c>
      <c r="F78" s="42">
        <f t="shared" si="6"/>
        <v>0</v>
      </c>
      <c r="G78" s="55">
        <v>0</v>
      </c>
      <c r="H78" s="78">
        <f t="shared" si="1"/>
        <v>0</v>
      </c>
      <c r="I78" s="42">
        <v>0</v>
      </c>
      <c r="J78" s="78">
        <f t="shared" si="2"/>
        <v>0</v>
      </c>
      <c r="K78" s="42">
        <v>0</v>
      </c>
      <c r="L78" s="78">
        <f t="shared" si="3"/>
        <v>0</v>
      </c>
      <c r="M78" s="42">
        <v>0</v>
      </c>
      <c r="N78" s="56">
        <f t="shared" si="4"/>
        <v>0</v>
      </c>
    </row>
    <row r="79" spans="1:14" ht="30" x14ac:dyDescent="0.25">
      <c r="A79" s="41" t="s">
        <v>78</v>
      </c>
      <c r="B79" s="37">
        <f>'[2]MOD POR CENTROS DE COSTOS'!$C11</f>
        <v>1131404.8400000001</v>
      </c>
      <c r="C79" s="91"/>
      <c r="D79" s="82">
        <f>'[2]MOD POR CENTROS DE COSTOS'!$E11</f>
        <v>0</v>
      </c>
      <c r="E79" s="93" t="s">
        <v>116</v>
      </c>
      <c r="F79" s="42">
        <f t="shared" si="6"/>
        <v>0</v>
      </c>
      <c r="G79" s="55">
        <v>0</v>
      </c>
      <c r="H79" s="78">
        <f t="shared" si="1"/>
        <v>0</v>
      </c>
      <c r="I79" s="42">
        <v>0</v>
      </c>
      <c r="J79" s="78">
        <f t="shared" si="2"/>
        <v>0</v>
      </c>
      <c r="K79" s="42">
        <v>0</v>
      </c>
      <c r="L79" s="78">
        <f t="shared" si="3"/>
        <v>0</v>
      </c>
      <c r="M79" s="42">
        <v>0</v>
      </c>
      <c r="N79" s="56">
        <f t="shared" si="4"/>
        <v>0</v>
      </c>
    </row>
    <row r="80" spans="1:14" ht="30" x14ac:dyDescent="0.25">
      <c r="A80" s="41" t="s">
        <v>76</v>
      </c>
      <c r="B80" s="37">
        <f>'[2]MOD POR CENTROS DE COSTOS'!$C12</f>
        <v>956755.24</v>
      </c>
      <c r="C80" s="62"/>
      <c r="D80" s="82">
        <f>'[2]MOD POR CENTROS DE COSTOS'!$E12</f>
        <v>478377.62</v>
      </c>
      <c r="E80" s="93" t="s">
        <v>116</v>
      </c>
      <c r="F80" s="42">
        <f t="shared" si="6"/>
        <v>240</v>
      </c>
      <c r="G80" s="55">
        <v>60</v>
      </c>
      <c r="H80" s="78">
        <f t="shared" si="1"/>
        <v>119594.405</v>
      </c>
      <c r="I80" s="42">
        <v>60</v>
      </c>
      <c r="J80" s="78">
        <f t="shared" si="2"/>
        <v>119594.405</v>
      </c>
      <c r="K80" s="42">
        <v>60</v>
      </c>
      <c r="L80" s="78">
        <f t="shared" si="3"/>
        <v>119594.405</v>
      </c>
      <c r="M80" s="42">
        <v>60</v>
      </c>
      <c r="N80" s="56">
        <f t="shared" si="4"/>
        <v>119594.405</v>
      </c>
    </row>
    <row r="81" spans="1:14" ht="30" x14ac:dyDescent="0.25">
      <c r="A81" s="41" t="s">
        <v>74</v>
      </c>
      <c r="B81" s="37">
        <f>'[2]MOD POR CENTROS DE COSTOS'!$C13</f>
        <v>725213.24</v>
      </c>
      <c r="C81" s="62"/>
      <c r="D81" s="82">
        <f>'[2]MOD POR CENTROS DE COSTOS'!$E13</f>
        <v>725213.24</v>
      </c>
      <c r="E81" s="93" t="s">
        <v>116</v>
      </c>
      <c r="F81" s="42">
        <f t="shared" si="6"/>
        <v>240</v>
      </c>
      <c r="G81" s="55">
        <v>60</v>
      </c>
      <c r="H81" s="78">
        <f t="shared" si="1"/>
        <v>181303.31</v>
      </c>
      <c r="I81" s="42">
        <v>60</v>
      </c>
      <c r="J81" s="78">
        <f t="shared" si="2"/>
        <v>181303.31</v>
      </c>
      <c r="K81" s="42">
        <v>60</v>
      </c>
      <c r="L81" s="78">
        <f t="shared" si="3"/>
        <v>181303.31</v>
      </c>
      <c r="M81" s="42">
        <v>60</v>
      </c>
      <c r="N81" s="56">
        <f t="shared" si="4"/>
        <v>181303.31</v>
      </c>
    </row>
    <row r="82" spans="1:14" ht="30" x14ac:dyDescent="0.25">
      <c r="A82" s="41" t="s">
        <v>77</v>
      </c>
      <c r="B82" s="37">
        <f>'[2]MOD POR CENTROS DE COSTOS'!$C14</f>
        <v>802669.6</v>
      </c>
      <c r="C82" s="62"/>
      <c r="D82" s="82">
        <f>'[2]MOD POR CENTROS DE COSTOS'!$E14</f>
        <v>0</v>
      </c>
      <c r="E82" s="93" t="s">
        <v>116</v>
      </c>
      <c r="F82" s="42">
        <f t="shared" si="6"/>
        <v>0</v>
      </c>
      <c r="G82" s="55">
        <v>0</v>
      </c>
      <c r="H82" s="78">
        <f t="shared" si="1"/>
        <v>0</v>
      </c>
      <c r="I82" s="42">
        <v>0</v>
      </c>
      <c r="J82" s="78">
        <f t="shared" si="2"/>
        <v>0</v>
      </c>
      <c r="K82" s="42">
        <v>0</v>
      </c>
      <c r="L82" s="78">
        <f t="shared" si="3"/>
        <v>0</v>
      </c>
      <c r="M82" s="42">
        <v>0</v>
      </c>
      <c r="N82" s="56">
        <f t="shared" si="4"/>
        <v>0</v>
      </c>
    </row>
    <row r="83" spans="1:14" ht="30" x14ac:dyDescent="0.25">
      <c r="A83" s="41" t="s">
        <v>75</v>
      </c>
      <c r="B83" s="37">
        <f>'[2]MOD POR CENTROS DE COSTOS'!$C15</f>
        <v>1086028.24</v>
      </c>
      <c r="C83" s="62"/>
      <c r="D83" s="82">
        <f>'[2]MOD POR CENTROS DE COSTOS'!$E15</f>
        <v>543014.12</v>
      </c>
      <c r="E83" s="93" t="s">
        <v>116</v>
      </c>
      <c r="F83" s="42">
        <f t="shared" si="6"/>
        <v>240</v>
      </c>
      <c r="G83" s="55">
        <v>60</v>
      </c>
      <c r="H83" s="78">
        <f>IF(G83&gt;0,(D83/F83)*G83,0)</f>
        <v>135753.53</v>
      </c>
      <c r="I83" s="42">
        <v>60</v>
      </c>
      <c r="J83" s="78">
        <f>IF(I83&gt;0,(D83/F83)*I83,0)</f>
        <v>135753.53</v>
      </c>
      <c r="K83" s="42">
        <v>60</v>
      </c>
      <c r="L83" s="78">
        <f>IF(K83&gt;0,(D83/F83)*K83,0)</f>
        <v>135753.53</v>
      </c>
      <c r="M83" s="42">
        <v>60</v>
      </c>
      <c r="N83" s="56">
        <f>IF(M83&gt;0,(D83/F83)*M83,0)</f>
        <v>135753.53</v>
      </c>
    </row>
    <row r="84" spans="1:14" ht="30.75" thickBot="1" x14ac:dyDescent="0.3">
      <c r="A84" s="41" t="s">
        <v>115</v>
      </c>
      <c r="B84" s="39">
        <f>'[2]MOD POR CENTROS DE COSTOS'!$C16</f>
        <v>891998.8</v>
      </c>
      <c r="C84" s="95"/>
      <c r="D84" s="83">
        <f>'[2]MOD POR CENTROS DE COSTOS'!$E16</f>
        <v>0</v>
      </c>
      <c r="E84" s="94" t="s">
        <v>116</v>
      </c>
      <c r="F84" s="58">
        <f t="shared" si="6"/>
        <v>0</v>
      </c>
      <c r="G84" s="45">
        <v>0</v>
      </c>
      <c r="H84" s="79">
        <f>IF(G84&gt;0,(D84/F84)*G84,0)</f>
        <v>0</v>
      </c>
      <c r="I84" s="58">
        <v>0</v>
      </c>
      <c r="J84" s="79">
        <f>IF(I84&gt;0,(D84/F84)*I84,0)</f>
        <v>0</v>
      </c>
      <c r="K84" s="58">
        <v>0</v>
      </c>
      <c r="L84" s="79">
        <f>IF(K84&gt;0,(D84/F84)*K84,0)</f>
        <v>0</v>
      </c>
      <c r="M84" s="58">
        <v>0</v>
      </c>
      <c r="N84" s="59">
        <f>IF(M84&gt;0,(D84/F84)*M84,0)</f>
        <v>0</v>
      </c>
    </row>
    <row r="85" spans="1:14" ht="23.25" customHeight="1" thickBot="1" x14ac:dyDescent="0.3">
      <c r="A85" s="64" t="s">
        <v>125</v>
      </c>
      <c r="B85" s="220"/>
      <c r="C85" s="221"/>
      <c r="D85" s="220"/>
      <c r="E85" s="222"/>
      <c r="F85" s="72"/>
      <c r="G85" s="227">
        <f>SUM(H4:H70)+SUM(H72:H84)</f>
        <v>9861555.4400631785</v>
      </c>
      <c r="H85" s="228"/>
      <c r="I85" s="227">
        <f>SUM(J4:J70)+SUM(J72:J84)</f>
        <v>9557830.1524575688</v>
      </c>
      <c r="J85" s="228"/>
      <c r="K85" s="227">
        <f>SUM(L4:L70)+SUM(L72:L84)</f>
        <v>9088451.720397573</v>
      </c>
      <c r="L85" s="228"/>
      <c r="M85" s="227">
        <f>SUM(N4:N70)+SUM(N72:N84)</f>
        <v>10595824.103036417</v>
      </c>
      <c r="N85" s="228"/>
    </row>
    <row r="86" spans="1:14" x14ac:dyDescent="0.25">
      <c r="B86" s="69"/>
    </row>
    <row r="87" spans="1:14" x14ac:dyDescent="0.25">
      <c r="B87" s="69"/>
      <c r="C87" s="69"/>
    </row>
  </sheetData>
  <mergeCells count="16">
    <mergeCell ref="B85:E85"/>
    <mergeCell ref="G1:N1"/>
    <mergeCell ref="G2:H2"/>
    <mergeCell ref="I2:J2"/>
    <mergeCell ref="K2:L2"/>
    <mergeCell ref="M2:N2"/>
    <mergeCell ref="G85:H85"/>
    <mergeCell ref="I85:J85"/>
    <mergeCell ref="K85:L85"/>
    <mergeCell ref="M85:N85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showGridLines="0" zoomScaleNormal="100" workbookViewId="0">
      <selection activeCell="H9" sqref="H9"/>
    </sheetView>
  </sheetViews>
  <sheetFormatPr baseColWidth="10" defaultRowHeight="15" x14ac:dyDescent="0.25"/>
  <cols>
    <col min="2" max="2" width="16.42578125" customWidth="1"/>
    <col min="6" max="7" width="12.42578125" customWidth="1"/>
    <col min="8" max="8" width="11.42578125" customWidth="1"/>
  </cols>
  <sheetData>
    <row r="1" spans="1:13" ht="30.75" thickBot="1" x14ac:dyDescent="0.3">
      <c r="A1" s="275" t="s">
        <v>191</v>
      </c>
      <c r="B1" s="276"/>
      <c r="C1" s="283" t="s">
        <v>192</v>
      </c>
      <c r="D1" s="284"/>
      <c r="E1" s="285"/>
      <c r="F1" s="277" t="s">
        <v>195</v>
      </c>
      <c r="G1" s="279" t="s">
        <v>196</v>
      </c>
      <c r="H1" s="192" t="s">
        <v>193</v>
      </c>
      <c r="I1" s="267" t="s">
        <v>194</v>
      </c>
      <c r="J1" s="267" t="s">
        <v>197</v>
      </c>
      <c r="K1" s="267" t="s">
        <v>198</v>
      </c>
      <c r="L1" s="267" t="s">
        <v>199</v>
      </c>
      <c r="M1" s="267" t="s">
        <v>200</v>
      </c>
    </row>
    <row r="2" spans="1:13" ht="15.75" thickBot="1" x14ac:dyDescent="0.3">
      <c r="A2" s="275"/>
      <c r="B2" s="276"/>
      <c r="C2" s="193">
        <v>8</v>
      </c>
      <c r="D2" s="193">
        <v>15</v>
      </c>
      <c r="E2" s="193">
        <v>19</v>
      </c>
      <c r="F2" s="278"/>
      <c r="G2" s="280"/>
      <c r="H2" s="193" t="s">
        <v>18</v>
      </c>
      <c r="I2" s="268"/>
      <c r="J2" s="268"/>
      <c r="K2" s="268"/>
      <c r="L2" s="268"/>
      <c r="M2" s="268"/>
    </row>
    <row r="3" spans="1:13" x14ac:dyDescent="0.25">
      <c r="A3" s="281" t="s">
        <v>150</v>
      </c>
      <c r="B3" s="282"/>
      <c r="C3" s="195">
        <f>'Buseta 8 puestos'!N11</f>
        <v>26341.326530612245</v>
      </c>
      <c r="D3" s="196">
        <f>'Buseta 15 puestos'!N11</f>
        <v>19538.091002835783</v>
      </c>
      <c r="E3" s="196">
        <f>'Buseta 19 puestos'!N11</f>
        <v>17521.836203036593</v>
      </c>
      <c r="F3" s="196">
        <v>0</v>
      </c>
      <c r="G3" s="196">
        <v>0</v>
      </c>
      <c r="H3" s="197">
        <f>AVERAGE(C3:E3)</f>
        <v>21133.751245494874</v>
      </c>
      <c r="I3" s="196">
        <f>'Matriz ABC Act. a Productos'!L11</f>
        <v>3230.3012589306186</v>
      </c>
      <c r="J3" s="196">
        <v>27000</v>
      </c>
      <c r="K3" s="198">
        <f>J3-(H3+I3)</f>
        <v>2635.9474955745063</v>
      </c>
      <c r="L3" s="206">
        <f>K3/$K$12</f>
        <v>5.0406434854112107E-2</v>
      </c>
      <c r="M3" s="269">
        <f>AVERAGE(L3:L11)</f>
        <v>0.11111111111111109</v>
      </c>
    </row>
    <row r="4" spans="1:13" x14ac:dyDescent="0.25">
      <c r="A4" s="265" t="s">
        <v>151</v>
      </c>
      <c r="B4" s="266"/>
      <c r="C4" s="195">
        <f>'Buseta 8 puestos'!N23</f>
        <v>23082.857142857145</v>
      </c>
      <c r="D4" s="196">
        <f>'Buseta 15 puestos'!N23</f>
        <v>16223.127094612013</v>
      </c>
      <c r="E4" s="196">
        <f>'Buseta 19 puestos'!N23</f>
        <v>14714.438067326089</v>
      </c>
      <c r="F4" s="196">
        <v>0</v>
      </c>
      <c r="G4" s="196">
        <v>0</v>
      </c>
      <c r="H4" s="197">
        <f>AVERAGE(C4:E4)</f>
        <v>18006.80743493175</v>
      </c>
      <c r="I4" s="196">
        <f>'Matriz ABC Act. a Productos'!T11</f>
        <v>513.91156392078017</v>
      </c>
      <c r="J4" s="196">
        <v>30000</v>
      </c>
      <c r="K4" s="198">
        <f t="shared" ref="K4:K11" si="0">J4-(H4+I4)</f>
        <v>11479.281001147468</v>
      </c>
      <c r="L4" s="206">
        <f t="shared" ref="L4:L11" si="1">K4/$K$12</f>
        <v>0.2195148541190021</v>
      </c>
      <c r="M4" s="269"/>
    </row>
    <row r="5" spans="1:13" x14ac:dyDescent="0.25">
      <c r="A5" s="265" t="s">
        <v>188</v>
      </c>
      <c r="B5" s="266"/>
      <c r="C5" s="195">
        <f>'Buseta 8 puestos'!N35</f>
        <v>42024.285714285717</v>
      </c>
      <c r="D5" s="196">
        <f>'Buseta 15 puestos'!N47</f>
        <v>27813.7819025522</v>
      </c>
      <c r="E5" s="196">
        <f>'Buseta 19 puestos'!N34</f>
        <v>21912.26990755654</v>
      </c>
      <c r="F5" s="196">
        <v>0</v>
      </c>
      <c r="G5" s="196">
        <v>0</v>
      </c>
      <c r="H5" s="197">
        <f>AVERAGE(C5:E5)</f>
        <v>30583.445841464814</v>
      </c>
      <c r="I5" s="198">
        <f>'Matriz ABC Act. a Productos'!J11</f>
        <v>2797.9629591242478</v>
      </c>
      <c r="J5" s="199">
        <v>50000</v>
      </c>
      <c r="K5" s="198">
        <f t="shared" si="0"/>
        <v>16618.591199410941</v>
      </c>
      <c r="L5" s="206">
        <f t="shared" si="1"/>
        <v>0.31779234452378752</v>
      </c>
      <c r="M5" s="269"/>
    </row>
    <row r="6" spans="1:13" x14ac:dyDescent="0.25">
      <c r="A6" s="265" t="s">
        <v>202</v>
      </c>
      <c r="B6" s="266"/>
      <c r="C6" s="195">
        <f>'Buseta 8 puestos'!N47</f>
        <v>20734.974489795917</v>
      </c>
      <c r="D6" s="196">
        <f>'Buseta 15 puestos'!N59</f>
        <v>13081.256767208044</v>
      </c>
      <c r="E6" s="196">
        <f>'Buseta 19 puestos'!N46</f>
        <v>10851.74706133066</v>
      </c>
      <c r="F6" s="196">
        <v>0</v>
      </c>
      <c r="G6" s="196">
        <v>0</v>
      </c>
      <c r="H6" s="197">
        <f>AVERAGE(C6:E6)</f>
        <v>14889.326106111541</v>
      </c>
      <c r="I6" s="198">
        <f>'Matriz ABC Act. a Productos'!R11</f>
        <v>774.94600908689051</v>
      </c>
      <c r="J6" s="199">
        <v>30000</v>
      </c>
      <c r="K6" s="198">
        <f t="shared" si="0"/>
        <v>14335.727884801569</v>
      </c>
      <c r="L6" s="206">
        <f t="shared" si="1"/>
        <v>0.27413783276211834</v>
      </c>
      <c r="M6" s="269"/>
    </row>
    <row r="7" spans="1:13" x14ac:dyDescent="0.25">
      <c r="A7" s="265" t="s">
        <v>154</v>
      </c>
      <c r="B7" s="266"/>
      <c r="C7" s="195">
        <f>'Buseta 8 puestos'!N73</f>
        <v>10325.382653061224</v>
      </c>
      <c r="D7" s="196">
        <f>'Buseta 15 puestos'!N71</f>
        <v>6339.4985821087912</v>
      </c>
      <c r="E7" s="196">
        <f>'Buseta 19 puestos'!N70</f>
        <v>4529.5050270688325</v>
      </c>
      <c r="F7" s="196">
        <f>Camionetas!N22</f>
        <v>11496.527777777777</v>
      </c>
      <c r="G7" s="196">
        <v>0</v>
      </c>
      <c r="H7" s="197">
        <f>AVERAGE(C7,E7,F7)</f>
        <v>8783.805152635945</v>
      </c>
      <c r="I7" s="196">
        <f>'Matriz ABC Act. a Productos'!H11</f>
        <v>7822.8760285718745</v>
      </c>
      <c r="J7" s="196">
        <v>19000</v>
      </c>
      <c r="K7" s="198">
        <f t="shared" si="0"/>
        <v>2393.3188187921805</v>
      </c>
      <c r="L7" s="206">
        <f t="shared" si="1"/>
        <v>4.5766719301924226E-2</v>
      </c>
      <c r="M7" s="269"/>
    </row>
    <row r="8" spans="1:13" x14ac:dyDescent="0.25">
      <c r="A8" s="265" t="s">
        <v>206</v>
      </c>
      <c r="B8" s="266"/>
      <c r="C8" s="195">
        <f>'Buseta 8 puestos'!N85</f>
        <v>9274.7227891156454</v>
      </c>
      <c r="D8" s="196">
        <v>0</v>
      </c>
      <c r="E8" s="196">
        <v>0</v>
      </c>
      <c r="F8" s="196">
        <f>Camionetas!N33</f>
        <v>11242.046296296296</v>
      </c>
      <c r="G8" s="196">
        <v>0</v>
      </c>
      <c r="H8" s="197">
        <f>AVERAGE(C8,F8)</f>
        <v>10258.384542705971</v>
      </c>
      <c r="I8" s="196">
        <f>'Matriz ABC Act. a Productos'!P11</f>
        <v>1362.2735107106396</v>
      </c>
      <c r="J8" s="196">
        <v>18000</v>
      </c>
      <c r="K8" s="198">
        <f t="shared" si="0"/>
        <v>6379.3419465833886</v>
      </c>
      <c r="L8" s="206">
        <f t="shared" si="1"/>
        <v>0.12199024630893725</v>
      </c>
      <c r="M8" s="269"/>
    </row>
    <row r="9" spans="1:13" x14ac:dyDescent="0.25">
      <c r="A9" s="271" t="s">
        <v>205</v>
      </c>
      <c r="B9" s="272"/>
      <c r="C9" s="195">
        <f>'Buseta 8 puestos'!N60</f>
        <v>12211.137414965986</v>
      </c>
      <c r="D9" s="196">
        <f>'Buseta 15 puestos'!N35</f>
        <v>16871.780699493</v>
      </c>
      <c r="E9" s="196">
        <f>'Buseta 19 puestos'!N58</f>
        <v>13951.526573587877</v>
      </c>
      <c r="F9" s="196">
        <v>0</v>
      </c>
      <c r="G9" s="196">
        <v>0</v>
      </c>
      <c r="H9" s="197">
        <f>AVERAGE(C9:E9)</f>
        <v>14344.81489601562</v>
      </c>
      <c r="I9" s="196">
        <f>'Matriz ABC Act. a Productos'!F11</f>
        <v>14895.278027291182</v>
      </c>
      <c r="J9" s="196">
        <v>22000</v>
      </c>
      <c r="K9" s="198">
        <f t="shared" si="0"/>
        <v>-7240.0929233068018</v>
      </c>
      <c r="L9" s="206">
        <f t="shared" si="1"/>
        <v>-0.13845012956027863</v>
      </c>
      <c r="M9" s="269"/>
    </row>
    <row r="10" spans="1:13" x14ac:dyDescent="0.25">
      <c r="A10" s="265" t="s">
        <v>153</v>
      </c>
      <c r="B10" s="266"/>
      <c r="C10" s="195">
        <v>0</v>
      </c>
      <c r="D10" s="196">
        <v>0</v>
      </c>
      <c r="E10" s="196">
        <v>0</v>
      </c>
      <c r="F10" s="196">
        <v>0</v>
      </c>
      <c r="G10" s="196">
        <f>Taxi!N11</f>
        <v>2636.5862116798448</v>
      </c>
      <c r="H10" s="197">
        <f>G10</f>
        <v>2636.5862116798448</v>
      </c>
      <c r="I10" s="196">
        <f>'Matriz ABC Act. a Productos'!N11</f>
        <v>3833.9434133772479</v>
      </c>
      <c r="J10" s="196">
        <v>8000</v>
      </c>
      <c r="K10" s="198">
        <f t="shared" si="0"/>
        <v>1529.4703749429073</v>
      </c>
      <c r="L10" s="206">
        <f t="shared" si="1"/>
        <v>2.9247604114000434E-2</v>
      </c>
      <c r="M10" s="269"/>
    </row>
    <row r="11" spans="1:13" ht="15.75" thickBot="1" x14ac:dyDescent="0.3">
      <c r="A11" s="273" t="s">
        <v>152</v>
      </c>
      <c r="B11" s="274"/>
      <c r="C11" s="200">
        <v>0</v>
      </c>
      <c r="D11" s="201">
        <v>0</v>
      </c>
      <c r="E11" s="201">
        <v>0</v>
      </c>
      <c r="F11" s="201">
        <f>Camionetas!N11</f>
        <v>3524.5092592592591</v>
      </c>
      <c r="G11" s="201">
        <f>Taxi!N23</f>
        <v>1188.3600360660284</v>
      </c>
      <c r="H11" s="202">
        <f>AVERAGE(F11,G11)</f>
        <v>2356.4346476626438</v>
      </c>
      <c r="I11" s="201">
        <f>'Matriz ABC Act. a Productos'!V11</f>
        <v>481.2822582750162</v>
      </c>
      <c r="J11" s="201">
        <v>7000</v>
      </c>
      <c r="K11" s="203">
        <f t="shared" si="0"/>
        <v>4162.2830940623398</v>
      </c>
      <c r="L11" s="207">
        <f t="shared" si="1"/>
        <v>7.9594093576396602E-2</v>
      </c>
      <c r="M11" s="270"/>
    </row>
    <row r="12" spans="1:13" ht="15.75" thickBot="1" x14ac:dyDescent="0.3">
      <c r="K12" s="194">
        <f>SUM(K3:K11)</f>
        <v>52293.868892008504</v>
      </c>
    </row>
  </sheetData>
  <mergeCells count="19">
    <mergeCell ref="M1:M2"/>
    <mergeCell ref="M3:M11"/>
    <mergeCell ref="A8:B8"/>
    <mergeCell ref="A9:B9"/>
    <mergeCell ref="A10:B10"/>
    <mergeCell ref="A11:B11"/>
    <mergeCell ref="A1:B2"/>
    <mergeCell ref="F1:F2"/>
    <mergeCell ref="G1:G2"/>
    <mergeCell ref="I1:I2"/>
    <mergeCell ref="J1:J2"/>
    <mergeCell ref="A3:B3"/>
    <mergeCell ref="C1:E1"/>
    <mergeCell ref="A4:B4"/>
    <mergeCell ref="A5:B5"/>
    <mergeCell ref="A7:B7"/>
    <mergeCell ref="A6:B6"/>
    <mergeCell ref="K1:K2"/>
    <mergeCell ref="L1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showGridLines="0" workbookViewId="0">
      <selection activeCell="F18" sqref="F18"/>
    </sheetView>
  </sheetViews>
  <sheetFormatPr baseColWidth="10" defaultRowHeight="15" x14ac:dyDescent="0.25"/>
  <cols>
    <col min="1" max="1" width="3.42578125" customWidth="1"/>
    <col min="2" max="2" width="18.28515625" customWidth="1"/>
    <col min="3" max="3" width="16.7109375" customWidth="1"/>
    <col min="9" max="9" width="6.140625" customWidth="1"/>
    <col min="10" max="10" width="3.28515625" customWidth="1"/>
    <col min="11" max="11" width="21.28515625" customWidth="1"/>
  </cols>
  <sheetData>
    <row r="1" spans="1:16" ht="15.75" thickBot="1" x14ac:dyDescent="0.3">
      <c r="B1" s="62"/>
      <c r="C1" s="62"/>
      <c r="D1" s="62"/>
      <c r="E1" s="62"/>
      <c r="F1" s="62"/>
      <c r="G1" s="62"/>
      <c r="H1" s="62"/>
      <c r="I1" s="62"/>
    </row>
    <row r="2" spans="1:16" ht="15.75" thickBot="1" x14ac:dyDescent="0.3">
      <c r="A2" s="31"/>
      <c r="B2" s="25"/>
      <c r="C2" s="25"/>
      <c r="D2" s="25"/>
      <c r="E2" s="25"/>
      <c r="F2" s="25"/>
      <c r="G2" s="25"/>
      <c r="H2" s="25"/>
      <c r="I2" s="26"/>
      <c r="J2" s="17"/>
      <c r="K2" s="6"/>
      <c r="L2" s="6"/>
      <c r="M2" s="6"/>
      <c r="N2" s="6"/>
      <c r="O2" s="6"/>
    </row>
    <row r="3" spans="1:16" ht="15.75" thickBot="1" x14ac:dyDescent="0.3">
      <c r="A3" s="32"/>
      <c r="B3" s="229" t="s">
        <v>28</v>
      </c>
      <c r="C3" s="230"/>
      <c r="D3" s="17"/>
      <c r="E3" s="62"/>
      <c r="F3" s="62"/>
      <c r="G3" s="62"/>
      <c r="H3" s="62"/>
      <c r="I3" s="27"/>
      <c r="J3" s="17"/>
      <c r="K3" s="6"/>
      <c r="L3" s="6"/>
      <c r="M3" s="6"/>
      <c r="N3" s="6"/>
      <c r="O3" s="6"/>
    </row>
    <row r="4" spans="1:16" ht="15.75" thickBot="1" x14ac:dyDescent="0.3">
      <c r="A4" s="32"/>
      <c r="B4" s="4" t="s">
        <v>15</v>
      </c>
      <c r="C4" s="35" t="s">
        <v>16</v>
      </c>
      <c r="D4" s="17"/>
      <c r="E4" s="62"/>
      <c r="F4" s="62"/>
      <c r="G4" s="62"/>
      <c r="H4" s="62"/>
      <c r="I4" s="27"/>
      <c r="J4" s="17"/>
      <c r="K4" s="6"/>
      <c r="L4" s="4" t="s">
        <v>34</v>
      </c>
      <c r="M4" s="9" t="s">
        <v>37</v>
      </c>
      <c r="N4" s="4" t="s">
        <v>36</v>
      </c>
      <c r="O4" s="4" t="s">
        <v>18</v>
      </c>
    </row>
    <row r="5" spans="1:16" ht="15.75" thickBot="1" x14ac:dyDescent="0.3">
      <c r="A5" s="32"/>
      <c r="B5" s="34">
        <v>1276</v>
      </c>
      <c r="C5" s="11">
        <f>'[1]Servicios públicos'!$G$4</f>
        <v>659932.68772185931</v>
      </c>
      <c r="D5" s="28"/>
      <c r="E5" s="62"/>
      <c r="F5" s="62"/>
      <c r="G5" s="62"/>
      <c r="H5" s="62"/>
      <c r="I5" s="27"/>
      <c r="J5" s="17"/>
      <c r="K5" s="14" t="s">
        <v>19</v>
      </c>
      <c r="L5" s="13">
        <v>14566</v>
      </c>
      <c r="M5" s="15">
        <v>10479</v>
      </c>
      <c r="N5" s="13">
        <v>12433</v>
      </c>
      <c r="O5" s="12">
        <f>AVERAGE(L5:N5)</f>
        <v>12492.666666666666</v>
      </c>
    </row>
    <row r="6" spans="1:16" ht="15.75" thickBot="1" x14ac:dyDescent="0.3">
      <c r="A6" s="62"/>
      <c r="B6" s="17"/>
      <c r="C6" s="17"/>
      <c r="D6" s="17"/>
      <c r="E6" s="229" t="s">
        <v>14</v>
      </c>
      <c r="F6" s="231"/>
      <c r="G6" s="231"/>
      <c r="H6" s="230"/>
      <c r="I6" s="27"/>
      <c r="J6" s="17"/>
      <c r="K6" s="5"/>
      <c r="L6" s="16"/>
      <c r="M6" s="16"/>
      <c r="N6" s="16"/>
      <c r="O6" s="17"/>
    </row>
    <row r="7" spans="1:16" ht="15.75" thickBot="1" x14ac:dyDescent="0.3">
      <c r="A7" s="32"/>
      <c r="B7" s="229" t="s">
        <v>29</v>
      </c>
      <c r="C7" s="230"/>
      <c r="D7" s="17"/>
      <c r="E7" s="7" t="s">
        <v>34</v>
      </c>
      <c r="F7" s="8" t="s">
        <v>35</v>
      </c>
      <c r="G7" s="8" t="s">
        <v>36</v>
      </c>
      <c r="H7" s="4" t="s">
        <v>17</v>
      </c>
      <c r="I7" s="27"/>
      <c r="J7" s="17"/>
      <c r="K7" s="6"/>
      <c r="L7" s="6"/>
      <c r="M7" s="6"/>
      <c r="N7" s="6"/>
      <c r="O7" s="6"/>
    </row>
    <row r="8" spans="1:16" ht="15.75" thickBot="1" x14ac:dyDescent="0.3">
      <c r="A8" s="32"/>
      <c r="B8" s="4" t="s">
        <v>15</v>
      </c>
      <c r="C8" s="35" t="s">
        <v>16</v>
      </c>
      <c r="D8" s="17"/>
      <c r="E8" s="12">
        <f>B5</f>
        <v>1276</v>
      </c>
      <c r="F8" s="10">
        <f>B9</f>
        <v>1216</v>
      </c>
      <c r="G8" s="13">
        <f>B13</f>
        <v>1198</v>
      </c>
      <c r="H8" s="12">
        <f>AVERAGE(E8:G8)</f>
        <v>1230</v>
      </c>
      <c r="I8" s="27"/>
      <c r="J8" s="17"/>
      <c r="K8" s="6"/>
      <c r="L8" s="6"/>
      <c r="M8" s="6"/>
      <c r="N8" s="6"/>
      <c r="O8" s="6"/>
    </row>
    <row r="9" spans="1:16" ht="15.75" thickBot="1" x14ac:dyDescent="0.3">
      <c r="A9" s="32"/>
      <c r="B9" s="10">
        <v>1216</v>
      </c>
      <c r="C9" s="11">
        <f>'[1]Servicios públicos'!$H$4</f>
        <v>628645.91200847458</v>
      </c>
      <c r="D9" s="28"/>
      <c r="E9" s="28"/>
      <c r="F9" s="28"/>
      <c r="G9" s="28"/>
      <c r="H9" s="17"/>
      <c r="I9" s="27"/>
      <c r="J9" s="17"/>
      <c r="K9" s="4" t="s">
        <v>20</v>
      </c>
      <c r="L9" s="68" t="s">
        <v>127</v>
      </c>
      <c r="M9" s="232"/>
      <c r="N9" s="6" t="s">
        <v>21</v>
      </c>
      <c r="O9" s="66">
        <f>4800/24</f>
        <v>200</v>
      </c>
      <c r="P9" t="s">
        <v>128</v>
      </c>
    </row>
    <row r="10" spans="1:16" ht="15.75" thickBot="1" x14ac:dyDescent="0.3">
      <c r="A10" s="62"/>
      <c r="B10" s="17"/>
      <c r="C10" s="17"/>
      <c r="D10" s="17"/>
      <c r="E10" s="17"/>
      <c r="F10" s="102"/>
      <c r="G10" s="17"/>
      <c r="H10" s="17"/>
      <c r="I10" s="27"/>
      <c r="J10" s="17"/>
      <c r="K10" s="4" t="s">
        <v>22</v>
      </c>
      <c r="L10" s="68" t="s">
        <v>111</v>
      </c>
      <c r="M10" s="232"/>
      <c r="N10" s="6" t="s">
        <v>23</v>
      </c>
      <c r="O10" s="67">
        <f>O5</f>
        <v>12492.666666666666</v>
      </c>
      <c r="P10" t="s">
        <v>128</v>
      </c>
    </row>
    <row r="11" spans="1:16" ht="15.75" thickBot="1" x14ac:dyDescent="0.3">
      <c r="A11" s="32"/>
      <c r="B11" s="229" t="s">
        <v>30</v>
      </c>
      <c r="C11" s="230"/>
      <c r="D11" s="17"/>
      <c r="E11" s="28"/>
      <c r="F11" s="28"/>
      <c r="G11" s="28"/>
      <c r="H11" s="17"/>
      <c r="I11" s="27"/>
      <c r="J11" s="17"/>
      <c r="K11" s="5" t="s">
        <v>24</v>
      </c>
      <c r="L11" s="6"/>
      <c r="M11" s="6"/>
      <c r="N11" s="6"/>
      <c r="O11" s="6"/>
    </row>
    <row r="12" spans="1:16" ht="15.75" thickBot="1" x14ac:dyDescent="0.3">
      <c r="A12" s="32"/>
      <c r="B12" s="4" t="s">
        <v>15</v>
      </c>
      <c r="C12" s="35" t="s">
        <v>16</v>
      </c>
      <c r="D12" s="17"/>
      <c r="E12" s="17"/>
      <c r="F12" s="102"/>
      <c r="G12" s="17"/>
      <c r="H12" s="17"/>
      <c r="I12" s="27"/>
      <c r="J12" s="17"/>
      <c r="K12" s="6"/>
      <c r="L12" s="6"/>
      <c r="M12" s="6"/>
      <c r="N12" s="6"/>
      <c r="O12" s="6"/>
    </row>
    <row r="13" spans="1:16" ht="15.75" thickBot="1" x14ac:dyDescent="0.3">
      <c r="A13" s="32"/>
      <c r="B13" s="13">
        <v>1198</v>
      </c>
      <c r="C13" s="63">
        <f>'[1]Servicios públicos'!$I$4</f>
        <v>609605.88733003533</v>
      </c>
      <c r="D13" s="28"/>
      <c r="E13" s="17"/>
      <c r="F13" s="17"/>
      <c r="G13" s="17"/>
      <c r="H13" s="17"/>
      <c r="I13" s="27"/>
      <c r="J13" s="17"/>
      <c r="K13" s="6"/>
      <c r="L13" s="6"/>
      <c r="M13" s="6"/>
      <c r="N13" s="12">
        <f>O10/O9</f>
        <v>62.463333333333331</v>
      </c>
      <c r="O13" s="13" t="s">
        <v>25</v>
      </c>
    </row>
    <row r="14" spans="1:16" ht="15.75" thickBot="1" x14ac:dyDescent="0.3">
      <c r="A14" s="33"/>
      <c r="B14" s="29"/>
      <c r="C14" s="29"/>
      <c r="D14" s="29"/>
      <c r="E14" s="29"/>
      <c r="F14" s="29"/>
      <c r="G14" s="29"/>
      <c r="H14" s="29"/>
      <c r="I14" s="30"/>
      <c r="J14" s="17"/>
      <c r="K14" s="6"/>
      <c r="L14" s="6"/>
      <c r="M14" s="6"/>
      <c r="N14" s="6"/>
      <c r="O14" s="6"/>
    </row>
    <row r="15" spans="1:16" ht="15.75" thickBot="1" x14ac:dyDescent="0.3">
      <c r="B15" s="17"/>
      <c r="C15" s="17"/>
      <c r="D15" s="17"/>
      <c r="E15" s="17"/>
      <c r="F15" s="17"/>
      <c r="G15" s="17"/>
      <c r="H15" s="17"/>
      <c r="I15" s="17"/>
      <c r="J15" s="6"/>
      <c r="K15" s="6"/>
      <c r="L15" s="6"/>
      <c r="M15" s="6"/>
      <c r="N15" s="6"/>
      <c r="O15" s="6"/>
    </row>
    <row r="16" spans="1:16" ht="15.75" thickBot="1" x14ac:dyDescent="0.3">
      <c r="A16" s="31"/>
      <c r="B16" s="25"/>
      <c r="C16" s="25"/>
      <c r="D16" s="25"/>
      <c r="E16" s="25"/>
      <c r="F16" s="25"/>
      <c r="G16" s="25"/>
      <c r="H16" s="25"/>
      <c r="I16" s="26"/>
      <c r="J16" s="6"/>
      <c r="K16" s="6"/>
      <c r="L16" s="6"/>
      <c r="M16" s="6"/>
      <c r="N16" s="6"/>
      <c r="O16" s="6"/>
    </row>
    <row r="17" spans="1:15" ht="15.75" thickBot="1" x14ac:dyDescent="0.3">
      <c r="A17" s="32"/>
      <c r="B17" s="229" t="s">
        <v>31</v>
      </c>
      <c r="C17" s="230"/>
      <c r="D17" s="17"/>
      <c r="E17" s="62"/>
      <c r="F17" s="103"/>
      <c r="G17" s="62"/>
      <c r="H17" s="62"/>
      <c r="I17" s="27"/>
      <c r="J17" s="6"/>
      <c r="K17" s="6"/>
      <c r="L17" s="6"/>
      <c r="M17" s="6"/>
      <c r="N17" s="6"/>
      <c r="O17" s="6"/>
    </row>
    <row r="18" spans="1:15" ht="15.75" thickBot="1" x14ac:dyDescent="0.3">
      <c r="A18" s="32"/>
      <c r="B18" s="4" t="s">
        <v>27</v>
      </c>
      <c r="C18" s="35" t="s">
        <v>16</v>
      </c>
      <c r="D18" s="17"/>
      <c r="E18" s="62"/>
      <c r="F18" s="105"/>
      <c r="G18" s="62"/>
      <c r="H18" s="62"/>
      <c r="I18" s="27"/>
      <c r="J18" s="6"/>
      <c r="K18" s="6"/>
      <c r="L18" s="6"/>
      <c r="M18" s="6"/>
      <c r="N18" s="6"/>
      <c r="O18" s="6"/>
    </row>
    <row r="19" spans="1:15" ht="15.75" thickBot="1" x14ac:dyDescent="0.3">
      <c r="A19" s="32"/>
      <c r="B19" s="10">
        <v>23</v>
      </c>
      <c r="C19" s="104">
        <f>(48*1534*[3]Hoja1!$C$19)</f>
        <v>34541.973960204887</v>
      </c>
      <c r="D19" s="17"/>
      <c r="E19" s="62"/>
      <c r="F19" s="105"/>
      <c r="G19" s="62"/>
      <c r="H19" s="62"/>
      <c r="I19" s="27"/>
      <c r="J19" s="6"/>
      <c r="K19" s="6"/>
      <c r="L19" s="6"/>
      <c r="M19" s="6"/>
      <c r="N19" s="6"/>
      <c r="O19" s="6"/>
    </row>
    <row r="20" spans="1:15" ht="15.75" thickBot="1" x14ac:dyDescent="0.3">
      <c r="A20" s="62"/>
      <c r="B20" s="17"/>
      <c r="C20" s="17"/>
      <c r="D20" s="17"/>
      <c r="E20" s="17"/>
      <c r="F20" s="17"/>
      <c r="G20" s="17"/>
      <c r="H20" s="17"/>
      <c r="I20" s="27"/>
      <c r="J20" s="6"/>
      <c r="K20" s="6"/>
      <c r="L20" s="6"/>
      <c r="M20" s="6"/>
      <c r="N20" s="6"/>
      <c r="O20" s="6"/>
    </row>
    <row r="21" spans="1:15" ht="15.75" thickBot="1" x14ac:dyDescent="0.3">
      <c r="A21" s="32"/>
      <c r="B21" s="229" t="s">
        <v>32</v>
      </c>
      <c r="C21" s="230"/>
      <c r="D21" s="17"/>
      <c r="E21" s="229" t="s">
        <v>26</v>
      </c>
      <c r="F21" s="231"/>
      <c r="G21" s="231"/>
      <c r="H21" s="230"/>
      <c r="I21" s="27"/>
      <c r="J21" s="6"/>
      <c r="K21" s="6"/>
      <c r="L21" s="6"/>
      <c r="M21" s="6"/>
      <c r="N21" s="6"/>
      <c r="O21" s="6"/>
    </row>
    <row r="22" spans="1:15" ht="15.75" thickBot="1" x14ac:dyDescent="0.3">
      <c r="A22" s="32"/>
      <c r="B22" s="4" t="s">
        <v>27</v>
      </c>
      <c r="C22" s="35" t="s">
        <v>16</v>
      </c>
      <c r="D22" s="17"/>
      <c r="E22" s="7" t="s">
        <v>34</v>
      </c>
      <c r="F22" s="8" t="s">
        <v>35</v>
      </c>
      <c r="G22" s="8" t="s">
        <v>36</v>
      </c>
      <c r="H22" s="4" t="s">
        <v>17</v>
      </c>
      <c r="I22" s="27"/>
      <c r="J22" s="6"/>
      <c r="K22" s="6"/>
      <c r="L22" s="6"/>
      <c r="M22" s="6"/>
      <c r="N22" s="6"/>
      <c r="O22" s="6"/>
    </row>
    <row r="23" spans="1:15" ht="15.75" thickBot="1" x14ac:dyDescent="0.3">
      <c r="A23" s="32"/>
      <c r="B23" s="10">
        <v>16</v>
      </c>
      <c r="C23" s="18">
        <f>'[1]Servicios públicos'!$H$5</f>
        <v>25810.78073786496</v>
      </c>
      <c r="D23" s="17"/>
      <c r="E23" s="12">
        <f>B19</f>
        <v>23</v>
      </c>
      <c r="F23" s="10">
        <f>B23</f>
        <v>16</v>
      </c>
      <c r="G23" s="13">
        <f>B27</f>
        <v>20</v>
      </c>
      <c r="H23" s="12">
        <f>AVERAGE(E23:G23)</f>
        <v>19.666666666666668</v>
      </c>
      <c r="I23" s="27"/>
      <c r="J23" s="6"/>
      <c r="K23" s="6"/>
      <c r="L23" s="6"/>
      <c r="M23" s="6"/>
      <c r="N23" s="6"/>
      <c r="O23" s="6"/>
    </row>
    <row r="24" spans="1:15" ht="15.75" thickBot="1" x14ac:dyDescent="0.3">
      <c r="A24" s="62"/>
      <c r="B24" s="17"/>
      <c r="C24" s="17"/>
      <c r="D24" s="17"/>
      <c r="E24" s="17"/>
      <c r="F24" s="17"/>
      <c r="G24" s="17"/>
      <c r="H24" s="17"/>
      <c r="I24" s="27"/>
      <c r="J24" s="6"/>
      <c r="K24" s="6"/>
      <c r="L24" s="6"/>
      <c r="M24" s="6"/>
      <c r="N24" s="6"/>
      <c r="O24" s="6"/>
    </row>
    <row r="25" spans="1:15" ht="15.75" thickBot="1" x14ac:dyDescent="0.3">
      <c r="A25" s="32"/>
      <c r="B25" s="229" t="s">
        <v>33</v>
      </c>
      <c r="C25" s="230"/>
      <c r="D25" s="17"/>
      <c r="E25" s="17"/>
      <c r="F25" s="17"/>
      <c r="G25" s="17"/>
      <c r="H25" s="17"/>
      <c r="I25" s="27"/>
      <c r="J25" s="6"/>
      <c r="K25" s="6"/>
      <c r="L25" s="6"/>
      <c r="M25" s="6"/>
      <c r="N25" s="6"/>
      <c r="O25" s="6"/>
    </row>
    <row r="26" spans="1:15" ht="15.75" thickBot="1" x14ac:dyDescent="0.3">
      <c r="A26" s="32"/>
      <c r="B26" s="4" t="s">
        <v>27</v>
      </c>
      <c r="C26" s="35" t="s">
        <v>16</v>
      </c>
      <c r="D26" s="17"/>
      <c r="E26" s="17"/>
      <c r="F26" s="17"/>
      <c r="G26" s="17"/>
      <c r="H26" s="17"/>
      <c r="I26" s="27"/>
      <c r="J26" s="6"/>
      <c r="K26" s="6"/>
      <c r="L26" s="6"/>
      <c r="M26" s="6"/>
      <c r="N26" s="6"/>
      <c r="O26" s="6"/>
    </row>
    <row r="27" spans="1:15" ht="15.75" thickBot="1" x14ac:dyDescent="0.3">
      <c r="A27" s="32"/>
      <c r="B27" s="10">
        <v>20</v>
      </c>
      <c r="C27" s="18">
        <f>'[1]Servicios públicos'!$I$5</f>
        <v>31130.559973913463</v>
      </c>
      <c r="D27" s="17"/>
      <c r="E27" s="17"/>
      <c r="F27" s="17"/>
      <c r="G27" s="17"/>
      <c r="H27" s="17"/>
      <c r="I27" s="27"/>
      <c r="J27" s="6"/>
      <c r="K27" s="6"/>
      <c r="L27" s="6"/>
      <c r="M27" s="6"/>
      <c r="N27" s="6"/>
      <c r="O27" s="6"/>
    </row>
    <row r="28" spans="1:15" ht="15.75" thickBot="1" x14ac:dyDescent="0.3">
      <c r="A28" s="33"/>
      <c r="B28" s="29"/>
      <c r="C28" s="29"/>
      <c r="D28" s="29"/>
      <c r="E28" s="29"/>
      <c r="F28" s="29"/>
      <c r="G28" s="29"/>
      <c r="H28" s="29"/>
      <c r="I28" s="30"/>
      <c r="J28" s="6"/>
      <c r="K28" s="6"/>
      <c r="L28" s="6"/>
      <c r="M28" s="6"/>
      <c r="N28" s="6"/>
      <c r="O28" s="6"/>
    </row>
    <row r="29" spans="1:15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</sheetData>
  <mergeCells count="9">
    <mergeCell ref="B3:C3"/>
    <mergeCell ref="E6:H6"/>
    <mergeCell ref="B7:C7"/>
    <mergeCell ref="B25:C25"/>
    <mergeCell ref="M9:M10"/>
    <mergeCell ref="B11:C11"/>
    <mergeCell ref="B17:C17"/>
    <mergeCell ref="E21:H21"/>
    <mergeCell ref="B21:C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showGridLines="0" topLeftCell="B1" zoomScale="70" zoomScaleNormal="70" workbookViewId="0">
      <selection activeCell="L11" sqref="L11"/>
    </sheetView>
  </sheetViews>
  <sheetFormatPr baseColWidth="10" defaultRowHeight="15" x14ac:dyDescent="0.25"/>
  <cols>
    <col min="1" max="1" width="30.42578125" customWidth="1"/>
    <col min="2" max="2" width="20.28515625" customWidth="1"/>
    <col min="3" max="3" width="22.140625" customWidth="1"/>
    <col min="4" max="4" width="17.28515625" customWidth="1"/>
    <col min="5" max="5" width="20.28515625" customWidth="1"/>
    <col min="6" max="6" width="23.140625" customWidth="1"/>
    <col min="7" max="8" width="20.28515625" customWidth="1"/>
    <col min="9" max="10" width="22.5703125" customWidth="1"/>
    <col min="11" max="12" width="20.28515625" customWidth="1"/>
    <col min="13" max="14" width="21.28515625" customWidth="1"/>
    <col min="15" max="16" width="20.28515625" customWidth="1"/>
    <col min="17" max="18" width="21.7109375" customWidth="1"/>
    <col min="19" max="22" width="20.28515625" customWidth="1"/>
  </cols>
  <sheetData>
    <row r="1" spans="1:22" ht="15.75" thickBot="1" x14ac:dyDescent="0.3"/>
    <row r="2" spans="1:22" ht="15.75" thickBot="1" x14ac:dyDescent="0.3">
      <c r="A2" s="216" t="s">
        <v>6</v>
      </c>
      <c r="B2" s="218" t="s">
        <v>38</v>
      </c>
      <c r="C2" s="223" t="s">
        <v>39</v>
      </c>
      <c r="D2" s="242"/>
      <c r="E2" s="223" t="s">
        <v>124</v>
      </c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</row>
    <row r="3" spans="1:22" ht="15.75" thickBot="1" x14ac:dyDescent="0.3">
      <c r="A3" s="240"/>
      <c r="B3" s="241"/>
      <c r="C3" s="218" t="s">
        <v>40</v>
      </c>
      <c r="D3" s="218" t="s">
        <v>5</v>
      </c>
      <c r="E3" s="223" t="s">
        <v>208</v>
      </c>
      <c r="F3" s="242"/>
      <c r="G3" s="223" t="s">
        <v>166</v>
      </c>
      <c r="H3" s="242"/>
      <c r="I3" s="223" t="s">
        <v>167</v>
      </c>
      <c r="J3" s="242"/>
      <c r="K3" s="223" t="s">
        <v>168</v>
      </c>
      <c r="L3" s="242"/>
      <c r="M3" s="243" t="s">
        <v>201</v>
      </c>
      <c r="N3" s="242"/>
      <c r="O3" s="223" t="s">
        <v>209</v>
      </c>
      <c r="P3" s="242"/>
      <c r="Q3" s="223" t="s">
        <v>169</v>
      </c>
      <c r="R3" s="242"/>
      <c r="S3" s="223" t="s">
        <v>170</v>
      </c>
      <c r="T3" s="242"/>
      <c r="U3" s="223" t="s">
        <v>171</v>
      </c>
      <c r="V3" s="242"/>
    </row>
    <row r="4" spans="1:22" ht="34.5" customHeight="1" thickBot="1" x14ac:dyDescent="0.3">
      <c r="A4" s="240"/>
      <c r="B4" s="241"/>
      <c r="C4" s="241"/>
      <c r="D4" s="241"/>
      <c r="E4" s="21" t="s">
        <v>41</v>
      </c>
      <c r="F4" s="24" t="s">
        <v>42</v>
      </c>
      <c r="G4" s="84" t="s">
        <v>41</v>
      </c>
      <c r="H4" s="84" t="s">
        <v>42</v>
      </c>
      <c r="I4" s="106" t="s">
        <v>41</v>
      </c>
      <c r="J4" s="106" t="s">
        <v>42</v>
      </c>
      <c r="K4" s="106" t="s">
        <v>41</v>
      </c>
      <c r="L4" s="119" t="s">
        <v>42</v>
      </c>
      <c r="M4" s="106" t="s">
        <v>41</v>
      </c>
      <c r="N4" s="119" t="s">
        <v>42</v>
      </c>
      <c r="O4" s="106" t="s">
        <v>41</v>
      </c>
      <c r="P4" s="119" t="s">
        <v>42</v>
      </c>
      <c r="Q4" s="106" t="s">
        <v>41</v>
      </c>
      <c r="R4" s="119" t="s">
        <v>42</v>
      </c>
      <c r="S4" s="106" t="s">
        <v>41</v>
      </c>
      <c r="T4" s="119" t="s">
        <v>42</v>
      </c>
      <c r="U4" s="186" t="s">
        <v>41</v>
      </c>
      <c r="V4" s="186" t="s">
        <v>42</v>
      </c>
    </row>
    <row r="5" spans="1:22" ht="45.75" customHeight="1" x14ac:dyDescent="0.25">
      <c r="A5" s="44" t="s">
        <v>43</v>
      </c>
      <c r="B5" s="81">
        <f>SUM('Matriz ABC'!H4:H70)+SUM('Matriz ABC'!H72:H84)</f>
        <v>9861555.4400631785</v>
      </c>
      <c r="C5" s="85" t="s">
        <v>126</v>
      </c>
      <c r="D5" s="161">
        <f>'Inductores Secundarios'!$L$20</f>
        <v>1094.9488350845133</v>
      </c>
      <c r="E5" s="158">
        <f>'Inductores Secundarios'!L$11</f>
        <v>761.59798994974869</v>
      </c>
      <c r="F5" s="73">
        <f>IF(E$5&gt;0,($B$5/$D$5)*E$5,0)</f>
        <v>6859261.8762413934</v>
      </c>
      <c r="G5" s="155">
        <f>'Inductores Secundarios'!L$12</f>
        <v>210.06875285518501</v>
      </c>
      <c r="H5" s="73">
        <f>IF(G$5&gt;0,($B$5/$D$5)*G$5,0)</f>
        <v>1891964.7988359574</v>
      </c>
      <c r="I5" s="155">
        <f>'Inductores Secundarios'!L$13</f>
        <v>26.87277295568753</v>
      </c>
      <c r="J5" s="73">
        <f>IF(I$5&gt;0,($B$5/$D$5)*I$5,0)</f>
        <v>242027.14486680878</v>
      </c>
      <c r="K5" s="155">
        <f>'Inductores Secundarios'!L$14</f>
        <v>35.819095477386938</v>
      </c>
      <c r="L5" s="73">
        <f>IF(K$5&gt;0,($B$5/$D$5)*K$5,0)</f>
        <v>322601.37144755578</v>
      </c>
      <c r="M5" s="155">
        <f>'Inductores Secundarios'!L$15</f>
        <v>50.456829602558244</v>
      </c>
      <c r="N5" s="73">
        <f>IF(M$5&gt;0,($B$5/$D$5)*M$5,0)</f>
        <v>454434.77038545214</v>
      </c>
      <c r="O5" s="155">
        <f>'Inductores Secundarios'!L$16</f>
        <v>6.3702603928734591</v>
      </c>
      <c r="P5" s="73">
        <f>IF(O$5&gt;0,($B$5/$D$5)*O$5,0)</f>
        <v>57373.1612099587</v>
      </c>
      <c r="Q5" s="155">
        <f>'Inductores Secundarios'!L$17</f>
        <v>2.0614435815440837</v>
      </c>
      <c r="R5" s="73">
        <f>IF(Q$5&gt;0,($B$5/$D$5)*Q$5,0)</f>
        <v>18566.201008278429</v>
      </c>
      <c r="S5" s="155">
        <f>'Inductores Secundarios'!L18</f>
        <v>0.90657834627683875</v>
      </c>
      <c r="T5" s="73">
        <f>IF(S$5&gt;0,($B$5/$D$5)*S$5,0)</f>
        <v>8165.0140500672687</v>
      </c>
      <c r="U5" s="155">
        <f>'Inductores Secundarios'!L$19</f>
        <v>0.7951119232526267</v>
      </c>
      <c r="V5" s="88">
        <f>IF(U$5&gt;0,($B$5/$D$5)*U$5,0)</f>
        <v>7161.1020177082783</v>
      </c>
    </row>
    <row r="6" spans="1:22" ht="44.25" customHeight="1" x14ac:dyDescent="0.25">
      <c r="A6" s="36" t="s">
        <v>44</v>
      </c>
      <c r="B6" s="82">
        <f>SUM('Matriz ABC'!J4:J70)+SUM('Matriz ABC'!J72:J84)</f>
        <v>9557830.1524575688</v>
      </c>
      <c r="C6" s="86" t="s">
        <v>126</v>
      </c>
      <c r="D6" s="162">
        <f>'Inductores Secundarios'!$L$20</f>
        <v>1094.9488350845133</v>
      </c>
      <c r="E6" s="159">
        <f>'Inductores Secundarios'!L$11</f>
        <v>761.59798994974869</v>
      </c>
      <c r="F6" s="74">
        <f>IF(E$6&gt;0,($B$6/$D$6)*E$6,0)</f>
        <v>6648003.9972195951</v>
      </c>
      <c r="G6" s="156">
        <f>'Inductores Secundarios'!L$12</f>
        <v>210.06875285518501</v>
      </c>
      <c r="H6" s="74">
        <f>IF(G$6&gt;0,($B$6/$D$6)*G$6,0)</f>
        <v>1833694.3204962381</v>
      </c>
      <c r="I6" s="156">
        <f>'Inductores Secundarios'!L$13</f>
        <v>26.87277295568753</v>
      </c>
      <c r="J6" s="74">
        <f>IF(I$6&gt;0,($B$6/$D$6)*I$6,0)</f>
        <v>234572.96944490747</v>
      </c>
      <c r="K6" s="156">
        <f>'Inductores Secundarios'!L$14</f>
        <v>35.819095477386938</v>
      </c>
      <c r="L6" s="74">
        <f>IF(K$6&gt;0,($B$6/$D$6)*K$6,0)</f>
        <v>312665.596617673</v>
      </c>
      <c r="M6" s="156">
        <f>'Inductores Secundarios'!L$15</f>
        <v>50.456829602558244</v>
      </c>
      <c r="N6" s="74">
        <f>IF(M$6&gt;0,($B$6/$D$6)*M$6,0)</f>
        <v>440438.66884019459</v>
      </c>
      <c r="O6" s="156">
        <f>'Inductores Secundarios'!L$16</f>
        <v>6.3702603928734591</v>
      </c>
      <c r="P6" s="74">
        <f>IF(O$6&gt;0,($B$6/$D$6)*O$6,0)</f>
        <v>55606.129630077812</v>
      </c>
      <c r="Q6" s="156">
        <f>'Inductores Secundarios'!L$17</f>
        <v>2.0614435815440837</v>
      </c>
      <c r="R6" s="74">
        <f>IF(Q$6&gt;0,($B$6/$D$6)*Q$6,0)</f>
        <v>17994.382011239275</v>
      </c>
      <c r="S6" s="156">
        <f>'Inductores Secundarios'!L18</f>
        <v>0.90657834627683875</v>
      </c>
      <c r="T6" s="74">
        <f>IF(S$6&gt;0,($B$6/$D$6)*S$6,0)</f>
        <v>7913.5404102613511</v>
      </c>
      <c r="U6" s="156">
        <f>'Inductores Secundarios'!L$19</f>
        <v>0.7951119232526267</v>
      </c>
      <c r="V6" s="89">
        <f>IF(U$6&gt;0,($B$6/$D$6)*U$6,0)</f>
        <v>6940.5477873821519</v>
      </c>
    </row>
    <row r="7" spans="1:22" ht="44.25" customHeight="1" x14ac:dyDescent="0.25">
      <c r="A7" s="36" t="s">
        <v>45</v>
      </c>
      <c r="B7" s="82">
        <f>SUM('Matriz ABC'!L4:L70)+SUM('Matriz ABC'!L72:L84)</f>
        <v>9088451.720397573</v>
      </c>
      <c r="C7" s="86" t="s">
        <v>126</v>
      </c>
      <c r="D7" s="162">
        <f>'Inductores Secundarios'!$L$20</f>
        <v>1094.9488350845133</v>
      </c>
      <c r="E7" s="159">
        <f>'Inductores Secundarios'!L$11</f>
        <v>761.59798994974869</v>
      </c>
      <c r="F7" s="74">
        <f>IF(E$7&gt;0,($B$7/$D$7)*E$7,0)</f>
        <v>6321525.1162634231</v>
      </c>
      <c r="G7" s="156">
        <f>'Inductores Secundarios'!L$12</f>
        <v>210.06875285518501</v>
      </c>
      <c r="H7" s="74">
        <f>IF(G$7&gt;0,($B$7/$D$7)*G$7,0)</f>
        <v>1743642.859934289</v>
      </c>
      <c r="I7" s="156">
        <f>'Inductores Secundarios'!L$13</f>
        <v>26.87277295568753</v>
      </c>
      <c r="J7" s="74">
        <f>IF(I$7&gt;0,($B$7/$D$7)*I$7,0)</f>
        <v>223053.25306101699</v>
      </c>
      <c r="K7" s="156">
        <f>'Inductores Secundarios'!L$14</f>
        <v>35.819095477386938</v>
      </c>
      <c r="L7" s="74">
        <f>IF(K$7&gt;0,($B$7/$D$7)*K$7,0)</f>
        <v>297310.80529385241</v>
      </c>
      <c r="M7" s="156">
        <f>'Inductores Secundarios'!L$15</f>
        <v>50.456829602558244</v>
      </c>
      <c r="N7" s="74">
        <f>IF(M$7&gt;0,($B$7/$D$7)*M$7,0)</f>
        <v>418809.03026101924</v>
      </c>
      <c r="O7" s="156">
        <f>'Inductores Secundarios'!L$16</f>
        <v>6.3702603928734591</v>
      </c>
      <c r="P7" s="74">
        <f>IF(O$7&gt;0,($B$7/$D$7)*O$7,0)</f>
        <v>52875.351040966802</v>
      </c>
      <c r="Q7" s="156">
        <f>'Inductores Secundarios'!L$17</f>
        <v>2.0614435815440837</v>
      </c>
      <c r="R7" s="74">
        <f>IF(Q$7&gt;0,($B$7/$D$7)*Q$7,0)</f>
        <v>17110.690349052504</v>
      </c>
      <c r="S7" s="156">
        <f>'Inductores Secundarios'!L18</f>
        <v>0.90657834627683875</v>
      </c>
      <c r="T7" s="74">
        <f>IF(S$7&gt;0,($B$7/$D$7)*S$7,0)</f>
        <v>7524.9119108464711</v>
      </c>
      <c r="U7" s="156">
        <f>'Inductores Secundarios'!L$19</f>
        <v>0.7951119232526267</v>
      </c>
      <c r="V7" s="89">
        <f>IF(U$7&gt;0,($B$7/$D$7)*U$7,0)</f>
        <v>6599.7022831082295</v>
      </c>
    </row>
    <row r="8" spans="1:22" ht="50.25" customHeight="1" thickBot="1" x14ac:dyDescent="0.3">
      <c r="A8" s="36" t="s">
        <v>46</v>
      </c>
      <c r="B8" s="83">
        <f>SUM('Matriz ABC'!N4:N70)+SUM('Matriz ABC'!N72:N84)</f>
        <v>10595824.103036417</v>
      </c>
      <c r="C8" s="87" t="s">
        <v>126</v>
      </c>
      <c r="D8" s="163">
        <f>'Inductores Secundarios'!$L$20</f>
        <v>1094.9488350845133</v>
      </c>
      <c r="E8" s="160">
        <f>'Inductores Secundarios'!L$11</f>
        <v>761.59798994974869</v>
      </c>
      <c r="F8" s="74">
        <f>IF(E$8&gt;0,($B$8/$D$8)*E$8,0)</f>
        <v>7369986.6881092861</v>
      </c>
      <c r="G8" s="157">
        <f>'Inductores Secundarios'!L$12</f>
        <v>210.06875285518501</v>
      </c>
      <c r="H8" s="74">
        <f>IF(G$8&gt;0,($B$8/$D$8)*G$8,0)</f>
        <v>2032836.1321339435</v>
      </c>
      <c r="I8" s="157">
        <f>'Inductores Secundarios'!L$13</f>
        <v>26.87277295568753</v>
      </c>
      <c r="J8" s="74">
        <f>IF(I$8&gt;0,($B$8/$D$8)*I$8,0)</f>
        <v>260047.92760688363</v>
      </c>
      <c r="K8" s="157">
        <f>'Inductores Secundarios'!L$14</f>
        <v>35.819095477386938</v>
      </c>
      <c r="L8" s="74">
        <f>IF(K$8&gt;0,($B$8/$D$8)*K$8,0)</f>
        <v>346621.52517744363</v>
      </c>
      <c r="M8" s="157">
        <f>'Inductores Secundarios'!L$15</f>
        <v>50.456829602558244</v>
      </c>
      <c r="N8" s="74">
        <f>IF(M$8&gt;0,($B$8/$D$8)*M$8,0)</f>
        <v>488270.9348006408</v>
      </c>
      <c r="O8" s="157">
        <f>'Inductores Secundarios'!L$16</f>
        <v>6.3702603928734591</v>
      </c>
      <c r="P8" s="74">
        <f>IF(O$8&gt;0,($B$8/$D$8)*O$8,0)</f>
        <v>61645.034407673491</v>
      </c>
      <c r="Q8" s="157">
        <f>'Inductores Secundarios'!L$17</f>
        <v>2.0614435815440837</v>
      </c>
      <c r="R8" s="74">
        <f>IF(Q$8&gt;0,($B$8/$D$8)*Q$8,0)</f>
        <v>19948.597494684393</v>
      </c>
      <c r="S8" s="157">
        <f>'Inductores Secundarios'!L18</f>
        <v>0.90657834627683875</v>
      </c>
      <c r="T8" s="74">
        <f>IF(S$8&gt;0,($B$8/$D$8)*S$8,0)</f>
        <v>8772.9621558340586</v>
      </c>
      <c r="U8" s="157">
        <f>'Inductores Secundarios'!L$19</f>
        <v>0.7951119232526267</v>
      </c>
      <c r="V8" s="89">
        <f>IF(U$8&gt;0,($B$8/$D$8)*U$8,0)</f>
        <v>7694.3011500272996</v>
      </c>
    </row>
    <row r="9" spans="1:22" ht="35.25" customHeight="1" thickBot="1" x14ac:dyDescent="0.3">
      <c r="A9" s="237" t="s">
        <v>47</v>
      </c>
      <c r="B9" s="238"/>
      <c r="C9" s="238"/>
      <c r="D9" s="239"/>
      <c r="E9" s="227">
        <f>SUM(F5:F8)</f>
        <v>27198777.677833699</v>
      </c>
      <c r="F9" s="226"/>
      <c r="G9" s="227">
        <f>SUM(H5:H8)</f>
        <v>7502138.1114004273</v>
      </c>
      <c r="H9" s="226"/>
      <c r="I9" s="227">
        <f>SUM(J5:J8)</f>
        <v>959701.294979617</v>
      </c>
      <c r="J9" s="226"/>
      <c r="K9" s="227">
        <f>SUM(L5:L8)</f>
        <v>1279199.2985365249</v>
      </c>
      <c r="L9" s="233"/>
      <c r="M9" s="227">
        <f>SUM(N5:N8)</f>
        <v>1801953.4042873066</v>
      </c>
      <c r="N9" s="233"/>
      <c r="O9" s="227">
        <f>SUM(P5:P8)</f>
        <v>227499.6762886768</v>
      </c>
      <c r="P9" s="233"/>
      <c r="Q9" s="227">
        <f>SUM(R5:R8)</f>
        <v>73619.870863254604</v>
      </c>
      <c r="R9" s="233"/>
      <c r="S9" s="227">
        <f>SUM(T5:T8)</f>
        <v>32376.42852700915</v>
      </c>
      <c r="T9" s="233"/>
      <c r="U9" s="227">
        <f>SUM(V5:V8)</f>
        <v>28395.653238225957</v>
      </c>
      <c r="V9" s="226"/>
    </row>
    <row r="10" spans="1:22" ht="10.5" customHeight="1" thickBot="1" x14ac:dyDescent="0.3"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</row>
    <row r="11" spans="1:22" ht="33.75" customHeight="1" thickBot="1" x14ac:dyDescent="0.3">
      <c r="A11" s="234" t="s">
        <v>48</v>
      </c>
      <c r="B11" s="235"/>
      <c r="C11" s="235"/>
      <c r="D11" s="236"/>
      <c r="F11" s="191">
        <f>E9/'Inductores Secundarios'!K11</f>
        <v>14895.278027291182</v>
      </c>
      <c r="H11" s="191">
        <f>G9/'Inductores Secundarios'!K12</f>
        <v>7822.8760285718745</v>
      </c>
      <c r="J11" s="191">
        <f>I9/'Inductores Secundarios'!K13</f>
        <v>2797.9629591242478</v>
      </c>
      <c r="L11" s="191">
        <f>K9/'Inductores Secundarios'!K14</f>
        <v>3230.3012589306186</v>
      </c>
      <c r="N11" s="191">
        <f>M9/'Inductores Secundarios'!K15</f>
        <v>3833.9434133772479</v>
      </c>
      <c r="P11" s="191">
        <f>O9/'Inductores Secundarios'!K16</f>
        <v>1362.2735107106396</v>
      </c>
      <c r="R11" s="191">
        <f>Q9/'Inductores Secundarios'!K17</f>
        <v>774.94600908689051</v>
      </c>
      <c r="T11" s="191">
        <f>S9/'Inductores Secundarios'!K18</f>
        <v>513.91156392078017</v>
      </c>
      <c r="V11" s="191">
        <f>U9/'Inductores Secundarios'!K19</f>
        <v>481.2822582750162</v>
      </c>
    </row>
    <row r="12" spans="1:22" x14ac:dyDescent="0.25">
      <c r="H12" s="69"/>
    </row>
    <row r="13" spans="1:22" x14ac:dyDescent="0.25">
      <c r="F13" s="182"/>
    </row>
  </sheetData>
  <mergeCells count="26">
    <mergeCell ref="E2:V2"/>
    <mergeCell ref="O3:P3"/>
    <mergeCell ref="Q3:R3"/>
    <mergeCell ref="S3:T3"/>
    <mergeCell ref="U3:V3"/>
    <mergeCell ref="I3:J3"/>
    <mergeCell ref="K3:L3"/>
    <mergeCell ref="M3:N3"/>
    <mergeCell ref="G3:H3"/>
    <mergeCell ref="E3:F3"/>
    <mergeCell ref="I9:J9"/>
    <mergeCell ref="K9:L9"/>
    <mergeCell ref="M9:N9"/>
    <mergeCell ref="E9:F9"/>
    <mergeCell ref="A2:A4"/>
    <mergeCell ref="B2:B4"/>
    <mergeCell ref="C2:D2"/>
    <mergeCell ref="C3:C4"/>
    <mergeCell ref="D3:D4"/>
    <mergeCell ref="S9:T9"/>
    <mergeCell ref="U9:V9"/>
    <mergeCell ref="A11:D11"/>
    <mergeCell ref="A9:D9"/>
    <mergeCell ref="G9:H9"/>
    <mergeCell ref="O9:P9"/>
    <mergeCell ref="Q9:R9"/>
  </mergeCells>
  <pageMargins left="0.7" right="0.7" top="0.75" bottom="0.75" header="0.3" footer="0.3"/>
  <ignoredErrors>
    <ignoredError sqref="H5 H6:H8 G5:G8 I5:I8 K5:K8 M5:M8 O5:O8 Q5:Q8 S5 S6:S8 U5:U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showGridLines="0" topLeftCell="C7" zoomScale="90" zoomScaleNormal="90" workbookViewId="0">
      <selection activeCell="J23" sqref="J23"/>
    </sheetView>
  </sheetViews>
  <sheetFormatPr baseColWidth="10" defaultRowHeight="15" x14ac:dyDescent="0.25"/>
  <cols>
    <col min="1" max="1" width="2.7109375" customWidth="1"/>
    <col min="2" max="2" width="32.28515625" customWidth="1"/>
    <col min="3" max="3" width="21.28515625" customWidth="1"/>
    <col min="4" max="5" width="18.28515625" customWidth="1"/>
    <col min="6" max="6" width="15.42578125" customWidth="1"/>
    <col min="7" max="7" width="22.140625" customWidth="1"/>
    <col min="8" max="8" width="16.140625" customWidth="1"/>
    <col min="9" max="9" width="29.85546875" customWidth="1"/>
    <col min="10" max="10" width="16.140625" customWidth="1"/>
    <col min="11" max="11" width="15.7109375" customWidth="1"/>
    <col min="12" max="17" width="16.140625" customWidth="1"/>
  </cols>
  <sheetData>
    <row r="1" spans="2:12" ht="15.75" thickBot="1" x14ac:dyDescent="0.3"/>
    <row r="2" spans="2:12" ht="15.75" thickBot="1" x14ac:dyDescent="0.3">
      <c r="B2" s="49" t="s">
        <v>118</v>
      </c>
      <c r="C2" s="20" t="s">
        <v>39</v>
      </c>
      <c r="D2" s="118"/>
    </row>
    <row r="3" spans="2:12" ht="15" customHeight="1" x14ac:dyDescent="0.25">
      <c r="B3" s="46" t="s">
        <v>120</v>
      </c>
      <c r="C3" s="244" t="s">
        <v>119</v>
      </c>
      <c r="D3" s="117"/>
    </row>
    <row r="4" spans="2:12" x14ac:dyDescent="0.25">
      <c r="B4" s="47" t="s">
        <v>123</v>
      </c>
      <c r="C4" s="245"/>
      <c r="D4" s="117"/>
    </row>
    <row r="5" spans="2:12" x14ac:dyDescent="0.25">
      <c r="B5" s="47" t="s">
        <v>121</v>
      </c>
      <c r="C5" s="245"/>
      <c r="D5" s="117"/>
    </row>
    <row r="6" spans="2:12" ht="15.75" thickBot="1" x14ac:dyDescent="0.3">
      <c r="B6" s="48" t="s">
        <v>122</v>
      </c>
      <c r="C6" s="246"/>
      <c r="D6" s="117"/>
    </row>
    <row r="9" spans="2:12" ht="15.75" thickBot="1" x14ac:dyDescent="0.3"/>
    <row r="10" spans="2:12" ht="45.75" thickBot="1" x14ac:dyDescent="0.3">
      <c r="B10" s="120" t="s">
        <v>156</v>
      </c>
      <c r="C10" s="122" t="s">
        <v>34</v>
      </c>
      <c r="D10" s="121" t="s">
        <v>35</v>
      </c>
      <c r="E10" s="122" t="s">
        <v>36</v>
      </c>
      <c r="F10" s="20" t="s">
        <v>18</v>
      </c>
      <c r="G10" s="20" t="s">
        <v>157</v>
      </c>
      <c r="I10" s="122" t="s">
        <v>156</v>
      </c>
      <c r="J10" s="101" t="s">
        <v>136</v>
      </c>
      <c r="K10" s="19" t="s">
        <v>158</v>
      </c>
      <c r="L10" s="151" t="s">
        <v>117</v>
      </c>
    </row>
    <row r="11" spans="2:12" x14ac:dyDescent="0.25">
      <c r="B11" s="286" t="s">
        <v>207</v>
      </c>
      <c r="C11" s="149">
        <v>2340</v>
      </c>
      <c r="D11" s="148">
        <v>1157</v>
      </c>
      <c r="E11" s="147">
        <v>1980</v>
      </c>
      <c r="F11" s="146">
        <f t="shared" ref="F11:F19" si="0">AVERAGE(C11:E11)</f>
        <v>1825.6666666666667</v>
      </c>
      <c r="G11" s="145">
        <f t="shared" ref="G11:G19" si="1">ROUNDUP(F11,0)</f>
        <v>1826</v>
      </c>
      <c r="H11" s="153"/>
      <c r="I11" s="286" t="s">
        <v>207</v>
      </c>
      <c r="J11" s="144">
        <f>D24</f>
        <v>0.41708542713567837</v>
      </c>
      <c r="K11" s="143">
        <f>G11</f>
        <v>1826</v>
      </c>
      <c r="L11" s="142">
        <f t="shared" ref="L11:L19" si="2">J11*K11</f>
        <v>761.59798994974869</v>
      </c>
    </row>
    <row r="12" spans="2:12" x14ac:dyDescent="0.25">
      <c r="B12" s="287" t="s">
        <v>159</v>
      </c>
      <c r="C12" s="138">
        <v>1185</v>
      </c>
      <c r="D12" s="137">
        <v>791</v>
      </c>
      <c r="E12" s="136">
        <v>901</v>
      </c>
      <c r="F12" s="135">
        <f t="shared" si="0"/>
        <v>959</v>
      </c>
      <c r="G12" s="134">
        <f t="shared" si="1"/>
        <v>959</v>
      </c>
      <c r="H12" s="153"/>
      <c r="I12" s="287" t="s">
        <v>159</v>
      </c>
      <c r="J12" s="133">
        <f t="shared" ref="J12:J19" si="3">D25</f>
        <v>0.21904979442667885</v>
      </c>
      <c r="K12" s="132">
        <f t="shared" ref="K12:K19" si="4">G12</f>
        <v>959</v>
      </c>
      <c r="L12" s="131">
        <f t="shared" si="2"/>
        <v>210.06875285518501</v>
      </c>
    </row>
    <row r="13" spans="2:12" x14ac:dyDescent="0.25">
      <c r="B13" s="287" t="s">
        <v>160</v>
      </c>
      <c r="C13" s="141">
        <v>373</v>
      </c>
      <c r="D13" s="140">
        <v>285</v>
      </c>
      <c r="E13" s="139">
        <v>369</v>
      </c>
      <c r="F13" s="135">
        <f t="shared" si="0"/>
        <v>342.33333333333331</v>
      </c>
      <c r="G13" s="134">
        <f t="shared" si="1"/>
        <v>343</v>
      </c>
      <c r="H13" s="154"/>
      <c r="I13" s="287" t="s">
        <v>160</v>
      </c>
      <c r="J13" s="133">
        <f t="shared" si="3"/>
        <v>7.8346276838739154E-2</v>
      </c>
      <c r="K13" s="132">
        <f t="shared" si="4"/>
        <v>343</v>
      </c>
      <c r="L13" s="131">
        <f t="shared" si="2"/>
        <v>26.87277295568753</v>
      </c>
    </row>
    <row r="14" spans="2:12" x14ac:dyDescent="0.25">
      <c r="B14" s="287" t="s">
        <v>161</v>
      </c>
      <c r="C14" s="141">
        <v>415</v>
      </c>
      <c r="D14" s="140">
        <v>325</v>
      </c>
      <c r="E14" s="139">
        <v>448</v>
      </c>
      <c r="F14" s="135">
        <f t="shared" si="0"/>
        <v>396</v>
      </c>
      <c r="G14" s="134">
        <f t="shared" si="1"/>
        <v>396</v>
      </c>
      <c r="H14" s="153"/>
      <c r="I14" s="287" t="s">
        <v>161</v>
      </c>
      <c r="J14" s="133">
        <f t="shared" si="3"/>
        <v>9.0452261306532666E-2</v>
      </c>
      <c r="K14" s="132">
        <f t="shared" si="4"/>
        <v>396</v>
      </c>
      <c r="L14" s="131">
        <f t="shared" si="2"/>
        <v>35.819095477386938</v>
      </c>
    </row>
    <row r="15" spans="2:12" x14ac:dyDescent="0.25">
      <c r="B15" s="287" t="s">
        <v>153</v>
      </c>
      <c r="C15" s="141">
        <v>893</v>
      </c>
      <c r="D15" s="140">
        <v>218</v>
      </c>
      <c r="E15" s="139">
        <v>297</v>
      </c>
      <c r="F15" s="135">
        <f t="shared" si="0"/>
        <v>469.33333333333331</v>
      </c>
      <c r="G15" s="134">
        <f t="shared" si="1"/>
        <v>470</v>
      </c>
      <c r="H15" s="153"/>
      <c r="I15" s="287" t="s">
        <v>153</v>
      </c>
      <c r="J15" s="133">
        <f t="shared" si="3"/>
        <v>0.10735495660118775</v>
      </c>
      <c r="K15" s="132">
        <f t="shared" si="4"/>
        <v>470</v>
      </c>
      <c r="L15" s="131">
        <f t="shared" si="2"/>
        <v>50.456829602558244</v>
      </c>
    </row>
    <row r="16" spans="2:12" x14ac:dyDescent="0.25">
      <c r="B16" s="287" t="s">
        <v>206</v>
      </c>
      <c r="C16" s="138">
        <v>179</v>
      </c>
      <c r="D16" s="137">
        <v>161</v>
      </c>
      <c r="E16" s="136">
        <v>161</v>
      </c>
      <c r="F16" s="135">
        <f t="shared" si="0"/>
        <v>167</v>
      </c>
      <c r="G16" s="134">
        <f t="shared" si="1"/>
        <v>167</v>
      </c>
      <c r="H16" s="154"/>
      <c r="I16" s="287" t="s">
        <v>206</v>
      </c>
      <c r="J16" s="133">
        <f t="shared" si="3"/>
        <v>3.8145271813613525E-2</v>
      </c>
      <c r="K16" s="132">
        <f t="shared" si="4"/>
        <v>167</v>
      </c>
      <c r="L16" s="131">
        <f t="shared" si="2"/>
        <v>6.3702603928734591</v>
      </c>
    </row>
    <row r="17" spans="2:12" x14ac:dyDescent="0.25">
      <c r="B17" s="287" t="s">
        <v>162</v>
      </c>
      <c r="C17" s="141">
        <v>100</v>
      </c>
      <c r="D17" s="140">
        <v>81</v>
      </c>
      <c r="E17" s="139">
        <v>102</v>
      </c>
      <c r="F17" s="135">
        <f t="shared" si="0"/>
        <v>94.333333333333329</v>
      </c>
      <c r="G17" s="134">
        <f t="shared" si="1"/>
        <v>95</v>
      </c>
      <c r="H17" s="153"/>
      <c r="I17" s="287" t="s">
        <v>162</v>
      </c>
      <c r="J17" s="133">
        <f t="shared" si="3"/>
        <v>2.1699406121516673E-2</v>
      </c>
      <c r="K17" s="132">
        <f t="shared" si="4"/>
        <v>95</v>
      </c>
      <c r="L17" s="131">
        <f t="shared" si="2"/>
        <v>2.0614435815440837</v>
      </c>
    </row>
    <row r="18" spans="2:12" x14ac:dyDescent="0.25">
      <c r="B18" s="287" t="s">
        <v>163</v>
      </c>
      <c r="C18" s="138">
        <v>76</v>
      </c>
      <c r="D18" s="140">
        <v>38</v>
      </c>
      <c r="E18" s="139">
        <v>74</v>
      </c>
      <c r="F18" s="135">
        <f t="shared" si="0"/>
        <v>62.666666666666664</v>
      </c>
      <c r="G18" s="134">
        <f t="shared" si="1"/>
        <v>63</v>
      </c>
      <c r="H18" s="154"/>
      <c r="I18" s="287" t="s">
        <v>163</v>
      </c>
      <c r="J18" s="133">
        <f t="shared" si="3"/>
        <v>1.4390132480584742E-2</v>
      </c>
      <c r="K18" s="132">
        <f t="shared" si="4"/>
        <v>63</v>
      </c>
      <c r="L18" s="131">
        <f t="shared" si="2"/>
        <v>0.90657834627683875</v>
      </c>
    </row>
    <row r="19" spans="2:12" ht="15.75" thickBot="1" x14ac:dyDescent="0.3">
      <c r="B19" s="288" t="s">
        <v>164</v>
      </c>
      <c r="C19" s="129">
        <v>56</v>
      </c>
      <c r="D19" s="128">
        <v>79</v>
      </c>
      <c r="E19" s="127">
        <v>42</v>
      </c>
      <c r="F19" s="126">
        <f t="shared" si="0"/>
        <v>59</v>
      </c>
      <c r="G19" s="10">
        <f t="shared" si="1"/>
        <v>59</v>
      </c>
      <c r="H19" s="153"/>
      <c r="I19" s="288" t="s">
        <v>164</v>
      </c>
      <c r="J19" s="125">
        <f t="shared" si="3"/>
        <v>1.347647327546825E-2</v>
      </c>
      <c r="K19" s="124">
        <f t="shared" si="4"/>
        <v>59</v>
      </c>
      <c r="L19" s="123">
        <f t="shared" si="2"/>
        <v>0.7951119232526267</v>
      </c>
    </row>
    <row r="20" spans="2:12" ht="15.75" thickBot="1" x14ac:dyDescent="0.3">
      <c r="B20" s="17"/>
      <c r="C20" s="62"/>
      <c r="D20" s="62"/>
      <c r="E20" s="62"/>
      <c r="F20" s="62"/>
      <c r="G20" s="16"/>
      <c r="I20" s="62"/>
      <c r="J20" s="16"/>
      <c r="K20" s="16"/>
      <c r="L20" s="215">
        <f>SUM(L11:L19)</f>
        <v>1094.9488350845133</v>
      </c>
    </row>
    <row r="21" spans="2:12" x14ac:dyDescent="0.25">
      <c r="I21" s="62"/>
      <c r="J21" s="62"/>
      <c r="K21" s="62"/>
      <c r="L21" s="62"/>
    </row>
    <row r="22" spans="2:12" ht="15.75" thickBot="1" x14ac:dyDescent="0.3">
      <c r="H22" s="62"/>
      <c r="I22" s="17"/>
      <c r="J22" s="62"/>
      <c r="K22" s="62"/>
      <c r="L22" s="62"/>
    </row>
    <row r="23" spans="2:12" ht="36.75" customHeight="1" thickBot="1" x14ac:dyDescent="0.3">
      <c r="B23" s="122" t="s">
        <v>156</v>
      </c>
      <c r="C23" s="101" t="s">
        <v>158</v>
      </c>
      <c r="D23" s="120" t="s">
        <v>165</v>
      </c>
      <c r="H23" s="62"/>
      <c r="I23" s="17"/>
      <c r="J23" s="183"/>
      <c r="K23" s="183"/>
      <c r="L23" s="62"/>
    </row>
    <row r="24" spans="2:12" x14ac:dyDescent="0.25">
      <c r="B24" s="286" t="s">
        <v>207</v>
      </c>
      <c r="C24" s="212">
        <f>K11</f>
        <v>1826</v>
      </c>
      <c r="D24" s="209">
        <f t="shared" ref="D24:D32" si="5">C24/$C$33</f>
        <v>0.41708542713567837</v>
      </c>
      <c r="H24" s="62"/>
      <c r="I24" s="17"/>
      <c r="J24" s="62"/>
      <c r="K24" s="62"/>
      <c r="L24" s="184"/>
    </row>
    <row r="25" spans="2:12" x14ac:dyDescent="0.25">
      <c r="B25" s="287" t="s">
        <v>159</v>
      </c>
      <c r="C25" s="213">
        <f t="shared" ref="C25:C32" si="6">K12</f>
        <v>959</v>
      </c>
      <c r="D25" s="210">
        <f t="shared" si="5"/>
        <v>0.21904979442667885</v>
      </c>
      <c r="H25" s="62"/>
      <c r="I25" s="17"/>
      <c r="J25" s="62"/>
      <c r="K25" s="62"/>
      <c r="L25" s="184"/>
    </row>
    <row r="26" spans="2:12" x14ac:dyDescent="0.25">
      <c r="B26" s="287" t="s">
        <v>160</v>
      </c>
      <c r="C26" s="213">
        <f t="shared" si="6"/>
        <v>343</v>
      </c>
      <c r="D26" s="210">
        <f t="shared" si="5"/>
        <v>7.8346276838739154E-2</v>
      </c>
      <c r="H26" s="62"/>
      <c r="I26" s="17"/>
      <c r="J26" s="62"/>
      <c r="K26" s="62"/>
      <c r="L26" s="184"/>
    </row>
    <row r="27" spans="2:12" x14ac:dyDescent="0.25">
      <c r="B27" s="287" t="s">
        <v>161</v>
      </c>
      <c r="C27" s="213">
        <f t="shared" si="6"/>
        <v>396</v>
      </c>
      <c r="D27" s="210">
        <f t="shared" si="5"/>
        <v>9.0452261306532666E-2</v>
      </c>
      <c r="H27" s="62"/>
      <c r="I27" s="17"/>
      <c r="J27" s="62"/>
      <c r="K27" s="62"/>
      <c r="L27" s="184"/>
    </row>
    <row r="28" spans="2:12" x14ac:dyDescent="0.25">
      <c r="B28" s="287" t="s">
        <v>153</v>
      </c>
      <c r="C28" s="213">
        <f t="shared" si="6"/>
        <v>470</v>
      </c>
      <c r="D28" s="210">
        <f t="shared" si="5"/>
        <v>0.10735495660118775</v>
      </c>
      <c r="H28" s="62"/>
      <c r="I28" s="17"/>
      <c r="J28" s="62"/>
      <c r="K28" s="62"/>
      <c r="L28" s="184"/>
    </row>
    <row r="29" spans="2:12" x14ac:dyDescent="0.25">
      <c r="B29" s="287" t="s">
        <v>206</v>
      </c>
      <c r="C29" s="213">
        <f t="shared" si="6"/>
        <v>167</v>
      </c>
      <c r="D29" s="210">
        <f t="shared" si="5"/>
        <v>3.8145271813613525E-2</v>
      </c>
      <c r="H29" s="62"/>
      <c r="I29" s="17"/>
      <c r="J29" s="62"/>
      <c r="K29" s="62"/>
      <c r="L29" s="184"/>
    </row>
    <row r="30" spans="2:12" x14ac:dyDescent="0.25">
      <c r="B30" s="287" t="s">
        <v>162</v>
      </c>
      <c r="C30" s="213">
        <f t="shared" si="6"/>
        <v>95</v>
      </c>
      <c r="D30" s="210">
        <f t="shared" si="5"/>
        <v>2.1699406121516673E-2</v>
      </c>
      <c r="H30" s="62"/>
      <c r="I30" s="62"/>
      <c r="J30" s="62"/>
      <c r="K30" s="62"/>
      <c r="L30" s="184"/>
    </row>
    <row r="31" spans="2:12" x14ac:dyDescent="0.25">
      <c r="B31" s="287" t="s">
        <v>163</v>
      </c>
      <c r="C31" s="213">
        <f t="shared" si="6"/>
        <v>63</v>
      </c>
      <c r="D31" s="210">
        <f t="shared" si="5"/>
        <v>1.4390132480584742E-2</v>
      </c>
      <c r="I31" s="62"/>
      <c r="J31" s="62"/>
      <c r="K31" s="62"/>
      <c r="L31" s="184"/>
    </row>
    <row r="32" spans="2:12" ht="15.75" thickBot="1" x14ac:dyDescent="0.3">
      <c r="B32" s="288" t="s">
        <v>164</v>
      </c>
      <c r="C32" s="214">
        <f t="shared" si="6"/>
        <v>59</v>
      </c>
      <c r="D32" s="210">
        <f t="shared" si="5"/>
        <v>1.347647327546825E-2</v>
      </c>
      <c r="I32" s="62"/>
      <c r="J32" s="62"/>
      <c r="K32" s="62"/>
      <c r="L32" s="184"/>
    </row>
    <row r="33" spans="2:12" ht="15.75" thickBot="1" x14ac:dyDescent="0.3">
      <c r="B33" s="2" t="s">
        <v>137</v>
      </c>
      <c r="C33" s="211">
        <f>SUM(C24:C32)</f>
        <v>4378</v>
      </c>
      <c r="D33" s="208">
        <f>SUM(D24:D32)</f>
        <v>1</v>
      </c>
      <c r="I33" s="62"/>
      <c r="J33" s="62"/>
      <c r="K33" s="62"/>
      <c r="L33" s="62"/>
    </row>
  </sheetData>
  <mergeCells count="1">
    <mergeCell ref="C3:C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opLeftCell="A73" zoomScale="90" zoomScaleNormal="90" workbookViewId="0">
      <selection activeCell="E94" sqref="E94"/>
    </sheetView>
  </sheetViews>
  <sheetFormatPr baseColWidth="10" defaultRowHeight="15" x14ac:dyDescent="0.25"/>
  <cols>
    <col min="1" max="1" width="21.7109375" customWidth="1"/>
    <col min="2" max="13" width="13.5703125" customWidth="1"/>
  </cols>
  <sheetData>
    <row r="1" spans="1:14" ht="15.75" thickBot="1" x14ac:dyDescent="0.3"/>
    <row r="2" spans="1:14" ht="15.75" thickBot="1" x14ac:dyDescent="0.3">
      <c r="L2" s="223" t="s">
        <v>18</v>
      </c>
      <c r="M2" s="242"/>
    </row>
    <row r="3" spans="1:14" ht="15.75" thickBot="1" x14ac:dyDescent="0.3">
      <c r="B3" s="223" t="s">
        <v>150</v>
      </c>
      <c r="C3" s="242"/>
      <c r="D3" s="223" t="s">
        <v>150</v>
      </c>
      <c r="E3" s="242"/>
      <c r="F3" s="223" t="s">
        <v>150</v>
      </c>
      <c r="G3" s="242"/>
      <c r="H3" s="223" t="s">
        <v>150</v>
      </c>
      <c r="I3" s="242"/>
      <c r="J3" s="223" t="s">
        <v>150</v>
      </c>
      <c r="K3" s="242"/>
      <c r="L3" s="223" t="s">
        <v>150</v>
      </c>
      <c r="M3" s="253"/>
    </row>
    <row r="4" spans="1:14" x14ac:dyDescent="0.25">
      <c r="A4" s="164" t="s">
        <v>172</v>
      </c>
      <c r="B4" s="254" t="s">
        <v>173</v>
      </c>
      <c r="C4" s="165">
        <v>50000</v>
      </c>
      <c r="D4" s="254" t="s">
        <v>173</v>
      </c>
      <c r="E4" s="165">
        <v>40000</v>
      </c>
      <c r="F4" s="254" t="s">
        <v>173</v>
      </c>
      <c r="G4" s="166">
        <v>45000</v>
      </c>
      <c r="H4" s="254" t="s">
        <v>173</v>
      </c>
      <c r="I4" s="165">
        <v>50000</v>
      </c>
      <c r="J4" s="254" t="s">
        <v>173</v>
      </c>
      <c r="K4" s="165">
        <v>40000</v>
      </c>
      <c r="L4" s="250" t="s">
        <v>173</v>
      </c>
      <c r="M4" s="166">
        <f>AVERAGE(C4,E4,G4,I4,K4)</f>
        <v>45000</v>
      </c>
    </row>
    <row r="5" spans="1:14" x14ac:dyDescent="0.25">
      <c r="A5" s="152" t="s">
        <v>174</v>
      </c>
      <c r="B5" s="255"/>
      <c r="C5" s="167">
        <v>42000</v>
      </c>
      <c r="D5" s="255"/>
      <c r="E5" s="167">
        <v>42000</v>
      </c>
      <c r="F5" s="255"/>
      <c r="G5" s="168">
        <v>40000</v>
      </c>
      <c r="H5" s="255"/>
      <c r="I5" s="167">
        <v>41000</v>
      </c>
      <c r="J5" s="255"/>
      <c r="K5" s="167">
        <v>42000</v>
      </c>
      <c r="L5" s="251"/>
      <c r="M5" s="168">
        <f t="shared" ref="M5:M10" si="0">AVERAGE(C5,E5,G5,I5,K5)</f>
        <v>41400</v>
      </c>
    </row>
    <row r="6" spans="1:14" x14ac:dyDescent="0.25">
      <c r="A6" s="152" t="s">
        <v>175</v>
      </c>
      <c r="B6" s="255"/>
      <c r="C6" s="167">
        <v>22000</v>
      </c>
      <c r="D6" s="255"/>
      <c r="E6" s="167">
        <v>22000</v>
      </c>
      <c r="F6" s="255"/>
      <c r="G6" s="167">
        <v>22000</v>
      </c>
      <c r="H6" s="255"/>
      <c r="I6" s="167">
        <v>22000</v>
      </c>
      <c r="J6" s="255"/>
      <c r="K6" s="167">
        <v>22000</v>
      </c>
      <c r="L6" s="251"/>
      <c r="M6" s="168">
        <f t="shared" si="0"/>
        <v>22000</v>
      </c>
    </row>
    <row r="7" spans="1:14" ht="15.75" thickBot="1" x14ac:dyDescent="0.3">
      <c r="A7" s="169" t="s">
        <v>176</v>
      </c>
      <c r="B7" s="255"/>
      <c r="C7" s="170">
        <f>(600000/$G$88)*183</f>
        <v>18673.469387755104</v>
      </c>
      <c r="D7" s="255"/>
      <c r="E7" s="170">
        <f>(700000/G88)*183</f>
        <v>21785.714285714286</v>
      </c>
      <c r="F7" s="255"/>
      <c r="G7" s="171">
        <f>(800000/G88)*183</f>
        <v>24897.959183673469</v>
      </c>
      <c r="H7" s="255"/>
      <c r="I7" s="170">
        <f>(750000/G88)*183</f>
        <v>23341.836734693879</v>
      </c>
      <c r="J7" s="255"/>
      <c r="K7" s="170">
        <f>(650000/G88)*183</f>
        <v>20229.591836734693</v>
      </c>
      <c r="L7" s="251"/>
      <c r="M7" s="171">
        <f t="shared" si="0"/>
        <v>21785.714285714286</v>
      </c>
    </row>
    <row r="8" spans="1:14" x14ac:dyDescent="0.25">
      <c r="A8" s="172" t="s">
        <v>177</v>
      </c>
      <c r="B8" s="255"/>
      <c r="C8" s="166">
        <f>(980000/$G$88)*183</f>
        <v>30500</v>
      </c>
      <c r="D8" s="255"/>
      <c r="E8" s="185">
        <v>0</v>
      </c>
      <c r="F8" s="255"/>
      <c r="G8" s="166">
        <f>(980000/$G$88)*183</f>
        <v>30500</v>
      </c>
      <c r="H8" s="255"/>
      <c r="I8" s="166">
        <f>(980000/$G$88)*183</f>
        <v>30500</v>
      </c>
      <c r="J8" s="255"/>
      <c r="K8" s="166">
        <v>0</v>
      </c>
      <c r="L8" s="251"/>
      <c r="M8" s="166">
        <f t="shared" si="0"/>
        <v>18300</v>
      </c>
    </row>
    <row r="9" spans="1:14" x14ac:dyDescent="0.25">
      <c r="A9" s="173" t="s">
        <v>178</v>
      </c>
      <c r="B9" s="255"/>
      <c r="C9" s="174">
        <f>(2100000/(12*$G$88))*183</f>
        <v>5446.4285714285716</v>
      </c>
      <c r="D9" s="255"/>
      <c r="E9" s="174">
        <f>(4100000/(12*G88))*183</f>
        <v>10633.503401360544</v>
      </c>
      <c r="F9" s="255"/>
      <c r="G9" s="168">
        <f>(4000000/(12*G88))*183</f>
        <v>10374.149659863946</v>
      </c>
      <c r="H9" s="255"/>
      <c r="I9" s="174">
        <f>(2300000/(12*$G$88))*183</f>
        <v>5965.1360544217687</v>
      </c>
      <c r="J9" s="255"/>
      <c r="K9" s="168">
        <f>(3900000/(12*G88))*183</f>
        <v>10114.795918367347</v>
      </c>
      <c r="L9" s="251"/>
      <c r="M9" s="168">
        <f t="shared" si="0"/>
        <v>8506.8027210884356</v>
      </c>
    </row>
    <row r="10" spans="1:14" ht="15.75" thickBot="1" x14ac:dyDescent="0.3">
      <c r="A10" s="175" t="s">
        <v>179</v>
      </c>
      <c r="B10" s="256"/>
      <c r="C10" s="171">
        <f>(88000000/(60*$G$88))*183</f>
        <v>45646.258503401361</v>
      </c>
      <c r="D10" s="256"/>
      <c r="E10" s="171">
        <f>(100000000/(60*G88))*183</f>
        <v>51870.748299319734</v>
      </c>
      <c r="F10" s="256"/>
      <c r="G10" s="171">
        <f>(120000000/(60*G88))*183</f>
        <v>62244.897959183676</v>
      </c>
      <c r="H10" s="256"/>
      <c r="I10" s="171">
        <f>(110000000/(60*G88))*183</f>
        <v>57057.823129251701</v>
      </c>
      <c r="J10" s="256"/>
      <c r="K10" s="171">
        <f>(100000000/(60*G88))*183</f>
        <v>51870.748299319734</v>
      </c>
      <c r="L10" s="252"/>
      <c r="M10" s="171">
        <f t="shared" si="0"/>
        <v>53738.095238095244</v>
      </c>
    </row>
    <row r="11" spans="1:14" ht="15.75" thickBot="1" x14ac:dyDescent="0.3">
      <c r="B11" s="65"/>
      <c r="C11" s="176"/>
      <c r="M11" s="104">
        <f>SUM(M4:M10)</f>
        <v>210730.61224489796</v>
      </c>
      <c r="N11" s="290">
        <f>M11/8</f>
        <v>26341.326530612245</v>
      </c>
    </row>
    <row r="12" spans="1:14" x14ac:dyDescent="0.25">
      <c r="B12" s="65"/>
      <c r="C12" s="176"/>
      <c r="M12" s="69"/>
      <c r="N12" s="69"/>
    </row>
    <row r="13" spans="1:14" ht="15.75" thickBot="1" x14ac:dyDescent="0.3">
      <c r="B13" s="65"/>
      <c r="D13" t="s">
        <v>24</v>
      </c>
      <c r="N13" s="69"/>
    </row>
    <row r="14" spans="1:14" ht="15.75" thickBot="1" x14ac:dyDescent="0.3">
      <c r="A14" s="65"/>
      <c r="C14" s="176"/>
      <c r="L14" s="223" t="s">
        <v>18</v>
      </c>
      <c r="M14" s="242"/>
    </row>
    <row r="15" spans="1:14" ht="15.75" thickBot="1" x14ac:dyDescent="0.3">
      <c r="B15" s="223" t="s">
        <v>151</v>
      </c>
      <c r="C15" s="242"/>
      <c r="D15" s="223" t="s">
        <v>151</v>
      </c>
      <c r="E15" s="242"/>
      <c r="F15" s="223" t="s">
        <v>151</v>
      </c>
      <c r="G15" s="242"/>
      <c r="H15" s="223" t="s">
        <v>151</v>
      </c>
      <c r="I15" s="242"/>
      <c r="J15" s="223" t="s">
        <v>151</v>
      </c>
      <c r="K15" s="242"/>
      <c r="L15" s="223" t="s">
        <v>150</v>
      </c>
      <c r="M15" s="253"/>
    </row>
    <row r="16" spans="1:14" x14ac:dyDescent="0.25">
      <c r="A16" s="172" t="s">
        <v>172</v>
      </c>
      <c r="B16" s="247" t="s">
        <v>180</v>
      </c>
      <c r="C16" s="90">
        <v>46000</v>
      </c>
      <c r="D16" s="247" t="s">
        <v>180</v>
      </c>
      <c r="E16" s="165">
        <v>36000</v>
      </c>
      <c r="F16" s="247" t="s">
        <v>180</v>
      </c>
      <c r="G16" s="165">
        <v>42000</v>
      </c>
      <c r="H16" s="247" t="s">
        <v>180</v>
      </c>
      <c r="I16" s="90">
        <v>46000</v>
      </c>
      <c r="J16" s="247" t="s">
        <v>180</v>
      </c>
      <c r="K16" s="165">
        <v>36000</v>
      </c>
      <c r="L16" s="250" t="s">
        <v>180</v>
      </c>
      <c r="M16" s="166">
        <f>AVERAGE(C16,E16,G16,I16,K16)</f>
        <v>41200</v>
      </c>
    </row>
    <row r="17" spans="1:14" x14ac:dyDescent="0.25">
      <c r="A17" s="173" t="s">
        <v>174</v>
      </c>
      <c r="B17" s="248"/>
      <c r="C17" s="91">
        <v>22000</v>
      </c>
      <c r="D17" s="248"/>
      <c r="E17" s="91">
        <v>22000</v>
      </c>
      <c r="F17" s="248"/>
      <c r="G17" s="91">
        <v>22000</v>
      </c>
      <c r="H17" s="248"/>
      <c r="I17" s="91">
        <v>22000</v>
      </c>
      <c r="J17" s="248"/>
      <c r="K17" s="91">
        <v>22000</v>
      </c>
      <c r="L17" s="251"/>
      <c r="M17" s="168">
        <f t="shared" ref="M17:M22" si="1">AVERAGE(C17,E17,G17,I17,K17)</f>
        <v>22000</v>
      </c>
    </row>
    <row r="18" spans="1:14" x14ac:dyDescent="0.25">
      <c r="A18" s="173" t="s">
        <v>175</v>
      </c>
      <c r="B18" s="248"/>
      <c r="C18" s="167">
        <v>22000</v>
      </c>
      <c r="D18" s="248"/>
      <c r="E18" s="167">
        <v>22000</v>
      </c>
      <c r="F18" s="248"/>
      <c r="G18" s="167">
        <v>22000</v>
      </c>
      <c r="H18" s="248"/>
      <c r="I18" s="167">
        <v>22000</v>
      </c>
      <c r="J18" s="248"/>
      <c r="K18" s="167">
        <v>22000</v>
      </c>
      <c r="L18" s="251"/>
      <c r="M18" s="168">
        <f t="shared" si="1"/>
        <v>22000</v>
      </c>
    </row>
    <row r="19" spans="1:14" ht="15.75" thickBot="1" x14ac:dyDescent="0.3">
      <c r="A19" s="175" t="s">
        <v>176</v>
      </c>
      <c r="B19" s="248"/>
      <c r="C19" s="170">
        <f>(586000/$G$88)*168</f>
        <v>16742.857142857145</v>
      </c>
      <c r="D19" s="248"/>
      <c r="E19" s="170">
        <f>(700000/G88)*168</f>
        <v>20000</v>
      </c>
      <c r="F19" s="248"/>
      <c r="G19" s="170">
        <f>(800000/G88)*168</f>
        <v>22857.142857142855</v>
      </c>
      <c r="H19" s="248"/>
      <c r="I19" s="170">
        <f>(750000/G88)*168</f>
        <v>21428.571428571428</v>
      </c>
      <c r="J19" s="248"/>
      <c r="K19" s="170">
        <f>(650000/G88)*168</f>
        <v>18571.428571428572</v>
      </c>
      <c r="L19" s="251"/>
      <c r="M19" s="171">
        <f t="shared" si="1"/>
        <v>19920</v>
      </c>
    </row>
    <row r="20" spans="1:14" x14ac:dyDescent="0.25">
      <c r="A20" s="172" t="s">
        <v>177</v>
      </c>
      <c r="B20" s="248"/>
      <c r="C20" s="166">
        <f>(980000/$G$88)*168</f>
        <v>28000</v>
      </c>
      <c r="D20" s="248"/>
      <c r="E20" s="166">
        <v>0</v>
      </c>
      <c r="F20" s="248"/>
      <c r="G20" s="166">
        <f>(980000/$G$88)*168</f>
        <v>28000</v>
      </c>
      <c r="H20" s="248"/>
      <c r="I20" s="166">
        <f>(980000/$G$88)*168</f>
        <v>28000</v>
      </c>
      <c r="J20" s="248"/>
      <c r="K20" s="180">
        <f>(980000/$G$88)*168</f>
        <v>28000</v>
      </c>
      <c r="L20" s="251"/>
      <c r="M20" s="168">
        <f t="shared" si="1"/>
        <v>22400</v>
      </c>
    </row>
    <row r="21" spans="1:14" x14ac:dyDescent="0.25">
      <c r="A21" s="173" t="s">
        <v>178</v>
      </c>
      <c r="B21" s="248"/>
      <c r="C21" s="174">
        <f>(2100000/(12*$G$88))*168</f>
        <v>5000</v>
      </c>
      <c r="D21" s="248"/>
      <c r="E21" s="174">
        <f>(4100000/(12*G88))*168</f>
        <v>9761.9047619047615</v>
      </c>
      <c r="F21" s="248"/>
      <c r="G21" s="168">
        <f>(4000000/(12*G88))*168</f>
        <v>9523.8095238095229</v>
      </c>
      <c r="H21" s="248"/>
      <c r="I21" s="168">
        <f>(2300000/(12*$G$88))*168</f>
        <v>5476.1904761904761</v>
      </c>
      <c r="J21" s="248"/>
      <c r="K21" s="181">
        <f>(3900000/(12*G88))*168</f>
        <v>9285.7142857142862</v>
      </c>
      <c r="L21" s="251"/>
      <c r="M21" s="168">
        <f t="shared" si="1"/>
        <v>7809.5238095238092</v>
      </c>
    </row>
    <row r="22" spans="1:14" ht="15.75" thickBot="1" x14ac:dyDescent="0.3">
      <c r="A22" s="175" t="s">
        <v>179</v>
      </c>
      <c r="B22" s="249"/>
      <c r="C22" s="171">
        <f>(88000000/(60*$G$88))*168</f>
        <v>41904.761904761901</v>
      </c>
      <c r="D22" s="249"/>
      <c r="E22" s="171">
        <f>(100000000/(60*G88))*168</f>
        <v>47619.047619047618</v>
      </c>
      <c r="F22" s="249"/>
      <c r="G22" s="171">
        <f>(120000000/(60*G88))*168</f>
        <v>57142.857142857145</v>
      </c>
      <c r="H22" s="249"/>
      <c r="I22" s="171">
        <f>(110000000/(60*G88))*168</f>
        <v>52380.952380952382</v>
      </c>
      <c r="J22" s="249"/>
      <c r="K22" s="190">
        <f>(100000000/(60*G88))*168</f>
        <v>47619.047619047618</v>
      </c>
      <c r="L22" s="252"/>
      <c r="M22" s="171">
        <f t="shared" si="1"/>
        <v>49333.333333333336</v>
      </c>
    </row>
    <row r="23" spans="1:14" ht="15.75" thickBot="1" x14ac:dyDescent="0.3">
      <c r="M23" s="104">
        <f>SUM(M16:M22)</f>
        <v>184662.85714285716</v>
      </c>
      <c r="N23" s="290">
        <f>M23/8</f>
        <v>23082.857142857145</v>
      </c>
    </row>
    <row r="24" spans="1:14" x14ac:dyDescent="0.25">
      <c r="M24" s="69"/>
      <c r="N24" s="69"/>
    </row>
    <row r="25" spans="1:14" ht="15.75" thickBot="1" x14ac:dyDescent="0.3"/>
    <row r="26" spans="1:14" ht="15.75" thickBot="1" x14ac:dyDescent="0.3">
      <c r="L26" s="223" t="s">
        <v>18</v>
      </c>
      <c r="M26" s="242"/>
    </row>
    <row r="27" spans="1:14" ht="15.75" thickBot="1" x14ac:dyDescent="0.3">
      <c r="B27" s="223" t="s">
        <v>188</v>
      </c>
      <c r="C27" s="242"/>
      <c r="D27" s="223" t="s">
        <v>188</v>
      </c>
      <c r="E27" s="242"/>
      <c r="F27" s="223" t="s">
        <v>188</v>
      </c>
      <c r="G27" s="242"/>
      <c r="H27" s="223" t="s">
        <v>188</v>
      </c>
      <c r="I27" s="242"/>
      <c r="J27" s="223" t="s">
        <v>188</v>
      </c>
      <c r="K27" s="242"/>
      <c r="L27" s="223" t="s">
        <v>188</v>
      </c>
      <c r="M27" s="242"/>
    </row>
    <row r="28" spans="1:14" x14ac:dyDescent="0.25">
      <c r="A28" s="172" t="s">
        <v>172</v>
      </c>
      <c r="B28" s="247" t="s">
        <v>183</v>
      </c>
      <c r="C28" s="165">
        <v>75000</v>
      </c>
      <c r="D28" s="247" t="s">
        <v>183</v>
      </c>
      <c r="E28" s="165">
        <v>60000</v>
      </c>
      <c r="F28" s="247" t="s">
        <v>183</v>
      </c>
      <c r="G28" s="165">
        <v>65000</v>
      </c>
      <c r="H28" s="247" t="s">
        <v>183</v>
      </c>
      <c r="I28" s="165">
        <v>75000</v>
      </c>
      <c r="J28" s="247" t="s">
        <v>183</v>
      </c>
      <c r="K28" s="165">
        <v>70000</v>
      </c>
      <c r="L28" s="247" t="s">
        <v>183</v>
      </c>
      <c r="M28" s="166">
        <f>AVERAGE(C28,E28,G28,I28,K28)</f>
        <v>69000</v>
      </c>
    </row>
    <row r="29" spans="1:14" x14ac:dyDescent="0.25">
      <c r="A29" s="173" t="s">
        <v>174</v>
      </c>
      <c r="B29" s="248"/>
      <c r="C29" s="167">
        <v>105000</v>
      </c>
      <c r="D29" s="248"/>
      <c r="E29" s="167">
        <v>110000</v>
      </c>
      <c r="F29" s="248"/>
      <c r="G29" s="167">
        <v>100000</v>
      </c>
      <c r="H29" s="248"/>
      <c r="I29" s="167">
        <v>110000</v>
      </c>
      <c r="J29" s="248"/>
      <c r="K29" s="167">
        <v>95000</v>
      </c>
      <c r="L29" s="248"/>
      <c r="M29" s="168">
        <f t="shared" ref="M29:M34" si="2">AVERAGE(C29,E29,G29,I29,K29)</f>
        <v>104000</v>
      </c>
    </row>
    <row r="30" spans="1:14" x14ac:dyDescent="0.25">
      <c r="A30" s="173" t="s">
        <v>175</v>
      </c>
      <c r="B30" s="248"/>
      <c r="C30" s="167">
        <v>14000</v>
      </c>
      <c r="D30" s="248"/>
      <c r="E30" s="167">
        <v>14000</v>
      </c>
      <c r="F30" s="248"/>
      <c r="G30" s="167">
        <v>14000</v>
      </c>
      <c r="H30" s="248"/>
      <c r="I30" s="167">
        <v>14000</v>
      </c>
      <c r="J30" s="248"/>
      <c r="K30" s="167">
        <v>14000</v>
      </c>
      <c r="L30" s="248"/>
      <c r="M30" s="168">
        <f t="shared" si="2"/>
        <v>14000</v>
      </c>
    </row>
    <row r="31" spans="1:14" ht="15.75" thickBot="1" x14ac:dyDescent="0.3">
      <c r="A31" s="175" t="s">
        <v>176</v>
      </c>
      <c r="B31" s="248"/>
      <c r="C31" s="170">
        <f>(586000/$G$88)*252</f>
        <v>25114.285714285717</v>
      </c>
      <c r="D31" s="248"/>
      <c r="E31" s="170">
        <f>(700000/G88)*252</f>
        <v>30000</v>
      </c>
      <c r="F31" s="248"/>
      <c r="G31" s="170">
        <f>(800000/G88)*252</f>
        <v>34285.714285714283</v>
      </c>
      <c r="H31" s="248"/>
      <c r="I31" s="170">
        <f>(750000/G88)*252</f>
        <v>32142.857142857145</v>
      </c>
      <c r="J31" s="248"/>
      <c r="K31" s="170">
        <f>(650000/G88)*252</f>
        <v>27857.142857142859</v>
      </c>
      <c r="L31" s="248"/>
      <c r="M31" s="171">
        <f t="shared" si="2"/>
        <v>29880</v>
      </c>
    </row>
    <row r="32" spans="1:14" x14ac:dyDescent="0.25">
      <c r="A32" s="172" t="s">
        <v>177</v>
      </c>
      <c r="B32" s="248"/>
      <c r="C32" s="166">
        <f>(980000/$G$88)*252</f>
        <v>42000</v>
      </c>
      <c r="D32" s="248"/>
      <c r="E32" s="166">
        <v>0</v>
      </c>
      <c r="F32" s="248"/>
      <c r="G32" s="166">
        <f>(980000/$G$88)*252</f>
        <v>42000</v>
      </c>
      <c r="H32" s="248"/>
      <c r="I32" s="166">
        <f>(980000/$G$88)*252</f>
        <v>42000</v>
      </c>
      <c r="J32" s="248"/>
      <c r="K32" s="166">
        <f>(980000/$G$88)*252</f>
        <v>42000</v>
      </c>
      <c r="L32" s="248"/>
      <c r="M32" s="168">
        <f t="shared" si="2"/>
        <v>33600</v>
      </c>
    </row>
    <row r="33" spans="1:14" x14ac:dyDescent="0.25">
      <c r="A33" s="173" t="s">
        <v>178</v>
      </c>
      <c r="B33" s="248"/>
      <c r="C33" s="174">
        <f>(2100000/(12*$G$88))*252</f>
        <v>7500</v>
      </c>
      <c r="D33" s="248"/>
      <c r="E33" s="174">
        <f>(4100000/(12*G88))*252</f>
        <v>14642.857142857141</v>
      </c>
      <c r="F33" s="248"/>
      <c r="G33" s="168">
        <f>(4000000/(12*G88))*252</f>
        <v>14285.714285714286</v>
      </c>
      <c r="H33" s="248"/>
      <c r="I33" s="168">
        <f>(2300000/(12*$G$88))*252</f>
        <v>8214.2857142857138</v>
      </c>
      <c r="J33" s="248"/>
      <c r="K33" s="168">
        <f>(3900000/(12*G88))*252</f>
        <v>13928.571428571429</v>
      </c>
      <c r="L33" s="248"/>
      <c r="M33" s="168">
        <f t="shared" si="2"/>
        <v>11714.285714285714</v>
      </c>
    </row>
    <row r="34" spans="1:14" ht="15.75" thickBot="1" x14ac:dyDescent="0.3">
      <c r="A34" s="175" t="s">
        <v>179</v>
      </c>
      <c r="B34" s="249"/>
      <c r="C34" s="171">
        <f>(88000000/(60*$G$88))*252</f>
        <v>62857.142857142855</v>
      </c>
      <c r="D34" s="249"/>
      <c r="E34" s="171">
        <f>(100000000/(60*G88))*252</f>
        <v>71428.571428571435</v>
      </c>
      <c r="F34" s="249"/>
      <c r="G34" s="171">
        <f>(120000000/(60*G88))*252</f>
        <v>85714.285714285725</v>
      </c>
      <c r="H34" s="249"/>
      <c r="I34" s="171">
        <f>(110000000/(60*G88))*252</f>
        <v>78571.428571428565</v>
      </c>
      <c r="J34" s="249"/>
      <c r="K34" s="171">
        <f>(100000000/(60*G88))*252</f>
        <v>71428.571428571435</v>
      </c>
      <c r="L34" s="249"/>
      <c r="M34" s="171">
        <f t="shared" si="2"/>
        <v>74000</v>
      </c>
    </row>
    <row r="35" spans="1:14" ht="15.75" thickBot="1" x14ac:dyDescent="0.3">
      <c r="A35" s="177"/>
      <c r="B35" s="43"/>
      <c r="C35" s="91"/>
      <c r="D35" s="43"/>
      <c r="E35" s="91"/>
      <c r="F35" s="43"/>
      <c r="G35" s="91"/>
      <c r="H35" s="43"/>
      <c r="I35" s="91"/>
      <c r="J35" s="43"/>
      <c r="K35" s="91"/>
      <c r="L35" s="178"/>
      <c r="M35" s="289">
        <f>SUM(M28:M34)</f>
        <v>336194.28571428574</v>
      </c>
      <c r="N35" s="290">
        <f>M35/8</f>
        <v>42024.285714285717</v>
      </c>
    </row>
    <row r="36" spans="1:14" x14ac:dyDescent="0.25">
      <c r="A36" s="177"/>
      <c r="B36" s="43"/>
      <c r="C36" s="91"/>
      <c r="D36" s="43"/>
      <c r="E36" s="91"/>
      <c r="F36" s="43"/>
      <c r="G36" s="91"/>
      <c r="H36" s="43"/>
      <c r="I36" s="91"/>
      <c r="J36" s="43"/>
      <c r="K36" s="91"/>
      <c r="L36" s="178"/>
      <c r="M36" s="91"/>
      <c r="N36" s="69"/>
    </row>
    <row r="37" spans="1:14" ht="15.75" thickBot="1" x14ac:dyDescent="0.3"/>
    <row r="38" spans="1:14" ht="15.75" thickBot="1" x14ac:dyDescent="0.3">
      <c r="L38" s="223" t="s">
        <v>18</v>
      </c>
      <c r="M38" s="242"/>
    </row>
    <row r="39" spans="1:14" ht="15.75" thickBot="1" x14ac:dyDescent="0.3">
      <c r="B39" s="223" t="s">
        <v>202</v>
      </c>
      <c r="C39" s="242"/>
      <c r="D39" s="223" t="s">
        <v>202</v>
      </c>
      <c r="E39" s="242"/>
      <c r="F39" s="223" t="s">
        <v>202</v>
      </c>
      <c r="G39" s="242"/>
      <c r="H39" s="223" t="s">
        <v>202</v>
      </c>
      <c r="I39" s="242"/>
      <c r="J39" s="223" t="s">
        <v>202</v>
      </c>
      <c r="K39" s="242"/>
      <c r="L39" s="223" t="s">
        <v>202</v>
      </c>
      <c r="M39" s="242"/>
    </row>
    <row r="40" spans="1:14" x14ac:dyDescent="0.25">
      <c r="A40" s="172" t="s">
        <v>172</v>
      </c>
      <c r="B40" s="247" t="s">
        <v>203</v>
      </c>
      <c r="C40" s="165">
        <v>50000</v>
      </c>
      <c r="D40" s="247" t="s">
        <v>203</v>
      </c>
      <c r="E40" s="165">
        <v>40000</v>
      </c>
      <c r="F40" s="247" t="s">
        <v>203</v>
      </c>
      <c r="G40" s="165">
        <v>45000</v>
      </c>
      <c r="H40" s="247" t="s">
        <v>203</v>
      </c>
      <c r="I40" s="165">
        <v>50000</v>
      </c>
      <c r="J40" s="247" t="s">
        <v>203</v>
      </c>
      <c r="K40" s="165">
        <v>48000</v>
      </c>
      <c r="L40" s="247" t="s">
        <v>203</v>
      </c>
      <c r="M40" s="166">
        <f>AVERAGE(C40,E40,G40,I40,K40)</f>
        <v>46600</v>
      </c>
    </row>
    <row r="41" spans="1:14" x14ac:dyDescent="0.25">
      <c r="A41" s="173" t="s">
        <v>174</v>
      </c>
      <c r="B41" s="248"/>
      <c r="C41" s="167">
        <v>0</v>
      </c>
      <c r="D41" s="248"/>
      <c r="E41" s="167">
        <v>0</v>
      </c>
      <c r="F41" s="248"/>
      <c r="G41" s="167">
        <v>0</v>
      </c>
      <c r="H41" s="248"/>
      <c r="I41" s="167">
        <v>0</v>
      </c>
      <c r="J41" s="248"/>
      <c r="K41" s="167">
        <v>0</v>
      </c>
      <c r="L41" s="248"/>
      <c r="M41" s="168">
        <f t="shared" ref="M41:M46" si="3">AVERAGE(C41,E41,G41,I41,K41)</f>
        <v>0</v>
      </c>
    </row>
    <row r="42" spans="1:14" x14ac:dyDescent="0.25">
      <c r="A42" s="173" t="s">
        <v>175</v>
      </c>
      <c r="B42" s="248"/>
      <c r="C42" s="167">
        <v>14000</v>
      </c>
      <c r="D42" s="248"/>
      <c r="E42" s="167">
        <v>14000</v>
      </c>
      <c r="F42" s="248"/>
      <c r="G42" s="167">
        <v>14000</v>
      </c>
      <c r="H42" s="248"/>
      <c r="I42" s="167">
        <v>14000</v>
      </c>
      <c r="J42" s="248"/>
      <c r="K42" s="167">
        <v>14000</v>
      </c>
      <c r="L42" s="248"/>
      <c r="M42" s="168">
        <f t="shared" si="3"/>
        <v>14000</v>
      </c>
    </row>
    <row r="43" spans="1:14" ht="15.75" thickBot="1" x14ac:dyDescent="0.3">
      <c r="A43" s="175" t="s">
        <v>176</v>
      </c>
      <c r="B43" s="248"/>
      <c r="C43" s="170">
        <f>(586000/$G$88)*171</f>
        <v>17041.836734693879</v>
      </c>
      <c r="D43" s="248"/>
      <c r="E43" s="170">
        <f>(700000/G88)*171</f>
        <v>20357.142857142859</v>
      </c>
      <c r="F43" s="248"/>
      <c r="G43" s="170">
        <f>(800000/G88)*171</f>
        <v>23265.306122448979</v>
      </c>
      <c r="H43" s="248"/>
      <c r="I43" s="170">
        <f>(750000/G88)*171</f>
        <v>21811.224489795917</v>
      </c>
      <c r="J43" s="248"/>
      <c r="K43" s="170">
        <f>(650000/G88)*171</f>
        <v>18903.061224489797</v>
      </c>
      <c r="L43" s="248"/>
      <c r="M43" s="171">
        <f t="shared" si="3"/>
        <v>20275.714285714283</v>
      </c>
    </row>
    <row r="44" spans="1:14" x14ac:dyDescent="0.25">
      <c r="A44" s="172" t="s">
        <v>177</v>
      </c>
      <c r="B44" s="248"/>
      <c r="C44" s="166">
        <f>(980000/$G$88)*171</f>
        <v>28500</v>
      </c>
      <c r="D44" s="248"/>
      <c r="E44" s="166">
        <v>0</v>
      </c>
      <c r="F44" s="248"/>
      <c r="G44" s="166">
        <f>(980000/$G$88)*171</f>
        <v>28500</v>
      </c>
      <c r="H44" s="248"/>
      <c r="I44" s="166">
        <f>(980000/$G$88)*171</f>
        <v>28500</v>
      </c>
      <c r="J44" s="248"/>
      <c r="K44" s="166">
        <f>(980000/$G$88)*171</f>
        <v>28500</v>
      </c>
      <c r="L44" s="248"/>
      <c r="M44" s="168">
        <f t="shared" si="3"/>
        <v>22800</v>
      </c>
    </row>
    <row r="45" spans="1:14" x14ac:dyDescent="0.25">
      <c r="A45" s="173" t="s">
        <v>178</v>
      </c>
      <c r="B45" s="248"/>
      <c r="C45" s="174">
        <f>(2100000/(12*$G$88))*171</f>
        <v>5089.2857142857147</v>
      </c>
      <c r="D45" s="248"/>
      <c r="E45" s="174">
        <f>(4100000/(12*G88))*171</f>
        <v>9936.2244897959172</v>
      </c>
      <c r="F45" s="248"/>
      <c r="G45" s="168">
        <f>(4000000/(12*G88))*171</f>
        <v>9693.8775510204086</v>
      </c>
      <c r="H45" s="248"/>
      <c r="I45" s="168">
        <f>(2300000/(12*$G$88))*171</f>
        <v>5573.9795918367345</v>
      </c>
      <c r="J45" s="248"/>
      <c r="K45" s="168">
        <f>(3900000/(12*G88))*171</f>
        <v>9451.5306122448983</v>
      </c>
      <c r="L45" s="248"/>
      <c r="M45" s="168">
        <f t="shared" si="3"/>
        <v>7948.9795918367354</v>
      </c>
    </row>
    <row r="46" spans="1:14" ht="15.75" thickBot="1" x14ac:dyDescent="0.3">
      <c r="A46" s="175" t="s">
        <v>179</v>
      </c>
      <c r="B46" s="249"/>
      <c r="C46" s="171">
        <f>(88000000/(60*$G$88))*252</f>
        <v>62857.142857142855</v>
      </c>
      <c r="D46" s="249"/>
      <c r="E46" s="171">
        <f>(100000000/(60*G88))*171</f>
        <v>48469.387755102041</v>
      </c>
      <c r="F46" s="249"/>
      <c r="G46" s="171">
        <f>(120000000/(60*G88))*171</f>
        <v>58163.265306122456</v>
      </c>
      <c r="H46" s="249"/>
      <c r="I46" s="171">
        <f>(110000000/(60*G88))*171</f>
        <v>53316.326530612241</v>
      </c>
      <c r="J46" s="249"/>
      <c r="K46" s="171">
        <f>(100000000/(60*G88))*171</f>
        <v>48469.387755102041</v>
      </c>
      <c r="L46" s="249"/>
      <c r="M46" s="171">
        <f t="shared" si="3"/>
        <v>54255.102040816331</v>
      </c>
    </row>
    <row r="47" spans="1:14" ht="15.75" thickBot="1" x14ac:dyDescent="0.3">
      <c r="A47" s="177"/>
      <c r="B47" s="43"/>
      <c r="C47" s="91"/>
      <c r="D47" s="43"/>
      <c r="E47" s="91"/>
      <c r="F47" s="43"/>
      <c r="G47" s="91"/>
      <c r="H47" s="43"/>
      <c r="I47" s="91"/>
      <c r="J47" s="43"/>
      <c r="K47" s="91"/>
      <c r="L47" s="43"/>
      <c r="M47" s="289">
        <f>SUM(M40:M46)</f>
        <v>165879.79591836734</v>
      </c>
      <c r="N47" s="290">
        <f>M47/8</f>
        <v>20734.974489795917</v>
      </c>
    </row>
    <row r="48" spans="1:14" x14ac:dyDescent="0.25">
      <c r="A48" s="177"/>
      <c r="B48" s="43"/>
      <c r="C48" s="91"/>
      <c r="D48" s="43"/>
      <c r="E48" s="91"/>
      <c r="F48" s="43"/>
      <c r="G48" s="91"/>
      <c r="H48" s="43"/>
      <c r="I48" s="91"/>
      <c r="J48" s="43"/>
      <c r="K48" s="91"/>
      <c r="L48" s="43"/>
      <c r="M48" s="91"/>
      <c r="N48" s="294"/>
    </row>
    <row r="49" spans="1:14" x14ac:dyDescent="0.25">
      <c r="A49" s="177"/>
      <c r="B49" s="43"/>
      <c r="C49" s="91"/>
      <c r="D49" s="43"/>
      <c r="E49" s="91"/>
      <c r="F49" s="43"/>
      <c r="G49" s="91"/>
      <c r="H49" s="43"/>
      <c r="I49" s="91"/>
      <c r="J49" s="43"/>
      <c r="K49" s="91"/>
      <c r="L49" s="43"/>
      <c r="M49" s="91"/>
      <c r="N49" s="294"/>
    </row>
    <row r="50" spans="1:14" ht="15.75" thickBot="1" x14ac:dyDescent="0.3">
      <c r="A50" s="177"/>
      <c r="B50" s="43"/>
      <c r="C50" s="91"/>
      <c r="D50" s="43"/>
      <c r="E50" s="91"/>
      <c r="F50" s="43"/>
      <c r="G50" s="91"/>
      <c r="H50" s="43"/>
      <c r="I50" s="91"/>
      <c r="J50" s="43"/>
      <c r="K50" s="91"/>
      <c r="L50" s="43"/>
      <c r="M50" s="91"/>
      <c r="N50" s="294"/>
    </row>
    <row r="51" spans="1:14" ht="15.75" thickBot="1" x14ac:dyDescent="0.3">
      <c r="L51" s="223" t="s">
        <v>18</v>
      </c>
      <c r="M51" s="242"/>
    </row>
    <row r="52" spans="1:14" ht="15.75" thickBot="1" x14ac:dyDescent="0.3">
      <c r="B52" s="263" t="s">
        <v>204</v>
      </c>
      <c r="C52" s="264"/>
      <c r="D52" s="263" t="s">
        <v>204</v>
      </c>
      <c r="E52" s="264"/>
      <c r="F52" s="263" t="s">
        <v>204</v>
      </c>
      <c r="G52" s="264"/>
      <c r="H52" s="263" t="s">
        <v>204</v>
      </c>
      <c r="I52" s="264"/>
      <c r="J52" s="263" t="s">
        <v>204</v>
      </c>
      <c r="K52" s="264"/>
      <c r="L52" s="263" t="s">
        <v>204</v>
      </c>
      <c r="M52" s="264"/>
    </row>
    <row r="53" spans="1:14" x14ac:dyDescent="0.25">
      <c r="A53" s="172" t="s">
        <v>172</v>
      </c>
      <c r="B53" s="260" t="s">
        <v>185</v>
      </c>
      <c r="C53" s="165">
        <v>42000</v>
      </c>
      <c r="D53" s="260" t="s">
        <v>185</v>
      </c>
      <c r="E53" s="180">
        <v>34000</v>
      </c>
      <c r="F53" s="260" t="s">
        <v>185</v>
      </c>
      <c r="G53" s="166">
        <v>38000</v>
      </c>
      <c r="H53" s="260" t="s">
        <v>185</v>
      </c>
      <c r="I53" s="165">
        <v>42000</v>
      </c>
      <c r="J53" s="260" t="s">
        <v>185</v>
      </c>
      <c r="K53" s="165">
        <v>41000</v>
      </c>
      <c r="L53" s="257" t="s">
        <v>185</v>
      </c>
      <c r="M53" s="166">
        <f>AVERAGE(C53,G53,I53,K53)</f>
        <v>40750</v>
      </c>
    </row>
    <row r="54" spans="1:14" x14ac:dyDescent="0.25">
      <c r="A54" s="173" t="s">
        <v>174</v>
      </c>
      <c r="B54" s="261"/>
      <c r="C54" s="167">
        <v>40000</v>
      </c>
      <c r="D54" s="261"/>
      <c r="E54" s="181">
        <v>45000</v>
      </c>
      <c r="F54" s="261"/>
      <c r="G54" s="168">
        <v>50000</v>
      </c>
      <c r="H54" s="261"/>
      <c r="I54" s="167">
        <v>42000</v>
      </c>
      <c r="J54" s="261"/>
      <c r="K54" s="167">
        <v>40000</v>
      </c>
      <c r="L54" s="258"/>
      <c r="M54" s="168">
        <f t="shared" ref="M54:M59" si="4">AVERAGE(C54,E54,G54,I54,K54)</f>
        <v>43400</v>
      </c>
    </row>
    <row r="55" spans="1:14" x14ac:dyDescent="0.25">
      <c r="A55" s="173" t="s">
        <v>175</v>
      </c>
      <c r="B55" s="261"/>
      <c r="C55" s="167">
        <v>14000</v>
      </c>
      <c r="D55" s="261"/>
      <c r="E55" s="167">
        <v>14000</v>
      </c>
      <c r="F55" s="261"/>
      <c r="G55" s="168">
        <v>14000</v>
      </c>
      <c r="H55" s="261"/>
      <c r="I55" s="167">
        <v>14000</v>
      </c>
      <c r="J55" s="261"/>
      <c r="K55" s="167">
        <v>14000</v>
      </c>
      <c r="L55" s="258"/>
      <c r="M55" s="168">
        <f>AVERAGE(C55,E55,G55,I55,K55)</f>
        <v>14000</v>
      </c>
    </row>
    <row r="56" spans="1:14" ht="15.75" thickBot="1" x14ac:dyDescent="0.3">
      <c r="A56" s="175" t="s">
        <v>176</v>
      </c>
      <c r="B56" s="261"/>
      <c r="C56" s="170">
        <f>(586000/$G$88)*143.6</f>
        <v>14311.156462585035</v>
      </c>
      <c r="D56" s="261"/>
      <c r="E56" s="170">
        <f>(700000/G88)*143.6</f>
        <v>17095.238095238095</v>
      </c>
      <c r="F56" s="261"/>
      <c r="G56" s="170">
        <f>(800000/G88)*143.6</f>
        <v>19537.414965986391</v>
      </c>
      <c r="H56" s="261"/>
      <c r="I56" s="171">
        <f>(750000/G88)*143.6</f>
        <v>18316.326530612245</v>
      </c>
      <c r="J56" s="261"/>
      <c r="K56" s="171">
        <f>(650000/G88)*143.6</f>
        <v>15874.149659863946</v>
      </c>
      <c r="L56" s="258"/>
      <c r="M56" s="171">
        <f t="shared" si="4"/>
        <v>17026.857142857141</v>
      </c>
    </row>
    <row r="57" spans="1:14" x14ac:dyDescent="0.25">
      <c r="A57" s="172" t="s">
        <v>177</v>
      </c>
      <c r="B57" s="261"/>
      <c r="C57" s="166">
        <f>(980000/$G$88)*143.6</f>
        <v>23933.333333333332</v>
      </c>
      <c r="D57" s="261"/>
      <c r="E57" s="181">
        <v>0</v>
      </c>
      <c r="F57" s="261"/>
      <c r="G57" s="166">
        <f>(980000/$G$88)*143.6</f>
        <v>23933.333333333332</v>
      </c>
      <c r="H57" s="261"/>
      <c r="I57" s="166">
        <f>(980000/$G$88)*143.6</f>
        <v>23933.333333333332</v>
      </c>
      <c r="J57" s="261"/>
      <c r="K57" s="166">
        <f>(980000/$G$88)*143.6</f>
        <v>23933.333333333332</v>
      </c>
      <c r="L57" s="258"/>
      <c r="M57" s="168">
        <f t="shared" si="4"/>
        <v>19146.666666666664</v>
      </c>
    </row>
    <row r="58" spans="1:14" x14ac:dyDescent="0.25">
      <c r="A58" s="173" t="s">
        <v>178</v>
      </c>
      <c r="B58" s="261"/>
      <c r="C58" s="174">
        <f>(2100000/(12*$G$88))*143.6</f>
        <v>4273.8095238095239</v>
      </c>
      <c r="D58" s="261"/>
      <c r="E58" s="174">
        <f>(4100000/(12*G88))*143.6</f>
        <v>8344.1043083900222</v>
      </c>
      <c r="F58" s="261"/>
      <c r="G58" s="174">
        <f>(4000000/(12*G88))*143.6</f>
        <v>8140.5895691609976</v>
      </c>
      <c r="H58" s="261"/>
      <c r="I58" s="174">
        <f>(2300000/(12*$G$88))*143.6</f>
        <v>4680.8390022675731</v>
      </c>
      <c r="J58" s="261"/>
      <c r="K58" s="174">
        <f>(3900000/(12*G88))*143.6</f>
        <v>7937.074829931973</v>
      </c>
      <c r="L58" s="258"/>
      <c r="M58" s="168">
        <f t="shared" si="4"/>
        <v>6675.2834467120174</v>
      </c>
    </row>
    <row r="59" spans="1:14" ht="15.75" thickBot="1" x14ac:dyDescent="0.3">
      <c r="A59" s="175" t="s">
        <v>179</v>
      </c>
      <c r="B59" s="262"/>
      <c r="C59" s="171">
        <f>(88000000/(60*$G$88))*143.6</f>
        <v>35818.594104308388</v>
      </c>
      <c r="D59" s="262"/>
      <c r="E59" s="171">
        <f>(100000000/(60*G88))*143.6</f>
        <v>40702.947845804985</v>
      </c>
      <c r="F59" s="262"/>
      <c r="G59" s="171">
        <f>(120000000/(60*G88))*143.6</f>
        <v>48843.537414965991</v>
      </c>
      <c r="H59" s="262"/>
      <c r="I59" s="171">
        <f>(110000000/(60*G88))*143.6</f>
        <v>44773.242630385481</v>
      </c>
      <c r="J59" s="262"/>
      <c r="K59" s="171">
        <f>(100000000/(60*G88))*143.6</f>
        <v>40702.947845804985</v>
      </c>
      <c r="L59" s="259"/>
      <c r="M59" s="171">
        <f t="shared" si="4"/>
        <v>42168.253968253965</v>
      </c>
    </row>
    <row r="60" spans="1:14" ht="15.75" thickBot="1" x14ac:dyDescent="0.3">
      <c r="M60" s="104">
        <f>SUM(M53:M59)</f>
        <v>183167.06122448979</v>
      </c>
      <c r="N60" s="290">
        <f>M60/15</f>
        <v>12211.137414965986</v>
      </c>
    </row>
    <row r="61" spans="1:14" x14ac:dyDescent="0.25">
      <c r="A61" s="177"/>
      <c r="B61" s="43"/>
      <c r="C61" s="91"/>
      <c r="D61" s="43"/>
      <c r="E61" s="91"/>
      <c r="F61" s="43"/>
      <c r="G61" s="91"/>
      <c r="H61" s="43"/>
      <c r="I61" s="91"/>
      <c r="J61" s="43"/>
      <c r="K61" s="91"/>
      <c r="L61" s="43"/>
      <c r="M61" s="91"/>
      <c r="N61" s="294"/>
    </row>
    <row r="62" spans="1:14" x14ac:dyDescent="0.25">
      <c r="A62" s="177"/>
      <c r="B62" s="43"/>
      <c r="C62" s="91">
        <f>(143.6*48000)/171</f>
        <v>40308.771929824565</v>
      </c>
      <c r="D62" s="43"/>
      <c r="E62" s="91"/>
      <c r="F62" s="43"/>
      <c r="G62" s="91"/>
      <c r="H62" s="43"/>
      <c r="I62" s="91"/>
      <c r="J62" s="43"/>
      <c r="K62" s="91"/>
      <c r="L62" s="43"/>
      <c r="M62" s="91"/>
      <c r="N62" s="294"/>
    </row>
    <row r="63" spans="1:14" ht="15.75" thickBot="1" x14ac:dyDescent="0.3">
      <c r="A63" s="177"/>
      <c r="B63" s="43"/>
      <c r="C63" s="91"/>
      <c r="D63" s="43"/>
      <c r="E63" s="91"/>
      <c r="F63" s="43"/>
      <c r="G63" s="91"/>
      <c r="H63" s="43"/>
      <c r="I63" s="91"/>
      <c r="J63" s="43"/>
      <c r="K63" s="91"/>
      <c r="L63" s="178"/>
    </row>
    <row r="64" spans="1:14" ht="15.75" thickBot="1" x14ac:dyDescent="0.3">
      <c r="A64" s="177"/>
      <c r="B64" s="43"/>
      <c r="C64" s="91"/>
      <c r="D64" s="43"/>
      <c r="E64" s="91"/>
      <c r="F64" s="43"/>
      <c r="G64" s="91"/>
      <c r="H64" s="43"/>
      <c r="I64" s="91"/>
      <c r="J64" s="43"/>
      <c r="K64" s="91"/>
      <c r="L64" s="223" t="s">
        <v>18</v>
      </c>
      <c r="M64" s="242"/>
      <c r="N64" s="69"/>
    </row>
    <row r="65" spans="1:14" ht="15.75" thickBot="1" x14ac:dyDescent="0.3">
      <c r="B65" s="223" t="s">
        <v>154</v>
      </c>
      <c r="C65" s="242"/>
      <c r="D65" s="223" t="s">
        <v>154</v>
      </c>
      <c r="E65" s="242"/>
      <c r="F65" s="223" t="s">
        <v>154</v>
      </c>
      <c r="G65" s="242"/>
      <c r="H65" s="223" t="s">
        <v>154</v>
      </c>
      <c r="I65" s="242"/>
      <c r="J65" s="223" t="s">
        <v>154</v>
      </c>
      <c r="K65" s="242"/>
      <c r="L65" s="223" t="s">
        <v>150</v>
      </c>
      <c r="M65" s="253"/>
      <c r="N65" s="179"/>
    </row>
    <row r="66" spans="1:14" x14ac:dyDescent="0.25">
      <c r="A66" s="172" t="s">
        <v>172</v>
      </c>
      <c r="B66" s="247" t="s">
        <v>182</v>
      </c>
      <c r="C66" s="165">
        <v>30000</v>
      </c>
      <c r="D66" s="247" t="s">
        <v>182</v>
      </c>
      <c r="E66" s="165">
        <v>25000</v>
      </c>
      <c r="F66" s="247" t="s">
        <v>182</v>
      </c>
      <c r="G66" s="165">
        <v>31000</v>
      </c>
      <c r="H66" s="247" t="s">
        <v>182</v>
      </c>
      <c r="I66" s="165">
        <v>28000</v>
      </c>
      <c r="J66" s="247" t="s">
        <v>182</v>
      </c>
      <c r="K66" s="165">
        <v>30000</v>
      </c>
      <c r="L66" s="247" t="s">
        <v>182</v>
      </c>
      <c r="M66" s="166">
        <f>AVERAGE(C66,E66,G66,I66,K66)</f>
        <v>28800</v>
      </c>
      <c r="N66" s="178"/>
    </row>
    <row r="67" spans="1:14" x14ac:dyDescent="0.25">
      <c r="A67" s="173" t="s">
        <v>174</v>
      </c>
      <c r="B67" s="248"/>
      <c r="C67" s="167">
        <v>0</v>
      </c>
      <c r="D67" s="248"/>
      <c r="E67" s="167">
        <v>15000</v>
      </c>
      <c r="F67" s="248"/>
      <c r="G67" s="167">
        <v>12000</v>
      </c>
      <c r="H67" s="248"/>
      <c r="I67" s="167">
        <v>10000</v>
      </c>
      <c r="J67" s="248"/>
      <c r="K67" s="167">
        <v>10000</v>
      </c>
      <c r="L67" s="248"/>
      <c r="M67" s="168">
        <f t="shared" ref="M67:M72" si="5">AVERAGE(C67,E67,G67,I67,K67)</f>
        <v>9400</v>
      </c>
      <c r="N67" s="178"/>
    </row>
    <row r="68" spans="1:14" x14ac:dyDescent="0.25">
      <c r="A68" s="173" t="s">
        <v>175</v>
      </c>
      <c r="B68" s="248"/>
      <c r="C68" s="167">
        <v>0</v>
      </c>
      <c r="D68" s="248"/>
      <c r="E68" s="167">
        <v>0</v>
      </c>
      <c r="F68" s="248"/>
      <c r="G68" s="167">
        <v>0</v>
      </c>
      <c r="H68" s="248"/>
      <c r="I68" s="167">
        <v>0</v>
      </c>
      <c r="J68" s="248"/>
      <c r="K68" s="167">
        <v>0</v>
      </c>
      <c r="L68" s="248"/>
      <c r="M68" s="168">
        <f t="shared" si="5"/>
        <v>0</v>
      </c>
      <c r="N68" s="178"/>
    </row>
    <row r="69" spans="1:14" ht="15.75" thickBot="1" x14ac:dyDescent="0.3">
      <c r="A69" s="175" t="s">
        <v>176</v>
      </c>
      <c r="B69" s="248"/>
      <c r="C69" s="170">
        <f>(586000/$G$88)*75</f>
        <v>7474.4897959183681</v>
      </c>
      <c r="D69" s="248"/>
      <c r="E69" s="170">
        <f>(700000/G88)*75</f>
        <v>8928.5714285714294</v>
      </c>
      <c r="F69" s="248"/>
      <c r="G69" s="170">
        <f>(800000/G88)*75</f>
        <v>10204.08163265306</v>
      </c>
      <c r="H69" s="248"/>
      <c r="I69" s="170">
        <f>(750000/G88)*75</f>
        <v>9566.3265306122448</v>
      </c>
      <c r="J69" s="248"/>
      <c r="K69" s="170">
        <f>(650000/G88)*75</f>
        <v>8290.8163265306121</v>
      </c>
      <c r="L69" s="248"/>
      <c r="M69" s="171">
        <f t="shared" si="5"/>
        <v>8892.8571428571431</v>
      </c>
      <c r="N69" s="178"/>
    </row>
    <row r="70" spans="1:14" x14ac:dyDescent="0.25">
      <c r="A70" s="172" t="s">
        <v>177</v>
      </c>
      <c r="B70" s="248"/>
      <c r="C70" s="166">
        <f>(980000/$G$88)*75</f>
        <v>12500</v>
      </c>
      <c r="D70" s="248"/>
      <c r="E70" s="166">
        <v>0</v>
      </c>
      <c r="F70" s="248"/>
      <c r="G70" s="166">
        <f>(980000/$G$88)*75</f>
        <v>12500</v>
      </c>
      <c r="H70" s="248"/>
      <c r="I70" s="166">
        <f>(980000/$G$88)*75</f>
        <v>12500</v>
      </c>
      <c r="J70" s="248"/>
      <c r="K70" s="166">
        <f>(980000/$G$88)*75</f>
        <v>12500</v>
      </c>
      <c r="L70" s="248"/>
      <c r="M70" s="168">
        <f t="shared" si="5"/>
        <v>10000</v>
      </c>
      <c r="N70" s="178"/>
    </row>
    <row r="71" spans="1:14" x14ac:dyDescent="0.25">
      <c r="A71" s="173" t="s">
        <v>178</v>
      </c>
      <c r="B71" s="248"/>
      <c r="C71" s="174">
        <f>(2100000/(12*$G$88))*75</f>
        <v>2232.1428571428573</v>
      </c>
      <c r="D71" s="248"/>
      <c r="E71" s="174">
        <f>(4100000/(12*G88))*75</f>
        <v>4357.9931972789118</v>
      </c>
      <c r="F71" s="248"/>
      <c r="G71" s="168">
        <f>(4000000/(12*G88))*75</f>
        <v>4251.7006802721089</v>
      </c>
      <c r="H71" s="248"/>
      <c r="I71" s="168">
        <f>(2300000/(12*$G$88))*75</f>
        <v>2444.7278911564626</v>
      </c>
      <c r="J71" s="248"/>
      <c r="K71" s="168">
        <f>(3900000/(12*G88))*75</f>
        <v>4145.408163265306</v>
      </c>
      <c r="L71" s="248"/>
      <c r="M71" s="168">
        <f t="shared" si="5"/>
        <v>3486.3945578231296</v>
      </c>
      <c r="N71" s="178"/>
    </row>
    <row r="72" spans="1:14" ht="15.75" thickBot="1" x14ac:dyDescent="0.3">
      <c r="A72" s="175" t="s">
        <v>179</v>
      </c>
      <c r="B72" s="249"/>
      <c r="C72" s="171">
        <f>(88000000/(60*$G$88))*75</f>
        <v>18707.482993197278</v>
      </c>
      <c r="D72" s="249"/>
      <c r="E72" s="171">
        <f>(100000000/(60*G88))*75</f>
        <v>21258.503401360544</v>
      </c>
      <c r="F72" s="249"/>
      <c r="G72" s="171">
        <f>(120000000/(60*G88))*75</f>
        <v>25510.204081632655</v>
      </c>
      <c r="H72" s="249"/>
      <c r="I72" s="171">
        <f>(110000000/(60*G88))*75</f>
        <v>23384.353741496598</v>
      </c>
      <c r="J72" s="249"/>
      <c r="K72" s="171">
        <f>(100000000/(60*G88))*75</f>
        <v>21258.503401360544</v>
      </c>
      <c r="L72" s="249"/>
      <c r="M72" s="171">
        <f t="shared" si="5"/>
        <v>22023.809523809523</v>
      </c>
      <c r="N72" s="178"/>
    </row>
    <row r="73" spans="1:14" ht="15.75" thickBot="1" x14ac:dyDescent="0.3">
      <c r="M73" s="289">
        <f>SUM(M66:M72)</f>
        <v>82603.061224489793</v>
      </c>
      <c r="N73" s="290">
        <f>M73/8</f>
        <v>10325.382653061224</v>
      </c>
    </row>
    <row r="74" spans="1:14" x14ac:dyDescent="0.25">
      <c r="M74" s="91"/>
      <c r="N74" s="69"/>
    </row>
    <row r="75" spans="1:14" ht="15.75" thickBot="1" x14ac:dyDescent="0.3"/>
    <row r="76" spans="1:14" ht="15.75" thickBot="1" x14ac:dyDescent="0.3">
      <c r="L76" s="223" t="s">
        <v>18</v>
      </c>
      <c r="M76" s="242"/>
    </row>
    <row r="77" spans="1:14" ht="15.75" thickBot="1" x14ac:dyDescent="0.3">
      <c r="B77" s="223" t="s">
        <v>206</v>
      </c>
      <c r="C77" s="242"/>
      <c r="D77" s="223" t="s">
        <v>206</v>
      </c>
      <c r="E77" s="242"/>
      <c r="F77" s="223" t="s">
        <v>206</v>
      </c>
      <c r="G77" s="242"/>
      <c r="H77" s="223" t="s">
        <v>206</v>
      </c>
      <c r="I77" s="242"/>
      <c r="J77" s="223" t="s">
        <v>206</v>
      </c>
      <c r="K77" s="242"/>
      <c r="L77" s="223" t="s">
        <v>206</v>
      </c>
      <c r="M77" s="242"/>
    </row>
    <row r="78" spans="1:14" x14ac:dyDescent="0.25">
      <c r="A78" s="172" t="s">
        <v>172</v>
      </c>
      <c r="B78" s="247" t="s">
        <v>184</v>
      </c>
      <c r="C78" s="165">
        <v>28000</v>
      </c>
      <c r="D78" s="247" t="s">
        <v>184</v>
      </c>
      <c r="E78" s="165">
        <v>24000</v>
      </c>
      <c r="F78" s="247" t="s">
        <v>184</v>
      </c>
      <c r="G78" s="165">
        <v>29000</v>
      </c>
      <c r="H78" s="247" t="s">
        <v>184</v>
      </c>
      <c r="I78" s="165">
        <v>26000</v>
      </c>
      <c r="J78" s="247" t="s">
        <v>184</v>
      </c>
      <c r="K78" s="165">
        <v>28000</v>
      </c>
      <c r="L78" s="250" t="s">
        <v>184</v>
      </c>
      <c r="M78" s="166">
        <f>AVERAGE(C78,E78,G78,I78,K78)</f>
        <v>27000</v>
      </c>
    </row>
    <row r="79" spans="1:14" x14ac:dyDescent="0.25">
      <c r="A79" s="173" t="s">
        <v>174</v>
      </c>
      <c r="B79" s="248"/>
      <c r="C79" s="167">
        <v>0</v>
      </c>
      <c r="D79" s="248"/>
      <c r="E79" s="167">
        <v>10000</v>
      </c>
      <c r="F79" s="248"/>
      <c r="G79" s="167">
        <v>12000</v>
      </c>
      <c r="H79" s="248"/>
      <c r="I79" s="167">
        <v>9000</v>
      </c>
      <c r="J79" s="248"/>
      <c r="K79" s="167">
        <v>10000</v>
      </c>
      <c r="L79" s="251"/>
      <c r="M79" s="168">
        <f t="shared" ref="M79:M84" si="6">AVERAGE(C79,E79,G79,I79,K79)</f>
        <v>8200</v>
      </c>
    </row>
    <row r="80" spans="1:14" x14ac:dyDescent="0.25">
      <c r="A80" s="173" t="s">
        <v>175</v>
      </c>
      <c r="B80" s="248"/>
      <c r="C80" s="167">
        <v>0</v>
      </c>
      <c r="D80" s="248"/>
      <c r="E80" s="167">
        <v>0</v>
      </c>
      <c r="F80" s="248"/>
      <c r="G80" s="167">
        <v>0</v>
      </c>
      <c r="H80" s="248"/>
      <c r="I80" s="167">
        <v>0</v>
      </c>
      <c r="J80" s="248"/>
      <c r="K80" s="167">
        <v>0</v>
      </c>
      <c r="L80" s="251"/>
      <c r="M80" s="168">
        <f t="shared" si="6"/>
        <v>0</v>
      </c>
    </row>
    <row r="81" spans="1:14" ht="15.75" thickBot="1" x14ac:dyDescent="0.3">
      <c r="A81" s="175" t="s">
        <v>176</v>
      </c>
      <c r="B81" s="248"/>
      <c r="C81" s="170">
        <f>(586000/$G$88)*69.8</f>
        <v>6956.2585034013609</v>
      </c>
      <c r="D81" s="248"/>
      <c r="E81" s="170">
        <f>(700000/G88)*69.8</f>
        <v>8309.5238095238092</v>
      </c>
      <c r="F81" s="248"/>
      <c r="G81" s="170">
        <f>(800000/G88)*69.8</f>
        <v>9496.5986394557804</v>
      </c>
      <c r="H81" s="248"/>
      <c r="I81" s="170">
        <f>(750000/G88)*69.8</f>
        <v>8903.0612244897966</v>
      </c>
      <c r="J81" s="248"/>
      <c r="K81" s="170">
        <f>(650000/G88)*69.8</f>
        <v>7715.9863945578227</v>
      </c>
      <c r="L81" s="251"/>
      <c r="M81" s="171">
        <f t="shared" si="6"/>
        <v>8276.2857142857138</v>
      </c>
    </row>
    <row r="82" spans="1:14" x14ac:dyDescent="0.25">
      <c r="A82" s="172" t="s">
        <v>177</v>
      </c>
      <c r="B82" s="248"/>
      <c r="C82" s="166">
        <f>(980000/$G$88)*69.8</f>
        <v>11633.333333333332</v>
      </c>
      <c r="D82" s="248"/>
      <c r="E82" s="166">
        <v>0</v>
      </c>
      <c r="F82" s="248"/>
      <c r="G82" s="166">
        <f>(980000/5880)*69.8</f>
        <v>11633.333333333332</v>
      </c>
      <c r="H82" s="248"/>
      <c r="I82" s="166">
        <f>(980000/5880)*69.8</f>
        <v>11633.333333333332</v>
      </c>
      <c r="J82" s="248"/>
      <c r="K82" s="166">
        <v>0</v>
      </c>
      <c r="L82" s="251"/>
      <c r="M82" s="168">
        <f t="shared" si="6"/>
        <v>6980</v>
      </c>
    </row>
    <row r="83" spans="1:14" x14ac:dyDescent="0.25">
      <c r="A83" s="173" t="s">
        <v>178</v>
      </c>
      <c r="B83" s="248"/>
      <c r="C83" s="174">
        <f>(2100000/(12*$G$88))*69.8</f>
        <v>2077.3809523809523</v>
      </c>
      <c r="D83" s="248"/>
      <c r="E83" s="174">
        <f>(4100000/(12*G88))*69.8</f>
        <v>4055.8390022675735</v>
      </c>
      <c r="F83" s="248"/>
      <c r="G83" s="168">
        <f>(4000000/(12*G88))*69.8</f>
        <v>3956.9160997732424</v>
      </c>
      <c r="H83" s="248"/>
      <c r="I83" s="168">
        <f>(2300000/(12*$G$88))*69.8</f>
        <v>2275.2267573696145</v>
      </c>
      <c r="J83" s="248"/>
      <c r="K83" s="168">
        <f>(3900000/(12*G88))*69.8</f>
        <v>3857.9931972789113</v>
      </c>
      <c r="L83" s="251"/>
      <c r="M83" s="168">
        <f t="shared" si="6"/>
        <v>3244.6712018140588</v>
      </c>
    </row>
    <row r="84" spans="1:14" ht="15.75" thickBot="1" x14ac:dyDescent="0.3">
      <c r="A84" s="175" t="s">
        <v>179</v>
      </c>
      <c r="B84" s="249"/>
      <c r="C84" s="171">
        <f>(88000000/(60*$G$88))*69.8</f>
        <v>17410.430839002267</v>
      </c>
      <c r="D84" s="249"/>
      <c r="E84" s="171">
        <f>(100000000/(60*G88))*69.8</f>
        <v>19784.580498866213</v>
      </c>
      <c r="F84" s="249"/>
      <c r="G84" s="171">
        <f>(120000000/(60*G88))*69.8</f>
        <v>23741.496598639456</v>
      </c>
      <c r="H84" s="249"/>
      <c r="I84" s="171">
        <f>(110000000/(60*G88))*69.8</f>
        <v>21763.038548752833</v>
      </c>
      <c r="J84" s="249"/>
      <c r="K84" s="171">
        <f>(100000000/(60*G88))*69.8</f>
        <v>19784.580498866213</v>
      </c>
      <c r="L84" s="252"/>
      <c r="M84" s="171">
        <f t="shared" si="6"/>
        <v>20496.825396825396</v>
      </c>
    </row>
    <row r="85" spans="1:14" ht="15.75" thickBot="1" x14ac:dyDescent="0.3">
      <c r="M85" s="289">
        <f>SUM(M78:M84)</f>
        <v>74197.782312925163</v>
      </c>
      <c r="N85" s="290">
        <f>M85/8</f>
        <v>9274.7227891156454</v>
      </c>
    </row>
    <row r="88" spans="1:14" x14ac:dyDescent="0.25">
      <c r="D88" t="s">
        <v>189</v>
      </c>
      <c r="G88" s="188">
        <v>5880</v>
      </c>
      <c r="H88" t="s">
        <v>190</v>
      </c>
    </row>
  </sheetData>
  <mergeCells count="91">
    <mergeCell ref="F53:F59"/>
    <mergeCell ref="H53:H59"/>
    <mergeCell ref="J53:J59"/>
    <mergeCell ref="L53:L59"/>
    <mergeCell ref="L78:L84"/>
    <mergeCell ref="L76:M76"/>
    <mergeCell ref="B77:C77"/>
    <mergeCell ref="D77:E77"/>
    <mergeCell ref="F77:G77"/>
    <mergeCell ref="H77:I77"/>
    <mergeCell ref="J77:K77"/>
    <mergeCell ref="L77:M77"/>
    <mergeCell ref="B78:B84"/>
    <mergeCell ref="D78:D84"/>
    <mergeCell ref="F78:F84"/>
    <mergeCell ref="H78:H84"/>
    <mergeCell ref="J78:J84"/>
    <mergeCell ref="L66:L72"/>
    <mergeCell ref="B65:C65"/>
    <mergeCell ref="D65:E65"/>
    <mergeCell ref="F65:G65"/>
    <mergeCell ref="H65:I65"/>
    <mergeCell ref="J65:K65"/>
    <mergeCell ref="L65:M65"/>
    <mergeCell ref="B66:B72"/>
    <mergeCell ref="D66:D72"/>
    <mergeCell ref="F66:F72"/>
    <mergeCell ref="H66:H72"/>
    <mergeCell ref="J66:J72"/>
    <mergeCell ref="L28:L34"/>
    <mergeCell ref="L26:M26"/>
    <mergeCell ref="B27:C27"/>
    <mergeCell ref="D27:E27"/>
    <mergeCell ref="F27:G27"/>
    <mergeCell ref="H27:I27"/>
    <mergeCell ref="J27:K27"/>
    <mergeCell ref="L27:M27"/>
    <mergeCell ref="B28:B34"/>
    <mergeCell ref="D28:D34"/>
    <mergeCell ref="F28:F34"/>
    <mergeCell ref="H28:H34"/>
    <mergeCell ref="J28:J34"/>
    <mergeCell ref="L16:L22"/>
    <mergeCell ref="L14:M14"/>
    <mergeCell ref="B15:C15"/>
    <mergeCell ref="D15:E15"/>
    <mergeCell ref="F15:G15"/>
    <mergeCell ref="H15:I15"/>
    <mergeCell ref="J15:K15"/>
    <mergeCell ref="L15:M15"/>
    <mergeCell ref="B16:B22"/>
    <mergeCell ref="D16:D22"/>
    <mergeCell ref="F16:F22"/>
    <mergeCell ref="H16:H22"/>
    <mergeCell ref="J16:J22"/>
    <mergeCell ref="L4:L10"/>
    <mergeCell ref="L2:M2"/>
    <mergeCell ref="B3:C3"/>
    <mergeCell ref="D3:E3"/>
    <mergeCell ref="F3:G3"/>
    <mergeCell ref="H3:I3"/>
    <mergeCell ref="J3:K3"/>
    <mergeCell ref="L3:M3"/>
    <mergeCell ref="B4:B10"/>
    <mergeCell ref="D4:D10"/>
    <mergeCell ref="F4:F10"/>
    <mergeCell ref="H4:H10"/>
    <mergeCell ref="J4:J10"/>
    <mergeCell ref="L38:M38"/>
    <mergeCell ref="B39:C39"/>
    <mergeCell ref="D39:E39"/>
    <mergeCell ref="F39:G39"/>
    <mergeCell ref="H39:I39"/>
    <mergeCell ref="J39:K39"/>
    <mergeCell ref="L39:M39"/>
    <mergeCell ref="L40:L46"/>
    <mergeCell ref="L64:M64"/>
    <mergeCell ref="B40:B46"/>
    <mergeCell ref="D40:D46"/>
    <mergeCell ref="F40:F46"/>
    <mergeCell ref="H40:H46"/>
    <mergeCell ref="J40:J46"/>
    <mergeCell ref="L51:M51"/>
    <mergeCell ref="B52:C52"/>
    <mergeCell ref="D52:E52"/>
    <mergeCell ref="F52:G52"/>
    <mergeCell ref="H52:I52"/>
    <mergeCell ref="J52:K52"/>
    <mergeCell ref="L52:M52"/>
    <mergeCell ref="B53:B59"/>
    <mergeCell ref="D53:D59"/>
  </mergeCells>
  <conditionalFormatting sqref="A16:A19">
    <cfRule type="duplicateValues" dxfId="22" priority="3"/>
  </conditionalFormatting>
  <conditionalFormatting sqref="A66:A69">
    <cfRule type="duplicateValues" dxfId="21" priority="5"/>
  </conditionalFormatting>
  <conditionalFormatting sqref="A78:A81">
    <cfRule type="duplicateValues" dxfId="20" priority="7"/>
  </conditionalFormatting>
  <conditionalFormatting sqref="A63:A64 A40:A43">
    <cfRule type="duplicateValues" dxfId="19" priority="2"/>
  </conditionalFormatting>
  <conditionalFormatting sqref="A28:A31 A35:A36">
    <cfRule type="duplicateValues" dxfId="18" priority="8"/>
  </conditionalFormatting>
  <conditionalFormatting sqref="A53:A56">
    <cfRule type="duplicateValues" dxfId="1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55" zoomScale="85" zoomScaleNormal="85" workbookViewId="0">
      <selection activeCell="E77" sqref="E77:F79"/>
    </sheetView>
  </sheetViews>
  <sheetFormatPr baseColWidth="10" defaultRowHeight="15" x14ac:dyDescent="0.25"/>
  <cols>
    <col min="1" max="1" width="20.85546875" customWidth="1"/>
    <col min="2" max="2" width="14" customWidth="1"/>
    <col min="3" max="13" width="15.5703125" customWidth="1"/>
  </cols>
  <sheetData>
    <row r="1" spans="1:14" ht="15.75" thickBot="1" x14ac:dyDescent="0.3"/>
    <row r="2" spans="1:14" ht="15.75" thickBot="1" x14ac:dyDescent="0.3">
      <c r="L2" s="223" t="s">
        <v>18</v>
      </c>
      <c r="M2" s="242"/>
    </row>
    <row r="3" spans="1:14" ht="15.75" thickBot="1" x14ac:dyDescent="0.3">
      <c r="B3" s="223" t="s">
        <v>150</v>
      </c>
      <c r="C3" s="242"/>
      <c r="D3" s="223" t="s">
        <v>150</v>
      </c>
      <c r="E3" s="242"/>
      <c r="F3" s="223" t="s">
        <v>150</v>
      </c>
      <c r="G3" s="242"/>
      <c r="H3" s="223" t="s">
        <v>150</v>
      </c>
      <c r="I3" s="242"/>
      <c r="J3" s="223" t="s">
        <v>150</v>
      </c>
      <c r="K3" s="242"/>
      <c r="L3" s="223" t="s">
        <v>150</v>
      </c>
      <c r="M3" s="242"/>
    </row>
    <row r="4" spans="1:14" x14ac:dyDescent="0.25">
      <c r="A4" s="172" t="s">
        <v>172</v>
      </c>
      <c r="B4" s="254" t="s">
        <v>173</v>
      </c>
      <c r="C4" s="165">
        <v>57000</v>
      </c>
      <c r="D4" s="260" t="s">
        <v>173</v>
      </c>
      <c r="E4" s="166">
        <v>45000</v>
      </c>
      <c r="F4" s="260" t="s">
        <v>173</v>
      </c>
      <c r="G4" s="166">
        <v>55000</v>
      </c>
      <c r="H4" s="260" t="s">
        <v>173</v>
      </c>
      <c r="I4" s="166">
        <v>55000</v>
      </c>
      <c r="J4" s="260" t="s">
        <v>173</v>
      </c>
      <c r="K4" s="166">
        <v>50000</v>
      </c>
      <c r="L4" s="257" t="s">
        <v>173</v>
      </c>
      <c r="M4" s="166">
        <f>AVERAGE(C4,E4,G4,I4,K4)</f>
        <v>52400</v>
      </c>
    </row>
    <row r="5" spans="1:14" x14ac:dyDescent="0.25">
      <c r="A5" s="173" t="s">
        <v>174</v>
      </c>
      <c r="B5" s="255"/>
      <c r="C5" s="168">
        <v>86000</v>
      </c>
      <c r="D5" s="261"/>
      <c r="E5" s="168">
        <v>95000</v>
      </c>
      <c r="F5" s="261"/>
      <c r="G5" s="168">
        <v>90000</v>
      </c>
      <c r="H5" s="261"/>
      <c r="I5" s="168">
        <v>95000</v>
      </c>
      <c r="J5" s="261"/>
      <c r="K5" s="168">
        <v>90000</v>
      </c>
      <c r="L5" s="258"/>
      <c r="M5" s="168">
        <f t="shared" ref="M5:M10" si="0">AVERAGE(C5,E5,G5,I5,K5)</f>
        <v>91200</v>
      </c>
    </row>
    <row r="6" spans="1:14" x14ac:dyDescent="0.25">
      <c r="A6" s="173" t="s">
        <v>175</v>
      </c>
      <c r="B6" s="255"/>
      <c r="C6" s="168">
        <v>22000</v>
      </c>
      <c r="D6" s="261"/>
      <c r="E6" s="168">
        <v>22000</v>
      </c>
      <c r="F6" s="261"/>
      <c r="G6" s="168">
        <v>22000</v>
      </c>
      <c r="H6" s="261"/>
      <c r="I6" s="168">
        <v>22000</v>
      </c>
      <c r="J6" s="261"/>
      <c r="K6" s="168">
        <v>22000</v>
      </c>
      <c r="L6" s="258"/>
      <c r="M6" s="168">
        <f t="shared" si="0"/>
        <v>22000</v>
      </c>
    </row>
    <row r="7" spans="1:14" ht="15.75" thickBot="1" x14ac:dyDescent="0.3">
      <c r="A7" s="173" t="s">
        <v>176</v>
      </c>
      <c r="B7" s="255"/>
      <c r="C7" s="170">
        <f>(600000/G74)*183</f>
        <v>21229.69837587007</v>
      </c>
      <c r="D7" s="261"/>
      <c r="E7" s="170">
        <f>(1300000/G74)*183</f>
        <v>45997.679814385148</v>
      </c>
      <c r="F7" s="261"/>
      <c r="G7" s="170">
        <f>(600000/G74)*183</f>
        <v>21229.69837587007</v>
      </c>
      <c r="H7" s="261"/>
      <c r="I7" s="171">
        <f>(800000/G74)*183</f>
        <v>28306.264501160091</v>
      </c>
      <c r="J7" s="261"/>
      <c r="K7" s="171">
        <f>(900000/G74)*183</f>
        <v>31844.547563805103</v>
      </c>
      <c r="L7" s="258"/>
      <c r="M7" s="171">
        <f t="shared" si="0"/>
        <v>29721.577726218093</v>
      </c>
    </row>
    <row r="8" spans="1:14" x14ac:dyDescent="0.25">
      <c r="A8" s="172" t="s">
        <v>177</v>
      </c>
      <c r="B8" s="255"/>
      <c r="C8" s="166">
        <f>(980000/G74)*183</f>
        <v>34675.174013921111</v>
      </c>
      <c r="D8" s="261"/>
      <c r="E8" s="166">
        <v>0</v>
      </c>
      <c r="F8" s="261"/>
      <c r="G8" s="166">
        <f>(980000/G74)*183</f>
        <v>34675.174013921111</v>
      </c>
      <c r="H8" s="261"/>
      <c r="I8" s="166">
        <v>0</v>
      </c>
      <c r="J8" s="261"/>
      <c r="K8" s="166">
        <f>(980000/G74)*183</f>
        <v>34675.174013921111</v>
      </c>
      <c r="L8" s="258"/>
      <c r="M8" s="168">
        <f t="shared" si="0"/>
        <v>20805.104408352665</v>
      </c>
    </row>
    <row r="9" spans="1:14" x14ac:dyDescent="0.25">
      <c r="A9" s="173" t="s">
        <v>178</v>
      </c>
      <c r="B9" s="255"/>
      <c r="C9" s="174">
        <f>(((2530000/12)+542000)/G74)*183</f>
        <v>26637.374323279197</v>
      </c>
      <c r="D9" s="261"/>
      <c r="E9" s="174">
        <f>(2370000/(12*G74))*183</f>
        <v>6988.109048723898</v>
      </c>
      <c r="F9" s="261"/>
      <c r="G9" s="174">
        <f>(((2400000/12)+542000)/G74)*183</f>
        <v>26254.060324825987</v>
      </c>
      <c r="H9" s="261"/>
      <c r="I9" s="174">
        <f>(6000000/(12*G74))*183</f>
        <v>17691.415313225058</v>
      </c>
      <c r="J9" s="261"/>
      <c r="K9" s="174">
        <f>(2370000/(12*G74))*183</f>
        <v>6988.109048723898</v>
      </c>
      <c r="L9" s="258"/>
      <c r="M9" s="168">
        <f t="shared" si="0"/>
        <v>16911.813611755606</v>
      </c>
    </row>
    <row r="10" spans="1:14" ht="15.75" thickBot="1" x14ac:dyDescent="0.3">
      <c r="A10" s="175" t="s">
        <v>179</v>
      </c>
      <c r="B10" s="256"/>
      <c r="C10" s="171">
        <f>(120000000/(60*G74))*183</f>
        <v>70765.66125290023</v>
      </c>
      <c r="D10" s="262"/>
      <c r="E10" s="171">
        <f>(109000000/(60*G74))*183</f>
        <v>64278.80897138438</v>
      </c>
      <c r="F10" s="262"/>
      <c r="G10" s="171">
        <f>(110000000/(60*G74))*183</f>
        <v>64868.52281515854</v>
      </c>
      <c r="H10" s="262"/>
      <c r="I10" s="171">
        <f>(70000000/(60*G74))*183</f>
        <v>41279.969064191799</v>
      </c>
      <c r="J10" s="262"/>
      <c r="K10" s="171">
        <f>(100000000/(60*G74))*183</f>
        <v>58971.384377416864</v>
      </c>
      <c r="L10" s="259"/>
      <c r="M10" s="171">
        <f t="shared" si="0"/>
        <v>60032.869296210367</v>
      </c>
    </row>
    <row r="11" spans="1:14" ht="15.75" thickBot="1" x14ac:dyDescent="0.3">
      <c r="A11" s="65"/>
      <c r="B11" s="65"/>
      <c r="C11" s="176"/>
      <c r="M11" s="104">
        <f>SUM(M4:M10)</f>
        <v>293071.36504253675</v>
      </c>
      <c r="N11" s="290">
        <f>M11/15</f>
        <v>19538.091002835783</v>
      </c>
    </row>
    <row r="12" spans="1:14" x14ac:dyDescent="0.25">
      <c r="A12" s="65"/>
      <c r="B12" s="65"/>
      <c r="C12" s="176"/>
    </row>
    <row r="13" spans="1:14" ht="15.75" thickBot="1" x14ac:dyDescent="0.3">
      <c r="A13" s="65"/>
      <c r="B13" s="65"/>
      <c r="C13" s="176"/>
    </row>
    <row r="14" spans="1:14" ht="15.75" thickBot="1" x14ac:dyDescent="0.3">
      <c r="A14" s="65"/>
      <c r="C14" s="176"/>
      <c r="L14" s="223" t="s">
        <v>18</v>
      </c>
      <c r="M14" s="242"/>
    </row>
    <row r="15" spans="1:14" ht="15.75" thickBot="1" x14ac:dyDescent="0.3">
      <c r="B15" s="263" t="s">
        <v>151</v>
      </c>
      <c r="C15" s="264"/>
      <c r="D15" s="263" t="s">
        <v>151</v>
      </c>
      <c r="E15" s="264"/>
      <c r="F15" s="263" t="s">
        <v>151</v>
      </c>
      <c r="G15" s="264"/>
      <c r="H15" s="263" t="s">
        <v>151</v>
      </c>
      <c r="I15" s="264"/>
      <c r="J15" s="263" t="s">
        <v>151</v>
      </c>
      <c r="K15" s="264"/>
      <c r="L15" s="263" t="s">
        <v>151</v>
      </c>
      <c r="M15" s="264"/>
    </row>
    <row r="16" spans="1:14" x14ac:dyDescent="0.25">
      <c r="A16" s="172" t="s">
        <v>172</v>
      </c>
      <c r="B16" s="260" t="s">
        <v>180</v>
      </c>
      <c r="C16" s="176">
        <v>52000</v>
      </c>
      <c r="D16" s="260" t="s">
        <v>180</v>
      </c>
      <c r="E16" s="165">
        <v>41000</v>
      </c>
      <c r="F16" s="260" t="s">
        <v>180</v>
      </c>
      <c r="G16" s="165">
        <v>50000</v>
      </c>
      <c r="H16" s="260" t="s">
        <v>180</v>
      </c>
      <c r="I16" s="165">
        <v>50000</v>
      </c>
      <c r="J16" s="260" t="s">
        <v>180</v>
      </c>
      <c r="K16" s="165">
        <v>46000</v>
      </c>
      <c r="L16" s="257" t="s">
        <v>180</v>
      </c>
      <c r="M16" s="166">
        <f>AVERAGE(C16,E16,G16,I16,K16)</f>
        <v>47800</v>
      </c>
    </row>
    <row r="17" spans="1:14" x14ac:dyDescent="0.25">
      <c r="A17" s="173" t="s">
        <v>174</v>
      </c>
      <c r="B17" s="261"/>
      <c r="C17" s="167">
        <v>56000</v>
      </c>
      <c r="D17" s="261"/>
      <c r="E17" s="167">
        <v>56000</v>
      </c>
      <c r="F17" s="261"/>
      <c r="G17" s="167">
        <v>56000</v>
      </c>
      <c r="H17" s="261"/>
      <c r="I17" s="167">
        <v>56000</v>
      </c>
      <c r="J17" s="261"/>
      <c r="K17" s="167">
        <v>56000</v>
      </c>
      <c r="L17" s="258"/>
      <c r="M17" s="168">
        <f t="shared" ref="M17:M22" si="1">AVERAGE(C17,E17,G17,I17,K17)</f>
        <v>56000</v>
      </c>
    </row>
    <row r="18" spans="1:14" x14ac:dyDescent="0.25">
      <c r="A18" s="173" t="s">
        <v>175</v>
      </c>
      <c r="B18" s="261"/>
      <c r="C18" s="167">
        <v>22000</v>
      </c>
      <c r="D18" s="261"/>
      <c r="E18" s="167">
        <v>22000</v>
      </c>
      <c r="F18" s="261"/>
      <c r="G18" s="167">
        <v>22000</v>
      </c>
      <c r="H18" s="261"/>
      <c r="I18" s="167">
        <v>22000</v>
      </c>
      <c r="J18" s="261"/>
      <c r="K18" s="167">
        <v>22000</v>
      </c>
      <c r="L18" s="258"/>
      <c r="M18" s="168">
        <f t="shared" si="1"/>
        <v>22000</v>
      </c>
    </row>
    <row r="19" spans="1:14" ht="15.75" thickBot="1" x14ac:dyDescent="0.3">
      <c r="A19" s="175" t="s">
        <v>176</v>
      </c>
      <c r="B19" s="261"/>
      <c r="C19" s="170">
        <f>(600000/G74)*168</f>
        <v>19489.559164733178</v>
      </c>
      <c r="D19" s="261"/>
      <c r="E19" s="170">
        <f>(1300000/G74)*168</f>
        <v>42227.378190255222</v>
      </c>
      <c r="F19" s="261"/>
      <c r="G19" s="170">
        <f>(600000/G74)*168</f>
        <v>19489.559164733178</v>
      </c>
      <c r="H19" s="261"/>
      <c r="I19" s="171">
        <f>(800000/G74)*168</f>
        <v>25986.078886310905</v>
      </c>
      <c r="J19" s="261"/>
      <c r="K19" s="171">
        <f>(900000/G74)*168</f>
        <v>29234.33874709977</v>
      </c>
      <c r="L19" s="258"/>
      <c r="M19" s="171">
        <f t="shared" si="1"/>
        <v>27285.382830626448</v>
      </c>
    </row>
    <row r="20" spans="1:14" x14ac:dyDescent="0.25">
      <c r="A20" s="172" t="s">
        <v>177</v>
      </c>
      <c r="B20" s="261"/>
      <c r="C20" s="166">
        <f>(980000/G74)*168</f>
        <v>31832.946635730856</v>
      </c>
      <c r="D20" s="261"/>
      <c r="E20" s="166">
        <v>0</v>
      </c>
      <c r="F20" s="261"/>
      <c r="G20" s="166">
        <f>(980000/G74)*168</f>
        <v>31832.946635730856</v>
      </c>
      <c r="H20" s="261"/>
      <c r="I20" s="166">
        <v>0</v>
      </c>
      <c r="J20" s="261"/>
      <c r="K20" s="166">
        <f>(980000/G74)*168</f>
        <v>31832.946635730856</v>
      </c>
      <c r="L20" s="258"/>
      <c r="M20" s="168">
        <f t="shared" si="1"/>
        <v>19099.767981438512</v>
      </c>
    </row>
    <row r="21" spans="1:14" x14ac:dyDescent="0.25">
      <c r="A21" s="173" t="s">
        <v>178</v>
      </c>
      <c r="B21" s="261"/>
      <c r="C21" s="174">
        <f>(((2530000/12)+542000)/G74)*186</f>
        <v>27074.052590873936</v>
      </c>
      <c r="D21" s="261"/>
      <c r="E21" s="174">
        <f>(2370000/(12*G74))*168</f>
        <v>6415.3132250580047</v>
      </c>
      <c r="F21" s="261"/>
      <c r="G21" s="174">
        <f>(((2400000/12)+542000)/G74)*168</f>
        <v>24102.088167053367</v>
      </c>
      <c r="H21" s="261"/>
      <c r="I21" s="174">
        <f>(6000000/(12*G74))*168</f>
        <v>16241.299303944315</v>
      </c>
      <c r="J21" s="261"/>
      <c r="K21" s="174">
        <f>(2370000/(12*G74))*168</f>
        <v>6415.3132250580047</v>
      </c>
      <c r="L21" s="258"/>
      <c r="M21" s="168">
        <f t="shared" si="1"/>
        <v>16049.613302397524</v>
      </c>
    </row>
    <row r="22" spans="1:14" ht="15.75" thickBot="1" x14ac:dyDescent="0.3">
      <c r="A22" s="175" t="s">
        <v>179</v>
      </c>
      <c r="B22" s="262"/>
      <c r="C22" s="171">
        <f>(120000000/(60*G74))*168</f>
        <v>64965.197215777262</v>
      </c>
      <c r="D22" s="262"/>
      <c r="E22" s="171">
        <f>(109000000/(60*G74))*168</f>
        <v>59010.054137664352</v>
      </c>
      <c r="F22" s="262"/>
      <c r="G22" s="171">
        <f>(110000000/(60*G74))*168</f>
        <v>59551.430781129151</v>
      </c>
      <c r="H22" s="262"/>
      <c r="I22" s="171">
        <f>(70000000/(60*G74))*168</f>
        <v>37896.365042536738</v>
      </c>
      <c r="J22" s="262"/>
      <c r="K22" s="171">
        <f>(100000000/(60*G74))*168</f>
        <v>54137.664346481055</v>
      </c>
      <c r="L22" s="259"/>
      <c r="M22" s="171">
        <f t="shared" si="1"/>
        <v>55112.142304717716</v>
      </c>
    </row>
    <row r="23" spans="1:14" ht="15.75" thickBot="1" x14ac:dyDescent="0.3">
      <c r="M23" s="104">
        <f>SUM(M16:M22)</f>
        <v>243346.90641918019</v>
      </c>
      <c r="N23" s="290">
        <f>M23/15</f>
        <v>16223.127094612013</v>
      </c>
    </row>
    <row r="25" spans="1:14" ht="15.75" thickBot="1" x14ac:dyDescent="0.3"/>
    <row r="26" spans="1:14" ht="15.75" thickBot="1" x14ac:dyDescent="0.3">
      <c r="L26" s="223" t="s">
        <v>18</v>
      </c>
      <c r="M26" s="242"/>
    </row>
    <row r="27" spans="1:14" ht="15.75" thickBot="1" x14ac:dyDescent="0.3">
      <c r="B27" s="263" t="s">
        <v>204</v>
      </c>
      <c r="C27" s="264"/>
      <c r="D27" s="263" t="s">
        <v>204</v>
      </c>
      <c r="E27" s="264"/>
      <c r="F27" s="263" t="s">
        <v>204</v>
      </c>
      <c r="G27" s="264"/>
      <c r="H27" s="263" t="s">
        <v>204</v>
      </c>
      <c r="I27" s="264"/>
      <c r="J27" s="263" t="s">
        <v>204</v>
      </c>
      <c r="K27" s="264"/>
      <c r="L27" s="263" t="s">
        <v>204</v>
      </c>
      <c r="M27" s="264"/>
    </row>
    <row r="28" spans="1:14" x14ac:dyDescent="0.25">
      <c r="A28" s="172" t="s">
        <v>172</v>
      </c>
      <c r="B28" s="260" t="s">
        <v>185</v>
      </c>
      <c r="C28" s="165">
        <v>40000</v>
      </c>
      <c r="D28" s="260" t="s">
        <v>185</v>
      </c>
      <c r="E28" s="180">
        <v>40000</v>
      </c>
      <c r="F28" s="260" t="s">
        <v>185</v>
      </c>
      <c r="G28" s="166">
        <v>43000</v>
      </c>
      <c r="H28" s="260" t="s">
        <v>185</v>
      </c>
      <c r="I28" s="165">
        <v>45000</v>
      </c>
      <c r="J28" s="260" t="s">
        <v>185</v>
      </c>
      <c r="K28" s="165">
        <v>45000</v>
      </c>
      <c r="L28" s="257" t="s">
        <v>185</v>
      </c>
      <c r="M28" s="166">
        <f>AVERAGE(C28,G28,I28,K28)</f>
        <v>43250</v>
      </c>
    </row>
    <row r="29" spans="1:14" x14ac:dyDescent="0.25">
      <c r="A29" s="173" t="s">
        <v>174</v>
      </c>
      <c r="B29" s="261"/>
      <c r="C29" s="167">
        <v>95000</v>
      </c>
      <c r="D29" s="261"/>
      <c r="E29" s="181">
        <v>95000</v>
      </c>
      <c r="F29" s="261"/>
      <c r="G29" s="168">
        <v>94000</v>
      </c>
      <c r="H29" s="261"/>
      <c r="I29" s="167">
        <v>95000</v>
      </c>
      <c r="J29" s="261"/>
      <c r="K29" s="167">
        <v>100000</v>
      </c>
      <c r="L29" s="258"/>
      <c r="M29" s="168">
        <f t="shared" ref="M29:M34" si="2">AVERAGE(C29,E29,G29,I29,K29)</f>
        <v>95800</v>
      </c>
    </row>
    <row r="30" spans="1:14" x14ac:dyDescent="0.25">
      <c r="A30" s="173" t="s">
        <v>175</v>
      </c>
      <c r="B30" s="261"/>
      <c r="C30" s="167">
        <v>14000</v>
      </c>
      <c r="D30" s="261"/>
      <c r="E30" s="167">
        <v>14000</v>
      </c>
      <c r="F30" s="261"/>
      <c r="G30" s="168">
        <v>14000</v>
      </c>
      <c r="H30" s="261"/>
      <c r="I30" s="167">
        <v>14000</v>
      </c>
      <c r="J30" s="261"/>
      <c r="K30" s="167">
        <v>14000</v>
      </c>
      <c r="L30" s="258"/>
      <c r="M30" s="168">
        <f>AVERAGE(C30,E30,G30,I30,K30)</f>
        <v>14000</v>
      </c>
    </row>
    <row r="31" spans="1:14" ht="15.75" thickBot="1" x14ac:dyDescent="0.3">
      <c r="A31" s="175" t="s">
        <v>176</v>
      </c>
      <c r="B31" s="261"/>
      <c r="C31" s="170">
        <f>(600000/G74)*143.6</f>
        <v>16658.932714617167</v>
      </c>
      <c r="D31" s="261"/>
      <c r="E31" s="170">
        <f>(1300000/G74)*143.6</f>
        <v>36094.354215003863</v>
      </c>
      <c r="F31" s="261"/>
      <c r="G31" s="170">
        <f>(600000/G74)*143.6</f>
        <v>16658.932714617167</v>
      </c>
      <c r="H31" s="261"/>
      <c r="I31" s="171">
        <f>(800000/G74)*143.6</f>
        <v>22211.910286156224</v>
      </c>
      <c r="J31" s="261"/>
      <c r="K31" s="171">
        <f>(900000/G74)*143.6</f>
        <v>24988.399071925753</v>
      </c>
      <c r="L31" s="258"/>
      <c r="M31" s="171">
        <f t="shared" si="2"/>
        <v>23322.505800464038</v>
      </c>
    </row>
    <row r="32" spans="1:14" x14ac:dyDescent="0.25">
      <c r="A32" s="172" t="s">
        <v>177</v>
      </c>
      <c r="B32" s="261"/>
      <c r="C32" s="166">
        <f>(980000/G74)*143.6</f>
        <v>27209.590100541376</v>
      </c>
      <c r="D32" s="261"/>
      <c r="E32" s="181">
        <v>0</v>
      </c>
      <c r="F32" s="261"/>
      <c r="G32" s="166">
        <f>(980000/G74)*143.6</f>
        <v>27209.590100541376</v>
      </c>
      <c r="H32" s="261"/>
      <c r="I32" s="166">
        <v>0</v>
      </c>
      <c r="J32" s="261"/>
      <c r="K32" s="166">
        <f>(980000/G74)*143.6</f>
        <v>27209.590100541376</v>
      </c>
      <c r="L32" s="258"/>
      <c r="M32" s="168">
        <f t="shared" si="2"/>
        <v>16325.754060324825</v>
      </c>
    </row>
    <row r="33" spans="1:14" x14ac:dyDescent="0.25">
      <c r="A33" s="173" t="s">
        <v>178</v>
      </c>
      <c r="B33" s="261"/>
      <c r="C33" s="174">
        <f>(((2530000/12)+542000)/G74)*143.6</f>
        <v>20902.333075534931</v>
      </c>
      <c r="D33" s="261"/>
      <c r="E33" s="174">
        <f>(2370000/(12*G74))*143.6</f>
        <v>5483.5653518948184</v>
      </c>
      <c r="F33" s="261"/>
      <c r="G33" s="174">
        <f>(((2400000/12)+542000)/G74)*143.6</f>
        <v>20601.546790409902</v>
      </c>
      <c r="H33" s="261"/>
      <c r="I33" s="174">
        <f>(6000000/(12*G74))*143.6</f>
        <v>13882.443928847641</v>
      </c>
      <c r="J33" s="261"/>
      <c r="K33" s="174">
        <f>(2370000/(12*G74))*143.6</f>
        <v>5483.5653518948184</v>
      </c>
      <c r="L33" s="258"/>
      <c r="M33" s="168">
        <f t="shared" si="2"/>
        <v>13270.690899716423</v>
      </c>
    </row>
    <row r="34" spans="1:14" ht="15.75" thickBot="1" x14ac:dyDescent="0.3">
      <c r="A34" s="175" t="s">
        <v>179</v>
      </c>
      <c r="B34" s="262"/>
      <c r="C34" s="171">
        <f>(120000000/(60*G74))*143.6</f>
        <v>55529.775715390562</v>
      </c>
      <c r="D34" s="262"/>
      <c r="E34" s="171">
        <f>(109000000/(60*G74))*143.6</f>
        <v>50439.546274813096</v>
      </c>
      <c r="F34" s="262"/>
      <c r="G34" s="171">
        <f>(110000000/(60*G74))*143.6</f>
        <v>50902.294405774679</v>
      </c>
      <c r="H34" s="262"/>
      <c r="I34" s="171">
        <f>(70000000/(60*G74))*143.6</f>
        <v>32392.369167311161</v>
      </c>
      <c r="J34" s="262"/>
      <c r="K34" s="171">
        <f>(100000000/(60*G74))*143.6</f>
        <v>46274.813096158803</v>
      </c>
      <c r="L34" s="259"/>
      <c r="M34" s="171">
        <f t="shared" si="2"/>
        <v>47107.759731889659</v>
      </c>
    </row>
    <row r="35" spans="1:14" ht="15.75" thickBot="1" x14ac:dyDescent="0.3">
      <c r="M35" s="104">
        <f>SUM(M28:M34)</f>
        <v>253076.71049239498</v>
      </c>
      <c r="N35" s="290">
        <f>M35/15</f>
        <v>16871.780699493</v>
      </c>
    </row>
    <row r="36" spans="1:14" x14ac:dyDescent="0.25">
      <c r="M36" s="69"/>
      <c r="N36" s="69"/>
    </row>
    <row r="37" spans="1:14" ht="15.75" thickBot="1" x14ac:dyDescent="0.3"/>
    <row r="38" spans="1:14" ht="15.75" thickBot="1" x14ac:dyDescent="0.3">
      <c r="L38" s="223" t="s">
        <v>18</v>
      </c>
      <c r="M38" s="242"/>
    </row>
    <row r="39" spans="1:14" ht="15.75" thickBot="1" x14ac:dyDescent="0.3">
      <c r="B39" s="223" t="s">
        <v>188</v>
      </c>
      <c r="C39" s="242"/>
      <c r="D39" s="223" t="s">
        <v>188</v>
      </c>
      <c r="E39" s="242"/>
      <c r="F39" s="223" t="s">
        <v>188</v>
      </c>
      <c r="G39" s="242"/>
      <c r="H39" s="223" t="s">
        <v>188</v>
      </c>
      <c r="I39" s="242"/>
      <c r="J39" s="223" t="s">
        <v>188</v>
      </c>
      <c r="K39" s="242"/>
      <c r="L39" s="223" t="s">
        <v>188</v>
      </c>
      <c r="M39" s="242"/>
    </row>
    <row r="40" spans="1:14" x14ac:dyDescent="0.25">
      <c r="A40" s="172" t="s">
        <v>172</v>
      </c>
      <c r="B40" s="247" t="s">
        <v>183</v>
      </c>
      <c r="C40" s="165">
        <v>90000</v>
      </c>
      <c r="D40" s="247" t="s">
        <v>183</v>
      </c>
      <c r="E40" s="165">
        <v>100000</v>
      </c>
      <c r="F40" s="247" t="s">
        <v>183</v>
      </c>
      <c r="G40" s="165">
        <v>85000</v>
      </c>
      <c r="H40" s="247" t="s">
        <v>183</v>
      </c>
      <c r="I40" s="165">
        <v>80000</v>
      </c>
      <c r="J40" s="247" t="s">
        <v>183</v>
      </c>
      <c r="K40" s="165">
        <v>85000</v>
      </c>
      <c r="L40" s="247" t="s">
        <v>183</v>
      </c>
      <c r="M40" s="166">
        <f>AVERAGE(C40,E40,G40,I40,K40)</f>
        <v>88000</v>
      </c>
    </row>
    <row r="41" spans="1:14" x14ac:dyDescent="0.25">
      <c r="A41" s="173" t="s">
        <v>174</v>
      </c>
      <c r="B41" s="248"/>
      <c r="C41" s="167">
        <v>140000</v>
      </c>
      <c r="D41" s="248"/>
      <c r="E41" s="167">
        <v>145000</v>
      </c>
      <c r="F41" s="248"/>
      <c r="G41" s="167">
        <v>135000</v>
      </c>
      <c r="H41" s="248"/>
      <c r="I41" s="167">
        <v>124000</v>
      </c>
      <c r="J41" s="248"/>
      <c r="K41" s="167">
        <v>130000</v>
      </c>
      <c r="L41" s="248"/>
      <c r="M41" s="168">
        <f t="shared" ref="M41:M46" si="3">AVERAGE(C41,E41,G41,I41,K41)</f>
        <v>134800</v>
      </c>
    </row>
    <row r="42" spans="1:14" x14ac:dyDescent="0.25">
      <c r="A42" s="173" t="s">
        <v>175</v>
      </c>
      <c r="B42" s="248"/>
      <c r="C42" s="167">
        <v>14000</v>
      </c>
      <c r="D42" s="248"/>
      <c r="E42" s="167">
        <v>14000</v>
      </c>
      <c r="F42" s="248"/>
      <c r="G42" s="167">
        <v>14000</v>
      </c>
      <c r="H42" s="248"/>
      <c r="I42" s="167">
        <v>14000</v>
      </c>
      <c r="J42" s="248"/>
      <c r="K42" s="167">
        <v>14000</v>
      </c>
      <c r="L42" s="248"/>
      <c r="M42" s="168">
        <f t="shared" si="3"/>
        <v>14000</v>
      </c>
    </row>
    <row r="43" spans="1:14" ht="15.75" thickBot="1" x14ac:dyDescent="0.3">
      <c r="A43" s="175" t="s">
        <v>176</v>
      </c>
      <c r="B43" s="248"/>
      <c r="C43" s="170">
        <f>(900000/G74)*252</f>
        <v>43851.508120649654</v>
      </c>
      <c r="D43" s="248"/>
      <c r="E43" s="170">
        <f>(1300000/G74)*252</f>
        <v>63341.067285382829</v>
      </c>
      <c r="F43" s="248"/>
      <c r="G43" s="170">
        <f>(800000/G74)*252</f>
        <v>38979.118329466357</v>
      </c>
      <c r="H43" s="248"/>
      <c r="I43" s="171">
        <f>(800000/G74)*252</f>
        <v>38979.118329466357</v>
      </c>
      <c r="J43" s="248"/>
      <c r="K43" s="171">
        <f>(900000/G74)*252</f>
        <v>43851.508120649654</v>
      </c>
      <c r="L43" s="248"/>
      <c r="M43" s="171">
        <f t="shared" si="3"/>
        <v>45800.464037122976</v>
      </c>
    </row>
    <row r="44" spans="1:14" x14ac:dyDescent="0.25">
      <c r="A44" s="172" t="s">
        <v>177</v>
      </c>
      <c r="B44" s="248"/>
      <c r="C44" s="166">
        <f>(980000/G74)*252</f>
        <v>47749.419953596283</v>
      </c>
      <c r="D44" s="248"/>
      <c r="E44" s="166">
        <v>0</v>
      </c>
      <c r="F44" s="248"/>
      <c r="G44" s="166">
        <f>(980000/G74)*252</f>
        <v>47749.419953596283</v>
      </c>
      <c r="H44" s="248"/>
      <c r="I44" s="166">
        <v>0</v>
      </c>
      <c r="J44" s="248"/>
      <c r="K44" s="166">
        <f>(980000/G74)*252</f>
        <v>47749.419953596283</v>
      </c>
      <c r="L44" s="248"/>
      <c r="M44" s="168">
        <f t="shared" si="3"/>
        <v>28649.651972157772</v>
      </c>
    </row>
    <row r="45" spans="1:14" x14ac:dyDescent="0.25">
      <c r="A45" s="173" t="s">
        <v>178</v>
      </c>
      <c r="B45" s="248"/>
      <c r="C45" s="174">
        <f>(((2530000/12)+542000)/G74)*252</f>
        <v>36680.97447795824</v>
      </c>
      <c r="D45" s="248"/>
      <c r="E45" s="174">
        <f>(2370000/(12*G74))*252</f>
        <v>9622.9698375870084</v>
      </c>
      <c r="F45" s="248"/>
      <c r="G45" s="174">
        <f>(((2400000/12)+542000)/G74)*252</f>
        <v>36153.132250580049</v>
      </c>
      <c r="H45" s="248"/>
      <c r="I45" s="174">
        <f>(6000000/(12*G74))*252</f>
        <v>24361.948955916472</v>
      </c>
      <c r="J45" s="248"/>
      <c r="K45" s="174">
        <f>(2370000/(12*G74))*252</f>
        <v>9622.9698375870084</v>
      </c>
      <c r="L45" s="248"/>
      <c r="M45" s="168">
        <f t="shared" si="3"/>
        <v>23288.399071925756</v>
      </c>
    </row>
    <row r="46" spans="1:14" ht="15.75" thickBot="1" x14ac:dyDescent="0.3">
      <c r="A46" s="175" t="s">
        <v>179</v>
      </c>
      <c r="B46" s="249"/>
      <c r="C46" s="171">
        <f>(120000000/(60*G74))*252</f>
        <v>97447.795823665889</v>
      </c>
      <c r="D46" s="249"/>
      <c r="E46" s="171">
        <f>(109000000/(60*G74))*252</f>
        <v>88515.081206496528</v>
      </c>
      <c r="F46" s="249"/>
      <c r="G46" s="171">
        <f>(110000000/(60*G74))*252</f>
        <v>89327.146171693734</v>
      </c>
      <c r="H46" s="249"/>
      <c r="I46" s="171">
        <f>(70000000/(60*G74))*252</f>
        <v>56844.547563805099</v>
      </c>
      <c r="J46" s="249"/>
      <c r="K46" s="171">
        <f>(100000000/(60*G74))*252</f>
        <v>81206.496519721579</v>
      </c>
      <c r="L46" s="249"/>
      <c r="M46" s="171">
        <f t="shared" si="3"/>
        <v>82668.213457076577</v>
      </c>
    </row>
    <row r="47" spans="1:14" ht="15.75" thickBot="1" x14ac:dyDescent="0.3">
      <c r="M47" s="104">
        <f>SUM(M40:M46)</f>
        <v>417206.72853828303</v>
      </c>
      <c r="N47" s="290">
        <f>M47/15</f>
        <v>27813.7819025522</v>
      </c>
    </row>
    <row r="48" spans="1:14" x14ac:dyDescent="0.25">
      <c r="M48" s="69"/>
      <c r="N48" s="69"/>
    </row>
    <row r="49" spans="1:14" ht="15.75" thickBot="1" x14ac:dyDescent="0.3"/>
    <row r="50" spans="1:14" ht="15.75" thickBot="1" x14ac:dyDescent="0.3">
      <c r="L50" s="223" t="s">
        <v>18</v>
      </c>
      <c r="M50" s="242"/>
    </row>
    <row r="51" spans="1:14" ht="15.75" thickBot="1" x14ac:dyDescent="0.3">
      <c r="B51" s="223" t="s">
        <v>202</v>
      </c>
      <c r="C51" s="242"/>
      <c r="D51" s="223" t="s">
        <v>202</v>
      </c>
      <c r="E51" s="242"/>
      <c r="F51" s="223" t="s">
        <v>202</v>
      </c>
      <c r="G51" s="242"/>
      <c r="H51" s="223" t="s">
        <v>202</v>
      </c>
      <c r="I51" s="242"/>
      <c r="J51" s="223" t="s">
        <v>202</v>
      </c>
      <c r="K51" s="242"/>
      <c r="L51" s="223" t="s">
        <v>202</v>
      </c>
      <c r="M51" s="242"/>
    </row>
    <row r="52" spans="1:14" x14ac:dyDescent="0.25">
      <c r="A52" s="172" t="s">
        <v>172</v>
      </c>
      <c r="B52" s="247" t="s">
        <v>203</v>
      </c>
      <c r="C52" s="165">
        <v>61000</v>
      </c>
      <c r="D52" s="247" t="s">
        <v>203</v>
      </c>
      <c r="E52" s="165">
        <v>67000</v>
      </c>
      <c r="F52" s="247" t="s">
        <v>203</v>
      </c>
      <c r="G52" s="165">
        <v>58000</v>
      </c>
      <c r="H52" s="247" t="s">
        <v>203</v>
      </c>
      <c r="I52" s="165">
        <v>55000</v>
      </c>
      <c r="J52" s="247" t="s">
        <v>203</v>
      </c>
      <c r="K52" s="165">
        <v>58000</v>
      </c>
      <c r="L52" s="247" t="s">
        <v>203</v>
      </c>
      <c r="M52" s="166">
        <f>AVERAGE(C52,E52,G52,I52,K52)</f>
        <v>59800</v>
      </c>
    </row>
    <row r="53" spans="1:14" x14ac:dyDescent="0.25">
      <c r="A53" s="173" t="s">
        <v>174</v>
      </c>
      <c r="B53" s="248"/>
      <c r="C53" s="167">
        <v>0</v>
      </c>
      <c r="D53" s="248"/>
      <c r="E53" s="167">
        <v>0</v>
      </c>
      <c r="F53" s="248"/>
      <c r="G53" s="167">
        <v>0</v>
      </c>
      <c r="H53" s="248"/>
      <c r="I53" s="167">
        <v>0</v>
      </c>
      <c r="J53" s="248"/>
      <c r="K53" s="167">
        <v>0</v>
      </c>
      <c r="L53" s="248"/>
      <c r="M53" s="168">
        <f t="shared" ref="M53:M58" si="4">AVERAGE(C53,E53,G53,I53,K53)</f>
        <v>0</v>
      </c>
    </row>
    <row r="54" spans="1:14" x14ac:dyDescent="0.25">
      <c r="A54" s="173" t="s">
        <v>175</v>
      </c>
      <c r="B54" s="248"/>
      <c r="C54" s="167">
        <v>14000</v>
      </c>
      <c r="D54" s="248"/>
      <c r="E54" s="167">
        <v>14000</v>
      </c>
      <c r="F54" s="248"/>
      <c r="G54" s="167">
        <v>14000</v>
      </c>
      <c r="H54" s="248"/>
      <c r="I54" s="167">
        <v>14000</v>
      </c>
      <c r="J54" s="248"/>
      <c r="K54" s="167">
        <v>14000</v>
      </c>
      <c r="L54" s="248"/>
      <c r="M54" s="168">
        <f t="shared" si="4"/>
        <v>14000</v>
      </c>
    </row>
    <row r="55" spans="1:14" ht="15.75" thickBot="1" x14ac:dyDescent="0.3">
      <c r="A55" s="175" t="s">
        <v>176</v>
      </c>
      <c r="B55" s="248"/>
      <c r="C55" s="170">
        <f>(900000/G74)*171</f>
        <v>29756.380510440835</v>
      </c>
      <c r="D55" s="248"/>
      <c r="E55" s="170">
        <f>(1300000/G74)*171</f>
        <v>42981.438515081209</v>
      </c>
      <c r="F55" s="248"/>
      <c r="G55" s="170">
        <f>(800000/G74)*171</f>
        <v>26450.11600928074</v>
      </c>
      <c r="H55" s="248"/>
      <c r="I55" s="170">
        <f>(800000/G74)*171</f>
        <v>26450.11600928074</v>
      </c>
      <c r="J55" s="248"/>
      <c r="K55" s="170">
        <f>(900000/G74)*171</f>
        <v>29756.380510440835</v>
      </c>
      <c r="L55" s="248"/>
      <c r="M55" s="171">
        <f t="shared" si="4"/>
        <v>31078.886310904869</v>
      </c>
    </row>
    <row r="56" spans="1:14" x14ac:dyDescent="0.25">
      <c r="A56" s="172" t="s">
        <v>177</v>
      </c>
      <c r="B56" s="248"/>
      <c r="C56" s="166">
        <f>(980000/G74)*171</f>
        <v>32401.392111368907</v>
      </c>
      <c r="D56" s="248"/>
      <c r="E56" s="166">
        <v>0</v>
      </c>
      <c r="F56" s="248"/>
      <c r="G56" s="166">
        <f>(980000/G74)*171</f>
        <v>32401.392111368907</v>
      </c>
      <c r="H56" s="248"/>
      <c r="I56" s="166">
        <v>0</v>
      </c>
      <c r="J56" s="248"/>
      <c r="K56" s="166">
        <f>(980000/G74)*171</f>
        <v>32401.392111368907</v>
      </c>
      <c r="L56" s="248"/>
      <c r="M56" s="168">
        <f t="shared" si="4"/>
        <v>19440.835266821341</v>
      </c>
    </row>
    <row r="57" spans="1:14" x14ac:dyDescent="0.25">
      <c r="A57" s="173" t="s">
        <v>178</v>
      </c>
      <c r="B57" s="248"/>
      <c r="C57" s="174">
        <f>(((2530000/12)+542000)/G74)*171</f>
        <v>24890.661252900234</v>
      </c>
      <c r="D57" s="248"/>
      <c r="E57" s="174">
        <f>(2370000/(12*G74))*171</f>
        <v>6529.8723897911841</v>
      </c>
      <c r="F57" s="248"/>
      <c r="G57" s="168">
        <f>(((2400000/12)+542000)/G74)*171</f>
        <v>24532.48259860789</v>
      </c>
      <c r="H57" s="248"/>
      <c r="I57" s="168">
        <f>(6000000/(12*G74))*171</f>
        <v>16531.322505800465</v>
      </c>
      <c r="J57" s="248"/>
      <c r="K57" s="168">
        <f>(2370000/(12*G74))*171</f>
        <v>6529.8723897911841</v>
      </c>
      <c r="L57" s="248"/>
      <c r="M57" s="168">
        <f t="shared" si="4"/>
        <v>15802.842227378191</v>
      </c>
    </row>
    <row r="58" spans="1:14" ht="15.75" thickBot="1" x14ac:dyDescent="0.3">
      <c r="A58" s="175" t="s">
        <v>179</v>
      </c>
      <c r="B58" s="249"/>
      <c r="C58" s="171">
        <f>(120000000/(60*G74))*171</f>
        <v>66125.290023201858</v>
      </c>
      <c r="D58" s="249"/>
      <c r="E58" s="171">
        <f>(109000000/(60*G74))*171</f>
        <v>60063.805104408355</v>
      </c>
      <c r="F58" s="249"/>
      <c r="G58" s="171">
        <f>(110000000/(60*G74))*171</f>
        <v>60614.849187935033</v>
      </c>
      <c r="H58" s="249"/>
      <c r="I58" s="171">
        <f>(70000000/(60*G74))*171</f>
        <v>38573.085846867747</v>
      </c>
      <c r="J58" s="249"/>
      <c r="K58" s="171">
        <f>(100000000/(60*G74))*171</f>
        <v>55104.408352668215</v>
      </c>
      <c r="L58" s="249"/>
      <c r="M58" s="171">
        <f t="shared" si="4"/>
        <v>56096.287703016249</v>
      </c>
    </row>
    <row r="59" spans="1:14" ht="15.75" thickBot="1" x14ac:dyDescent="0.3">
      <c r="A59" s="177"/>
      <c r="B59" s="43"/>
      <c r="C59" s="91"/>
      <c r="D59" s="43"/>
      <c r="E59" s="91"/>
      <c r="F59" s="43"/>
      <c r="G59" s="91"/>
      <c r="H59" s="43"/>
      <c r="I59" s="91"/>
      <c r="J59" s="43"/>
      <c r="K59" s="91"/>
      <c r="L59" s="43"/>
      <c r="M59" s="289">
        <f>SUM(M52:M58)</f>
        <v>196218.85150812066</v>
      </c>
      <c r="N59" s="290">
        <f>M59/15</f>
        <v>13081.256767208044</v>
      </c>
    </row>
    <row r="60" spans="1:14" x14ac:dyDescent="0.25">
      <c r="A60" s="177"/>
      <c r="B60" s="43"/>
      <c r="C60" s="91"/>
      <c r="D60" s="43"/>
      <c r="E60" s="91"/>
      <c r="F60" s="43"/>
      <c r="G60" s="91"/>
      <c r="H60" s="43"/>
      <c r="I60" s="91"/>
      <c r="J60" s="43"/>
      <c r="K60" s="91"/>
      <c r="L60" s="43"/>
      <c r="M60" s="91"/>
      <c r="N60" s="69"/>
    </row>
    <row r="61" spans="1:14" ht="15.75" thickBot="1" x14ac:dyDescent="0.3"/>
    <row r="62" spans="1:14" ht="15.75" thickBot="1" x14ac:dyDescent="0.3">
      <c r="A62" s="177"/>
      <c r="B62" s="43"/>
      <c r="C62" s="91"/>
      <c r="D62" s="43"/>
      <c r="E62" s="91"/>
      <c r="F62" s="43"/>
      <c r="G62" s="91"/>
      <c r="H62" s="43"/>
      <c r="I62" s="91"/>
      <c r="J62" s="43"/>
      <c r="K62" s="91"/>
      <c r="L62" s="223" t="s">
        <v>18</v>
      </c>
      <c r="M62" s="242"/>
      <c r="N62" s="69"/>
    </row>
    <row r="63" spans="1:14" ht="15.75" thickBot="1" x14ac:dyDescent="0.3">
      <c r="B63" s="223" t="s">
        <v>154</v>
      </c>
      <c r="C63" s="242"/>
      <c r="D63" s="223" t="s">
        <v>154</v>
      </c>
      <c r="E63" s="242"/>
      <c r="F63" s="223" t="s">
        <v>154</v>
      </c>
      <c r="G63" s="242"/>
      <c r="H63" s="223" t="s">
        <v>154</v>
      </c>
      <c r="I63" s="242"/>
      <c r="J63" s="223" t="s">
        <v>154</v>
      </c>
      <c r="K63" s="242"/>
      <c r="L63" s="223" t="s">
        <v>154</v>
      </c>
      <c r="M63" s="242"/>
      <c r="N63" s="179"/>
    </row>
    <row r="64" spans="1:14" x14ac:dyDescent="0.25">
      <c r="A64" s="172" t="s">
        <v>172</v>
      </c>
      <c r="B64" s="247" t="s">
        <v>182</v>
      </c>
      <c r="C64" s="165">
        <v>28000</v>
      </c>
      <c r="D64" s="247" t="s">
        <v>182</v>
      </c>
      <c r="E64" s="165">
        <v>30000</v>
      </c>
      <c r="F64" s="247" t="s">
        <v>182</v>
      </c>
      <c r="G64" s="165">
        <v>27000</v>
      </c>
      <c r="H64" s="247" t="s">
        <v>182</v>
      </c>
      <c r="I64" s="165">
        <v>28000</v>
      </c>
      <c r="J64" s="247" t="s">
        <v>182</v>
      </c>
      <c r="K64" s="165">
        <v>27000</v>
      </c>
      <c r="L64" s="247" t="s">
        <v>182</v>
      </c>
      <c r="M64" s="166">
        <f>AVERAGE(C64,E64,G64,I64,K64)</f>
        <v>28000</v>
      </c>
      <c r="N64" s="178"/>
    </row>
    <row r="65" spans="1:14" x14ac:dyDescent="0.25">
      <c r="A65" s="173" t="s">
        <v>174</v>
      </c>
      <c r="B65" s="248"/>
      <c r="C65" s="167">
        <v>20000</v>
      </c>
      <c r="D65" s="248"/>
      <c r="E65" s="167">
        <v>15000</v>
      </c>
      <c r="F65" s="248"/>
      <c r="G65" s="167">
        <v>12000</v>
      </c>
      <c r="H65" s="248"/>
      <c r="I65" s="167">
        <v>10000</v>
      </c>
      <c r="J65" s="248"/>
      <c r="K65" s="167">
        <v>10000</v>
      </c>
      <c r="L65" s="248"/>
      <c r="M65" s="168">
        <f t="shared" ref="M65:M70" si="5">AVERAGE(C65,E65,G65,I65,K65)</f>
        <v>13400</v>
      </c>
      <c r="N65" s="178"/>
    </row>
    <row r="66" spans="1:14" x14ac:dyDescent="0.25">
      <c r="A66" s="173" t="s">
        <v>175</v>
      </c>
      <c r="B66" s="248"/>
      <c r="C66" s="167">
        <v>0</v>
      </c>
      <c r="D66" s="248"/>
      <c r="E66" s="167">
        <v>0</v>
      </c>
      <c r="F66" s="248"/>
      <c r="G66" s="167">
        <v>0</v>
      </c>
      <c r="H66" s="248"/>
      <c r="I66" s="167">
        <v>0</v>
      </c>
      <c r="J66" s="248"/>
      <c r="K66" s="167">
        <v>0</v>
      </c>
      <c r="L66" s="248"/>
      <c r="M66" s="168">
        <f t="shared" si="5"/>
        <v>0</v>
      </c>
      <c r="N66" s="178"/>
    </row>
    <row r="67" spans="1:14" ht="15.75" thickBot="1" x14ac:dyDescent="0.3">
      <c r="A67" s="175" t="s">
        <v>176</v>
      </c>
      <c r="B67" s="248"/>
      <c r="C67" s="170">
        <f>(900000/G74)*75</f>
        <v>13051.044083526682</v>
      </c>
      <c r="D67" s="248"/>
      <c r="E67" s="170">
        <f>(1300000/G74)*75</f>
        <v>18851.508120649651</v>
      </c>
      <c r="F67" s="248"/>
      <c r="G67" s="170">
        <f>(800000/G74)*75</f>
        <v>11600.92807424594</v>
      </c>
      <c r="H67" s="248"/>
      <c r="I67" s="170">
        <f>(800000/G74)*75</f>
        <v>11600.92807424594</v>
      </c>
      <c r="J67" s="248"/>
      <c r="K67" s="170">
        <f>(900000/G74)*75</f>
        <v>13051.044083526682</v>
      </c>
      <c r="L67" s="248"/>
      <c r="M67" s="171">
        <f t="shared" si="5"/>
        <v>13631.090487238976</v>
      </c>
      <c r="N67" s="178"/>
    </row>
    <row r="68" spans="1:14" x14ac:dyDescent="0.25">
      <c r="A68" s="172" t="s">
        <v>177</v>
      </c>
      <c r="B68" s="248"/>
      <c r="C68" s="166">
        <f>(980000/G74)*75</f>
        <v>14211.136890951275</v>
      </c>
      <c r="D68" s="248"/>
      <c r="E68" s="166">
        <v>0</v>
      </c>
      <c r="F68" s="248"/>
      <c r="G68" s="166">
        <f>(980000/G74)*75</f>
        <v>14211.136890951275</v>
      </c>
      <c r="H68" s="248"/>
      <c r="I68" s="166">
        <v>0</v>
      </c>
      <c r="J68" s="248"/>
      <c r="K68" s="166">
        <f>(980000/G74)*75</f>
        <v>14211.136890951275</v>
      </c>
      <c r="L68" s="248"/>
      <c r="M68" s="168">
        <f t="shared" si="5"/>
        <v>8526.6821345707649</v>
      </c>
      <c r="N68" s="178"/>
    </row>
    <row r="69" spans="1:14" x14ac:dyDescent="0.25">
      <c r="A69" s="173" t="s">
        <v>178</v>
      </c>
      <c r="B69" s="248"/>
      <c r="C69" s="174">
        <f>(((2530000/12)+542000)/G74)*75</f>
        <v>10916.956689868523</v>
      </c>
      <c r="D69" s="248"/>
      <c r="E69" s="174">
        <f>(2370000/(12*G74))*75</f>
        <v>2863.9791183294665</v>
      </c>
      <c r="F69" s="248"/>
      <c r="G69" s="168">
        <f>(((2400000/12)+542000)/G74)*75</f>
        <v>10759.86078886311</v>
      </c>
      <c r="H69" s="248"/>
      <c r="I69" s="168">
        <f>(6000000/(12*G74))*75</f>
        <v>7250.580046403712</v>
      </c>
      <c r="J69" s="248"/>
      <c r="K69" s="168">
        <f>(2370000/(12*G74))*75</f>
        <v>2863.9791183294665</v>
      </c>
      <c r="L69" s="248"/>
      <c r="M69" s="168">
        <f t="shared" si="5"/>
        <v>6931.0711523588561</v>
      </c>
      <c r="N69" s="178"/>
    </row>
    <row r="70" spans="1:14" ht="15.75" thickBot="1" x14ac:dyDescent="0.3">
      <c r="A70" s="175" t="s">
        <v>179</v>
      </c>
      <c r="B70" s="249"/>
      <c r="C70" s="171">
        <f>(120000000/(60*G74))*75</f>
        <v>29002.320185614848</v>
      </c>
      <c r="D70" s="249"/>
      <c r="E70" s="171">
        <f>(109000000/(60*G74))*75</f>
        <v>26343.774168600157</v>
      </c>
      <c r="F70" s="249"/>
      <c r="G70" s="171">
        <f>(110000000/(60*G74))*75</f>
        <v>26585.460170146944</v>
      </c>
      <c r="H70" s="249"/>
      <c r="I70" s="171">
        <f>(70000000/(60*G74))*75</f>
        <v>16918.020108275326</v>
      </c>
      <c r="J70" s="249"/>
      <c r="K70" s="171">
        <f>(100000000/(60*G74))*75</f>
        <v>24168.600154679043</v>
      </c>
      <c r="L70" s="249"/>
      <c r="M70" s="171">
        <f t="shared" si="5"/>
        <v>24603.634957463259</v>
      </c>
      <c r="N70" s="178"/>
    </row>
    <row r="71" spans="1:14" ht="15.75" thickBot="1" x14ac:dyDescent="0.3">
      <c r="M71" s="289">
        <f>SUM(M64:M70)</f>
        <v>95092.478731631869</v>
      </c>
      <c r="N71" s="290">
        <f>M71/15</f>
        <v>6339.4985821087912</v>
      </c>
    </row>
    <row r="73" spans="1:14" x14ac:dyDescent="0.25">
      <c r="G73" s="187"/>
    </row>
    <row r="74" spans="1:14" x14ac:dyDescent="0.25">
      <c r="D74" t="s">
        <v>189</v>
      </c>
      <c r="G74" s="188">
        <v>5172</v>
      </c>
      <c r="H74" s="187" t="s">
        <v>190</v>
      </c>
    </row>
  </sheetData>
  <mergeCells count="78">
    <mergeCell ref="B63:C63"/>
    <mergeCell ref="D63:E63"/>
    <mergeCell ref="F63:G63"/>
    <mergeCell ref="H63:I63"/>
    <mergeCell ref="J63:K63"/>
    <mergeCell ref="L63:M63"/>
    <mergeCell ref="B64:B70"/>
    <mergeCell ref="F64:F70"/>
    <mergeCell ref="H64:H70"/>
    <mergeCell ref="J64:J70"/>
    <mergeCell ref="L64:L70"/>
    <mergeCell ref="D64:D70"/>
    <mergeCell ref="L62:M62"/>
    <mergeCell ref="L28:L34"/>
    <mergeCell ref="L26:M26"/>
    <mergeCell ref="B27:C27"/>
    <mergeCell ref="D27:E27"/>
    <mergeCell ref="F27:G27"/>
    <mergeCell ref="H27:I27"/>
    <mergeCell ref="J27:K27"/>
    <mergeCell ref="L27:M27"/>
    <mergeCell ref="B28:B34"/>
    <mergeCell ref="D28:D34"/>
    <mergeCell ref="F28:F34"/>
    <mergeCell ref="H28:H34"/>
    <mergeCell ref="J28:J34"/>
    <mergeCell ref="L16:L22"/>
    <mergeCell ref="L14:M14"/>
    <mergeCell ref="B15:C15"/>
    <mergeCell ref="D15:E15"/>
    <mergeCell ref="F15:G15"/>
    <mergeCell ref="H15:I15"/>
    <mergeCell ref="J15:K15"/>
    <mergeCell ref="L15:M15"/>
    <mergeCell ref="B16:B22"/>
    <mergeCell ref="D16:D22"/>
    <mergeCell ref="F16:F22"/>
    <mergeCell ref="H16:H22"/>
    <mergeCell ref="J16:J22"/>
    <mergeCell ref="L4:L10"/>
    <mergeCell ref="L2:M2"/>
    <mergeCell ref="B3:C3"/>
    <mergeCell ref="D3:E3"/>
    <mergeCell ref="F3:G3"/>
    <mergeCell ref="H3:I3"/>
    <mergeCell ref="J3:K3"/>
    <mergeCell ref="L3:M3"/>
    <mergeCell ref="B4:B10"/>
    <mergeCell ref="D4:D10"/>
    <mergeCell ref="F4:F10"/>
    <mergeCell ref="H4:H10"/>
    <mergeCell ref="J4:J10"/>
    <mergeCell ref="L38:M38"/>
    <mergeCell ref="B39:C39"/>
    <mergeCell ref="D39:E39"/>
    <mergeCell ref="F39:G39"/>
    <mergeCell ref="H39:I39"/>
    <mergeCell ref="J39:K39"/>
    <mergeCell ref="L39:M39"/>
    <mergeCell ref="L52:L58"/>
    <mergeCell ref="L51:M51"/>
    <mergeCell ref="L40:L46"/>
    <mergeCell ref="B40:B46"/>
    <mergeCell ref="D40:D46"/>
    <mergeCell ref="F40:F46"/>
    <mergeCell ref="H40:H46"/>
    <mergeCell ref="J40:J46"/>
    <mergeCell ref="B52:B58"/>
    <mergeCell ref="D52:D58"/>
    <mergeCell ref="F52:F58"/>
    <mergeCell ref="H52:H58"/>
    <mergeCell ref="J52:J58"/>
    <mergeCell ref="L50:M50"/>
    <mergeCell ref="B51:C51"/>
    <mergeCell ref="D51:E51"/>
    <mergeCell ref="F51:G51"/>
    <mergeCell ref="H51:I51"/>
    <mergeCell ref="J51:K51"/>
  </mergeCells>
  <conditionalFormatting sqref="A16:A19">
    <cfRule type="duplicateValues" dxfId="16" priority="5"/>
  </conditionalFormatting>
  <conditionalFormatting sqref="A28:A31">
    <cfRule type="duplicateValues" dxfId="15" priority="6"/>
  </conditionalFormatting>
  <conditionalFormatting sqref="A40:A43">
    <cfRule type="duplicateValues" dxfId="14" priority="4"/>
  </conditionalFormatting>
  <conditionalFormatting sqref="A52:A55">
    <cfRule type="duplicateValues" dxfId="13" priority="3"/>
  </conditionalFormatting>
  <conditionalFormatting sqref="A64:A67">
    <cfRule type="duplicateValues" dxfId="12" priority="2"/>
  </conditionalFormatting>
  <conditionalFormatting sqref="A62">
    <cfRule type="duplicateValues" dxfId="1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64" zoomScale="80" zoomScaleNormal="80" workbookViewId="0">
      <selection activeCell="C67" sqref="C67"/>
    </sheetView>
  </sheetViews>
  <sheetFormatPr baseColWidth="10" defaultRowHeight="15" x14ac:dyDescent="0.25"/>
  <cols>
    <col min="1" max="1" width="20.5703125" customWidth="1"/>
    <col min="2" max="6" width="14" customWidth="1"/>
    <col min="7" max="7" width="16.42578125" customWidth="1"/>
    <col min="8" max="8" width="14" customWidth="1"/>
    <col min="9" max="9" width="14.140625" customWidth="1"/>
    <col min="10" max="10" width="14" customWidth="1"/>
    <col min="11" max="11" width="15.42578125" customWidth="1"/>
    <col min="12" max="13" width="14" customWidth="1"/>
  </cols>
  <sheetData>
    <row r="1" spans="1:14" ht="15.75" thickBot="1" x14ac:dyDescent="0.3"/>
    <row r="2" spans="1:14" ht="15.75" thickBot="1" x14ac:dyDescent="0.3">
      <c r="L2" s="223" t="s">
        <v>18</v>
      </c>
      <c r="M2" s="242"/>
    </row>
    <row r="3" spans="1:14" ht="15.75" thickBot="1" x14ac:dyDescent="0.3">
      <c r="B3" s="223" t="s">
        <v>150</v>
      </c>
      <c r="C3" s="242"/>
      <c r="D3" s="223" t="s">
        <v>150</v>
      </c>
      <c r="E3" s="242"/>
      <c r="F3" s="223" t="s">
        <v>150</v>
      </c>
      <c r="G3" s="242"/>
      <c r="H3" s="223" t="s">
        <v>150</v>
      </c>
      <c r="I3" s="242"/>
      <c r="J3" s="223" t="s">
        <v>150</v>
      </c>
      <c r="K3" s="242"/>
      <c r="L3" s="223" t="s">
        <v>150</v>
      </c>
      <c r="M3" s="242"/>
    </row>
    <row r="4" spans="1:14" x14ac:dyDescent="0.25">
      <c r="A4" s="172" t="s">
        <v>172</v>
      </c>
      <c r="B4" s="254" t="s">
        <v>173</v>
      </c>
      <c r="C4" s="165">
        <v>80000</v>
      </c>
      <c r="D4" s="260" t="s">
        <v>173</v>
      </c>
      <c r="E4" s="165">
        <v>90000</v>
      </c>
      <c r="F4" s="260" t="s">
        <v>173</v>
      </c>
      <c r="G4" s="165">
        <v>80000</v>
      </c>
      <c r="H4" s="260" t="s">
        <v>173</v>
      </c>
      <c r="I4" s="165">
        <v>85000</v>
      </c>
      <c r="J4" s="260" t="s">
        <v>173</v>
      </c>
      <c r="K4" s="165">
        <v>90000</v>
      </c>
      <c r="L4" s="257" t="s">
        <v>173</v>
      </c>
      <c r="M4" s="166">
        <f>AVERAGE(C4,E4,G4,I4,K4)</f>
        <v>85000</v>
      </c>
    </row>
    <row r="5" spans="1:14" x14ac:dyDescent="0.25">
      <c r="A5" s="173" t="s">
        <v>174</v>
      </c>
      <c r="B5" s="255"/>
      <c r="C5" s="167">
        <v>100000</v>
      </c>
      <c r="D5" s="261"/>
      <c r="E5" s="167">
        <v>95000</v>
      </c>
      <c r="F5" s="261"/>
      <c r="G5" s="167">
        <v>110000</v>
      </c>
      <c r="H5" s="261"/>
      <c r="I5" s="167">
        <v>106000</v>
      </c>
      <c r="J5" s="261"/>
      <c r="K5" s="167">
        <v>100000</v>
      </c>
      <c r="L5" s="258"/>
      <c r="M5" s="168">
        <f t="shared" ref="M5:M10" si="0">AVERAGE(C5,E5,G5,I5,K5)</f>
        <v>102200</v>
      </c>
    </row>
    <row r="6" spans="1:14" x14ac:dyDescent="0.25">
      <c r="A6" s="173" t="s">
        <v>175</v>
      </c>
      <c r="B6" s="255"/>
      <c r="C6" s="167">
        <v>22000</v>
      </c>
      <c r="D6" s="261"/>
      <c r="E6" s="167">
        <v>22000</v>
      </c>
      <c r="F6" s="261"/>
      <c r="G6" s="167">
        <v>22000</v>
      </c>
      <c r="H6" s="261"/>
      <c r="I6" s="167">
        <v>22000</v>
      </c>
      <c r="J6" s="261"/>
      <c r="K6" s="167">
        <v>22000</v>
      </c>
      <c r="L6" s="258"/>
      <c r="M6" s="168">
        <f t="shared" si="0"/>
        <v>22000</v>
      </c>
    </row>
    <row r="7" spans="1:14" ht="15.75" thickBot="1" x14ac:dyDescent="0.3">
      <c r="A7" s="175" t="s">
        <v>176</v>
      </c>
      <c r="B7" s="255"/>
      <c r="C7" s="170">
        <f>(850000/E73)*183</f>
        <v>30075.406032482599</v>
      </c>
      <c r="D7" s="261"/>
      <c r="E7" s="170">
        <f>(750000/E73)*183</f>
        <v>26537.122969837586</v>
      </c>
      <c r="F7" s="261"/>
      <c r="G7" s="170">
        <f>(700000/E73)*183</f>
        <v>24767.981438515082</v>
      </c>
      <c r="H7" s="261"/>
      <c r="I7" s="170">
        <f>(800000/E73)*183</f>
        <v>28306.264501160091</v>
      </c>
      <c r="J7" s="261"/>
      <c r="K7" s="170">
        <f>(600000/E73)*183</f>
        <v>21229.69837587007</v>
      </c>
      <c r="L7" s="258"/>
      <c r="M7" s="171">
        <f t="shared" si="0"/>
        <v>26183.294663573084</v>
      </c>
    </row>
    <row r="8" spans="1:14" x14ac:dyDescent="0.25">
      <c r="A8" s="172" t="s">
        <v>177</v>
      </c>
      <c r="B8" s="255"/>
      <c r="C8" s="166">
        <f>(980000/E73)*183</f>
        <v>34675.174013921111</v>
      </c>
      <c r="D8" s="261"/>
      <c r="E8" s="166">
        <f>(980000/E73)*183</f>
        <v>34675.174013921111</v>
      </c>
      <c r="F8" s="261"/>
      <c r="G8" s="166">
        <v>0</v>
      </c>
      <c r="H8" s="261"/>
      <c r="I8" s="166">
        <f>(980000/E73)*183</f>
        <v>34675.174013921111</v>
      </c>
      <c r="J8" s="261"/>
      <c r="K8" s="166">
        <v>0</v>
      </c>
      <c r="L8" s="258"/>
      <c r="M8" s="168">
        <f t="shared" si="0"/>
        <v>20805.104408352665</v>
      </c>
    </row>
    <row r="9" spans="1:14" x14ac:dyDescent="0.25">
      <c r="A9" s="173" t="s">
        <v>178</v>
      </c>
      <c r="B9" s="255"/>
      <c r="C9" s="174">
        <f>(2500000/(12*E73))*183</f>
        <v>7371.4230471771079</v>
      </c>
      <c r="D9" s="261"/>
      <c r="E9" s="174">
        <f>(((2500000/12)+542000)/E73)*183</f>
        <v>26548.91724671307</v>
      </c>
      <c r="F9" s="261"/>
      <c r="G9" s="174">
        <f>(2500000/(12*E73)*183)</f>
        <v>7371.4230471771079</v>
      </c>
      <c r="H9" s="261"/>
      <c r="I9" s="174">
        <f>(((2500000/12)+542000)/E73)*183</f>
        <v>26548.91724671307</v>
      </c>
      <c r="J9" s="261"/>
      <c r="K9" s="174">
        <f>(2500000/(12*E73))*183</f>
        <v>7371.4230471771079</v>
      </c>
      <c r="L9" s="258"/>
      <c r="M9" s="168">
        <f t="shared" si="0"/>
        <v>15042.420726991491</v>
      </c>
    </row>
    <row r="10" spans="1:14" ht="15.75" thickBot="1" x14ac:dyDescent="0.3">
      <c r="A10" s="175" t="s">
        <v>179</v>
      </c>
      <c r="B10" s="256"/>
      <c r="C10" s="171">
        <f>(100000000/(60*E73))*183</f>
        <v>58971.384377416864</v>
      </c>
      <c r="D10" s="262"/>
      <c r="E10" s="171">
        <f>(89000000/(60*E73))*183</f>
        <v>52484.532095900999</v>
      </c>
      <c r="F10" s="262"/>
      <c r="G10" s="171">
        <f>(100000000/(60*E73))*183</f>
        <v>58971.384377416864</v>
      </c>
      <c r="H10" s="262"/>
      <c r="I10" s="171">
        <f>(89000000/(60*E73))*183</f>
        <v>52484.532095900999</v>
      </c>
      <c r="J10" s="262"/>
      <c r="K10" s="171">
        <f>(145000000/(60*E73))*183</f>
        <v>85508.507347254446</v>
      </c>
      <c r="L10" s="259"/>
      <c r="M10" s="171">
        <f t="shared" si="0"/>
        <v>61684.06805877803</v>
      </c>
    </row>
    <row r="11" spans="1:14" ht="15.75" thickBot="1" x14ac:dyDescent="0.3">
      <c r="A11" s="65"/>
      <c r="B11" s="65"/>
      <c r="C11" s="176"/>
      <c r="M11" s="104">
        <f>SUM(M4:M10)</f>
        <v>332914.88785769528</v>
      </c>
      <c r="N11" s="290">
        <f>M11/19</f>
        <v>17521.836203036593</v>
      </c>
    </row>
    <row r="12" spans="1:14" x14ac:dyDescent="0.25">
      <c r="A12" s="65"/>
      <c r="B12" s="65"/>
      <c r="C12" s="176"/>
    </row>
    <row r="13" spans="1:14" ht="15.75" thickBot="1" x14ac:dyDescent="0.3">
      <c r="A13" s="65"/>
      <c r="B13" s="65"/>
      <c r="C13" s="176"/>
    </row>
    <row r="14" spans="1:14" ht="15.75" thickBot="1" x14ac:dyDescent="0.3">
      <c r="A14" s="65"/>
      <c r="C14" s="176"/>
      <c r="L14" s="223" t="s">
        <v>18</v>
      </c>
      <c r="M14" s="242"/>
    </row>
    <row r="15" spans="1:14" ht="15.75" thickBot="1" x14ac:dyDescent="0.3">
      <c r="B15" s="223" t="s">
        <v>151</v>
      </c>
      <c r="C15" s="242"/>
      <c r="D15" s="223" t="s">
        <v>151</v>
      </c>
      <c r="E15" s="242"/>
      <c r="F15" s="223" t="s">
        <v>151</v>
      </c>
      <c r="G15" s="242"/>
      <c r="H15" s="223" t="s">
        <v>151</v>
      </c>
      <c r="I15" s="242"/>
      <c r="J15" s="223" t="s">
        <v>151</v>
      </c>
      <c r="K15" s="242"/>
      <c r="L15" s="223" t="s">
        <v>151</v>
      </c>
      <c r="M15" s="242"/>
    </row>
    <row r="16" spans="1:14" x14ac:dyDescent="0.25">
      <c r="A16" s="172" t="s">
        <v>172</v>
      </c>
      <c r="B16" s="247" t="s">
        <v>180</v>
      </c>
      <c r="C16" s="165">
        <v>74000</v>
      </c>
      <c r="D16" s="247" t="s">
        <v>180</v>
      </c>
      <c r="E16" s="165">
        <v>82000</v>
      </c>
      <c r="F16" s="247" t="s">
        <v>180</v>
      </c>
      <c r="G16" s="165">
        <v>74000</v>
      </c>
      <c r="H16" s="247" t="s">
        <v>180</v>
      </c>
      <c r="I16" s="165">
        <v>78000</v>
      </c>
      <c r="J16" s="247" t="s">
        <v>180</v>
      </c>
      <c r="K16" s="165">
        <v>82000</v>
      </c>
      <c r="L16" s="250" t="s">
        <v>180</v>
      </c>
      <c r="M16" s="166">
        <f>AVERAGE(C16,E16,G16,I16,K16)</f>
        <v>78000</v>
      </c>
    </row>
    <row r="17" spans="1:14" x14ac:dyDescent="0.25">
      <c r="A17" s="173" t="s">
        <v>174</v>
      </c>
      <c r="B17" s="248"/>
      <c r="C17" s="167">
        <v>65000</v>
      </c>
      <c r="D17" s="248"/>
      <c r="E17" s="167">
        <v>65000</v>
      </c>
      <c r="F17" s="248"/>
      <c r="G17" s="167">
        <v>65000</v>
      </c>
      <c r="H17" s="248"/>
      <c r="I17" s="167">
        <v>70000</v>
      </c>
      <c r="J17" s="248"/>
      <c r="K17" s="167">
        <v>65000</v>
      </c>
      <c r="L17" s="251"/>
      <c r="M17" s="168">
        <f t="shared" ref="M17:M22" si="1">AVERAGE(C17,E17,G17,I17,K17)</f>
        <v>66000</v>
      </c>
    </row>
    <row r="18" spans="1:14" x14ac:dyDescent="0.25">
      <c r="A18" s="173" t="s">
        <v>175</v>
      </c>
      <c r="B18" s="248"/>
      <c r="C18" s="167">
        <v>22000</v>
      </c>
      <c r="D18" s="248"/>
      <c r="E18" s="167">
        <v>22000</v>
      </c>
      <c r="F18" s="248"/>
      <c r="G18" s="167">
        <v>22000</v>
      </c>
      <c r="H18" s="248"/>
      <c r="I18" s="167">
        <v>22000</v>
      </c>
      <c r="J18" s="248"/>
      <c r="K18" s="167">
        <v>22000</v>
      </c>
      <c r="L18" s="251"/>
      <c r="M18" s="168">
        <f t="shared" si="1"/>
        <v>22000</v>
      </c>
    </row>
    <row r="19" spans="1:14" ht="15.75" thickBot="1" x14ac:dyDescent="0.3">
      <c r="A19" s="175" t="s">
        <v>176</v>
      </c>
      <c r="B19" s="248"/>
      <c r="C19" s="170">
        <f>(850000/E73)*168</f>
        <v>27610.208816705337</v>
      </c>
      <c r="D19" s="248"/>
      <c r="E19" s="170">
        <f>(750000/E73)*168</f>
        <v>24361.948955916472</v>
      </c>
      <c r="F19" s="248"/>
      <c r="G19" s="170">
        <f>(700000/E73)*168</f>
        <v>22737.81902552204</v>
      </c>
      <c r="H19" s="248"/>
      <c r="I19" s="170">
        <f>(800000/E73)*168</f>
        <v>25986.078886310905</v>
      </c>
      <c r="J19" s="248"/>
      <c r="K19" s="170">
        <f>(600000/E73)*168</f>
        <v>19489.559164733178</v>
      </c>
      <c r="L19" s="251"/>
      <c r="M19" s="171">
        <f t="shared" si="1"/>
        <v>24037.122969837586</v>
      </c>
    </row>
    <row r="20" spans="1:14" x14ac:dyDescent="0.25">
      <c r="A20" s="172" t="s">
        <v>177</v>
      </c>
      <c r="B20" s="248"/>
      <c r="C20" s="166">
        <f>(980000/E73)*168</f>
        <v>31832.946635730856</v>
      </c>
      <c r="D20" s="248"/>
      <c r="E20" s="166">
        <f>(980000/E73)*168</f>
        <v>31832.946635730856</v>
      </c>
      <c r="F20" s="248"/>
      <c r="G20" s="166">
        <v>0</v>
      </c>
      <c r="H20" s="248"/>
      <c r="I20" s="166">
        <f>(980000/E73)*168</f>
        <v>31832.946635730856</v>
      </c>
      <c r="J20" s="248"/>
      <c r="K20" s="166">
        <v>0</v>
      </c>
      <c r="L20" s="251"/>
      <c r="M20" s="168">
        <f t="shared" si="1"/>
        <v>19099.767981438512</v>
      </c>
    </row>
    <row r="21" spans="1:14" x14ac:dyDescent="0.25">
      <c r="A21" s="173" t="s">
        <v>178</v>
      </c>
      <c r="B21" s="248"/>
      <c r="C21" s="174">
        <f>(2500000/(12*E73))*168</f>
        <v>6767.2080433101319</v>
      </c>
      <c r="D21" s="248"/>
      <c r="E21" s="174">
        <f>(((2500000/12)+542000)/E73)*168</f>
        <v>24372.77648878577</v>
      </c>
      <c r="F21" s="248"/>
      <c r="G21" s="174">
        <f>(2500000/(12*E73))*168</f>
        <v>6767.2080433101319</v>
      </c>
      <c r="H21" s="248"/>
      <c r="I21" s="174">
        <f>(((2500000/12)+542000)/E73)*168</f>
        <v>24372.77648878577</v>
      </c>
      <c r="J21" s="248"/>
      <c r="K21" s="174">
        <f>(2500000/(12*E73))*168</f>
        <v>6767.2080433101319</v>
      </c>
      <c r="L21" s="251"/>
      <c r="M21" s="168">
        <f t="shared" si="1"/>
        <v>13809.435421500388</v>
      </c>
    </row>
    <row r="22" spans="1:14" ht="15.75" thickBot="1" x14ac:dyDescent="0.3">
      <c r="A22" s="175" t="s">
        <v>179</v>
      </c>
      <c r="B22" s="249"/>
      <c r="C22" s="171">
        <f>(100000000/(60*E73))*168</f>
        <v>54137.664346481055</v>
      </c>
      <c r="D22" s="249"/>
      <c r="E22" s="171">
        <f>(89000000/(60*E73))*168</f>
        <v>48182.521268368131</v>
      </c>
      <c r="F22" s="249"/>
      <c r="G22" s="171">
        <f>(100000000/(60*E73))*168</f>
        <v>54137.664346481055</v>
      </c>
      <c r="H22" s="249"/>
      <c r="I22" s="171">
        <f>(89000000/(60*E73))*168</f>
        <v>48182.521268368131</v>
      </c>
      <c r="J22" s="249"/>
      <c r="K22" s="171">
        <f>(145000000/(60*E73))*168</f>
        <v>78499.613302397527</v>
      </c>
      <c r="L22" s="252"/>
      <c r="M22" s="171">
        <f t="shared" si="1"/>
        <v>56627.996906419183</v>
      </c>
    </row>
    <row r="23" spans="1:14" ht="15.75" thickBot="1" x14ac:dyDescent="0.3">
      <c r="M23" s="290">
        <f>SUM(M16:M22)</f>
        <v>279574.3232791957</v>
      </c>
      <c r="N23" s="104">
        <f>M23/19</f>
        <v>14714.438067326089</v>
      </c>
    </row>
    <row r="24" spans="1:14" ht="15.75" thickBot="1" x14ac:dyDescent="0.3"/>
    <row r="25" spans="1:14" ht="15.75" thickBot="1" x14ac:dyDescent="0.3">
      <c r="L25" s="204" t="s">
        <v>18</v>
      </c>
      <c r="M25" s="205"/>
    </row>
    <row r="26" spans="1:14" ht="15.75" thickBot="1" x14ac:dyDescent="0.3">
      <c r="B26" s="223" t="s">
        <v>188</v>
      </c>
      <c r="C26" s="242"/>
      <c r="D26" s="223" t="s">
        <v>188</v>
      </c>
      <c r="E26" s="242"/>
      <c r="F26" s="223" t="s">
        <v>188</v>
      </c>
      <c r="G26" s="242"/>
      <c r="H26" s="223" t="s">
        <v>188</v>
      </c>
      <c r="I26" s="242"/>
      <c r="J26" s="223" t="s">
        <v>188</v>
      </c>
      <c r="K26" s="242"/>
      <c r="L26" s="223" t="s">
        <v>188</v>
      </c>
      <c r="M26" s="242"/>
    </row>
    <row r="27" spans="1:14" x14ac:dyDescent="0.25">
      <c r="A27" s="172" t="s">
        <v>172</v>
      </c>
      <c r="B27" s="247" t="s">
        <v>183</v>
      </c>
      <c r="C27" s="165">
        <v>125000</v>
      </c>
      <c r="D27" s="247" t="s">
        <v>183</v>
      </c>
      <c r="E27" s="165">
        <v>120000</v>
      </c>
      <c r="F27" s="247" t="s">
        <v>183</v>
      </c>
      <c r="G27" s="165">
        <v>115000</v>
      </c>
      <c r="H27" s="247" t="s">
        <v>183</v>
      </c>
      <c r="I27" s="165">
        <v>120000</v>
      </c>
      <c r="J27" s="247" t="s">
        <v>183</v>
      </c>
      <c r="K27" s="165">
        <v>110000</v>
      </c>
      <c r="L27" s="247" t="s">
        <v>183</v>
      </c>
      <c r="M27" s="166">
        <f>AVERAGE(C27,E27,G27,I27,K27)</f>
        <v>118000</v>
      </c>
    </row>
    <row r="28" spans="1:14" x14ac:dyDescent="0.25">
      <c r="A28" s="173" t="s">
        <v>174</v>
      </c>
      <c r="B28" s="248"/>
      <c r="C28" s="167">
        <v>118000</v>
      </c>
      <c r="D28" s="248"/>
      <c r="E28" s="167">
        <v>120000</v>
      </c>
      <c r="F28" s="248"/>
      <c r="G28" s="167">
        <v>120000</v>
      </c>
      <c r="H28" s="248"/>
      <c r="I28" s="167">
        <v>125000</v>
      </c>
      <c r="J28" s="248"/>
      <c r="K28" s="167">
        <v>115000</v>
      </c>
      <c r="L28" s="248"/>
      <c r="M28" s="168">
        <f t="shared" ref="M28:M33" si="2">AVERAGE(C28,E28,G28,I28,K28)</f>
        <v>119600</v>
      </c>
    </row>
    <row r="29" spans="1:14" x14ac:dyDescent="0.25">
      <c r="A29" s="173" t="s">
        <v>175</v>
      </c>
      <c r="B29" s="248"/>
      <c r="C29" s="167">
        <v>14000</v>
      </c>
      <c r="D29" s="248"/>
      <c r="E29" s="167">
        <v>14000</v>
      </c>
      <c r="F29" s="248"/>
      <c r="G29" s="167">
        <v>14000</v>
      </c>
      <c r="H29" s="248"/>
      <c r="I29" s="167">
        <v>14000</v>
      </c>
      <c r="J29" s="248"/>
      <c r="K29" s="167">
        <v>14000</v>
      </c>
      <c r="L29" s="248"/>
      <c r="M29" s="168">
        <f t="shared" si="2"/>
        <v>14000</v>
      </c>
    </row>
    <row r="30" spans="1:14" ht="15.75" thickBot="1" x14ac:dyDescent="0.3">
      <c r="A30" s="175" t="s">
        <v>176</v>
      </c>
      <c r="B30" s="248"/>
      <c r="C30" s="170">
        <f>(850000/E73)*252</f>
        <v>41415.313225058002</v>
      </c>
      <c r="D30" s="248"/>
      <c r="E30" s="170">
        <f>(750000/E73)*252</f>
        <v>36542.923433874712</v>
      </c>
      <c r="F30" s="248"/>
      <c r="G30" s="170">
        <f>(700000/5744)*252</f>
        <v>30710.306406685238</v>
      </c>
      <c r="H30" s="248"/>
      <c r="I30" s="170">
        <f>(800000/E73)*252</f>
        <v>38979.118329466357</v>
      </c>
      <c r="J30" s="248"/>
      <c r="K30" s="170">
        <f>(600000/5744)*252</f>
        <v>26323.119777158776</v>
      </c>
      <c r="L30" s="248"/>
      <c r="M30" s="171">
        <f t="shared" si="2"/>
        <v>34794.156234448616</v>
      </c>
    </row>
    <row r="31" spans="1:14" x14ac:dyDescent="0.25">
      <c r="A31" s="172" t="s">
        <v>177</v>
      </c>
      <c r="B31" s="248"/>
      <c r="C31" s="166">
        <f>(980000/E73)*252</f>
        <v>47749.419953596283</v>
      </c>
      <c r="D31" s="248"/>
      <c r="E31" s="166">
        <f>(980000/E73)*252</f>
        <v>47749.419953596283</v>
      </c>
      <c r="F31" s="248"/>
      <c r="G31" s="166">
        <v>0</v>
      </c>
      <c r="H31" s="248"/>
      <c r="I31" s="166">
        <f>(980000/E73)*252</f>
        <v>47749.419953596283</v>
      </c>
      <c r="J31" s="248"/>
      <c r="K31" s="166">
        <v>0</v>
      </c>
      <c r="L31" s="248"/>
      <c r="M31" s="168">
        <f t="shared" si="2"/>
        <v>28649.651972157772</v>
      </c>
    </row>
    <row r="32" spans="1:14" x14ac:dyDescent="0.25">
      <c r="A32" s="173" t="s">
        <v>178</v>
      </c>
      <c r="B32" s="248"/>
      <c r="C32" s="174">
        <f>(2500000/(12*E73))*252</f>
        <v>10150.812064965197</v>
      </c>
      <c r="D32" s="248"/>
      <c r="E32" s="174">
        <f>(((2500000/12)+542000)/E73)*252</f>
        <v>36559.164733178652</v>
      </c>
      <c r="F32" s="248"/>
      <c r="G32" s="174">
        <f>(2500000/(12*5744))*252</f>
        <v>9139.9721448467972</v>
      </c>
      <c r="H32" s="248"/>
      <c r="I32" s="174">
        <f>(((2500000/12)+542000)/E73)*252</f>
        <v>36559.164733178652</v>
      </c>
      <c r="J32" s="248"/>
      <c r="K32" s="174">
        <f>(2500000/(12*5744))*252</f>
        <v>9139.9721448467972</v>
      </c>
      <c r="L32" s="248"/>
      <c r="M32" s="168">
        <f t="shared" si="2"/>
        <v>20309.817164203221</v>
      </c>
    </row>
    <row r="33" spans="1:14" ht="15.75" thickBot="1" x14ac:dyDescent="0.3">
      <c r="A33" s="175" t="s">
        <v>179</v>
      </c>
      <c r="B33" s="249"/>
      <c r="C33" s="171">
        <f>(100000000/(60*E73))*252</f>
        <v>81206.496519721579</v>
      </c>
      <c r="D33" s="249"/>
      <c r="E33" s="171">
        <f>(89000000/(60*E73))*252</f>
        <v>72273.781902552204</v>
      </c>
      <c r="F33" s="249"/>
      <c r="G33" s="171">
        <f>(100000000/(60*5744))*252</f>
        <v>73119.777158774377</v>
      </c>
      <c r="H33" s="249"/>
      <c r="I33" s="171">
        <f>(89000000/(60*E73))*252</f>
        <v>72273.781902552204</v>
      </c>
      <c r="J33" s="249"/>
      <c r="K33" s="171">
        <f>(145000000/(60*5744))*252</f>
        <v>106023.67688022285</v>
      </c>
      <c r="L33" s="249"/>
      <c r="M33" s="171">
        <f t="shared" si="2"/>
        <v>80979.502872764642</v>
      </c>
    </row>
    <row r="34" spans="1:14" ht="15.75" thickBot="1" x14ac:dyDescent="0.3">
      <c r="G34" s="176"/>
      <c r="M34" s="104">
        <f>SUM(M27:M33)</f>
        <v>416333.12824357423</v>
      </c>
      <c r="N34" s="290">
        <f>M34/19</f>
        <v>21912.26990755654</v>
      </c>
    </row>
    <row r="35" spans="1:14" x14ac:dyDescent="0.25">
      <c r="G35" s="176"/>
      <c r="M35" s="69"/>
      <c r="N35" s="69"/>
    </row>
    <row r="36" spans="1:14" ht="15.75" thickBot="1" x14ac:dyDescent="0.3"/>
    <row r="37" spans="1:14" ht="15.75" thickBot="1" x14ac:dyDescent="0.3">
      <c r="L37" s="223" t="s">
        <v>18</v>
      </c>
      <c r="M37" s="242"/>
    </row>
    <row r="38" spans="1:14" ht="15.75" thickBot="1" x14ac:dyDescent="0.3">
      <c r="B38" s="223" t="s">
        <v>202</v>
      </c>
      <c r="C38" s="242"/>
      <c r="D38" s="223" t="s">
        <v>202</v>
      </c>
      <c r="E38" s="242"/>
      <c r="F38" s="223" t="s">
        <v>202</v>
      </c>
      <c r="G38" s="242"/>
      <c r="H38" s="223" t="s">
        <v>202</v>
      </c>
      <c r="I38" s="242"/>
      <c r="J38" s="223" t="s">
        <v>202</v>
      </c>
      <c r="K38" s="242"/>
      <c r="L38" s="223" t="s">
        <v>202</v>
      </c>
      <c r="M38" s="242"/>
    </row>
    <row r="39" spans="1:14" x14ac:dyDescent="0.25">
      <c r="A39" s="172" t="s">
        <v>172</v>
      </c>
      <c r="B39" s="247" t="s">
        <v>203</v>
      </c>
      <c r="C39" s="165">
        <v>85000</v>
      </c>
      <c r="D39" s="247" t="s">
        <v>203</v>
      </c>
      <c r="E39" s="165">
        <v>82000</v>
      </c>
      <c r="F39" s="247" t="s">
        <v>203</v>
      </c>
      <c r="G39" s="165">
        <v>78000</v>
      </c>
      <c r="H39" s="247" t="s">
        <v>203</v>
      </c>
      <c r="I39" s="165">
        <v>82000</v>
      </c>
      <c r="J39" s="247" t="s">
        <v>203</v>
      </c>
      <c r="K39" s="165">
        <v>75000</v>
      </c>
      <c r="L39" s="247" t="s">
        <v>203</v>
      </c>
      <c r="M39" s="166">
        <f>AVERAGE(C39,E39,G39,I39,K39)</f>
        <v>80400</v>
      </c>
    </row>
    <row r="40" spans="1:14" x14ac:dyDescent="0.25">
      <c r="A40" s="173" t="s">
        <v>174</v>
      </c>
      <c r="B40" s="248"/>
      <c r="C40" s="167">
        <v>0</v>
      </c>
      <c r="D40" s="248"/>
      <c r="E40" s="167">
        <v>0</v>
      </c>
      <c r="F40" s="248"/>
      <c r="G40" s="167">
        <v>0</v>
      </c>
      <c r="H40" s="248"/>
      <c r="I40" s="167">
        <v>0</v>
      </c>
      <c r="J40" s="248"/>
      <c r="K40" s="167">
        <v>0</v>
      </c>
      <c r="L40" s="248"/>
      <c r="M40" s="168">
        <f t="shared" ref="M40:M45" si="3">AVERAGE(C40,E40,G40,I40,K40)</f>
        <v>0</v>
      </c>
    </row>
    <row r="41" spans="1:14" x14ac:dyDescent="0.25">
      <c r="A41" s="173" t="s">
        <v>175</v>
      </c>
      <c r="B41" s="248"/>
      <c r="C41" s="167">
        <v>14000</v>
      </c>
      <c r="D41" s="248"/>
      <c r="E41" s="167">
        <v>14000</v>
      </c>
      <c r="F41" s="248"/>
      <c r="G41" s="167">
        <v>14000</v>
      </c>
      <c r="H41" s="248"/>
      <c r="I41" s="167">
        <v>14000</v>
      </c>
      <c r="J41" s="248"/>
      <c r="K41" s="167">
        <v>14000</v>
      </c>
      <c r="L41" s="248"/>
      <c r="M41" s="168">
        <f t="shared" si="3"/>
        <v>14000</v>
      </c>
    </row>
    <row r="42" spans="1:14" ht="15.75" thickBot="1" x14ac:dyDescent="0.3">
      <c r="A42" s="175" t="s">
        <v>176</v>
      </c>
      <c r="B42" s="248"/>
      <c r="C42" s="170">
        <f>(850000/E73)*171</f>
        <v>28103.248259860789</v>
      </c>
      <c r="D42" s="248"/>
      <c r="E42" s="170">
        <f>(750000/E73)*171</f>
        <v>24796.983758700695</v>
      </c>
      <c r="F42" s="248"/>
      <c r="G42" s="170">
        <f>(700000/5744)*171</f>
        <v>20839.136490250698</v>
      </c>
      <c r="H42" s="248"/>
      <c r="I42" s="170">
        <f>(800000/E73)*171</f>
        <v>26450.11600928074</v>
      </c>
      <c r="J42" s="248"/>
      <c r="K42" s="170">
        <f>(600000/5744)*171</f>
        <v>17862.116991643456</v>
      </c>
      <c r="L42" s="248"/>
      <c r="M42" s="171">
        <f t="shared" si="3"/>
        <v>23610.320301947278</v>
      </c>
    </row>
    <row r="43" spans="1:14" x14ac:dyDescent="0.25">
      <c r="A43" s="172" t="s">
        <v>177</v>
      </c>
      <c r="B43" s="248"/>
      <c r="C43" s="166">
        <f>(980000/E73)*171</f>
        <v>32401.392111368907</v>
      </c>
      <c r="D43" s="248"/>
      <c r="E43" s="166">
        <f>(980000/E73)*171</f>
        <v>32401.392111368907</v>
      </c>
      <c r="F43" s="248"/>
      <c r="G43" s="166">
        <v>0</v>
      </c>
      <c r="H43" s="248"/>
      <c r="I43" s="166">
        <f>(980000/E73)*171</f>
        <v>32401.392111368907</v>
      </c>
      <c r="J43" s="248"/>
      <c r="K43" s="166">
        <v>0</v>
      </c>
      <c r="L43" s="248"/>
      <c r="M43" s="168">
        <f t="shared" si="3"/>
        <v>19440.835266821341</v>
      </c>
    </row>
    <row r="44" spans="1:14" x14ac:dyDescent="0.25">
      <c r="A44" s="173" t="s">
        <v>178</v>
      </c>
      <c r="B44" s="248"/>
      <c r="C44" s="174">
        <f>(2500000/(12*E73))*171</f>
        <v>6888.0510440835269</v>
      </c>
      <c r="D44" s="248"/>
      <c r="E44" s="174">
        <f>(((2500000/12)+542000)/E73)*171</f>
        <v>24808.004640371229</v>
      </c>
      <c r="F44" s="248"/>
      <c r="G44" s="168">
        <f>(2500000/(12*5744))*171</f>
        <v>6202.1239554317544</v>
      </c>
      <c r="H44" s="248"/>
      <c r="I44" s="168">
        <f>(((2500000/12)+542000)/E73)*171</f>
        <v>24808.004640371229</v>
      </c>
      <c r="J44" s="248"/>
      <c r="K44" s="168">
        <f>(2500000/(12*5744))*171</f>
        <v>6202.1239554317544</v>
      </c>
      <c r="L44" s="248"/>
      <c r="M44" s="168">
        <f t="shared" si="3"/>
        <v>13781.6616471379</v>
      </c>
    </row>
    <row r="45" spans="1:14" ht="15.75" thickBot="1" x14ac:dyDescent="0.3">
      <c r="A45" s="175" t="s">
        <v>179</v>
      </c>
      <c r="B45" s="249"/>
      <c r="C45" s="171">
        <f>(100000000/(60*E73))*171</f>
        <v>55104.408352668215</v>
      </c>
      <c r="D45" s="249"/>
      <c r="E45" s="171">
        <f>(89000000/(60*E73))*171</f>
        <v>49042.923433874705</v>
      </c>
      <c r="F45" s="249"/>
      <c r="G45" s="171">
        <f>(100000000/(60*5744))*171</f>
        <v>49616.991643454036</v>
      </c>
      <c r="H45" s="249"/>
      <c r="I45" s="171">
        <f>(89000000/(60*E73))*171</f>
        <v>49042.923433874705</v>
      </c>
      <c r="J45" s="249"/>
      <c r="K45" s="171">
        <f>(145000000/(60*5744))*171</f>
        <v>71944.637883008356</v>
      </c>
      <c r="L45" s="249"/>
      <c r="M45" s="171">
        <f t="shared" si="3"/>
        <v>54950.376949376005</v>
      </c>
    </row>
    <row r="46" spans="1:14" ht="15.75" thickBot="1" x14ac:dyDescent="0.3">
      <c r="A46" s="177"/>
      <c r="B46" s="43"/>
      <c r="C46" s="91"/>
      <c r="D46" s="43"/>
      <c r="E46" s="91"/>
      <c r="F46" s="43"/>
      <c r="G46" s="91"/>
      <c r="H46" s="43"/>
      <c r="I46" s="91"/>
      <c r="J46" s="43"/>
      <c r="K46" s="91"/>
      <c r="L46" s="43"/>
      <c r="M46" s="289">
        <f>SUM(M39:M45)</f>
        <v>206183.19416528253</v>
      </c>
      <c r="N46" s="290">
        <f>M46/19</f>
        <v>10851.74706133066</v>
      </c>
    </row>
    <row r="48" spans="1:14" ht="15.75" thickBot="1" x14ac:dyDescent="0.3"/>
    <row r="49" spans="1:14" ht="15.75" thickBot="1" x14ac:dyDescent="0.3">
      <c r="L49" s="223" t="s">
        <v>18</v>
      </c>
      <c r="M49" s="242"/>
    </row>
    <row r="50" spans="1:14" ht="15.75" thickBot="1" x14ac:dyDescent="0.3">
      <c r="B50" s="223" t="s">
        <v>205</v>
      </c>
      <c r="C50" s="242"/>
      <c r="D50" s="223" t="s">
        <v>205</v>
      </c>
      <c r="E50" s="242"/>
      <c r="F50" s="223" t="s">
        <v>205</v>
      </c>
      <c r="G50" s="242"/>
      <c r="H50" s="223" t="s">
        <v>205</v>
      </c>
      <c r="I50" s="242"/>
      <c r="J50" s="223" t="s">
        <v>205</v>
      </c>
      <c r="K50" s="242"/>
      <c r="L50" s="223" t="s">
        <v>205</v>
      </c>
      <c r="M50" s="242"/>
    </row>
    <row r="51" spans="1:14" x14ac:dyDescent="0.25">
      <c r="A51" s="172" t="s">
        <v>172</v>
      </c>
      <c r="B51" s="247" t="s">
        <v>185</v>
      </c>
      <c r="C51" s="165">
        <v>60000</v>
      </c>
      <c r="D51" s="247" t="s">
        <v>185</v>
      </c>
      <c r="E51" s="165">
        <v>65000</v>
      </c>
      <c r="F51" s="247" t="s">
        <v>185</v>
      </c>
      <c r="G51" s="165">
        <v>60000</v>
      </c>
      <c r="H51" s="247" t="s">
        <v>185</v>
      </c>
      <c r="I51" s="165">
        <v>70000</v>
      </c>
      <c r="J51" s="247" t="s">
        <v>185</v>
      </c>
      <c r="K51" s="165">
        <v>60000</v>
      </c>
      <c r="L51" s="250" t="s">
        <v>185</v>
      </c>
      <c r="M51" s="166">
        <f>AVERAGE(C51,E51,G51,I51,K51)</f>
        <v>63000</v>
      </c>
    </row>
    <row r="52" spans="1:14" x14ac:dyDescent="0.25">
      <c r="A52" s="173" t="s">
        <v>174</v>
      </c>
      <c r="B52" s="248"/>
      <c r="C52" s="167">
        <v>95000</v>
      </c>
      <c r="D52" s="248"/>
      <c r="E52" s="167">
        <v>80000</v>
      </c>
      <c r="F52" s="248"/>
      <c r="G52" s="167">
        <v>95000</v>
      </c>
      <c r="H52" s="248"/>
      <c r="I52" s="167">
        <v>95000</v>
      </c>
      <c r="J52" s="248"/>
      <c r="K52" s="167">
        <v>90000</v>
      </c>
      <c r="L52" s="251"/>
      <c r="M52" s="168">
        <f t="shared" ref="M52:M57" si="4">AVERAGE(C52,E52,G52,I52,K52)</f>
        <v>91000</v>
      </c>
    </row>
    <row r="53" spans="1:14" x14ac:dyDescent="0.25">
      <c r="A53" s="173" t="s">
        <v>175</v>
      </c>
      <c r="B53" s="248"/>
      <c r="C53" s="167">
        <v>14000</v>
      </c>
      <c r="D53" s="248"/>
      <c r="E53" s="167">
        <v>14000</v>
      </c>
      <c r="F53" s="248"/>
      <c r="G53" s="167">
        <v>14000</v>
      </c>
      <c r="H53" s="248"/>
      <c r="I53" s="167">
        <v>14000</v>
      </c>
      <c r="J53" s="248"/>
      <c r="K53" s="167">
        <v>14000</v>
      </c>
      <c r="L53" s="251"/>
      <c r="M53" s="168">
        <f t="shared" si="4"/>
        <v>14000</v>
      </c>
    </row>
    <row r="54" spans="1:14" ht="15.75" thickBot="1" x14ac:dyDescent="0.3">
      <c r="A54" s="175" t="s">
        <v>176</v>
      </c>
      <c r="B54" s="248"/>
      <c r="C54" s="170">
        <f>(850000/E73)*143.6</f>
        <v>23600.154679040988</v>
      </c>
      <c r="D54" s="248"/>
      <c r="E54" s="170">
        <f>(750000/E73)*143.6</f>
        <v>20823.66589327146</v>
      </c>
      <c r="F54" s="248"/>
      <c r="G54" s="170">
        <f>(700000/E73)*143.6</f>
        <v>19435.421500386696</v>
      </c>
      <c r="H54" s="248"/>
      <c r="I54" s="170">
        <f>(800000/E73)*143.6</f>
        <v>22211.910286156224</v>
      </c>
      <c r="J54" s="248"/>
      <c r="K54" s="170">
        <f>(600000/E73)*143.6</f>
        <v>16658.932714617167</v>
      </c>
      <c r="L54" s="251"/>
      <c r="M54" s="171">
        <f t="shared" si="4"/>
        <v>20546.017014694509</v>
      </c>
    </row>
    <row r="55" spans="1:14" x14ac:dyDescent="0.25">
      <c r="A55" s="172" t="s">
        <v>177</v>
      </c>
      <c r="B55" s="248"/>
      <c r="C55" s="166">
        <f>(980000/E73)*143.6</f>
        <v>27209.590100541376</v>
      </c>
      <c r="D55" s="248"/>
      <c r="E55" s="166">
        <f>(980000/E73)*143.6</f>
        <v>27209.590100541376</v>
      </c>
      <c r="F55" s="248"/>
      <c r="G55" s="166">
        <v>0</v>
      </c>
      <c r="H55" s="248"/>
      <c r="I55" s="166">
        <f>(980000/E73)*143.6</f>
        <v>27209.590100541376</v>
      </c>
      <c r="J55" s="248"/>
      <c r="K55" s="166">
        <v>0</v>
      </c>
      <c r="L55" s="251"/>
      <c r="M55" s="168">
        <f t="shared" si="4"/>
        <v>16325.754060324825</v>
      </c>
    </row>
    <row r="56" spans="1:14" x14ac:dyDescent="0.25">
      <c r="A56" s="173" t="s">
        <v>178</v>
      </c>
      <c r="B56" s="248"/>
      <c r="C56" s="174">
        <f>(2500000/(12*E73))*143.6</f>
        <v>5784.3516370198504</v>
      </c>
      <c r="D56" s="248"/>
      <c r="E56" s="174">
        <f>(((2500000/12)+542000)/E73)*143.6</f>
        <v>20832.92085589069</v>
      </c>
      <c r="F56" s="248"/>
      <c r="G56" s="174">
        <f>(2500000/(12*E73))*143.6</f>
        <v>5784.3516370198504</v>
      </c>
      <c r="H56" s="248"/>
      <c r="I56" s="174">
        <f>(((2500000/12)+542000)/E73)*143.6</f>
        <v>20832.92085589069</v>
      </c>
      <c r="J56" s="248"/>
      <c r="K56" s="174">
        <f>(2500000/(12*E73))*143.6</f>
        <v>5784.3516370198504</v>
      </c>
      <c r="L56" s="251"/>
      <c r="M56" s="168">
        <f t="shared" si="4"/>
        <v>11803.779324568186</v>
      </c>
    </row>
    <row r="57" spans="1:14" ht="15.75" thickBot="1" x14ac:dyDescent="0.3">
      <c r="A57" s="175" t="s">
        <v>179</v>
      </c>
      <c r="B57" s="249"/>
      <c r="C57" s="171">
        <f>(100000000/(60*E73))*143.6</f>
        <v>46274.813096158803</v>
      </c>
      <c r="D57" s="249"/>
      <c r="E57" s="171">
        <f>(89000000/(60*E73))*143.6</f>
        <v>41184.583655581329</v>
      </c>
      <c r="F57" s="249"/>
      <c r="G57" s="171">
        <f>(100000000/(60*E73))*143.6</f>
        <v>46274.813096158803</v>
      </c>
      <c r="H57" s="249"/>
      <c r="I57" s="171">
        <f>(89000000/(60*E73))*143.6</f>
        <v>41184.583655581329</v>
      </c>
      <c r="J57" s="249"/>
      <c r="K57" s="171">
        <f>(145000000/(60*E73))*143.6</f>
        <v>67098.478989430267</v>
      </c>
      <c r="L57" s="252"/>
      <c r="M57" s="171">
        <f t="shared" si="4"/>
        <v>48403.454498582105</v>
      </c>
    </row>
    <row r="58" spans="1:14" ht="15.75" thickBot="1" x14ac:dyDescent="0.3">
      <c r="C58" s="176"/>
      <c r="M58" s="104">
        <f>SUM(M51:M57)</f>
        <v>265079.00489816966</v>
      </c>
      <c r="N58" s="290">
        <f>M58/19</f>
        <v>13951.526573587877</v>
      </c>
    </row>
    <row r="59" spans="1:14" x14ac:dyDescent="0.25">
      <c r="C59" s="176"/>
    </row>
    <row r="60" spans="1:14" ht="15.75" thickBot="1" x14ac:dyDescent="0.3"/>
    <row r="61" spans="1:14" ht="15.75" thickBot="1" x14ac:dyDescent="0.3">
      <c r="A61" s="177"/>
      <c r="B61" s="43"/>
      <c r="C61" s="91"/>
      <c r="D61" s="43"/>
      <c r="E61" s="91"/>
      <c r="F61" s="43"/>
      <c r="G61" s="91"/>
      <c r="H61" s="43"/>
      <c r="I61" s="91"/>
      <c r="J61" s="43"/>
      <c r="K61" s="91"/>
      <c r="L61" s="223" t="s">
        <v>18</v>
      </c>
      <c r="M61" s="242"/>
      <c r="N61" s="69"/>
    </row>
    <row r="62" spans="1:14" ht="15.75" thickBot="1" x14ac:dyDescent="0.3">
      <c r="B62" s="223" t="s">
        <v>154</v>
      </c>
      <c r="C62" s="242"/>
      <c r="D62" s="223" t="s">
        <v>154</v>
      </c>
      <c r="E62" s="242"/>
      <c r="F62" s="223" t="s">
        <v>154</v>
      </c>
      <c r="G62" s="242"/>
      <c r="H62" s="223" t="s">
        <v>154</v>
      </c>
      <c r="I62" s="242"/>
      <c r="J62" s="223" t="s">
        <v>154</v>
      </c>
      <c r="K62" s="242"/>
      <c r="L62" s="223" t="s">
        <v>154</v>
      </c>
      <c r="M62" s="242"/>
      <c r="N62" s="179"/>
    </row>
    <row r="63" spans="1:14" x14ac:dyDescent="0.25">
      <c r="A63" s="172" t="s">
        <v>172</v>
      </c>
      <c r="B63" s="247" t="s">
        <v>182</v>
      </c>
      <c r="C63" s="165">
        <v>30000</v>
      </c>
      <c r="D63" s="247" t="s">
        <v>182</v>
      </c>
      <c r="E63" s="165">
        <v>25000</v>
      </c>
      <c r="F63" s="247" t="s">
        <v>182</v>
      </c>
      <c r="G63" s="165">
        <v>31000</v>
      </c>
      <c r="H63" s="247" t="s">
        <v>182</v>
      </c>
      <c r="I63" s="165">
        <v>28000</v>
      </c>
      <c r="J63" s="247" t="s">
        <v>182</v>
      </c>
      <c r="K63" s="165">
        <v>30000</v>
      </c>
      <c r="L63" s="247" t="s">
        <v>182</v>
      </c>
      <c r="M63" s="166">
        <f>AVERAGE(C63,E63,G63,I63,K63)</f>
        <v>28800</v>
      </c>
      <c r="N63" s="178"/>
    </row>
    <row r="64" spans="1:14" x14ac:dyDescent="0.25">
      <c r="A64" s="173" t="s">
        <v>174</v>
      </c>
      <c r="B64" s="248"/>
      <c r="C64" s="167">
        <v>0</v>
      </c>
      <c r="D64" s="248"/>
      <c r="E64" s="167">
        <v>15000</v>
      </c>
      <c r="F64" s="248"/>
      <c r="G64" s="167">
        <v>12000</v>
      </c>
      <c r="H64" s="248"/>
      <c r="I64" s="167">
        <v>10000</v>
      </c>
      <c r="J64" s="248"/>
      <c r="K64" s="167">
        <v>10000</v>
      </c>
      <c r="L64" s="248"/>
      <c r="M64" s="168">
        <f t="shared" ref="M64:M69" si="5">AVERAGE(C64,E64,G64,I64,K64)</f>
        <v>9400</v>
      </c>
      <c r="N64" s="178"/>
    </row>
    <row r="65" spans="1:14" x14ac:dyDescent="0.25">
      <c r="A65" s="173" t="s">
        <v>175</v>
      </c>
      <c r="B65" s="248"/>
      <c r="C65" s="167">
        <v>0</v>
      </c>
      <c r="D65" s="248"/>
      <c r="E65" s="167">
        <v>0</v>
      </c>
      <c r="F65" s="248"/>
      <c r="G65" s="167">
        <v>0</v>
      </c>
      <c r="H65" s="248"/>
      <c r="I65" s="167">
        <v>0</v>
      </c>
      <c r="J65" s="248"/>
      <c r="K65" s="167">
        <v>0</v>
      </c>
      <c r="L65" s="248"/>
      <c r="M65" s="168">
        <f t="shared" si="5"/>
        <v>0</v>
      </c>
      <c r="N65" s="178"/>
    </row>
    <row r="66" spans="1:14" ht="15.75" thickBot="1" x14ac:dyDescent="0.3">
      <c r="A66" s="175" t="s">
        <v>176</v>
      </c>
      <c r="B66" s="248"/>
      <c r="C66" s="170">
        <f>(850000/E73)*75</f>
        <v>12325.986078886312</v>
      </c>
      <c r="D66" s="248"/>
      <c r="E66" s="170">
        <f>(750000/E73)*75</f>
        <v>10875.870069605568</v>
      </c>
      <c r="F66" s="248"/>
      <c r="G66" s="170">
        <f>(700000/E73)*75</f>
        <v>10150.812064965197</v>
      </c>
      <c r="H66" s="248"/>
      <c r="I66" s="170">
        <f>(800000/E73)*75</f>
        <v>11600.92807424594</v>
      </c>
      <c r="J66" s="248"/>
      <c r="K66" s="170">
        <f>(600000/E73)*75</f>
        <v>8700.6960556844551</v>
      </c>
      <c r="L66" s="248"/>
      <c r="M66" s="171">
        <f t="shared" si="5"/>
        <v>10730.858468677494</v>
      </c>
      <c r="N66" s="178"/>
    </row>
    <row r="67" spans="1:14" x14ac:dyDescent="0.25">
      <c r="A67" s="172" t="s">
        <v>177</v>
      </c>
      <c r="B67" s="248"/>
      <c r="C67" s="166">
        <f>(980000/E73)*75</f>
        <v>14211.136890951275</v>
      </c>
      <c r="D67" s="248"/>
      <c r="E67" s="166">
        <v>0</v>
      </c>
      <c r="F67" s="248"/>
      <c r="G67" s="166">
        <v>0</v>
      </c>
      <c r="H67" s="248"/>
      <c r="I67" s="166">
        <f>(980000/E73)*75</f>
        <v>14211.136890951275</v>
      </c>
      <c r="J67" s="248"/>
      <c r="K67" s="166">
        <v>0</v>
      </c>
      <c r="L67" s="248"/>
      <c r="M67" s="168">
        <f t="shared" si="5"/>
        <v>5684.4547563805099</v>
      </c>
      <c r="N67" s="178"/>
    </row>
    <row r="68" spans="1:14" x14ac:dyDescent="0.25">
      <c r="A68" s="173" t="s">
        <v>178</v>
      </c>
      <c r="B68" s="248"/>
      <c r="C68" s="174">
        <f>(2500000/(12*E73))*75</f>
        <v>3021.0750193348804</v>
      </c>
      <c r="D68" s="248"/>
      <c r="E68" s="174">
        <f>(((2500000/12)+542000)/E73)*75</f>
        <v>10880.703789636504</v>
      </c>
      <c r="F68" s="248"/>
      <c r="G68" s="168">
        <f>(2500000/(12*E73))*75</f>
        <v>3021.0750193348804</v>
      </c>
      <c r="H68" s="248"/>
      <c r="I68" s="168">
        <f>(((2500000/12)+542000)/E73)*75</f>
        <v>10880.703789636504</v>
      </c>
      <c r="J68" s="248"/>
      <c r="K68" s="168">
        <f>(2500000/(12*E73))*75</f>
        <v>3021.0750193348804</v>
      </c>
      <c r="L68" s="248"/>
      <c r="M68" s="168">
        <f t="shared" si="5"/>
        <v>6164.9265274555291</v>
      </c>
      <c r="N68" s="178"/>
    </row>
    <row r="69" spans="1:14" ht="15.75" thickBot="1" x14ac:dyDescent="0.3">
      <c r="A69" s="175" t="s">
        <v>179</v>
      </c>
      <c r="B69" s="249"/>
      <c r="C69" s="171">
        <f>(100000000/(60*E73))*75</f>
        <v>24168.600154679043</v>
      </c>
      <c r="D69" s="249"/>
      <c r="E69" s="171">
        <f>(89000000/(60*E73))*75</f>
        <v>21510.054137664345</v>
      </c>
      <c r="F69" s="249"/>
      <c r="G69" s="171">
        <f>(100000000/(60*E73))*75</f>
        <v>24168.600154679043</v>
      </c>
      <c r="H69" s="249"/>
      <c r="I69" s="171">
        <f>(89000000/(60*E73))*75</f>
        <v>21510.054137664345</v>
      </c>
      <c r="J69" s="249"/>
      <c r="K69" s="171">
        <f>(145000000/(60*E73))*75</f>
        <v>35044.470224284611</v>
      </c>
      <c r="L69" s="249"/>
      <c r="M69" s="171">
        <f t="shared" si="5"/>
        <v>25280.355761794279</v>
      </c>
      <c r="N69" s="178"/>
    </row>
    <row r="70" spans="1:14" ht="15.75" thickBot="1" x14ac:dyDescent="0.3">
      <c r="M70" s="289">
        <f>SUM(M63:M69)</f>
        <v>86060.595514307817</v>
      </c>
      <c r="N70" s="293">
        <f>M70/19</f>
        <v>4529.5050270688325</v>
      </c>
    </row>
    <row r="73" spans="1:14" x14ac:dyDescent="0.25">
      <c r="B73" t="s">
        <v>189</v>
      </c>
      <c r="E73" s="188">
        <v>5172</v>
      </c>
      <c r="F73" s="187" t="s">
        <v>190</v>
      </c>
    </row>
  </sheetData>
  <mergeCells count="77">
    <mergeCell ref="L63:L69"/>
    <mergeCell ref="B27:B33"/>
    <mergeCell ref="F27:F33"/>
    <mergeCell ref="H27:H33"/>
    <mergeCell ref="J27:J33"/>
    <mergeCell ref="L27:L33"/>
    <mergeCell ref="D27:D33"/>
    <mergeCell ref="B63:B69"/>
    <mergeCell ref="D63:D69"/>
    <mergeCell ref="F63:F69"/>
    <mergeCell ref="H63:H69"/>
    <mergeCell ref="J63:J69"/>
    <mergeCell ref="L26:M26"/>
    <mergeCell ref="L61:M61"/>
    <mergeCell ref="B62:C62"/>
    <mergeCell ref="D62:E62"/>
    <mergeCell ref="F62:G62"/>
    <mergeCell ref="H62:I62"/>
    <mergeCell ref="J62:K62"/>
    <mergeCell ref="L62:M62"/>
    <mergeCell ref="B26:C26"/>
    <mergeCell ref="D26:E26"/>
    <mergeCell ref="F26:G26"/>
    <mergeCell ref="H26:I26"/>
    <mergeCell ref="J26:K26"/>
    <mergeCell ref="L51:L57"/>
    <mergeCell ref="L49:M49"/>
    <mergeCell ref="B50:C50"/>
    <mergeCell ref="D50:E50"/>
    <mergeCell ref="F50:G50"/>
    <mergeCell ref="H50:I50"/>
    <mergeCell ref="J50:K50"/>
    <mergeCell ref="L50:M50"/>
    <mergeCell ref="B51:B57"/>
    <mergeCell ref="D51:D57"/>
    <mergeCell ref="F51:F57"/>
    <mergeCell ref="H51:H57"/>
    <mergeCell ref="J51:J57"/>
    <mergeCell ref="L16:L22"/>
    <mergeCell ref="L14:M14"/>
    <mergeCell ref="B15:C15"/>
    <mergeCell ref="D15:E15"/>
    <mergeCell ref="F15:G15"/>
    <mergeCell ref="H15:I15"/>
    <mergeCell ref="J15:K15"/>
    <mergeCell ref="L15:M15"/>
    <mergeCell ref="B16:B22"/>
    <mergeCell ref="D16:D22"/>
    <mergeCell ref="F16:F22"/>
    <mergeCell ref="H16:H22"/>
    <mergeCell ref="J16:J22"/>
    <mergeCell ref="L4:L10"/>
    <mergeCell ref="L2:M2"/>
    <mergeCell ref="B3:C3"/>
    <mergeCell ref="D3:E3"/>
    <mergeCell ref="F3:G3"/>
    <mergeCell ref="H3:I3"/>
    <mergeCell ref="J3:K3"/>
    <mergeCell ref="L3:M3"/>
    <mergeCell ref="B4:B10"/>
    <mergeCell ref="D4:D10"/>
    <mergeCell ref="F4:F10"/>
    <mergeCell ref="H4:H10"/>
    <mergeCell ref="J4:J10"/>
    <mergeCell ref="L37:M37"/>
    <mergeCell ref="B38:C38"/>
    <mergeCell ref="D38:E38"/>
    <mergeCell ref="F38:G38"/>
    <mergeCell ref="H38:I38"/>
    <mergeCell ref="J38:K38"/>
    <mergeCell ref="L38:M38"/>
    <mergeCell ref="L39:L45"/>
    <mergeCell ref="B39:B45"/>
    <mergeCell ref="D39:D45"/>
    <mergeCell ref="F39:F45"/>
    <mergeCell ref="H39:H45"/>
    <mergeCell ref="J39:J45"/>
  </mergeCells>
  <conditionalFormatting sqref="A16:A19">
    <cfRule type="duplicateValues" dxfId="10" priority="5"/>
  </conditionalFormatting>
  <conditionalFormatting sqref="A51:A54">
    <cfRule type="duplicateValues" dxfId="9" priority="6"/>
  </conditionalFormatting>
  <conditionalFormatting sqref="A27:A30">
    <cfRule type="duplicateValues" dxfId="8" priority="4"/>
  </conditionalFormatting>
  <conditionalFormatting sqref="A39:A42">
    <cfRule type="duplicateValues" dxfId="7" priority="3"/>
  </conditionalFormatting>
  <conditionalFormatting sqref="A63:A66">
    <cfRule type="duplicateValues" dxfId="6" priority="2"/>
  </conditionalFormatting>
  <conditionalFormatting sqref="A61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B7" workbookViewId="0">
      <selection activeCell="N11" sqref="N11"/>
    </sheetView>
  </sheetViews>
  <sheetFormatPr baseColWidth="10" defaultRowHeight="15" x14ac:dyDescent="0.25"/>
  <cols>
    <col min="1" max="1" width="20.140625" customWidth="1"/>
    <col min="2" max="13" width="13.42578125" customWidth="1"/>
  </cols>
  <sheetData>
    <row r="1" spans="1:14" ht="15.75" thickBot="1" x14ac:dyDescent="0.3"/>
    <row r="2" spans="1:14" ht="15.75" thickBot="1" x14ac:dyDescent="0.3">
      <c r="L2" s="223" t="s">
        <v>18</v>
      </c>
      <c r="M2" s="242"/>
    </row>
    <row r="3" spans="1:14" ht="15.75" thickBot="1" x14ac:dyDescent="0.3">
      <c r="B3" s="223" t="s">
        <v>153</v>
      </c>
      <c r="C3" s="242"/>
      <c r="D3" s="223" t="s">
        <v>153</v>
      </c>
      <c r="E3" s="242"/>
      <c r="F3" s="223" t="s">
        <v>153</v>
      </c>
      <c r="G3" s="242"/>
      <c r="H3" s="223" t="s">
        <v>153</v>
      </c>
      <c r="I3" s="242"/>
      <c r="J3" s="223" t="s">
        <v>153</v>
      </c>
      <c r="K3" s="242"/>
      <c r="L3" s="223" t="s">
        <v>153</v>
      </c>
      <c r="M3" s="242"/>
    </row>
    <row r="4" spans="1:14" x14ac:dyDescent="0.25">
      <c r="A4" s="172" t="s">
        <v>172</v>
      </c>
      <c r="B4" s="247" t="s">
        <v>186</v>
      </c>
      <c r="C4" s="165">
        <v>7000</v>
      </c>
      <c r="D4" s="247" t="s">
        <v>186</v>
      </c>
      <c r="E4" s="165">
        <v>8000</v>
      </c>
      <c r="F4" s="247" t="s">
        <v>186</v>
      </c>
      <c r="G4" s="165">
        <v>7000</v>
      </c>
      <c r="H4" s="247" t="s">
        <v>186</v>
      </c>
      <c r="I4" s="165">
        <v>7000</v>
      </c>
      <c r="J4" s="247" t="s">
        <v>186</v>
      </c>
      <c r="K4" s="165">
        <v>8000</v>
      </c>
      <c r="L4" s="250" t="s">
        <v>186</v>
      </c>
      <c r="M4" s="166">
        <f>AVERAGE(C4,E4,G4,I4,K4)</f>
        <v>7400</v>
      </c>
    </row>
    <row r="5" spans="1:14" x14ac:dyDescent="0.25">
      <c r="A5" s="173" t="s">
        <v>174</v>
      </c>
      <c r="B5" s="248"/>
      <c r="C5" s="167">
        <v>0</v>
      </c>
      <c r="D5" s="248"/>
      <c r="E5" s="167">
        <v>0</v>
      </c>
      <c r="F5" s="248"/>
      <c r="G5" s="167">
        <v>0</v>
      </c>
      <c r="H5" s="248"/>
      <c r="I5" s="167">
        <v>0</v>
      </c>
      <c r="J5" s="248"/>
      <c r="K5" s="167">
        <v>0</v>
      </c>
      <c r="L5" s="251"/>
      <c r="M5" s="168">
        <f t="shared" ref="M5:M10" si="0">AVERAGE(C5,E5,G5,I5,K5)</f>
        <v>0</v>
      </c>
    </row>
    <row r="6" spans="1:14" x14ac:dyDescent="0.25">
      <c r="A6" s="173" t="s">
        <v>175</v>
      </c>
      <c r="B6" s="248"/>
      <c r="C6" s="167">
        <v>0</v>
      </c>
      <c r="D6" s="248"/>
      <c r="E6" s="167">
        <v>0</v>
      </c>
      <c r="F6" s="248"/>
      <c r="G6" s="167">
        <v>0</v>
      </c>
      <c r="H6" s="248"/>
      <c r="I6" s="167">
        <v>0</v>
      </c>
      <c r="J6" s="248"/>
      <c r="K6" s="167">
        <v>0</v>
      </c>
      <c r="L6" s="251"/>
      <c r="M6" s="168">
        <f t="shared" si="0"/>
        <v>0</v>
      </c>
    </row>
    <row r="7" spans="1:14" ht="15.75" thickBot="1" x14ac:dyDescent="0.3">
      <c r="A7" s="175" t="s">
        <v>176</v>
      </c>
      <c r="B7" s="248"/>
      <c r="C7" s="170">
        <f>(500000/F25*22)</f>
        <v>1144.4028297960883</v>
      </c>
      <c r="D7" s="248"/>
      <c r="E7" s="170">
        <f>(700000/F25*22)</f>
        <v>1602.1639617145233</v>
      </c>
      <c r="F7" s="248"/>
      <c r="G7" s="170">
        <f>(600000/F25*22)</f>
        <v>1373.2833957553059</v>
      </c>
      <c r="H7" s="248"/>
      <c r="I7" s="170">
        <f>(700000/F25*22)</f>
        <v>1602.1639617145233</v>
      </c>
      <c r="J7" s="248"/>
      <c r="K7" s="170">
        <f>(800000/F25*22)</f>
        <v>1831.044527673741</v>
      </c>
      <c r="L7" s="251"/>
      <c r="M7" s="171">
        <f t="shared" si="0"/>
        <v>1510.6117353308364</v>
      </c>
    </row>
    <row r="8" spans="1:14" x14ac:dyDescent="0.25">
      <c r="A8" s="172" t="s">
        <v>177</v>
      </c>
      <c r="B8" s="248"/>
      <c r="C8" s="166">
        <f>(980000/F25)*22</f>
        <v>2243.0295464003329</v>
      </c>
      <c r="D8" s="248"/>
      <c r="E8" s="166">
        <v>0</v>
      </c>
      <c r="F8" s="248"/>
      <c r="G8" s="166">
        <v>0</v>
      </c>
      <c r="H8" s="248"/>
      <c r="I8" s="166">
        <f>(980000/F25)*22</f>
        <v>2243.0295464003329</v>
      </c>
      <c r="J8" s="248"/>
      <c r="K8" s="166">
        <f>(980000/F25)*22</f>
        <v>2243.0295464003329</v>
      </c>
      <c r="L8" s="251"/>
      <c r="M8" s="168">
        <f t="shared" si="0"/>
        <v>1345.8177278401997</v>
      </c>
    </row>
    <row r="9" spans="1:14" x14ac:dyDescent="0.25">
      <c r="A9" s="173" t="s">
        <v>178</v>
      </c>
      <c r="B9" s="248"/>
      <c r="C9" s="168">
        <f>(1500000/(12*F25))*22</f>
        <v>286.10070744902208</v>
      </c>
      <c r="D9" s="248"/>
      <c r="E9" s="168">
        <f>(1600000/(12*F25))*22</f>
        <v>305.17408794562351</v>
      </c>
      <c r="F9" s="248"/>
      <c r="G9" s="168">
        <f>(1500000/(12*F25))*22</f>
        <v>286.10070744902208</v>
      </c>
      <c r="H9" s="248"/>
      <c r="I9" s="168">
        <f>(1700000/(12*F25))*22</f>
        <v>324.247468442225</v>
      </c>
      <c r="J9" s="248"/>
      <c r="K9" s="168">
        <f>(1300000/(12*F25))*22</f>
        <v>247.95394645581911</v>
      </c>
      <c r="L9" s="251"/>
      <c r="M9" s="168">
        <f t="shared" si="0"/>
        <v>289.91538354834233</v>
      </c>
    </row>
    <row r="10" spans="1:14" ht="15.75" thickBot="1" x14ac:dyDescent="0.3">
      <c r="A10" s="175" t="s">
        <v>179</v>
      </c>
      <c r="B10" s="249"/>
      <c r="C10" s="171">
        <v>0</v>
      </c>
      <c r="D10" s="249"/>
      <c r="E10" s="171">
        <v>0</v>
      </c>
      <c r="F10" s="249"/>
      <c r="G10" s="171">
        <v>0</v>
      </c>
      <c r="H10" s="249"/>
      <c r="I10" s="171">
        <v>0</v>
      </c>
      <c r="J10" s="249"/>
      <c r="K10" s="171">
        <v>0</v>
      </c>
      <c r="L10" s="252"/>
      <c r="M10" s="171">
        <f t="shared" si="0"/>
        <v>0</v>
      </c>
    </row>
    <row r="11" spans="1:14" ht="15.75" thickBot="1" x14ac:dyDescent="0.3">
      <c r="A11" s="177"/>
      <c r="B11" s="43"/>
      <c r="C11" s="91"/>
      <c r="D11" s="43"/>
      <c r="E11" s="91"/>
      <c r="F11" s="43"/>
      <c r="G11" s="91"/>
      <c r="H11" s="43"/>
      <c r="I11" s="91"/>
      <c r="J11" s="43"/>
      <c r="K11" s="91"/>
      <c r="M11" s="104">
        <f>SUM(M4:M10)</f>
        <v>10546.344846719379</v>
      </c>
      <c r="N11" s="290">
        <f>M11/4</f>
        <v>2636.5862116798448</v>
      </c>
    </row>
    <row r="12" spans="1:14" x14ac:dyDescent="0.25">
      <c r="A12" s="177"/>
      <c r="B12" s="43"/>
      <c r="C12" s="91"/>
      <c r="D12" s="43"/>
      <c r="E12" s="91"/>
      <c r="F12" s="43"/>
      <c r="G12" s="91"/>
      <c r="H12" s="43"/>
      <c r="I12" s="91"/>
      <c r="J12" s="43"/>
      <c r="K12" s="91"/>
    </row>
    <row r="13" spans="1:14" ht="15.75" thickBot="1" x14ac:dyDescent="0.3"/>
    <row r="14" spans="1:14" ht="15.75" thickBot="1" x14ac:dyDescent="0.3">
      <c r="L14" s="223" t="s">
        <v>18</v>
      </c>
      <c r="M14" s="242"/>
    </row>
    <row r="15" spans="1:14" ht="15.75" thickBot="1" x14ac:dyDescent="0.3">
      <c r="B15" s="223" t="s">
        <v>152</v>
      </c>
      <c r="C15" s="242"/>
      <c r="D15" s="223" t="s">
        <v>152</v>
      </c>
      <c r="E15" s="242"/>
      <c r="F15" s="223" t="s">
        <v>152</v>
      </c>
      <c r="G15" s="242"/>
      <c r="H15" s="223" t="s">
        <v>152</v>
      </c>
      <c r="I15" s="242"/>
      <c r="J15" s="223" t="s">
        <v>152</v>
      </c>
      <c r="K15" s="242"/>
      <c r="L15" s="223" t="s">
        <v>152</v>
      </c>
      <c r="M15" s="242"/>
    </row>
    <row r="16" spans="1:14" x14ac:dyDescent="0.25">
      <c r="A16" s="172" t="s">
        <v>172</v>
      </c>
      <c r="B16" s="247" t="s">
        <v>187</v>
      </c>
      <c r="C16" s="165">
        <v>3000</v>
      </c>
      <c r="D16" s="247" t="s">
        <v>187</v>
      </c>
      <c r="E16" s="165">
        <v>4000</v>
      </c>
      <c r="F16" s="247" t="s">
        <v>187</v>
      </c>
      <c r="G16" s="165">
        <v>3000</v>
      </c>
      <c r="H16" s="247" t="s">
        <v>187</v>
      </c>
      <c r="I16" s="165">
        <v>3000</v>
      </c>
      <c r="J16" s="247" t="s">
        <v>187</v>
      </c>
      <c r="K16" s="165">
        <v>4000</v>
      </c>
      <c r="L16" s="250" t="s">
        <v>187</v>
      </c>
      <c r="M16" s="166">
        <f>AVERAGE(C16,E16,G16,I16,K16)</f>
        <v>3400</v>
      </c>
    </row>
    <row r="17" spans="1:14" x14ac:dyDescent="0.25">
      <c r="A17" s="173" t="s">
        <v>174</v>
      </c>
      <c r="B17" s="248"/>
      <c r="C17" s="167">
        <v>0</v>
      </c>
      <c r="D17" s="248"/>
      <c r="E17" s="167">
        <v>0</v>
      </c>
      <c r="F17" s="248"/>
      <c r="G17" s="167">
        <v>0</v>
      </c>
      <c r="H17" s="248"/>
      <c r="I17" s="167">
        <v>0</v>
      </c>
      <c r="J17" s="248"/>
      <c r="K17" s="167">
        <v>0</v>
      </c>
      <c r="L17" s="251"/>
      <c r="M17" s="168">
        <f t="shared" ref="M17:M22" si="1">AVERAGE(C17,E17,G17,I17,K17)</f>
        <v>0</v>
      </c>
    </row>
    <row r="18" spans="1:14" x14ac:dyDescent="0.25">
      <c r="A18" s="173" t="s">
        <v>175</v>
      </c>
      <c r="B18" s="248"/>
      <c r="C18" s="167">
        <v>0</v>
      </c>
      <c r="D18" s="248"/>
      <c r="E18" s="167">
        <v>0</v>
      </c>
      <c r="F18" s="248"/>
      <c r="G18" s="167">
        <v>0</v>
      </c>
      <c r="H18" s="248"/>
      <c r="I18" s="167">
        <v>0</v>
      </c>
      <c r="J18" s="248"/>
      <c r="K18" s="167">
        <v>0</v>
      </c>
      <c r="L18" s="251"/>
      <c r="M18" s="168">
        <f t="shared" si="1"/>
        <v>0</v>
      </c>
    </row>
    <row r="19" spans="1:14" ht="15.75" thickBot="1" x14ac:dyDescent="0.3">
      <c r="A19" s="175" t="s">
        <v>176</v>
      </c>
      <c r="B19" s="248"/>
      <c r="C19" s="170">
        <f>(500000/F25*9.7)</f>
        <v>504.57761131918431</v>
      </c>
      <c r="D19" s="248"/>
      <c r="E19" s="170">
        <f>(700000/F25*9.7)</f>
        <v>706.40865584685798</v>
      </c>
      <c r="F19" s="248"/>
      <c r="G19" s="170">
        <f>(600000/F25*7.8)</f>
        <v>486.89138576779027</v>
      </c>
      <c r="H19" s="248"/>
      <c r="I19" s="170">
        <f>(700000/F25*9.7)</f>
        <v>706.40865584685798</v>
      </c>
      <c r="J19" s="248"/>
      <c r="K19" s="170">
        <f>(800000/F25*9.7)</f>
        <v>807.3241781106949</v>
      </c>
      <c r="L19" s="251"/>
      <c r="M19" s="171">
        <f t="shared" si="1"/>
        <v>642.32209737827714</v>
      </c>
    </row>
    <row r="20" spans="1:14" x14ac:dyDescent="0.25">
      <c r="A20" s="172" t="s">
        <v>177</v>
      </c>
      <c r="B20" s="248"/>
      <c r="C20" s="166">
        <f>(980000/F25)*9.7</f>
        <v>988.97211818560118</v>
      </c>
      <c r="D20" s="248"/>
      <c r="E20" s="166">
        <v>0</v>
      </c>
      <c r="F20" s="248"/>
      <c r="G20" s="166">
        <v>0</v>
      </c>
      <c r="H20" s="248"/>
      <c r="I20" s="166">
        <f>(980000/F25)*9.7</f>
        <v>988.97211818560118</v>
      </c>
      <c r="J20" s="248"/>
      <c r="K20" s="166">
        <f>(980000/F25)*9.7</f>
        <v>988.97211818560118</v>
      </c>
      <c r="L20" s="251"/>
      <c r="M20" s="168">
        <f t="shared" si="1"/>
        <v>593.38327091136068</v>
      </c>
    </row>
    <row r="21" spans="1:14" x14ac:dyDescent="0.25">
      <c r="A21" s="173" t="s">
        <v>178</v>
      </c>
      <c r="B21" s="248"/>
      <c r="C21" s="168">
        <f>(1500000/(12*F25))*9.7</f>
        <v>126.14440282979608</v>
      </c>
      <c r="D21" s="248"/>
      <c r="E21" s="168">
        <f>(1600000/(12*F25))*9.7</f>
        <v>134.55402968511581</v>
      </c>
      <c r="F21" s="248"/>
      <c r="G21" s="168">
        <f>(1300000/(12*F25))*9.7</f>
        <v>109.32514911915659</v>
      </c>
      <c r="H21" s="248"/>
      <c r="I21" s="168">
        <f>(1300000/(12*F25))*9.7</f>
        <v>109.32514911915659</v>
      </c>
      <c r="J21" s="248"/>
      <c r="K21" s="168">
        <f>(1300000/(12*F25))*9.7</f>
        <v>109.32514911915659</v>
      </c>
      <c r="L21" s="251"/>
      <c r="M21" s="168">
        <f t="shared" si="1"/>
        <v>117.73477597447634</v>
      </c>
    </row>
    <row r="22" spans="1:14" ht="15.75" thickBot="1" x14ac:dyDescent="0.3">
      <c r="A22" s="175" t="s">
        <v>179</v>
      </c>
      <c r="B22" s="249"/>
      <c r="C22" s="171">
        <v>0</v>
      </c>
      <c r="D22" s="249"/>
      <c r="E22" s="171">
        <v>0</v>
      </c>
      <c r="F22" s="249"/>
      <c r="G22" s="171">
        <v>0</v>
      </c>
      <c r="H22" s="249"/>
      <c r="I22" s="171">
        <v>0</v>
      </c>
      <c r="J22" s="249"/>
      <c r="K22" s="171">
        <v>0</v>
      </c>
      <c r="L22" s="252"/>
      <c r="M22" s="171">
        <f t="shared" si="1"/>
        <v>0</v>
      </c>
    </row>
    <row r="23" spans="1:14" ht="15.75" thickBot="1" x14ac:dyDescent="0.3">
      <c r="A23" s="177"/>
      <c r="B23" s="43"/>
      <c r="C23" s="91"/>
      <c r="D23" s="43"/>
      <c r="E23" s="91"/>
      <c r="F23" s="43"/>
      <c r="G23" s="91"/>
      <c r="H23" s="43"/>
      <c r="I23" s="91"/>
      <c r="J23" s="43"/>
      <c r="K23" s="91"/>
      <c r="M23" s="104">
        <f>SUM(M16:M22)</f>
        <v>4753.4401442641138</v>
      </c>
      <c r="N23" s="290">
        <f>M23/4</f>
        <v>1188.3600360660284</v>
      </c>
    </row>
    <row r="24" spans="1:14" x14ac:dyDescent="0.25">
      <c r="A24" s="177"/>
      <c r="B24" s="43"/>
      <c r="C24" s="91"/>
      <c r="D24" s="43"/>
      <c r="E24" s="91"/>
      <c r="F24" s="43"/>
      <c r="G24" s="91"/>
      <c r="H24" s="43"/>
      <c r="I24" s="91"/>
      <c r="J24" s="43"/>
      <c r="K24" s="91"/>
    </row>
    <row r="25" spans="1:14" x14ac:dyDescent="0.25">
      <c r="A25" s="177"/>
      <c r="B25" s="43"/>
      <c r="C25" t="s">
        <v>189</v>
      </c>
      <c r="F25" s="188">
        <v>9612</v>
      </c>
      <c r="G25" s="189" t="s">
        <v>190</v>
      </c>
      <c r="H25" s="43"/>
      <c r="I25" s="91"/>
      <c r="J25" s="43"/>
      <c r="K25" s="91"/>
    </row>
  </sheetData>
  <mergeCells count="26">
    <mergeCell ref="L16:L22"/>
    <mergeCell ref="L14:M14"/>
    <mergeCell ref="B15:C15"/>
    <mergeCell ref="D15:E15"/>
    <mergeCell ref="F15:G15"/>
    <mergeCell ref="H15:I15"/>
    <mergeCell ref="J15:K15"/>
    <mergeCell ref="L15:M15"/>
    <mergeCell ref="B16:B22"/>
    <mergeCell ref="D16:D22"/>
    <mergeCell ref="F16:F22"/>
    <mergeCell ref="H16:H22"/>
    <mergeCell ref="J16:J22"/>
    <mergeCell ref="L4:L10"/>
    <mergeCell ref="L2:M2"/>
    <mergeCell ref="B3:C3"/>
    <mergeCell ref="D3:E3"/>
    <mergeCell ref="F3:G3"/>
    <mergeCell ref="H3:I3"/>
    <mergeCell ref="J3:K3"/>
    <mergeCell ref="L3:M3"/>
    <mergeCell ref="B4:B10"/>
    <mergeCell ref="D4:D10"/>
    <mergeCell ref="F4:F10"/>
    <mergeCell ref="H4:H10"/>
    <mergeCell ref="J4:J10"/>
  </mergeCells>
  <conditionalFormatting sqref="A11:A12 A4:A7">
    <cfRule type="duplicateValues" dxfId="4" priority="2"/>
  </conditionalFormatting>
  <conditionalFormatting sqref="A23:A25 A16:A19">
    <cfRule type="duplicateValues" dxfId="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46" workbookViewId="0">
      <selection activeCell="N11" sqref="N11"/>
    </sheetView>
  </sheetViews>
  <sheetFormatPr baseColWidth="10" defaultRowHeight="15" x14ac:dyDescent="0.25"/>
  <cols>
    <col min="1" max="1" width="20.140625" customWidth="1"/>
  </cols>
  <sheetData>
    <row r="1" spans="1:14" ht="15.75" thickBot="1" x14ac:dyDescent="0.3"/>
    <row r="2" spans="1:14" ht="15.75" thickBot="1" x14ac:dyDescent="0.3">
      <c r="L2" s="223" t="s">
        <v>18</v>
      </c>
      <c r="M2" s="242"/>
    </row>
    <row r="3" spans="1:14" ht="15.75" thickBot="1" x14ac:dyDescent="0.3">
      <c r="B3" s="223" t="s">
        <v>152</v>
      </c>
      <c r="C3" s="242"/>
      <c r="D3" s="223" t="s">
        <v>152</v>
      </c>
      <c r="E3" s="242"/>
      <c r="F3" s="223" t="s">
        <v>152</v>
      </c>
      <c r="G3" s="242"/>
      <c r="H3" s="223" t="s">
        <v>152</v>
      </c>
      <c r="I3" s="242"/>
      <c r="J3" s="223" t="s">
        <v>152</v>
      </c>
      <c r="K3" s="242"/>
      <c r="L3" s="223" t="s">
        <v>152</v>
      </c>
      <c r="M3" s="242"/>
    </row>
    <row r="4" spans="1:14" x14ac:dyDescent="0.25">
      <c r="A4" s="172" t="s">
        <v>172</v>
      </c>
      <c r="B4" s="247" t="s">
        <v>181</v>
      </c>
      <c r="C4" s="165">
        <v>6000</v>
      </c>
      <c r="D4" s="247" t="s">
        <v>181</v>
      </c>
      <c r="E4" s="165">
        <v>7000</v>
      </c>
      <c r="F4" s="247" t="s">
        <v>181</v>
      </c>
      <c r="G4" s="165">
        <v>6000</v>
      </c>
      <c r="H4" s="247" t="s">
        <v>181</v>
      </c>
      <c r="I4" s="165">
        <v>6000</v>
      </c>
      <c r="J4" s="247" t="s">
        <v>181</v>
      </c>
      <c r="K4" s="165">
        <v>7000</v>
      </c>
      <c r="L4" s="254" t="s">
        <v>181</v>
      </c>
      <c r="M4" s="165">
        <f>AVERAGE(C4,E4,G4,I4,K4)</f>
        <v>6400</v>
      </c>
    </row>
    <row r="5" spans="1:14" x14ac:dyDescent="0.25">
      <c r="A5" s="173" t="s">
        <v>174</v>
      </c>
      <c r="B5" s="248"/>
      <c r="C5" s="167">
        <v>10000</v>
      </c>
      <c r="D5" s="248"/>
      <c r="E5" s="167">
        <v>8000</v>
      </c>
      <c r="F5" s="248"/>
      <c r="G5" s="167">
        <v>8000</v>
      </c>
      <c r="H5" s="248"/>
      <c r="I5" s="167">
        <v>12000</v>
      </c>
      <c r="J5" s="248"/>
      <c r="K5" s="167">
        <v>1000</v>
      </c>
      <c r="L5" s="255"/>
      <c r="M5" s="167">
        <f t="shared" ref="M5:M10" si="0">AVERAGE(C5,E5,G5,I5,K5)</f>
        <v>7800</v>
      </c>
    </row>
    <row r="6" spans="1:14" x14ac:dyDescent="0.25">
      <c r="A6" s="173" t="s">
        <v>175</v>
      </c>
      <c r="B6" s="248"/>
      <c r="C6" s="167">
        <v>0</v>
      </c>
      <c r="D6" s="248"/>
      <c r="E6" s="167">
        <v>0</v>
      </c>
      <c r="F6" s="248"/>
      <c r="G6" s="167">
        <v>0</v>
      </c>
      <c r="H6" s="248"/>
      <c r="I6" s="167">
        <v>0</v>
      </c>
      <c r="J6" s="248"/>
      <c r="K6" s="167">
        <v>0</v>
      </c>
      <c r="L6" s="255"/>
      <c r="M6" s="167">
        <f t="shared" si="0"/>
        <v>0</v>
      </c>
    </row>
    <row r="7" spans="1:14" ht="15.75" thickBot="1" x14ac:dyDescent="0.3">
      <c r="A7" s="175" t="s">
        <v>176</v>
      </c>
      <c r="B7" s="248"/>
      <c r="C7" s="170">
        <f>(800000/H35)*17.8</f>
        <v>7911.1111111111113</v>
      </c>
      <c r="D7" s="248"/>
      <c r="E7" s="170">
        <f>(900000/H35)*17.8</f>
        <v>8900</v>
      </c>
      <c r="F7" s="248"/>
      <c r="G7" s="170">
        <f>(1000000/H35)*17.8</f>
        <v>9888.8888888888887</v>
      </c>
      <c r="H7" s="248"/>
      <c r="I7" s="170">
        <f>(800000/H35)*17.8</f>
        <v>7911.1111111111113</v>
      </c>
      <c r="J7" s="248"/>
      <c r="K7" s="170">
        <f>(700000/H35)*17.8</f>
        <v>6922.2222222222226</v>
      </c>
      <c r="L7" s="255"/>
      <c r="M7" s="167">
        <f t="shared" si="0"/>
        <v>8306.6666666666661</v>
      </c>
    </row>
    <row r="8" spans="1:14" x14ac:dyDescent="0.25">
      <c r="A8" s="172" t="s">
        <v>177</v>
      </c>
      <c r="B8" s="248"/>
      <c r="C8" s="166">
        <f>(980000/H35)*17.8</f>
        <v>9691.1111111111113</v>
      </c>
      <c r="D8" s="248"/>
      <c r="E8" s="166">
        <v>0</v>
      </c>
      <c r="F8" s="248"/>
      <c r="G8" s="166">
        <v>0</v>
      </c>
      <c r="H8" s="248"/>
      <c r="I8" s="166">
        <f>(980000/H35)*17.8</f>
        <v>9691.1111111111113</v>
      </c>
      <c r="J8" s="248"/>
      <c r="K8" s="166">
        <v>0</v>
      </c>
      <c r="L8" s="251"/>
      <c r="M8" s="166">
        <f t="shared" si="0"/>
        <v>3876.4444444444443</v>
      </c>
    </row>
    <row r="9" spans="1:14" x14ac:dyDescent="0.25">
      <c r="A9" s="173" t="s">
        <v>178</v>
      </c>
      <c r="B9" s="248"/>
      <c r="C9" s="168">
        <f>(2100000/(12*H35))*17.8</f>
        <v>1730.5555555555557</v>
      </c>
      <c r="D9" s="248"/>
      <c r="E9" s="168">
        <f>(2000000/(12*H35))*17.8</f>
        <v>1648.1481481481483</v>
      </c>
      <c r="F9" s="248"/>
      <c r="G9" s="168">
        <f>(2100000/(12*H35))*17.8</f>
        <v>1730.5555555555557</v>
      </c>
      <c r="H9" s="248"/>
      <c r="I9" s="168">
        <f>(2300000/(12*H35))*17.8</f>
        <v>1895.3703703703704</v>
      </c>
      <c r="J9" s="248"/>
      <c r="K9" s="168">
        <f>(2500000/(12*H35))*17.8</f>
        <v>2060.1851851851852</v>
      </c>
      <c r="L9" s="251"/>
      <c r="M9" s="168">
        <f t="shared" si="0"/>
        <v>1812.9629629629628</v>
      </c>
    </row>
    <row r="10" spans="1:14" ht="15.75" thickBot="1" x14ac:dyDescent="0.3">
      <c r="A10" s="175" t="s">
        <v>179</v>
      </c>
      <c r="B10" s="249"/>
      <c r="C10" s="171">
        <v>0</v>
      </c>
      <c r="D10" s="249"/>
      <c r="E10" s="171">
        <v>0</v>
      </c>
      <c r="F10" s="249"/>
      <c r="G10" s="171">
        <v>0</v>
      </c>
      <c r="H10" s="249"/>
      <c r="I10" s="171">
        <v>0</v>
      </c>
      <c r="J10" s="249"/>
      <c r="K10" s="171">
        <v>0</v>
      </c>
      <c r="L10" s="252"/>
      <c r="M10" s="168">
        <f t="shared" si="0"/>
        <v>0</v>
      </c>
    </row>
    <row r="11" spans="1:14" ht="15.75" thickBot="1" x14ac:dyDescent="0.3">
      <c r="M11" s="291">
        <f>SUM(M4:M10)</f>
        <v>28196.074074074073</v>
      </c>
      <c r="N11" s="290">
        <f>M11/8</f>
        <v>3524.5092592592591</v>
      </c>
    </row>
    <row r="12" spans="1:14" ht="15.75" thickBot="1" x14ac:dyDescent="0.3"/>
    <row r="13" spans="1:14" ht="15.75" thickBot="1" x14ac:dyDescent="0.3">
      <c r="L13" s="223" t="s">
        <v>18</v>
      </c>
      <c r="M13" s="242"/>
    </row>
    <row r="14" spans="1:14" ht="15.75" thickBot="1" x14ac:dyDescent="0.3">
      <c r="B14" s="223" t="s">
        <v>154</v>
      </c>
      <c r="C14" s="242"/>
      <c r="D14" s="223" t="s">
        <v>154</v>
      </c>
      <c r="E14" s="242"/>
      <c r="F14" s="223" t="s">
        <v>154</v>
      </c>
      <c r="G14" s="242"/>
      <c r="H14" s="223" t="s">
        <v>154</v>
      </c>
      <c r="I14" s="242"/>
      <c r="J14" s="223" t="s">
        <v>154</v>
      </c>
      <c r="K14" s="242"/>
      <c r="L14" s="223" t="s">
        <v>154</v>
      </c>
      <c r="M14" s="242"/>
    </row>
    <row r="15" spans="1:14" x14ac:dyDescent="0.25">
      <c r="A15" s="172" t="s">
        <v>172</v>
      </c>
      <c r="B15" s="247" t="s">
        <v>182</v>
      </c>
      <c r="C15" s="166">
        <v>25000</v>
      </c>
      <c r="D15" s="247" t="s">
        <v>182</v>
      </c>
      <c r="E15" s="165">
        <v>27000</v>
      </c>
      <c r="F15" s="247" t="s">
        <v>182</v>
      </c>
      <c r="G15" s="165">
        <v>25000</v>
      </c>
      <c r="H15" s="247" t="s">
        <v>182</v>
      </c>
      <c r="I15" s="165">
        <v>25000</v>
      </c>
      <c r="J15" s="247" t="s">
        <v>182</v>
      </c>
      <c r="K15" s="165">
        <v>26000</v>
      </c>
      <c r="L15" s="254" t="s">
        <v>182</v>
      </c>
      <c r="M15" s="166">
        <f>AVERAGE(C15,E15,G15,I15,K15)</f>
        <v>25600</v>
      </c>
    </row>
    <row r="16" spans="1:14" x14ac:dyDescent="0.25">
      <c r="A16" s="173" t="s">
        <v>174</v>
      </c>
      <c r="B16" s="248"/>
      <c r="C16" s="168">
        <v>10000</v>
      </c>
      <c r="D16" s="248"/>
      <c r="E16" s="167">
        <v>9000</v>
      </c>
      <c r="F16" s="248"/>
      <c r="G16" s="167">
        <v>10000</v>
      </c>
      <c r="H16" s="248"/>
      <c r="I16" s="167">
        <v>8000</v>
      </c>
      <c r="J16" s="248"/>
      <c r="K16" s="167">
        <v>0</v>
      </c>
      <c r="L16" s="255"/>
      <c r="M16" s="168">
        <f t="shared" ref="M16:M21" si="1">AVERAGE(C16,E16,G16,I16,K16)</f>
        <v>7400</v>
      </c>
    </row>
    <row r="17" spans="1:14" x14ac:dyDescent="0.25">
      <c r="A17" s="173" t="s">
        <v>175</v>
      </c>
      <c r="B17" s="248"/>
      <c r="C17" s="168">
        <v>0</v>
      </c>
      <c r="D17" s="248"/>
      <c r="E17" s="167">
        <v>0</v>
      </c>
      <c r="F17" s="248"/>
      <c r="G17" s="167">
        <v>0</v>
      </c>
      <c r="H17" s="248"/>
      <c r="I17" s="167">
        <v>0</v>
      </c>
      <c r="J17" s="248"/>
      <c r="K17" s="167">
        <v>0</v>
      </c>
      <c r="L17" s="255"/>
      <c r="M17" s="168">
        <f t="shared" si="1"/>
        <v>0</v>
      </c>
    </row>
    <row r="18" spans="1:14" ht="15.75" thickBot="1" x14ac:dyDescent="0.3">
      <c r="A18" s="175" t="s">
        <v>176</v>
      </c>
      <c r="B18" s="248"/>
      <c r="C18" s="171">
        <f>(800000/H35)*75</f>
        <v>33333.333333333336</v>
      </c>
      <c r="D18" s="248"/>
      <c r="E18" s="170">
        <f>(900000/H35)*75</f>
        <v>37500</v>
      </c>
      <c r="F18" s="248"/>
      <c r="G18" s="170">
        <f>(1000000/H35)*75</f>
        <v>41666.666666666664</v>
      </c>
      <c r="H18" s="248"/>
      <c r="I18" s="170">
        <f>(800000/H35)*75</f>
        <v>33333.333333333336</v>
      </c>
      <c r="J18" s="248"/>
      <c r="K18" s="170">
        <f>(700000/H35)*75</f>
        <v>29166.666666666668</v>
      </c>
      <c r="L18" s="255"/>
      <c r="M18" s="168">
        <f t="shared" si="1"/>
        <v>35000</v>
      </c>
    </row>
    <row r="19" spans="1:14" x14ac:dyDescent="0.25">
      <c r="A19" s="172" t="s">
        <v>177</v>
      </c>
      <c r="B19" s="248"/>
      <c r="C19" s="166">
        <f>(980000/H35)*75</f>
        <v>40833.333333333336</v>
      </c>
      <c r="D19" s="248"/>
      <c r="E19" s="166">
        <v>0</v>
      </c>
      <c r="F19" s="248"/>
      <c r="G19" s="150">
        <v>0</v>
      </c>
      <c r="H19" s="248"/>
      <c r="I19" s="166">
        <f>(980000/H35)*75</f>
        <v>40833.333333333336</v>
      </c>
      <c r="J19" s="248"/>
      <c r="K19" s="166">
        <v>0</v>
      </c>
      <c r="L19" s="251"/>
      <c r="M19" s="166">
        <f t="shared" si="1"/>
        <v>16333.333333333334</v>
      </c>
    </row>
    <row r="20" spans="1:14" x14ac:dyDescent="0.25">
      <c r="A20" s="173" t="s">
        <v>178</v>
      </c>
      <c r="B20" s="248"/>
      <c r="C20" s="168">
        <f>(2100000/(12*H35))*75</f>
        <v>7291.666666666667</v>
      </c>
      <c r="D20" s="248"/>
      <c r="E20" s="168">
        <f>(2000000/(12*H35))*75</f>
        <v>6944.4444444444443</v>
      </c>
      <c r="F20" s="248"/>
      <c r="G20" s="168">
        <f>(2100000/(12*H35))*75</f>
        <v>7291.666666666667</v>
      </c>
      <c r="H20" s="248"/>
      <c r="I20" s="168">
        <f>(2300000/(12*H35))*75</f>
        <v>7986.1111111111113</v>
      </c>
      <c r="J20" s="248"/>
      <c r="K20" s="168">
        <f>(2500000/(12*H35))*75</f>
        <v>8680.5555555555566</v>
      </c>
      <c r="L20" s="251"/>
      <c r="M20" s="168">
        <f t="shared" si="1"/>
        <v>7638.8888888888887</v>
      </c>
    </row>
    <row r="21" spans="1:14" ht="15.75" thickBot="1" x14ac:dyDescent="0.3">
      <c r="A21" s="175" t="s">
        <v>179</v>
      </c>
      <c r="B21" s="249"/>
      <c r="C21" s="171">
        <v>0</v>
      </c>
      <c r="D21" s="249"/>
      <c r="E21" s="171">
        <v>0</v>
      </c>
      <c r="F21" s="249"/>
      <c r="G21" s="130">
        <v>0</v>
      </c>
      <c r="H21" s="249"/>
      <c r="I21" s="171">
        <v>0</v>
      </c>
      <c r="J21" s="249"/>
      <c r="K21" s="171">
        <v>0</v>
      </c>
      <c r="L21" s="252"/>
      <c r="M21" s="168">
        <f t="shared" si="1"/>
        <v>0</v>
      </c>
    </row>
    <row r="22" spans="1:14" ht="15.75" thickBot="1" x14ac:dyDescent="0.3">
      <c r="M22" s="104">
        <f>SUM(M15:M21)</f>
        <v>91972.222222222219</v>
      </c>
      <c r="N22" s="292">
        <f>M22/8</f>
        <v>11496.527777777777</v>
      </c>
    </row>
    <row r="23" spans="1:14" ht="15.75" thickBot="1" x14ac:dyDescent="0.3"/>
    <row r="24" spans="1:14" ht="15.75" thickBot="1" x14ac:dyDescent="0.3">
      <c r="L24" s="223" t="s">
        <v>18</v>
      </c>
      <c r="M24" s="242"/>
    </row>
    <row r="25" spans="1:14" ht="15.75" thickBot="1" x14ac:dyDescent="0.3">
      <c r="B25" s="223" t="s">
        <v>155</v>
      </c>
      <c r="C25" s="242"/>
      <c r="D25" s="223" t="s">
        <v>155</v>
      </c>
      <c r="E25" s="242"/>
      <c r="F25" s="223" t="s">
        <v>155</v>
      </c>
      <c r="G25" s="242"/>
      <c r="H25" s="223" t="s">
        <v>155</v>
      </c>
      <c r="I25" s="242"/>
      <c r="J25" s="223" t="s">
        <v>155</v>
      </c>
      <c r="K25" s="242"/>
      <c r="L25" s="223" t="s">
        <v>155</v>
      </c>
      <c r="M25" s="253"/>
    </row>
    <row r="26" spans="1:14" x14ac:dyDescent="0.25">
      <c r="A26" s="172" t="s">
        <v>172</v>
      </c>
      <c r="B26" s="247" t="s">
        <v>184</v>
      </c>
      <c r="C26" s="165">
        <v>28000</v>
      </c>
      <c r="D26" s="247" t="s">
        <v>184</v>
      </c>
      <c r="E26" s="165">
        <v>30000</v>
      </c>
      <c r="F26" s="247" t="s">
        <v>184</v>
      </c>
      <c r="G26" s="165">
        <v>31000</v>
      </c>
      <c r="H26" s="247" t="s">
        <v>184</v>
      </c>
      <c r="I26" s="165">
        <v>28000</v>
      </c>
      <c r="J26" s="247" t="s">
        <v>184</v>
      </c>
      <c r="K26" s="165">
        <v>32000</v>
      </c>
      <c r="L26" s="250" t="s">
        <v>184</v>
      </c>
      <c r="M26" s="166">
        <f>AVERAGE(C26,E26,G26,I26,K26)</f>
        <v>29800</v>
      </c>
    </row>
    <row r="27" spans="1:14" x14ac:dyDescent="0.25">
      <c r="A27" s="173" t="s">
        <v>174</v>
      </c>
      <c r="B27" s="248"/>
      <c r="C27" s="167">
        <v>0</v>
      </c>
      <c r="D27" s="248"/>
      <c r="E27" s="167">
        <v>10000</v>
      </c>
      <c r="F27" s="248"/>
      <c r="G27" s="167">
        <v>12000</v>
      </c>
      <c r="H27" s="248"/>
      <c r="I27" s="167">
        <v>9000</v>
      </c>
      <c r="J27" s="248"/>
      <c r="K27" s="167">
        <v>10000</v>
      </c>
      <c r="L27" s="251"/>
      <c r="M27" s="168">
        <f t="shared" ref="M27:M32" si="2">AVERAGE(C27,E27,G27,I27,K27)</f>
        <v>8200</v>
      </c>
    </row>
    <row r="28" spans="1:14" x14ac:dyDescent="0.25">
      <c r="A28" s="173" t="s">
        <v>175</v>
      </c>
      <c r="B28" s="248"/>
      <c r="C28" s="167">
        <v>0</v>
      </c>
      <c r="D28" s="248"/>
      <c r="E28" s="167">
        <v>0</v>
      </c>
      <c r="F28" s="248"/>
      <c r="G28" s="167">
        <v>0</v>
      </c>
      <c r="H28" s="248"/>
      <c r="I28" s="167">
        <v>0</v>
      </c>
      <c r="J28" s="248"/>
      <c r="K28" s="167">
        <v>0</v>
      </c>
      <c r="L28" s="251"/>
      <c r="M28" s="168">
        <f t="shared" si="2"/>
        <v>0</v>
      </c>
    </row>
    <row r="29" spans="1:14" ht="15.75" thickBot="1" x14ac:dyDescent="0.3">
      <c r="A29" s="175" t="s">
        <v>176</v>
      </c>
      <c r="B29" s="248"/>
      <c r="C29" s="170">
        <f>(800000/H35)*69.8</f>
        <v>31022.222222222223</v>
      </c>
      <c r="D29" s="248"/>
      <c r="E29" s="170">
        <f>(900000/H35)*69.8</f>
        <v>34900</v>
      </c>
      <c r="F29" s="248"/>
      <c r="G29" s="170">
        <f>(1000000/H35)*69.8</f>
        <v>38777.777777777774</v>
      </c>
      <c r="H29" s="248"/>
      <c r="I29" s="170">
        <f>(800000/H35)*69.8</f>
        <v>31022.222222222223</v>
      </c>
      <c r="J29" s="248"/>
      <c r="K29" s="170">
        <f>(700000/H35)*69.8</f>
        <v>27144.444444444445</v>
      </c>
      <c r="L29" s="251"/>
      <c r="M29" s="171">
        <f t="shared" si="2"/>
        <v>32573.333333333332</v>
      </c>
    </row>
    <row r="30" spans="1:14" x14ac:dyDescent="0.25">
      <c r="A30" s="172" t="s">
        <v>177</v>
      </c>
      <c r="B30" s="248"/>
      <c r="C30" s="166">
        <f>(980000/H35)*69.8</f>
        <v>38002.222222222219</v>
      </c>
      <c r="D30" s="248"/>
      <c r="E30" s="166">
        <v>0</v>
      </c>
      <c r="F30" s="248"/>
      <c r="G30" s="166">
        <f>(980000/5880)*69.8</f>
        <v>11633.333333333332</v>
      </c>
      <c r="H30" s="248"/>
      <c r="I30" s="166">
        <f>(980000/5880)*69.8</f>
        <v>11633.333333333332</v>
      </c>
      <c r="J30" s="248"/>
      <c r="K30" s="166">
        <v>0</v>
      </c>
      <c r="L30" s="251"/>
      <c r="M30" s="168">
        <f t="shared" si="2"/>
        <v>12253.777777777776</v>
      </c>
    </row>
    <row r="31" spans="1:14" x14ac:dyDescent="0.25">
      <c r="A31" s="173" t="s">
        <v>178</v>
      </c>
      <c r="B31" s="248"/>
      <c r="C31" s="174">
        <f>(2100000/(12*H35))*69.8</f>
        <v>6786.1111111111113</v>
      </c>
      <c r="D31" s="248"/>
      <c r="E31" s="174">
        <f>(2000000/(12*H35))*69.8</f>
        <v>6462.9629629629626</v>
      </c>
      <c r="F31" s="248"/>
      <c r="G31" s="168">
        <f>(2100000/(12*H35))*69.8</f>
        <v>6786.1111111111113</v>
      </c>
      <c r="H31" s="248"/>
      <c r="I31" s="168">
        <f>(2300000/(12*H35))*69.8</f>
        <v>7432.4074074074069</v>
      </c>
      <c r="J31" s="248"/>
      <c r="K31" s="168">
        <f>(2500000/(12*H35))*69.8</f>
        <v>8078.7037037037035</v>
      </c>
      <c r="L31" s="251"/>
      <c r="M31" s="168">
        <f t="shared" si="2"/>
        <v>7109.2592592592582</v>
      </c>
    </row>
    <row r="32" spans="1:14" ht="15.75" thickBot="1" x14ac:dyDescent="0.3">
      <c r="A32" s="175" t="s">
        <v>179</v>
      </c>
      <c r="B32" s="249"/>
      <c r="C32" s="171">
        <v>0</v>
      </c>
      <c r="D32" s="249"/>
      <c r="E32" s="171">
        <v>0</v>
      </c>
      <c r="F32" s="249"/>
      <c r="G32" s="171">
        <v>0</v>
      </c>
      <c r="H32" s="249"/>
      <c r="I32" s="171">
        <v>0</v>
      </c>
      <c r="J32" s="249"/>
      <c r="K32" s="171">
        <v>0</v>
      </c>
      <c r="L32" s="252"/>
      <c r="M32" s="171">
        <f t="shared" si="2"/>
        <v>0</v>
      </c>
    </row>
    <row r="33" spans="5:14" ht="15.75" thickBot="1" x14ac:dyDescent="0.3">
      <c r="M33" s="289">
        <f>SUM(M26:M32)</f>
        <v>89936.370370370365</v>
      </c>
      <c r="N33" s="290">
        <f>M33/8</f>
        <v>11242.046296296296</v>
      </c>
    </row>
    <row r="35" spans="5:14" x14ac:dyDescent="0.25">
      <c r="E35" t="s">
        <v>189</v>
      </c>
      <c r="H35" s="188">
        <v>1800</v>
      </c>
      <c r="I35" s="187" t="s">
        <v>190</v>
      </c>
    </row>
  </sheetData>
  <mergeCells count="39">
    <mergeCell ref="L26:L32"/>
    <mergeCell ref="B26:B32"/>
    <mergeCell ref="D26:D32"/>
    <mergeCell ref="F26:F32"/>
    <mergeCell ref="H26:H32"/>
    <mergeCell ref="J26:J32"/>
    <mergeCell ref="L24:M24"/>
    <mergeCell ref="B25:C25"/>
    <mergeCell ref="D25:E25"/>
    <mergeCell ref="F25:G25"/>
    <mergeCell ref="H25:I25"/>
    <mergeCell ref="J25:K25"/>
    <mergeCell ref="L25:M25"/>
    <mergeCell ref="L15:L21"/>
    <mergeCell ref="L13:M13"/>
    <mergeCell ref="B14:C14"/>
    <mergeCell ref="D14:E14"/>
    <mergeCell ref="F14:G14"/>
    <mergeCell ref="H14:I14"/>
    <mergeCell ref="J14:K14"/>
    <mergeCell ref="L14:M14"/>
    <mergeCell ref="B15:B21"/>
    <mergeCell ref="D15:D21"/>
    <mergeCell ref="F15:F21"/>
    <mergeCell ref="H15:H21"/>
    <mergeCell ref="J15:J21"/>
    <mergeCell ref="L4:L10"/>
    <mergeCell ref="L2:M2"/>
    <mergeCell ref="B3:C3"/>
    <mergeCell ref="D3:E3"/>
    <mergeCell ref="F3:G3"/>
    <mergeCell ref="H3:I3"/>
    <mergeCell ref="J3:K3"/>
    <mergeCell ref="L3:M3"/>
    <mergeCell ref="B4:B10"/>
    <mergeCell ref="D4:D10"/>
    <mergeCell ref="F4:F10"/>
    <mergeCell ref="H4:H10"/>
    <mergeCell ref="J4:J10"/>
  </mergeCells>
  <conditionalFormatting sqref="A4:A7">
    <cfRule type="duplicateValues" dxfId="2" priority="2"/>
  </conditionalFormatting>
  <conditionalFormatting sqref="A15:A18">
    <cfRule type="duplicateValues" dxfId="1" priority="3"/>
  </conditionalFormatting>
  <conditionalFormatting sqref="A26:A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Matriz ABC</vt:lpstr>
      <vt:lpstr>Inductores Primarios</vt:lpstr>
      <vt:lpstr>Matriz ABC Act. a Productos</vt:lpstr>
      <vt:lpstr>Inductores Secundarios</vt:lpstr>
      <vt:lpstr>Buseta 8 puestos</vt:lpstr>
      <vt:lpstr>Buseta 15 puestos</vt:lpstr>
      <vt:lpstr>Buseta 19 puestos</vt:lpstr>
      <vt:lpstr>Taxi</vt:lpstr>
      <vt:lpstr>Camionetas</vt:lpstr>
      <vt:lpstr>Promedio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2016-06-18T22:41:57Z</dcterms:created>
  <dcterms:modified xsi:type="dcterms:W3CDTF">2016-07-30T01:22:20Z</dcterms:modified>
</cp:coreProperties>
</file>