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2" activeTab="6"/>
  </bookViews>
  <sheets>
    <sheet name="MATRIZ ABC" sheetId="1" r:id="rId1"/>
    <sheet name="INDUCTORES PRIMARIOS" sheetId="2" r:id="rId2"/>
    <sheet name="MATRIZ ABC DE ACTIV A PRODUCTOS" sheetId="3" r:id="rId3"/>
    <sheet name="INDUCTORES SECUNDARIOS" sheetId="4" r:id="rId4"/>
    <sheet name="DESTINOS" sheetId="6" r:id="rId5"/>
    <sheet name="FURGONES" sheetId="7" r:id="rId6"/>
    <sheet name="TARIFAS" sheetId="9" r:id="rId7"/>
  </sheets>
  <externalReferences>
    <externalReference r:id="rId8"/>
    <externalReference r:id="rId9"/>
  </externalReferences>
  <calcPr calcId="145621"/>
</workbook>
</file>

<file path=xl/calcChain.xml><?xml version="1.0" encoding="utf-8"?>
<calcChain xmlns="http://schemas.openxmlformats.org/spreadsheetml/2006/main">
  <c r="H7" i="9" l="1"/>
  <c r="H4" i="9"/>
  <c r="I4" i="9"/>
  <c r="D13" i="9"/>
  <c r="D12" i="9"/>
  <c r="D11" i="9"/>
  <c r="D10" i="9"/>
  <c r="D9" i="9"/>
  <c r="D8" i="9"/>
  <c r="D7" i="9"/>
  <c r="D6" i="9"/>
  <c r="D5" i="9"/>
  <c r="J78" i="7" l="1"/>
  <c r="H78" i="7"/>
  <c r="F78" i="7"/>
  <c r="D78" i="7"/>
  <c r="J67" i="7"/>
  <c r="H67" i="7"/>
  <c r="F67" i="7"/>
  <c r="D67" i="7"/>
  <c r="J54" i="7"/>
  <c r="H54" i="7"/>
  <c r="F54" i="7"/>
  <c r="D54" i="7"/>
  <c r="J42" i="7"/>
  <c r="H42" i="7"/>
  <c r="F42" i="7"/>
  <c r="D42" i="7"/>
  <c r="O12" i="7"/>
  <c r="O21" i="7"/>
  <c r="O69" i="7"/>
  <c r="O57" i="7"/>
  <c r="O44" i="7"/>
  <c r="O32" i="7"/>
  <c r="J30" i="7"/>
  <c r="H30" i="7"/>
  <c r="F30" i="7"/>
  <c r="D30" i="7"/>
  <c r="H5" i="7"/>
  <c r="F5" i="7"/>
  <c r="D5" i="7"/>
  <c r="H77" i="7" l="1"/>
  <c r="F77" i="7"/>
  <c r="D77" i="7"/>
  <c r="H66" i="7"/>
  <c r="F66" i="7"/>
  <c r="D66" i="7"/>
  <c r="H53" i="7"/>
  <c r="F53" i="7"/>
  <c r="D53" i="7"/>
  <c r="H41" i="7"/>
  <c r="F41" i="7"/>
  <c r="D41" i="7"/>
  <c r="H29" i="7"/>
  <c r="F29" i="7"/>
  <c r="D29" i="7"/>
  <c r="J10" i="7"/>
  <c r="J11" i="7"/>
  <c r="J12" i="7"/>
  <c r="J22" i="7"/>
  <c r="J23" i="7"/>
  <c r="J24" i="7"/>
  <c r="J72" i="7" l="1"/>
  <c r="J71" i="7"/>
  <c r="J70" i="7"/>
  <c r="J61" i="7"/>
  <c r="J60" i="7"/>
  <c r="J59" i="7"/>
  <c r="J48" i="7"/>
  <c r="J47" i="7"/>
  <c r="J46" i="7"/>
  <c r="J36" i="7"/>
  <c r="J35" i="7"/>
  <c r="J34" i="7"/>
  <c r="C7" i="7" l="1"/>
  <c r="H75" i="7" l="1"/>
  <c r="H73" i="7"/>
  <c r="F75" i="7"/>
  <c r="F73" i="7"/>
  <c r="D75" i="7"/>
  <c r="J75" i="7" s="1"/>
  <c r="D62" i="7"/>
  <c r="H64" i="7"/>
  <c r="H62" i="7"/>
  <c r="F64" i="7"/>
  <c r="F62" i="7"/>
  <c r="D64" i="7"/>
  <c r="J64" i="7" s="1"/>
  <c r="H51" i="7"/>
  <c r="H49" i="7"/>
  <c r="F51" i="7"/>
  <c r="F49" i="7"/>
  <c r="D51" i="7"/>
  <c r="J51" i="7" s="1"/>
  <c r="H40" i="7"/>
  <c r="H38" i="7"/>
  <c r="F40" i="7"/>
  <c r="F38" i="7"/>
  <c r="J38" i="7" s="1"/>
  <c r="D40" i="7"/>
  <c r="J40" i="7" s="1"/>
  <c r="D37" i="7"/>
  <c r="H28" i="7"/>
  <c r="H26" i="7"/>
  <c r="F28" i="7"/>
  <c r="F26" i="7"/>
  <c r="J26" i="7" s="1"/>
  <c r="D28" i="7"/>
  <c r="J28" i="7" s="1"/>
  <c r="D25" i="7"/>
  <c r="H15" i="7"/>
  <c r="F16" i="7"/>
  <c r="H16" i="7"/>
  <c r="H13" i="7"/>
  <c r="F14" i="7"/>
  <c r="J14" i="7" s="1"/>
  <c r="H76" i="7"/>
  <c r="H74" i="7"/>
  <c r="F76" i="7"/>
  <c r="F74" i="7"/>
  <c r="J74" i="7" s="1"/>
  <c r="D76" i="7"/>
  <c r="J76" i="7" s="1"/>
  <c r="D73" i="7"/>
  <c r="J73" i="7" s="1"/>
  <c r="H65" i="7"/>
  <c r="H63" i="7"/>
  <c r="F65" i="7"/>
  <c r="F63" i="7"/>
  <c r="J63" i="7" s="1"/>
  <c r="D65" i="7"/>
  <c r="J65" i="7" s="1"/>
  <c r="H52" i="7"/>
  <c r="H50" i="7"/>
  <c r="F52" i="7"/>
  <c r="F50" i="7"/>
  <c r="J50" i="7" s="1"/>
  <c r="D52" i="7"/>
  <c r="D49" i="7"/>
  <c r="H39" i="7"/>
  <c r="H37" i="7"/>
  <c r="F39" i="7"/>
  <c r="F37" i="7"/>
  <c r="D39" i="7"/>
  <c r="J39" i="7" s="1"/>
  <c r="H27" i="7"/>
  <c r="H25" i="7"/>
  <c r="F27" i="7"/>
  <c r="F25" i="7"/>
  <c r="D27" i="7"/>
  <c r="J27" i="7" s="1"/>
  <c r="D15" i="7"/>
  <c r="J15" i="7" s="1"/>
  <c r="F15" i="7"/>
  <c r="D16" i="7"/>
  <c r="J16" i="7" s="1"/>
  <c r="H14" i="7"/>
  <c r="F13" i="7"/>
  <c r="F17" i="7" s="1"/>
  <c r="F18" i="7" s="1"/>
  <c r="D13" i="7"/>
  <c r="J52" i="7" l="1"/>
  <c r="J13" i="7"/>
  <c r="J25" i="7"/>
  <c r="D17" i="7"/>
  <c r="D18" i="7" s="1"/>
  <c r="J49" i="7"/>
  <c r="H17" i="7"/>
  <c r="H18" i="7" s="1"/>
  <c r="J37" i="7"/>
  <c r="J62" i="7"/>
  <c r="F15" i="4"/>
  <c r="B29" i="4" s="1"/>
  <c r="F14" i="4"/>
  <c r="B28" i="4" s="1"/>
  <c r="F13" i="4"/>
  <c r="B27" i="4" s="1"/>
  <c r="F12" i="4"/>
  <c r="B26" i="4" s="1"/>
  <c r="F11" i="4"/>
  <c r="B25" i="4" s="1"/>
  <c r="F10" i="4"/>
  <c r="B24" i="4" s="1"/>
  <c r="F9" i="4"/>
  <c r="B23" i="4" s="1"/>
  <c r="F8" i="4"/>
  <c r="B22" i="4" s="1"/>
  <c r="F7" i="4"/>
  <c r="B21" i="4" s="1"/>
  <c r="F6" i="4"/>
  <c r="B20" i="4" s="1"/>
  <c r="G5" i="6"/>
  <c r="G6" i="6"/>
  <c r="G7" i="6"/>
  <c r="G8" i="6"/>
  <c r="G9" i="6"/>
  <c r="G10" i="6"/>
  <c r="G11" i="6"/>
  <c r="G12" i="6"/>
  <c r="G13" i="6"/>
  <c r="G4" i="6"/>
  <c r="J18" i="7" l="1"/>
  <c r="D4" i="9" s="1"/>
  <c r="H6" i="9" s="1"/>
  <c r="H8" i="9" s="1"/>
  <c r="B30" i="4"/>
  <c r="C29" i="4" s="1"/>
  <c r="D29" i="4" s="1"/>
  <c r="D9" i="1"/>
  <c r="D10" i="1"/>
  <c r="D11" i="1"/>
  <c r="D12" i="1"/>
  <c r="D13" i="1"/>
  <c r="D14" i="1"/>
  <c r="D15" i="1"/>
  <c r="D8" i="1"/>
  <c r="B9" i="1"/>
  <c r="B10" i="1"/>
  <c r="B11" i="1"/>
  <c r="B12" i="1"/>
  <c r="B13" i="1"/>
  <c r="B14" i="1"/>
  <c r="B15" i="1"/>
  <c r="B8" i="1"/>
  <c r="X8" i="3" l="1"/>
  <c r="X6" i="3"/>
  <c r="X7" i="3"/>
  <c r="X9" i="3"/>
  <c r="C21" i="4"/>
  <c r="D21" i="4" s="1"/>
  <c r="C26" i="4"/>
  <c r="D26" i="4" s="1"/>
  <c r="C22" i="4"/>
  <c r="D22" i="4" s="1"/>
  <c r="C23" i="4"/>
  <c r="D23" i="4" s="1"/>
  <c r="C25" i="4"/>
  <c r="D25" i="4" s="1"/>
  <c r="C28" i="4"/>
  <c r="D28" i="4" s="1"/>
  <c r="C24" i="4"/>
  <c r="D24" i="4" s="1"/>
  <c r="C20" i="4"/>
  <c r="D20" i="4" s="1"/>
  <c r="C27" i="4"/>
  <c r="D27" i="4" s="1"/>
  <c r="C20" i="2"/>
  <c r="E20" i="2"/>
  <c r="F20" i="2"/>
  <c r="G20" i="2"/>
  <c r="H20" i="2"/>
  <c r="C24" i="2"/>
  <c r="C28" i="2"/>
  <c r="C15" i="2"/>
  <c r="C11" i="2"/>
  <c r="C7" i="2"/>
  <c r="F7" i="3" l="1"/>
  <c r="F9" i="3"/>
  <c r="D30" i="4"/>
  <c r="F8" i="3"/>
  <c r="F6" i="3"/>
  <c r="V8" i="3"/>
  <c r="V6" i="3"/>
  <c r="V7" i="3"/>
  <c r="V9" i="3"/>
  <c r="R8" i="3"/>
  <c r="R6" i="3"/>
  <c r="R7" i="3"/>
  <c r="R9" i="3"/>
  <c r="T8" i="3"/>
  <c r="T6" i="3"/>
  <c r="T7" i="3"/>
  <c r="T9" i="3"/>
  <c r="N8" i="3"/>
  <c r="N6" i="3"/>
  <c r="N7" i="3"/>
  <c r="N9" i="3"/>
  <c r="P8" i="3"/>
  <c r="P6" i="3"/>
  <c r="P7" i="3"/>
  <c r="P9" i="3"/>
  <c r="J8" i="3"/>
  <c r="J6" i="3"/>
  <c r="J7" i="3"/>
  <c r="J9" i="3"/>
  <c r="H8" i="3"/>
  <c r="H6" i="3"/>
  <c r="H7" i="3"/>
  <c r="H9" i="3"/>
  <c r="L8" i="3"/>
  <c r="L6" i="3"/>
  <c r="L7" i="3"/>
  <c r="L9" i="3"/>
  <c r="C30" i="4"/>
  <c r="F12" i="1"/>
  <c r="D62" i="1"/>
  <c r="D63" i="1"/>
  <c r="D64" i="1"/>
  <c r="D65" i="1"/>
  <c r="D66" i="1"/>
  <c r="D67" i="1"/>
  <c r="D68" i="1"/>
  <c r="D69" i="1"/>
  <c r="D70" i="1"/>
  <c r="D71" i="1"/>
  <c r="D72" i="1"/>
  <c r="D73" i="1"/>
  <c r="D61" i="1"/>
  <c r="B62" i="1"/>
  <c r="B63" i="1"/>
  <c r="B64" i="1"/>
  <c r="B65" i="1"/>
  <c r="B66" i="1"/>
  <c r="B67" i="1"/>
  <c r="B68" i="1"/>
  <c r="B69" i="1"/>
  <c r="B70" i="1"/>
  <c r="B71" i="1"/>
  <c r="B72" i="1"/>
  <c r="B73" i="1"/>
  <c r="B61" i="1"/>
  <c r="E7" i="3" l="1"/>
  <c r="E9" i="3"/>
  <c r="E8" i="3"/>
  <c r="E6" i="3"/>
  <c r="D52" i="1"/>
  <c r="D53" i="1"/>
  <c r="D54" i="1"/>
  <c r="D55" i="1"/>
  <c r="D56" i="1"/>
  <c r="D57" i="1"/>
  <c r="D58" i="1"/>
  <c r="D59" i="1"/>
  <c r="D51" i="1"/>
  <c r="B52" i="1" l="1"/>
  <c r="B53" i="1"/>
  <c r="B54" i="1"/>
  <c r="B55" i="1"/>
  <c r="B56" i="1"/>
  <c r="B57" i="1"/>
  <c r="B58" i="1"/>
  <c r="B59" i="1"/>
  <c r="B51" i="1"/>
  <c r="F32" i="1" l="1"/>
  <c r="F33" i="1"/>
  <c r="F34" i="1"/>
  <c r="F35" i="1"/>
  <c r="F31" i="1"/>
  <c r="F9" i="1" l="1"/>
  <c r="F5" i="1"/>
  <c r="F6" i="1"/>
  <c r="F7" i="1"/>
  <c r="F8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4" i="1"/>
  <c r="D40" i="1" l="1"/>
  <c r="D41" i="1"/>
  <c r="D42" i="1"/>
  <c r="D43" i="1"/>
  <c r="D45" i="1"/>
  <c r="D47" i="1"/>
  <c r="D48" i="1"/>
  <c r="D49" i="1"/>
  <c r="D50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32" i="1"/>
  <c r="B33" i="1"/>
  <c r="B34" i="1"/>
  <c r="B35" i="1"/>
  <c r="B31" i="1"/>
  <c r="D30" i="1"/>
  <c r="D29" i="1"/>
  <c r="B30" i="1"/>
  <c r="B29" i="1"/>
  <c r="B26" i="1"/>
  <c r="B27" i="1"/>
  <c r="B28" i="1"/>
  <c r="B25" i="1"/>
  <c r="D23" i="1"/>
  <c r="D24" i="1"/>
  <c r="B23" i="1"/>
  <c r="B24" i="1"/>
  <c r="B17" i="1"/>
  <c r="N23" i="1" l="1"/>
  <c r="L23" i="1"/>
  <c r="J23" i="1"/>
  <c r="H23" i="1"/>
  <c r="M15" i="2" l="1"/>
  <c r="L18" i="1" l="1"/>
  <c r="G7" i="2" l="1"/>
  <c r="F7" i="2"/>
  <c r="M9" i="2"/>
  <c r="L9" i="2"/>
  <c r="K9" i="2"/>
  <c r="E7" i="2"/>
  <c r="N73" i="1"/>
  <c r="L73" i="1"/>
  <c r="J73" i="1"/>
  <c r="H73" i="1"/>
  <c r="N72" i="1"/>
  <c r="L72" i="1"/>
  <c r="J72" i="1"/>
  <c r="H72" i="1"/>
  <c r="N71" i="1"/>
  <c r="L71" i="1"/>
  <c r="J71" i="1"/>
  <c r="H71" i="1"/>
  <c r="N70" i="1"/>
  <c r="L70" i="1"/>
  <c r="J70" i="1"/>
  <c r="H70" i="1"/>
  <c r="N69" i="1"/>
  <c r="L69" i="1"/>
  <c r="J69" i="1"/>
  <c r="H69" i="1"/>
  <c r="N68" i="1"/>
  <c r="L68" i="1"/>
  <c r="J68" i="1"/>
  <c r="H68" i="1"/>
  <c r="N67" i="1"/>
  <c r="L67" i="1"/>
  <c r="J67" i="1"/>
  <c r="H67" i="1"/>
  <c r="N66" i="1"/>
  <c r="L66" i="1"/>
  <c r="J66" i="1"/>
  <c r="H66" i="1"/>
  <c r="N65" i="1"/>
  <c r="L65" i="1"/>
  <c r="J65" i="1"/>
  <c r="H65" i="1"/>
  <c r="N64" i="1"/>
  <c r="L64" i="1"/>
  <c r="J64" i="1"/>
  <c r="H64" i="1"/>
  <c r="N63" i="1"/>
  <c r="L63" i="1"/>
  <c r="J63" i="1"/>
  <c r="H63" i="1"/>
  <c r="N62" i="1"/>
  <c r="L62" i="1"/>
  <c r="J62" i="1"/>
  <c r="H62" i="1"/>
  <c r="N61" i="1"/>
  <c r="L61" i="1"/>
  <c r="J61" i="1"/>
  <c r="H61" i="1"/>
  <c r="N59" i="1"/>
  <c r="L59" i="1"/>
  <c r="J59" i="1"/>
  <c r="H59" i="1"/>
  <c r="N58" i="1"/>
  <c r="L58" i="1"/>
  <c r="J58" i="1"/>
  <c r="H58" i="1"/>
  <c r="N57" i="1"/>
  <c r="L57" i="1"/>
  <c r="J57" i="1"/>
  <c r="H57" i="1"/>
  <c r="N56" i="1"/>
  <c r="L56" i="1"/>
  <c r="J56" i="1"/>
  <c r="H56" i="1"/>
  <c r="N55" i="1"/>
  <c r="L55" i="1"/>
  <c r="J55" i="1"/>
  <c r="H55" i="1"/>
  <c r="N54" i="1"/>
  <c r="L54" i="1"/>
  <c r="J54" i="1"/>
  <c r="H54" i="1"/>
  <c r="N53" i="1"/>
  <c r="L53" i="1"/>
  <c r="J53" i="1"/>
  <c r="H53" i="1"/>
  <c r="N52" i="1"/>
  <c r="L52" i="1"/>
  <c r="J52" i="1"/>
  <c r="H52" i="1"/>
  <c r="N51" i="1"/>
  <c r="L51" i="1"/>
  <c r="J51" i="1"/>
  <c r="H51" i="1"/>
  <c r="N50" i="1"/>
  <c r="L50" i="1"/>
  <c r="J50" i="1"/>
  <c r="H50" i="1"/>
  <c r="N49" i="1"/>
  <c r="L49" i="1"/>
  <c r="J49" i="1"/>
  <c r="H49" i="1"/>
  <c r="N48" i="1"/>
  <c r="L48" i="1"/>
  <c r="J48" i="1"/>
  <c r="H48" i="1"/>
  <c r="N47" i="1"/>
  <c r="L47" i="1"/>
  <c r="J47" i="1"/>
  <c r="H47" i="1"/>
  <c r="N45" i="1"/>
  <c r="L45" i="1"/>
  <c r="J45" i="1"/>
  <c r="H45" i="1"/>
  <c r="N43" i="1"/>
  <c r="L43" i="1"/>
  <c r="J43" i="1"/>
  <c r="H43" i="1"/>
  <c r="N42" i="1"/>
  <c r="L42" i="1"/>
  <c r="J42" i="1"/>
  <c r="H42" i="1"/>
  <c r="N41" i="1"/>
  <c r="L41" i="1"/>
  <c r="J41" i="1"/>
  <c r="H41" i="1"/>
  <c r="N40" i="1"/>
  <c r="L40" i="1"/>
  <c r="J40" i="1"/>
  <c r="H40" i="1"/>
  <c r="N30" i="1"/>
  <c r="L30" i="1"/>
  <c r="J30" i="1"/>
  <c r="H30" i="1"/>
  <c r="N29" i="1"/>
  <c r="L29" i="1"/>
  <c r="J29" i="1"/>
  <c r="H29" i="1"/>
  <c r="J18" i="1"/>
  <c r="H18" i="1"/>
  <c r="L17" i="1"/>
  <c r="H17" i="1"/>
  <c r="N13" i="1"/>
  <c r="L13" i="1"/>
  <c r="J13" i="1"/>
  <c r="H13" i="1"/>
  <c r="L11" i="1"/>
  <c r="H11" i="1"/>
  <c r="L9" i="1"/>
  <c r="H9" i="1"/>
  <c r="N8" i="1"/>
  <c r="L8" i="1"/>
  <c r="J8" i="1"/>
  <c r="H8" i="1"/>
  <c r="C6" i="3" l="1"/>
  <c r="K6" i="3" s="1"/>
  <c r="C8" i="3"/>
  <c r="O8" i="3" s="1"/>
  <c r="I6" i="3"/>
  <c r="I8" i="3"/>
  <c r="M8" i="3"/>
  <c r="Y8" i="3"/>
  <c r="N9" i="2"/>
  <c r="H7" i="2"/>
  <c r="U6" i="3" l="1"/>
  <c r="U8" i="3"/>
  <c r="G8" i="3"/>
  <c r="Q6" i="3"/>
  <c r="G6" i="3"/>
  <c r="W8" i="3"/>
  <c r="S8" i="3"/>
  <c r="K8" i="3"/>
  <c r="Q8" i="3"/>
  <c r="W6" i="3"/>
  <c r="S6" i="3"/>
  <c r="O6" i="3"/>
  <c r="M6" i="3"/>
  <c r="Y6" i="3"/>
  <c r="N12" i="1"/>
  <c r="J12" i="1"/>
  <c r="L12" i="1"/>
  <c r="H12" i="1"/>
  <c r="N11" i="1" l="1"/>
  <c r="J11" i="1"/>
  <c r="D4" i="1" l="1"/>
  <c r="D7" i="1"/>
  <c r="D17" i="1"/>
  <c r="D44" i="1"/>
  <c r="D39" i="1"/>
  <c r="D37" i="1"/>
  <c r="D35" i="1"/>
  <c r="D33" i="1"/>
  <c r="D5" i="1"/>
  <c r="D6" i="1"/>
  <c r="D46" i="1"/>
  <c r="D31" i="1"/>
  <c r="D38" i="1"/>
  <c r="D36" i="1"/>
  <c r="D34" i="1"/>
  <c r="D32" i="1"/>
  <c r="N4" i="1" l="1"/>
  <c r="L4" i="1"/>
  <c r="J4" i="1"/>
  <c r="H4" i="1"/>
  <c r="L34" i="1"/>
  <c r="H34" i="1"/>
  <c r="N34" i="1"/>
  <c r="J34" i="1"/>
  <c r="L36" i="1"/>
  <c r="H36" i="1"/>
  <c r="N36" i="1"/>
  <c r="J36" i="1"/>
  <c r="L38" i="1"/>
  <c r="H38" i="1"/>
  <c r="N38" i="1"/>
  <c r="J38" i="1"/>
  <c r="L31" i="1"/>
  <c r="H31" i="1"/>
  <c r="N31" i="1"/>
  <c r="J31" i="1"/>
  <c r="L46" i="1"/>
  <c r="H46" i="1"/>
  <c r="N46" i="1"/>
  <c r="J46" i="1"/>
  <c r="L6" i="1"/>
  <c r="N6" i="1"/>
  <c r="J6" i="1"/>
  <c r="H6" i="1"/>
  <c r="L5" i="1"/>
  <c r="N5" i="1"/>
  <c r="H5" i="1"/>
  <c r="J5" i="1"/>
  <c r="L33" i="1"/>
  <c r="H33" i="1"/>
  <c r="N33" i="1"/>
  <c r="J33" i="1"/>
  <c r="L35" i="1"/>
  <c r="H35" i="1"/>
  <c r="N35" i="1"/>
  <c r="J35" i="1"/>
  <c r="L37" i="1"/>
  <c r="H37" i="1"/>
  <c r="N37" i="1"/>
  <c r="J37" i="1"/>
  <c r="L39" i="1"/>
  <c r="H39" i="1"/>
  <c r="N39" i="1"/>
  <c r="J39" i="1"/>
  <c r="L44" i="1"/>
  <c r="H44" i="1"/>
  <c r="N44" i="1"/>
  <c r="J44" i="1"/>
  <c r="N17" i="1"/>
  <c r="J17" i="1"/>
  <c r="L7" i="1"/>
  <c r="N7" i="1"/>
  <c r="H7" i="1"/>
  <c r="J7" i="1"/>
  <c r="L32" i="1"/>
  <c r="H32" i="1"/>
  <c r="N32" i="1"/>
  <c r="J32" i="1"/>
  <c r="D22" i="1" l="1"/>
  <c r="D19" i="1"/>
  <c r="D20" i="1"/>
  <c r="D21" i="1"/>
  <c r="B7" i="1"/>
  <c r="N21" i="1" l="1"/>
  <c r="J21" i="1"/>
  <c r="L21" i="1"/>
  <c r="H21" i="1"/>
  <c r="N20" i="1"/>
  <c r="J20" i="1"/>
  <c r="L20" i="1"/>
  <c r="H20" i="1"/>
  <c r="N19" i="1"/>
  <c r="J19" i="1"/>
  <c r="L19" i="1"/>
  <c r="H19" i="1"/>
  <c r="N22" i="1"/>
  <c r="J22" i="1"/>
  <c r="L22" i="1"/>
  <c r="H22" i="1"/>
  <c r="L14" i="1" l="1"/>
  <c r="H14" i="1"/>
  <c r="N14" i="1"/>
  <c r="J14" i="1"/>
  <c r="L15" i="1"/>
  <c r="H15" i="1"/>
  <c r="N15" i="1"/>
  <c r="J15" i="1"/>
  <c r="L10" i="1"/>
  <c r="H10" i="1"/>
  <c r="N10" i="1"/>
  <c r="J10" i="1"/>
  <c r="D25" i="1" l="1"/>
  <c r="L25" i="1" l="1"/>
  <c r="H25" i="1"/>
  <c r="N25" i="1"/>
  <c r="J25" i="1"/>
  <c r="D28" i="1" l="1"/>
  <c r="D27" i="1"/>
  <c r="D26" i="1"/>
  <c r="L26" i="1" l="1"/>
  <c r="H26" i="1"/>
  <c r="N26" i="1"/>
  <c r="J26" i="1"/>
  <c r="L27" i="1"/>
  <c r="H27" i="1"/>
  <c r="N27" i="1"/>
  <c r="J27" i="1"/>
  <c r="L28" i="1"/>
  <c r="H28" i="1"/>
  <c r="N28" i="1"/>
  <c r="J28" i="1"/>
  <c r="D16" i="1" l="1"/>
  <c r="B16" i="1" l="1"/>
  <c r="N16" i="1"/>
  <c r="J16" i="1"/>
  <c r="L16" i="1"/>
  <c r="H16" i="1"/>
  <c r="K74" i="1" l="1"/>
  <c r="B6" i="1"/>
  <c r="G74" i="1"/>
  <c r="B5" i="1" l="1"/>
  <c r="D18" i="1" l="1"/>
  <c r="N18" i="1" s="1"/>
  <c r="B18" i="1" l="1"/>
  <c r="B21" i="1" l="1"/>
  <c r="B4" i="1"/>
  <c r="B22" i="1"/>
  <c r="B19" i="1"/>
  <c r="B20" i="1"/>
  <c r="N9" i="1" l="1"/>
  <c r="C9" i="3" s="1"/>
  <c r="J9" i="1"/>
  <c r="C7" i="3" s="1"/>
  <c r="K7" i="3" l="1"/>
  <c r="M7" i="3"/>
  <c r="S7" i="3"/>
  <c r="W7" i="3"/>
  <c r="I7" i="3"/>
  <c r="Q7" i="3"/>
  <c r="Y7" i="3"/>
  <c r="O7" i="3"/>
  <c r="U7" i="3"/>
  <c r="G7" i="3"/>
  <c r="I9" i="3"/>
  <c r="K9" i="3" s="1"/>
  <c r="M9" i="3" s="1"/>
  <c r="G9" i="3"/>
  <c r="O9" i="3"/>
  <c r="Q9" i="3" s="1"/>
  <c r="S9" i="3" s="1"/>
  <c r="U9" i="3" s="1"/>
  <c r="W9" i="3" s="1"/>
  <c r="Y9" i="3" s="1"/>
  <c r="I74" i="1"/>
  <c r="M74" i="1"/>
  <c r="F10" i="3" l="1"/>
  <c r="F12" i="3" s="1"/>
  <c r="N10" i="3"/>
  <c r="N12" i="3" s="1"/>
  <c r="P10" i="3"/>
  <c r="P12" i="3" s="1"/>
  <c r="V10" i="3"/>
  <c r="V12" i="3" s="1"/>
  <c r="L10" i="3"/>
  <c r="L12" i="3" s="1"/>
  <c r="T10" i="3"/>
  <c r="T12" i="3" s="1"/>
  <c r="X10" i="3"/>
  <c r="X12" i="3" s="1"/>
  <c r="H10" i="3"/>
  <c r="H12" i="3" s="1"/>
  <c r="R10" i="3"/>
  <c r="R12" i="3" s="1"/>
  <c r="J10" i="3"/>
  <c r="J12" i="3" s="1"/>
</calcChain>
</file>

<file path=xl/sharedStrings.xml><?xml version="1.0" encoding="utf-8"?>
<sst xmlns="http://schemas.openxmlformats.org/spreadsheetml/2006/main" count="457" uniqueCount="200">
  <si>
    <t>RECURSOS</t>
  </si>
  <si>
    <t>VALOR BRUTO</t>
  </si>
  <si>
    <t>BASE ASIGNACIÓN</t>
  </si>
  <si>
    <t>VALOR TOTAL POR CENTRO DE COSTOS</t>
  </si>
  <si>
    <t>INDUCTOR  PRIMARIO</t>
  </si>
  <si>
    <t>CANTIDAD TOTAL</t>
  </si>
  <si>
    <t>ACTIVIDADES</t>
  </si>
  <si>
    <t>1. ATENCIÓN AL CLIENTE</t>
  </si>
  <si>
    <t>2. RECEPCIÓN DE DATOS</t>
  </si>
  <si>
    <t>3. COBRO DE SERVICIO</t>
  </si>
  <si>
    <t>4. IMPRESIÓN DE  FACTURA</t>
  </si>
  <si>
    <t>CIF</t>
  </si>
  <si>
    <t>CANTIDAD</t>
  </si>
  <si>
    <t>COSTOS DISTRIBUIDO</t>
  </si>
  <si>
    <t>IMPUESTO PREDIAL</t>
  </si>
  <si>
    <t>Porcentaje por área</t>
  </si>
  <si>
    <t>IMPUESTO DE INDUSTRIA Y COMERCIO</t>
  </si>
  <si>
    <t>Distribución equitativa</t>
  </si>
  <si>
    <t>IMPUESTO CREE</t>
  </si>
  <si>
    <t>IMPUESTO DE RENTA</t>
  </si>
  <si>
    <t>SERVICIO  ACUEDUCTO</t>
  </si>
  <si>
    <t>Consumo M³</t>
  </si>
  <si>
    <t>SERVICIO DE ENERGIA ELÉCTRICA</t>
  </si>
  <si>
    <t>Consumo KWH</t>
  </si>
  <si>
    <t>SERVICIO DE TELÉFONO</t>
  </si>
  <si>
    <t>SERVICIO DE INTERNET</t>
  </si>
  <si>
    <t>SERVICIO DE PARABÓLICA</t>
  </si>
  <si>
    <t>Directo al área</t>
  </si>
  <si>
    <t>SERVICIO DE ASEO Y VIGILANCIA</t>
  </si>
  <si>
    <t>SERVICIO TRANSPORTE, FLETES Y ACARREOS</t>
  </si>
  <si>
    <t>ARRIENDOS</t>
  </si>
  <si>
    <t>ARRIENDO DEL SILOG</t>
  </si>
  <si>
    <t>PAPELERIA</t>
  </si>
  <si>
    <t>MANTENIMIENTO DE MAQUINARIA Y EQUIPO</t>
  </si>
  <si>
    <t>MANTENIMIENTO DE EQUIPOS DE OFICINA</t>
  </si>
  <si>
    <t>MANTENIMIENTO DE EQUIPO DE COMPUTACIÓN Y COMUNICACIÓN</t>
  </si>
  <si>
    <t>MANTENIMIENTO DE CONSTRUCCIÓN Y EDIFICACIÓN</t>
  </si>
  <si>
    <t>MANTENIMIENTO CHALUPA</t>
  </si>
  <si>
    <t>DEPRECIACIÓN DE EDIFICACIONES</t>
  </si>
  <si>
    <t>DEPRECIACIÓN DE EQUIPO DE COMPUTACIÓN Y COMUNICACIÓN</t>
  </si>
  <si>
    <t>DEPRECIACIÓN DE MAQUINARIA Y EQUIPO</t>
  </si>
  <si>
    <t>DEPRECIACIÓN DE EQUIPO DE OFICINA</t>
  </si>
  <si>
    <t>PÓLIZA DE CUMPLIMIENTO</t>
  </si>
  <si>
    <t>PÓLIZA DE ACCIDENTES DE TRÁNSITO</t>
  </si>
  <si>
    <t>AGENTE GAMARRA</t>
  </si>
  <si>
    <t>Horas de mano de obra indirecta</t>
  </si>
  <si>
    <t>AGENTE AGUACHICA</t>
  </si>
  <si>
    <t>AGENTE GIRÓN</t>
  </si>
  <si>
    <t>AGENTE CERRO DE BURGOS</t>
  </si>
  <si>
    <t>AGENTE PUERTO WILCHES</t>
  </si>
  <si>
    <t>REVISOR FISCAL</t>
  </si>
  <si>
    <t>ASESOR JURÍDICO</t>
  </si>
  <si>
    <t>ASESORA FINANCIERA</t>
  </si>
  <si>
    <t>ASESORA TÉCNICA</t>
  </si>
  <si>
    <t>TURNO ENCOMIENDAS</t>
  </si>
  <si>
    <t>TURNO VIGILANCIA</t>
  </si>
  <si>
    <t>DOMICILIOS</t>
  </si>
  <si>
    <t>TURNO SIMITÍ</t>
  </si>
  <si>
    <t>TURNO SAN PABLO</t>
  </si>
  <si>
    <t>TURNO TERMINAL</t>
  </si>
  <si>
    <t>SALARIO GERENTE GENERAL</t>
  </si>
  <si>
    <t>SALARIO AUXILIAR CONTABLE</t>
  </si>
  <si>
    <t>SALARIO JEFE DE TRANSPORTE</t>
  </si>
  <si>
    <t>SALARIO SECRETARIA GENERAL</t>
  </si>
  <si>
    <t>SALARIO CONTADOR</t>
  </si>
  <si>
    <t>SALARIO SECRETARIA</t>
  </si>
  <si>
    <t>SALARIO TESORERA GENERAL</t>
  </si>
  <si>
    <t>SALARIO AUXILIAR DE SERVICIOS GENERALES</t>
  </si>
  <si>
    <t>SALARIO VIGILANTE</t>
  </si>
  <si>
    <t>MANO DE OBRA DIRECTA</t>
  </si>
  <si>
    <t>JEFE DE RUTAS</t>
  </si>
  <si>
    <t>JEFE DE ENCOMIENDAS</t>
  </si>
  <si>
    <t>AUXILIAR LOGISTICO DE PASAJES</t>
  </si>
  <si>
    <t>AUXILIAR DE GIROS</t>
  </si>
  <si>
    <t>AUXILIAR DE BODEGA</t>
  </si>
  <si>
    <t>AUXILIAR LOGISTICO DE PASAJES Y ENCOMIENDAS</t>
  </si>
  <si>
    <t>AUXILIAR LOGISTICO DE ENCOMIENDAS</t>
  </si>
  <si>
    <t>COORDINADORA GIROS BGA</t>
  </si>
  <si>
    <t>AUXILIAR LOGISTICO DE ENCOMIENDAS Y PASAJES</t>
  </si>
  <si>
    <t>AUXILIAR DE PASAJES</t>
  </si>
  <si>
    <t>AUXILIAR LOGISTICA DE PASAJES Y ENCOMIENDAS</t>
  </si>
  <si>
    <t>AUXILIAR ENCOMIENDAS</t>
  </si>
  <si>
    <t>COSTO TOTAL POR ACTIVIDAD</t>
  </si>
  <si>
    <t>ENERGÍA ENERO</t>
  </si>
  <si>
    <t>KW/MENSUALES</t>
  </si>
  <si>
    <t>KW CONSUMIDOS</t>
  </si>
  <si>
    <t xml:space="preserve">VALOR PAGADO </t>
  </si>
  <si>
    <t>ENERO</t>
  </si>
  <si>
    <t>FEBRERO</t>
  </si>
  <si>
    <t>MARZO</t>
  </si>
  <si>
    <t xml:space="preserve">PROMEDIO </t>
  </si>
  <si>
    <t>PROMEDIO</t>
  </si>
  <si>
    <t>ENCOMIENDAS GENERADAS</t>
  </si>
  <si>
    <t>ENCOMIENDAS RECLAMADAS</t>
  </si>
  <si>
    <t>ENERGÍA FEBRERO</t>
  </si>
  <si>
    <t xml:space="preserve">TOTAL </t>
  </si>
  <si>
    <t>1 ROLLO</t>
  </si>
  <si>
    <t xml:space="preserve">1 ROLLO </t>
  </si>
  <si>
    <t>1 ENCOMIENDA</t>
  </si>
  <si>
    <t xml:space="preserve">20 CM </t>
  </si>
  <si>
    <t>x ROLLO</t>
  </si>
  <si>
    <t>ENERGÍA MARZO</t>
  </si>
  <si>
    <t xml:space="preserve"> </t>
  </si>
  <si>
    <t>ROLLOS</t>
  </si>
  <si>
    <t>ACUEDUCTO ENERO</t>
  </si>
  <si>
    <t xml:space="preserve"> M³/MENSUALES</t>
  </si>
  <si>
    <t>CONSUMO EN  M³</t>
  </si>
  <si>
    <t>ACUEDUCTO FEBRERO</t>
  </si>
  <si>
    <t>ACUEDUCTO MARZO</t>
  </si>
  <si>
    <t>FACTOR DE PONDERACIÓN</t>
  </si>
  <si>
    <t>CANTIDAD DEL INDUCTOR</t>
  </si>
  <si>
    <t>ACTIVIDAD</t>
  </si>
  <si>
    <t>INDUCTOR SECUNDARIO</t>
  </si>
  <si>
    <t>Número de productos vendidos * Factor de ponderación</t>
  </si>
  <si>
    <t>COSTO DISTRIBUIDO</t>
  </si>
  <si>
    <t>Cobro por el servicio</t>
  </si>
  <si>
    <t>Llegada del cliente</t>
  </si>
  <si>
    <t xml:space="preserve">4800 CM </t>
  </si>
  <si>
    <t>Encomiendas</t>
  </si>
  <si>
    <t>MANTENIMIENTO DE FLOTA Y EQUIPO DE TRANSPORTE</t>
  </si>
  <si>
    <t>TURNO SANTA ROSA ENCOM Y PASAJES</t>
  </si>
  <si>
    <t>TURNO PASAJES SANTA ROSA</t>
  </si>
  <si>
    <t>TURNO SANTA ROSA ENCOMIENDAS</t>
  </si>
  <si>
    <t>TURNO SANTA  ROSA ENCOMIENDAS</t>
  </si>
  <si>
    <t>SUCURSAL DE ORIGEN</t>
  </si>
  <si>
    <t>SUCURSAL DE DESTINO</t>
  </si>
  <si>
    <t>KILÓMETROS</t>
  </si>
  <si>
    <t>Aguachica</t>
  </si>
  <si>
    <t>Santa Rosa</t>
  </si>
  <si>
    <t>Bucaramanga</t>
  </si>
  <si>
    <t>San Pablo</t>
  </si>
  <si>
    <t>Simití</t>
  </si>
  <si>
    <t>Puerto Wilches</t>
  </si>
  <si>
    <t>Gamarra</t>
  </si>
  <si>
    <t>TELÉFONO MÓVIL</t>
  </si>
  <si>
    <t>ORIGEN - DESTINO</t>
  </si>
  <si>
    <t>Puerto Wilches - Santa Rosa</t>
  </si>
  <si>
    <t>CANTIDAD DE ENCOMIENDAS ENVIADAS</t>
  </si>
  <si>
    <t>Recepción de datos</t>
  </si>
  <si>
    <t>Impresión de factura</t>
  </si>
  <si>
    <t>NÚMERO DE PRODUCTOS VENDIDOS</t>
  </si>
  <si>
    <t>Aguachica - Santa Rosa</t>
  </si>
  <si>
    <t>Bucaramanga - Santa Rosa</t>
  </si>
  <si>
    <t>Bucaramanga - San Pablo</t>
  </si>
  <si>
    <t>Bucaramanga - Simití</t>
  </si>
  <si>
    <t>Bucaramanga - Puerto Wilches</t>
  </si>
  <si>
    <t>Bucaramanga - Aguachica</t>
  </si>
  <si>
    <t>Bucaramanga - Gamarra</t>
  </si>
  <si>
    <t>Gamarra - Santa Rosa</t>
  </si>
  <si>
    <t>San Pablo - Santa Rosa</t>
  </si>
  <si>
    <t>SERVICIO</t>
  </si>
  <si>
    <t>BASE DE ASIGANCIÓN</t>
  </si>
  <si>
    <t>BUCARAMANGA VGA  - SANTA ROSA</t>
  </si>
  <si>
    <t>BUCARAMANGA - GAMARRA</t>
  </si>
  <si>
    <t>BUCARAMANGA - AGUACHICA</t>
  </si>
  <si>
    <t>PUERTO WILCHES - SANTA ROSA</t>
  </si>
  <si>
    <t>CANTIDAD INDUCTOR N°2</t>
  </si>
  <si>
    <t>1. Llegada del cliente</t>
  </si>
  <si>
    <t>N° de Productos Vendidos* Factor de Ponderación</t>
  </si>
  <si>
    <t>2. Recepción de datos</t>
  </si>
  <si>
    <t>3. Cobro del servicio</t>
  </si>
  <si>
    <t>4. Impresión de factura</t>
  </si>
  <si>
    <t>COSTO DE MANO DE OBRA Y CIF</t>
  </si>
  <si>
    <t>COSTOS POR MANO DE OBRA Y CIF UNITARIO</t>
  </si>
  <si>
    <t>AGUACHICA - SANTA ROSA</t>
  </si>
  <si>
    <t>BUCARAMANGA - SAN PABLO</t>
  </si>
  <si>
    <t>BUCARAMANGA - SIMITÍ</t>
  </si>
  <si>
    <t>BUCARAMANGA - PUERTO WILCHES</t>
  </si>
  <si>
    <t>GAMARRA - SANTA ROSA</t>
  </si>
  <si>
    <t>SAN PABLO - SANTA ROSA</t>
  </si>
  <si>
    <t>ACPM</t>
  </si>
  <si>
    <t>VIÁTICOS</t>
  </si>
  <si>
    <t>PEAJES</t>
  </si>
  <si>
    <t>MANTENIMIENTO</t>
  </si>
  <si>
    <t>SALARIO CONDUCTOR</t>
  </si>
  <si>
    <t>PÓLIZAS</t>
  </si>
  <si>
    <t>DEPRECIACIÓN</t>
  </si>
  <si>
    <t>TOTAL</t>
  </si>
  <si>
    <t>FURGÓN 1</t>
  </si>
  <si>
    <t>FURGÓN 2</t>
  </si>
  <si>
    <t>FURGÓN 3</t>
  </si>
  <si>
    <t>252 Km</t>
  </si>
  <si>
    <t>171 Km</t>
  </si>
  <si>
    <t>237 Km</t>
  </si>
  <si>
    <t>81 Km</t>
  </si>
  <si>
    <t>FACTOR ESTIBA</t>
  </si>
  <si>
    <t>KM recorridos</t>
  </si>
  <si>
    <t>10000 kg = 6mX8mX4m</t>
  </si>
  <si>
    <t>7000 kg =6mx6mx4m</t>
  </si>
  <si>
    <t>5000 kg = 6mx5mx4m</t>
  </si>
  <si>
    <t>Peso (kg)</t>
  </si>
  <si>
    <t>Volumen (m3)</t>
  </si>
  <si>
    <t>DESTINO</t>
  </si>
  <si>
    <t>ORIGEN</t>
  </si>
  <si>
    <t>Precio por Kg</t>
  </si>
  <si>
    <t>TARIFAS POR DESTINO</t>
  </si>
  <si>
    <t>Tarifa Mínima sobres</t>
  </si>
  <si>
    <t>Tarifa Mínima paquetes</t>
  </si>
  <si>
    <t>Flete fijo</t>
  </si>
  <si>
    <t>Flete de manejo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</si>
</sst>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_([$$-240A]\ * #,##0_);_([$$-240A]\ * \(#,##0\);_([$$-240A]\ * &quot;-&quot;??_);_(@_)"/>
    <numFmt numFmtId="166" formatCode="_(&quot;$&quot;* #,##0.00_);_(&quot;$&quot;* \(#,##0.00\);_(&quot;$&quot;* &quot;-&quot;??_);_(@_)"/>
    <numFmt numFmtId="167" formatCode="0.0000"/>
    <numFmt numFmtId="168" formatCode="_-&quot;$&quot;* #,##0.00_-;\-&quot;$&quot;* #,##0.00_-;_-&quot;$&quot;* &quot;-&quot;_-;_-@_-"/>
    <numFmt numFmtId="169" formatCode="0.00000"/>
    <numFmt numFmtId="170" formatCode="_-&quot;$&quot;* #,##0.000_-;\-&quot;$&quot;* #,##0.000_-;_-&quot;$&quot;* &quot;-&quot;_-;_-@_-"/>
    <numFmt numFmtId="171" formatCode="_-&quot;$&quot;* #,##0.0000_-;\-&quot;$&quot;* #,##0.0000_-;_-&quot;$&quot;* &quot;-&quot;_-;_-@_-"/>
    <numFmt numFmtId="172" formatCode="_-&quot;$&quot;* #,##0_-;\-&quot;$&quot;* #,##0_-;_-&quot;$&quot;* &quot;-&quot;?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8">
    <xf numFmtId="0" fontId="0" fillId="0" borderId="0" xfId="0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2" fontId="0" fillId="0" borderId="1" xfId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42" fontId="0" fillId="0" borderId="5" xfId="1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42" fontId="0" fillId="0" borderId="5" xfId="1" applyFont="1" applyBorder="1" applyAlignment="1">
      <alignment horizontal="center" vertical="center"/>
    </xf>
    <xf numFmtId="42" fontId="0" fillId="0" borderId="14" xfId="1" applyFont="1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center" wrapText="1"/>
    </xf>
    <xf numFmtId="42" fontId="0" fillId="0" borderId="10" xfId="1" applyFont="1" applyBorder="1" applyAlignment="1">
      <alignment vertical="center"/>
    </xf>
    <xf numFmtId="0" fontId="0" fillId="0" borderId="0" xfId="0" applyFont="1" applyFill="1"/>
    <xf numFmtId="0" fontId="0" fillId="0" borderId="0" xfId="0" applyFill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5" fontId="2" fillId="0" borderId="14" xfId="0" applyNumberFormat="1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1" fontId="0" fillId="0" borderId="14" xfId="0" applyNumberFormat="1" applyFont="1" applyFill="1" applyBorder="1" applyAlignment="1">
      <alignment horizontal="center"/>
    </xf>
    <xf numFmtId="165" fontId="0" fillId="0" borderId="7" xfId="0" applyNumberFormat="1" applyFont="1" applyFill="1" applyBorder="1" applyAlignment="1">
      <alignment horizontal="center"/>
    </xf>
    <xf numFmtId="1" fontId="0" fillId="0" borderId="11" xfId="0" applyNumberFormat="1" applyFont="1" applyFill="1" applyBorder="1" applyAlignment="1">
      <alignment horizontal="center"/>
    </xf>
    <xf numFmtId="0" fontId="2" fillId="0" borderId="11" xfId="0" applyFont="1" applyFill="1" applyBorder="1"/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" fillId="0" borderId="14" xfId="0" applyFont="1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65" fontId="0" fillId="0" borderId="0" xfId="0" applyNumberFormat="1" applyFont="1" applyFill="1"/>
    <xf numFmtId="0" fontId="2" fillId="0" borderId="8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11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165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/>
    </xf>
    <xf numFmtId="166" fontId="0" fillId="0" borderId="0" xfId="0" applyNumberFormat="1" applyFill="1" applyBorder="1"/>
    <xf numFmtId="1" fontId="0" fillId="0" borderId="0" xfId="0" applyNumberFormat="1" applyFill="1" applyBorder="1"/>
    <xf numFmtId="9" fontId="0" fillId="0" borderId="0" xfId="3" applyFont="1" applyFill="1" applyBorder="1" applyAlignment="1">
      <alignment horizontal="center"/>
    </xf>
    <xf numFmtId="164" fontId="0" fillId="0" borderId="5" xfId="2" applyNumberFormat="1" applyFont="1" applyBorder="1" applyAlignment="1">
      <alignment vertical="center"/>
    </xf>
    <xf numFmtId="42" fontId="0" fillId="0" borderId="3" xfId="1" applyFont="1" applyBorder="1" applyAlignment="1">
      <alignment vertical="center"/>
    </xf>
    <xf numFmtId="42" fontId="0" fillId="0" borderId="0" xfId="1" applyFont="1" applyBorder="1" applyAlignment="1">
      <alignment vertical="center"/>
    </xf>
    <xf numFmtId="42" fontId="0" fillId="0" borderId="15" xfId="1" applyFont="1" applyBorder="1" applyAlignment="1">
      <alignment vertical="center"/>
    </xf>
    <xf numFmtId="0" fontId="0" fillId="0" borderId="0" xfId="0" applyFont="1" applyFill="1" applyBorder="1"/>
    <xf numFmtId="0" fontId="0" fillId="0" borderId="14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5" xfId="0" applyBorder="1"/>
    <xf numFmtId="0" fontId="0" fillId="0" borderId="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65" fontId="0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44" fontId="0" fillId="0" borderId="0" xfId="2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1" xfId="2" applyNumberFormat="1" applyFont="1" applyFill="1" applyBorder="1" applyAlignment="1">
      <alignment horizontal="center"/>
    </xf>
    <xf numFmtId="1" fontId="0" fillId="0" borderId="5" xfId="2" applyNumberFormat="1" applyFont="1" applyFill="1" applyBorder="1" applyAlignment="1">
      <alignment horizontal="center"/>
    </xf>
    <xf numFmtId="1" fontId="0" fillId="0" borderId="14" xfId="2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4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42" fontId="0" fillId="0" borderId="5" xfId="0" applyNumberFormat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42" fontId="0" fillId="0" borderId="14" xfId="0" applyNumberForma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2" fillId="0" borderId="0" xfId="0" applyFont="1"/>
    <xf numFmtId="0" fontId="2" fillId="0" borderId="0" xfId="0" applyFont="1" applyBorder="1" applyAlignment="1"/>
    <xf numFmtId="169" fontId="0" fillId="0" borderId="1" xfId="0" applyNumberFormat="1" applyFill="1" applyBorder="1" applyAlignment="1">
      <alignment horizontal="center"/>
    </xf>
    <xf numFmtId="169" fontId="0" fillId="0" borderId="5" xfId="0" applyNumberFormat="1" applyFill="1" applyBorder="1" applyAlignment="1">
      <alignment horizontal="center"/>
    </xf>
    <xf numFmtId="169" fontId="0" fillId="0" borderId="14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42" fontId="0" fillId="0" borderId="2" xfId="1" applyFont="1" applyBorder="1" applyAlignment="1">
      <alignment horizontal="center" vertical="center"/>
    </xf>
    <xf numFmtId="42" fontId="0" fillId="0" borderId="12" xfId="1" applyFont="1" applyBorder="1" applyAlignment="1">
      <alignment horizontal="center" vertical="center"/>
    </xf>
    <xf numFmtId="42" fontId="0" fillId="0" borderId="6" xfId="1" applyFont="1" applyBorder="1" applyAlignment="1">
      <alignment horizontal="center" vertical="center"/>
    </xf>
    <xf numFmtId="171" fontId="0" fillId="0" borderId="1" xfId="1" applyNumberFormat="1" applyFont="1" applyBorder="1" applyAlignment="1">
      <alignment horizontal="center" vertical="center"/>
    </xf>
    <xf numFmtId="171" fontId="0" fillId="0" borderId="5" xfId="1" applyNumberFormat="1" applyFont="1" applyBorder="1" applyAlignment="1">
      <alignment horizontal="center" vertical="center"/>
    </xf>
    <xf numFmtId="171" fontId="0" fillId="0" borderId="14" xfId="1" applyNumberFormat="1" applyFont="1" applyBorder="1" applyAlignment="1">
      <alignment horizontal="center" vertical="center"/>
    </xf>
    <xf numFmtId="171" fontId="0" fillId="0" borderId="2" xfId="1" applyNumberFormat="1" applyFont="1" applyBorder="1" applyAlignment="1">
      <alignment horizontal="center" vertical="center"/>
    </xf>
    <xf numFmtId="171" fontId="0" fillId="0" borderId="12" xfId="1" applyNumberFormat="1" applyFont="1" applyBorder="1" applyAlignment="1">
      <alignment horizontal="center" vertical="center"/>
    </xf>
    <xf numFmtId="171" fontId="0" fillId="0" borderId="6" xfId="1" applyNumberFormat="1" applyFont="1" applyBorder="1" applyAlignment="1">
      <alignment horizontal="center" vertical="center"/>
    </xf>
    <xf numFmtId="170" fontId="0" fillId="0" borderId="2" xfId="1" applyNumberFormat="1" applyFont="1" applyBorder="1" applyAlignment="1">
      <alignment horizontal="center" vertical="center"/>
    </xf>
    <xf numFmtId="170" fontId="0" fillId="0" borderId="12" xfId="1" applyNumberFormat="1" applyFont="1" applyBorder="1" applyAlignment="1">
      <alignment horizontal="center" vertical="center"/>
    </xf>
    <xf numFmtId="170" fontId="0" fillId="0" borderId="6" xfId="1" applyNumberFormat="1" applyFont="1" applyBorder="1" applyAlignment="1">
      <alignment horizontal="center" vertical="center"/>
    </xf>
    <xf numFmtId="170" fontId="0" fillId="0" borderId="1" xfId="1" applyNumberFormat="1" applyFont="1" applyBorder="1" applyAlignment="1">
      <alignment horizontal="center" vertical="center"/>
    </xf>
    <xf numFmtId="170" fontId="0" fillId="0" borderId="5" xfId="1" applyNumberFormat="1" applyFont="1" applyBorder="1" applyAlignment="1">
      <alignment horizontal="center" vertical="center"/>
    </xf>
    <xf numFmtId="170" fontId="0" fillId="0" borderId="14" xfId="1" applyNumberFormat="1" applyFont="1" applyBorder="1" applyAlignment="1">
      <alignment horizontal="center" vertical="center"/>
    </xf>
    <xf numFmtId="42" fontId="0" fillId="0" borderId="5" xfId="1" applyFont="1" applyFill="1" applyBorder="1" applyAlignment="1">
      <alignment vertical="center"/>
    </xf>
    <xf numFmtId="0" fontId="0" fillId="0" borderId="0" xfId="0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2" fontId="0" fillId="0" borderId="11" xfId="1" applyFont="1" applyBorder="1" applyAlignment="1">
      <alignment vertical="center"/>
    </xf>
    <xf numFmtId="0" fontId="2" fillId="5" borderId="11" xfId="0" applyFont="1" applyFill="1" applyBorder="1" applyAlignment="1">
      <alignment horizontal="center"/>
    </xf>
    <xf numFmtId="0" fontId="0" fillId="3" borderId="1" xfId="0" applyFill="1" applyBorder="1"/>
    <xf numFmtId="0" fontId="0" fillId="3" borderId="5" xfId="0" applyFill="1" applyBorder="1"/>
    <xf numFmtId="0" fontId="0" fillId="3" borderId="14" xfId="0" applyFill="1" applyBorder="1"/>
    <xf numFmtId="0" fontId="2" fillId="5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1" fontId="2" fillId="4" borderId="1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left" vertical="center"/>
    </xf>
    <xf numFmtId="166" fontId="0" fillId="5" borderId="5" xfId="0" applyNumberFormat="1" applyFill="1" applyBorder="1" applyAlignment="1">
      <alignment horizontal="left" vertical="center"/>
    </xf>
    <xf numFmtId="166" fontId="0" fillId="5" borderId="14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14" xfId="0" applyFill="1" applyBorder="1"/>
    <xf numFmtId="0" fontId="0" fillId="2" borderId="14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1" xfId="0" applyFont="1" applyBorder="1"/>
    <xf numFmtId="42" fontId="0" fillId="0" borderId="4" xfId="1" applyFont="1" applyBorder="1"/>
    <xf numFmtId="0" fontId="2" fillId="0" borderId="5" xfId="0" applyFont="1" applyBorder="1"/>
    <xf numFmtId="42" fontId="0" fillId="0" borderId="13" xfId="1" applyFont="1" applyBorder="1"/>
    <xf numFmtId="0" fontId="2" fillId="0" borderId="14" xfId="0" applyFont="1" applyBorder="1"/>
    <xf numFmtId="42" fontId="0" fillId="0" borderId="7" xfId="1" applyFont="1" applyBorder="1"/>
    <xf numFmtId="42" fontId="0" fillId="0" borderId="1" xfId="1" applyFont="1" applyBorder="1"/>
    <xf numFmtId="42" fontId="0" fillId="0" borderId="5" xfId="0" applyNumberFormat="1" applyFill="1" applyBorder="1"/>
    <xf numFmtId="42" fontId="0" fillId="0" borderId="14" xfId="1" applyFont="1" applyBorder="1"/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2" fontId="0" fillId="0" borderId="5" xfId="1" applyFont="1" applyBorder="1"/>
    <xf numFmtId="42" fontId="0" fillId="0" borderId="0" xfId="0" applyNumberFormat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8" xfId="0" applyFont="1" applyFill="1" applyBorder="1" applyAlignment="1"/>
    <xf numFmtId="0" fontId="2" fillId="0" borderId="0" xfId="0" applyFont="1" applyFill="1" applyBorder="1" applyAlignment="1"/>
    <xf numFmtId="42" fontId="2" fillId="0" borderId="0" xfId="0" applyNumberFormat="1" applyFont="1" applyFill="1" applyBorder="1" applyAlignment="1"/>
    <xf numFmtId="172" fontId="0" fillId="0" borderId="0" xfId="0" applyNumberFormat="1"/>
    <xf numFmtId="164" fontId="0" fillId="0" borderId="0" xfId="0" applyNumberFormat="1"/>
    <xf numFmtId="0" fontId="2" fillId="0" borderId="11" xfId="0" applyFont="1" applyFill="1" applyBorder="1" applyAlignment="1"/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0" fillId="0" borderId="0" xfId="2" applyNumberFormat="1" applyFont="1"/>
    <xf numFmtId="42" fontId="0" fillId="0" borderId="0" xfId="0" applyNumberFormat="1" applyBorder="1"/>
    <xf numFmtId="0" fontId="2" fillId="5" borderId="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42" fontId="2" fillId="5" borderId="6" xfId="0" applyNumberFormat="1" applyFont="1" applyFill="1" applyBorder="1" applyAlignment="1">
      <alignment horizontal="center" vertical="center"/>
    </xf>
    <xf numFmtId="42" fontId="2" fillId="5" borderId="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68" fontId="2" fillId="2" borderId="8" xfId="0" applyNumberFormat="1" applyFont="1" applyFill="1" applyBorder="1" applyAlignment="1">
      <alignment horizontal="center" vertical="center"/>
    </xf>
    <xf numFmtId="168" fontId="2" fillId="2" borderId="10" xfId="0" applyNumberFormat="1" applyFont="1" applyFill="1" applyBorder="1" applyAlignment="1">
      <alignment horizontal="center" vertical="center"/>
    </xf>
    <xf numFmtId="168" fontId="2" fillId="2" borderId="9" xfId="0" applyNumberFormat="1" applyFont="1" applyFill="1" applyBorder="1" applyAlignment="1">
      <alignment horizontal="center" vertical="center"/>
    </xf>
    <xf numFmtId="42" fontId="2" fillId="2" borderId="6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8" fontId="2" fillId="2" borderId="6" xfId="0" applyNumberFormat="1" applyFont="1" applyFill="1" applyBorder="1" applyAlignment="1">
      <alignment horizontal="center" vertical="center"/>
    </xf>
    <xf numFmtId="168" fontId="2" fillId="2" borderId="15" xfId="0" applyNumberFormat="1" applyFont="1" applyFill="1" applyBorder="1" applyAlignment="1">
      <alignment horizontal="center" vertical="center"/>
    </xf>
    <xf numFmtId="42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2" fontId="2" fillId="2" borderId="9" xfId="0" applyNumberFormat="1" applyFont="1" applyFill="1" applyBorder="1" applyAlignment="1">
      <alignment horizontal="center" vertical="center"/>
    </xf>
    <xf numFmtId="42" fontId="2" fillId="2" borderId="6" xfId="1" applyFont="1" applyFill="1" applyBorder="1" applyAlignment="1">
      <alignment horizontal="center" vertical="center"/>
    </xf>
    <xf numFmtId="42" fontId="2" fillId="2" borderId="9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42" fontId="2" fillId="2" borderId="8" xfId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14" xfId="0" applyBorder="1"/>
    <xf numFmtId="164" fontId="0" fillId="0" borderId="1" xfId="2" applyNumberFormat="1" applyFont="1" applyBorder="1" applyAlignment="1">
      <alignment horizontal="center"/>
    </xf>
    <xf numFmtId="42" fontId="0" fillId="0" borderId="5" xfId="0" applyNumberFormat="1" applyBorder="1"/>
    <xf numFmtId="164" fontId="0" fillId="0" borderId="5" xfId="2" applyNumberFormat="1" applyFont="1" applyBorder="1"/>
    <xf numFmtId="164" fontId="0" fillId="0" borderId="14" xfId="2" applyNumberFormat="1" applyFont="1" applyBorder="1"/>
  </cellXfs>
  <cellStyles count="4">
    <cellStyle name="Moneda" xfId="2" builtinId="4"/>
    <cellStyle name="Moneda [0]" xfId="1" builtinId="7"/>
    <cellStyle name="Normal" xfId="0" builtinId="0"/>
    <cellStyle name="Porcentaje" xfId="3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10</xdr:row>
      <xdr:rowOff>123825</xdr:rowOff>
    </xdr:from>
    <xdr:to>
      <xdr:col>11</xdr:col>
      <xdr:colOff>504825</xdr:colOff>
      <xdr:row>11</xdr:row>
      <xdr:rowOff>95250</xdr:rowOff>
    </xdr:to>
    <xdr:sp macro="" textlink="">
      <xdr:nvSpPr>
        <xdr:cNvPr id="2" name="1 Flecha derecha"/>
        <xdr:cNvSpPr/>
      </xdr:nvSpPr>
      <xdr:spPr>
        <a:xfrm>
          <a:off x="11334750" y="1714500"/>
          <a:ext cx="238125" cy="1714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I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NO-DE-OB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uestos"/>
      <sheetName val="Servicios publicos"/>
      <sheetName val="Arriendos"/>
      <sheetName val="papeleria"/>
      <sheetName val="Mantenimiento"/>
      <sheetName val="Depreciación"/>
      <sheetName val="Sistematización"/>
      <sheetName val="Seguros"/>
      <sheetName val="MOI"/>
    </sheetNames>
    <sheetDataSet>
      <sheetData sheetId="0">
        <row r="3">
          <cell r="E3">
            <v>142569.39659754941</v>
          </cell>
          <cell r="F3">
            <v>319326.58333333337</v>
          </cell>
        </row>
        <row r="4">
          <cell r="E4">
            <v>164651.2542712556</v>
          </cell>
          <cell r="F4">
            <v>776395.16666666663</v>
          </cell>
        </row>
        <row r="5">
          <cell r="E5">
            <v>26950.747671628644</v>
          </cell>
          <cell r="F5">
            <v>127083.33333333333</v>
          </cell>
        </row>
        <row r="6">
          <cell r="E6">
            <v>212071.4570882254</v>
          </cell>
          <cell r="F6">
            <v>1000000.0000000001</v>
          </cell>
        </row>
      </sheetData>
      <sheetData sheetId="1">
        <row r="4">
          <cell r="K4">
            <v>759045.28646366112</v>
          </cell>
          <cell r="L4">
            <v>722692.93440419319</v>
          </cell>
          <cell r="M4">
            <v>695256.10011817177</v>
          </cell>
          <cell r="N4">
            <v>725664.77366200869</v>
          </cell>
          <cell r="O4">
            <v>1472248.6666666667</v>
          </cell>
        </row>
        <row r="5">
          <cell r="K5">
            <v>38854.399934666966</v>
          </cell>
          <cell r="L5">
            <v>29049.720290164281</v>
          </cell>
          <cell r="M5">
            <v>35607.677907221041</v>
          </cell>
          <cell r="N5">
            <v>34503.932710684101</v>
          </cell>
          <cell r="O5">
            <v>70485.666666666672</v>
          </cell>
        </row>
        <row r="6">
          <cell r="N6">
            <v>183052.2595232162</v>
          </cell>
          <cell r="O6">
            <v>410000</v>
          </cell>
        </row>
        <row r="7">
          <cell r="N7">
            <v>250453.33857983016</v>
          </cell>
          <cell r="O7">
            <v>528325.93789530685</v>
          </cell>
        </row>
        <row r="8">
          <cell r="N8">
            <v>552728.52997497958</v>
          </cell>
          <cell r="O8">
            <v>1238000</v>
          </cell>
        </row>
        <row r="9">
          <cell r="N9">
            <v>0</v>
          </cell>
          <cell r="O9">
            <v>40000</v>
          </cell>
        </row>
        <row r="10">
          <cell r="N10">
            <v>287205.12449999998</v>
          </cell>
          <cell r="O10">
            <v>670257</v>
          </cell>
        </row>
        <row r="11">
          <cell r="N11">
            <v>131075.83542688834</v>
          </cell>
          <cell r="O11">
            <v>131075.83542688834</v>
          </cell>
        </row>
      </sheetData>
      <sheetData sheetId="2">
        <row r="21">
          <cell r="D21">
            <v>946718.79516040138</v>
          </cell>
        </row>
        <row r="22">
          <cell r="D22">
            <v>4464150</v>
          </cell>
        </row>
      </sheetData>
      <sheetData sheetId="3">
        <row r="39">
          <cell r="C39">
            <v>169884.4139608079</v>
          </cell>
        </row>
        <row r="40">
          <cell r="C40">
            <v>1516163.4740000002</v>
          </cell>
        </row>
      </sheetData>
      <sheetData sheetId="4">
        <row r="4">
          <cell r="L4">
            <v>23811.67603554032</v>
          </cell>
          <cell r="M4">
            <v>53333.333333333336</v>
          </cell>
        </row>
        <row r="5">
          <cell r="L5">
            <v>107688.3048707311</v>
          </cell>
          <cell r="M5">
            <v>241200</v>
          </cell>
        </row>
        <row r="6">
          <cell r="L6">
            <v>36015.160003754732</v>
          </cell>
          <cell r="M6">
            <v>80666.666666666672</v>
          </cell>
        </row>
        <row r="7">
          <cell r="L7">
            <v>28507.338549748867</v>
          </cell>
          <cell r="M7">
            <v>63850.666666666672</v>
          </cell>
        </row>
        <row r="8">
          <cell r="L8">
            <v>0</v>
          </cell>
          <cell r="M8">
            <v>1942166.6666666667</v>
          </cell>
        </row>
        <row r="9">
          <cell r="L9">
            <v>149888</v>
          </cell>
          <cell r="M9">
            <v>149888</v>
          </cell>
        </row>
      </sheetData>
      <sheetData sheetId="5">
        <row r="3">
          <cell r="F3">
            <v>373027.16666666669</v>
          </cell>
        </row>
        <row r="4">
          <cell r="F4">
            <v>824659.5</v>
          </cell>
        </row>
        <row r="5">
          <cell r="F5">
            <v>46333.333333333336</v>
          </cell>
        </row>
        <row r="6">
          <cell r="F6">
            <v>1274459.5833333333</v>
          </cell>
        </row>
        <row r="13">
          <cell r="E13">
            <v>79108.414768492308</v>
          </cell>
        </row>
        <row r="14">
          <cell r="E14">
            <v>174886.74176664741</v>
          </cell>
        </row>
        <row r="15">
          <cell r="E15">
            <v>9825.9775117544432</v>
          </cell>
        </row>
        <row r="16">
          <cell r="E16">
            <v>270276.50083755259</v>
          </cell>
        </row>
      </sheetData>
      <sheetData sheetId="6">
        <row r="5">
          <cell r="D5">
            <v>1000000</v>
          </cell>
        </row>
        <row r="10">
          <cell r="E10">
            <v>212071.4570882254</v>
          </cell>
        </row>
      </sheetData>
      <sheetData sheetId="7">
        <row r="3">
          <cell r="E3">
            <v>734431.66666666663</v>
          </cell>
        </row>
        <row r="4">
          <cell r="E4">
            <v>71566.666666666672</v>
          </cell>
        </row>
        <row r="10">
          <cell r="D10">
            <v>734431.66666666663</v>
          </cell>
        </row>
        <row r="11">
          <cell r="D11">
            <v>0</v>
          </cell>
        </row>
      </sheetData>
      <sheetData sheetId="8">
        <row r="3">
          <cell r="F3">
            <v>438146.66666666669</v>
          </cell>
          <cell r="J3">
            <v>92918.402018348992</v>
          </cell>
        </row>
        <row r="4">
          <cell r="F4">
            <v>388046.66666666669</v>
          </cell>
          <cell r="J4">
            <v>82293.622018228911</v>
          </cell>
        </row>
        <row r="5">
          <cell r="F5">
            <v>745152.66666666663</v>
          </cell>
          <cell r="J5">
            <v>158025.6117731767</v>
          </cell>
        </row>
        <row r="6">
          <cell r="F6">
            <v>771995</v>
          </cell>
          <cell r="J6">
            <v>163718.10451482455</v>
          </cell>
        </row>
        <row r="7">
          <cell r="F7">
            <v>573484.66666666663</v>
          </cell>
          <cell r="J7">
            <v>121619.72887775523</v>
          </cell>
        </row>
        <row r="8">
          <cell r="F8">
            <v>1656666.6666666667</v>
          </cell>
          <cell r="J8">
            <v>351331.71390949341</v>
          </cell>
        </row>
        <row r="9">
          <cell r="F9">
            <v>2708000</v>
          </cell>
          <cell r="J9">
            <v>574289.50579491432</v>
          </cell>
        </row>
        <row r="10">
          <cell r="F10">
            <v>666666.66666666663</v>
          </cell>
          <cell r="J10">
            <v>141380.97139215024</v>
          </cell>
        </row>
        <row r="11">
          <cell r="F11">
            <v>130000</v>
          </cell>
          <cell r="J11">
            <v>27569.289421469301</v>
          </cell>
        </row>
        <row r="12">
          <cell r="F12">
            <v>15000</v>
          </cell>
          <cell r="J12">
            <v>15000</v>
          </cell>
        </row>
        <row r="13">
          <cell r="F13">
            <v>11666.666666666666</v>
          </cell>
          <cell r="J13">
            <v>11666.666666666666</v>
          </cell>
        </row>
        <row r="14">
          <cell r="F14">
            <v>200000</v>
          </cell>
          <cell r="J14">
            <v>200000</v>
          </cell>
        </row>
        <row r="15">
          <cell r="F15">
            <v>133333.33333333334</v>
          </cell>
          <cell r="J15">
            <v>66666.666666666672</v>
          </cell>
        </row>
        <row r="16">
          <cell r="F16">
            <v>105000</v>
          </cell>
          <cell r="J16">
            <v>22267.502994263665</v>
          </cell>
        </row>
        <row r="17">
          <cell r="F17">
            <v>290400</v>
          </cell>
          <cell r="J17">
            <v>0</v>
          </cell>
        </row>
        <row r="18">
          <cell r="F18">
            <v>258333.33333333334</v>
          </cell>
          <cell r="J18">
            <v>54785.126414458231</v>
          </cell>
        </row>
        <row r="19">
          <cell r="F19">
            <v>293333.33333333331</v>
          </cell>
          <cell r="J19">
            <v>293333.33333333331</v>
          </cell>
        </row>
        <row r="20">
          <cell r="F20">
            <v>620000</v>
          </cell>
          <cell r="J20">
            <v>0</v>
          </cell>
        </row>
        <row r="21">
          <cell r="F21">
            <v>153333.33333333334</v>
          </cell>
          <cell r="J21">
            <v>153333.33333333334</v>
          </cell>
        </row>
        <row r="22">
          <cell r="F22">
            <v>35333.333333333336</v>
          </cell>
          <cell r="J2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"/>
      <sheetName val="MOI"/>
      <sheetName val="MOD POR CENTROS DE COSTOS"/>
      <sheetName val="MOI POR CENTROS DE COSTOS"/>
    </sheetNames>
    <sheetDataSet>
      <sheetData sheetId="0"/>
      <sheetData sheetId="1"/>
      <sheetData sheetId="2">
        <row r="4">
          <cell r="C4">
            <v>1119321.3599999999</v>
          </cell>
          <cell r="F4">
            <v>0</v>
          </cell>
        </row>
        <row r="5">
          <cell r="C5">
            <v>1394331.88</v>
          </cell>
          <cell r="F5">
            <v>1394331.88</v>
          </cell>
        </row>
        <row r="6">
          <cell r="C6">
            <v>859102.96</v>
          </cell>
          <cell r="F6">
            <v>0</v>
          </cell>
        </row>
        <row r="7">
          <cell r="C7">
            <v>859102.96</v>
          </cell>
          <cell r="F7">
            <v>0</v>
          </cell>
        </row>
        <row r="8">
          <cell r="C8">
            <v>746998.8</v>
          </cell>
          <cell r="F8">
            <v>746998.8</v>
          </cell>
        </row>
        <row r="9">
          <cell r="C9">
            <v>801197.6</v>
          </cell>
          <cell r="F9">
            <v>400598.8</v>
          </cell>
        </row>
        <row r="10">
          <cell r="C10">
            <v>870573.24</v>
          </cell>
          <cell r="F10">
            <v>870573.24</v>
          </cell>
        </row>
        <row r="11">
          <cell r="C11">
            <v>1131404.8400000001</v>
          </cell>
          <cell r="F11">
            <v>0</v>
          </cell>
        </row>
        <row r="12">
          <cell r="C12">
            <v>956755.24</v>
          </cell>
          <cell r="F12">
            <v>478377.62</v>
          </cell>
        </row>
        <row r="13">
          <cell r="C13">
            <v>725213.24</v>
          </cell>
          <cell r="F13">
            <v>0</v>
          </cell>
        </row>
        <row r="14">
          <cell r="C14">
            <v>802669.6</v>
          </cell>
          <cell r="F14">
            <v>802669.6</v>
          </cell>
        </row>
        <row r="15">
          <cell r="C15">
            <v>1086028.24</v>
          </cell>
          <cell r="F15">
            <v>543014.12</v>
          </cell>
        </row>
        <row r="16">
          <cell r="C16">
            <v>891998.8</v>
          </cell>
          <cell r="F16">
            <v>891998.8</v>
          </cell>
        </row>
      </sheetData>
      <sheetData sheetId="3">
        <row r="4">
          <cell r="D4">
            <v>1423420</v>
          </cell>
          <cell r="G4">
            <v>301866.75344852178</v>
          </cell>
        </row>
        <row r="5">
          <cell r="D5">
            <v>813700</v>
          </cell>
          <cell r="G5">
            <v>172562.54463268901</v>
          </cell>
        </row>
        <row r="6">
          <cell r="D6">
            <v>848700</v>
          </cell>
          <cell r="G6">
            <v>424350</v>
          </cell>
        </row>
        <row r="7">
          <cell r="D7">
            <v>711955</v>
          </cell>
          <cell r="G7">
            <v>150985.33423124751</v>
          </cell>
        </row>
        <row r="8">
          <cell r="D8">
            <v>1362100</v>
          </cell>
          <cell r="G8">
            <v>288862.53169987182</v>
          </cell>
        </row>
        <row r="9">
          <cell r="D9">
            <v>711955</v>
          </cell>
          <cell r="G9">
            <v>150985.33423124751</v>
          </cell>
        </row>
        <row r="10">
          <cell r="D10">
            <v>1363200</v>
          </cell>
          <cell r="G10">
            <v>289095.81030266883</v>
          </cell>
        </row>
        <row r="11">
          <cell r="D11">
            <v>394827.5</v>
          </cell>
          <cell r="G11">
            <v>83731.643223501305</v>
          </cell>
        </row>
        <row r="12">
          <cell r="D12">
            <v>711955</v>
          </cell>
          <cell r="G12">
            <v>711955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64" zoomScale="60" zoomScaleNormal="60" workbookViewId="0">
      <selection activeCell="B89" sqref="B89"/>
    </sheetView>
  </sheetViews>
  <sheetFormatPr baseColWidth="10" defaultRowHeight="15" x14ac:dyDescent="0.25"/>
  <cols>
    <col min="1" max="1" width="47.7109375" customWidth="1"/>
    <col min="2" max="2" width="18.42578125" customWidth="1"/>
    <col min="3" max="3" width="22.140625" customWidth="1"/>
    <col min="4" max="5" width="27.42578125" customWidth="1"/>
    <col min="6" max="6" width="23.5703125" customWidth="1"/>
    <col min="7" max="7" width="16.42578125" customWidth="1"/>
    <col min="8" max="8" width="26.42578125" customWidth="1"/>
    <col min="9" max="9" width="15.140625" customWidth="1"/>
    <col min="10" max="10" width="23" customWidth="1"/>
    <col min="12" max="12" width="21" customWidth="1"/>
    <col min="13" max="13" width="15.42578125" customWidth="1"/>
    <col min="14" max="14" width="23.7109375" customWidth="1"/>
  </cols>
  <sheetData>
    <row r="1" spans="1:14" x14ac:dyDescent="0.25">
      <c r="A1" s="195" t="s">
        <v>0</v>
      </c>
      <c r="B1" s="195" t="s">
        <v>1</v>
      </c>
      <c r="C1" s="195" t="s">
        <v>2</v>
      </c>
      <c r="D1" s="197" t="s">
        <v>3</v>
      </c>
      <c r="E1" s="195" t="s">
        <v>4</v>
      </c>
      <c r="F1" s="195" t="s">
        <v>5</v>
      </c>
      <c r="G1" s="194" t="s">
        <v>6</v>
      </c>
      <c r="H1" s="194"/>
      <c r="I1" s="194"/>
      <c r="J1" s="194"/>
      <c r="K1" s="194"/>
      <c r="L1" s="194"/>
      <c r="M1" s="194"/>
      <c r="N1" s="194"/>
    </row>
    <row r="2" spans="1:14" ht="41.25" customHeight="1" thickBot="1" x14ac:dyDescent="0.3">
      <c r="A2" s="196"/>
      <c r="B2" s="196"/>
      <c r="C2" s="196"/>
      <c r="D2" s="198"/>
      <c r="E2" s="196"/>
      <c r="F2" s="199"/>
      <c r="G2" s="200" t="s">
        <v>7</v>
      </c>
      <c r="H2" s="201"/>
      <c r="I2" s="202" t="s">
        <v>8</v>
      </c>
      <c r="J2" s="201"/>
      <c r="K2" s="202" t="s">
        <v>9</v>
      </c>
      <c r="L2" s="201"/>
      <c r="M2" s="202" t="s">
        <v>10</v>
      </c>
      <c r="N2" s="201"/>
    </row>
    <row r="3" spans="1:14" ht="15.75" thickBot="1" x14ac:dyDescent="0.3">
      <c r="A3" s="120" t="s">
        <v>11</v>
      </c>
      <c r="B3" s="63"/>
      <c r="C3" s="191"/>
      <c r="D3" s="192"/>
      <c r="E3" s="191"/>
      <c r="F3" s="193"/>
      <c r="G3" s="1" t="s">
        <v>12</v>
      </c>
      <c r="H3" s="2" t="s">
        <v>13</v>
      </c>
      <c r="I3" s="3" t="s">
        <v>12</v>
      </c>
      <c r="J3" s="2" t="s">
        <v>13</v>
      </c>
      <c r="K3" s="3" t="s">
        <v>12</v>
      </c>
      <c r="L3" s="2" t="s">
        <v>13</v>
      </c>
      <c r="M3" s="3" t="s">
        <v>12</v>
      </c>
      <c r="N3" s="3" t="s">
        <v>13</v>
      </c>
    </row>
    <row r="4" spans="1:14" ht="31.5" customHeight="1" x14ac:dyDescent="0.25">
      <c r="A4" s="121" t="s">
        <v>14</v>
      </c>
      <c r="B4" s="4">
        <f>[1]Impuestos!F3</f>
        <v>319326.58333333337</v>
      </c>
      <c r="C4" s="10"/>
      <c r="D4" s="5">
        <f>[1]Impuestos!E3</f>
        <v>142569.39659754941</v>
      </c>
      <c r="E4" s="39" t="s">
        <v>15</v>
      </c>
      <c r="F4" s="43">
        <f>G4+I4+K4+M4</f>
        <v>4</v>
      </c>
      <c r="G4" s="43">
        <v>1</v>
      </c>
      <c r="H4" s="4">
        <f>IF(G4&gt;0,(D4/F4)*G4,0)</f>
        <v>35642.349149387352</v>
      </c>
      <c r="I4" s="43">
        <v>1</v>
      </c>
      <c r="J4" s="4">
        <f>IF(I4&gt;0,(D4/F4)*I4,0)</f>
        <v>35642.349149387352</v>
      </c>
      <c r="K4" s="43">
        <v>1</v>
      </c>
      <c r="L4" s="4">
        <f>IF(K4&gt;0,(D4/F4)*K4,0)</f>
        <v>35642.349149387352</v>
      </c>
      <c r="M4" s="43">
        <v>1</v>
      </c>
      <c r="N4" s="4">
        <f>IF(M4&gt;0,(D4/F4)*M4,0)</f>
        <v>35642.349149387352</v>
      </c>
    </row>
    <row r="5" spans="1:14" ht="31.5" customHeight="1" x14ac:dyDescent="0.25">
      <c r="A5" s="122" t="s">
        <v>16</v>
      </c>
      <c r="B5" s="6">
        <f>[1]Impuestos!F4</f>
        <v>776395.16666666663</v>
      </c>
      <c r="C5" s="41"/>
      <c r="D5" s="65">
        <f>[1]Impuestos!E4</f>
        <v>164651.2542712556</v>
      </c>
      <c r="E5" s="40" t="s">
        <v>17</v>
      </c>
      <c r="F5" s="44">
        <f t="shared" ref="F5:F68" si="0">G5+I5+K5+M5</f>
        <v>4</v>
      </c>
      <c r="G5" s="44">
        <v>1</v>
      </c>
      <c r="H5" s="6">
        <f t="shared" ref="H5:H71" si="1">IF(G5&gt;0,(D5/F5)*G5,0)</f>
        <v>41162.813567813901</v>
      </c>
      <c r="I5" s="7">
        <v>1</v>
      </c>
      <c r="J5" s="6">
        <f t="shared" ref="J5:J71" si="2">IF(I5&gt;0,(D5/F5)*I5,0)</f>
        <v>41162.813567813901</v>
      </c>
      <c r="K5" s="131">
        <v>1</v>
      </c>
      <c r="L5" s="6">
        <f t="shared" ref="L5:L71" si="3">IF(K5&gt;0,(D5/F5)*K5,0)</f>
        <v>41162.813567813901</v>
      </c>
      <c r="M5" s="44">
        <v>1</v>
      </c>
      <c r="N5" s="6">
        <f t="shared" ref="N5:N71" si="4">IF(M5&gt;0,(D5/F5)*M5,0)</f>
        <v>41162.813567813901</v>
      </c>
    </row>
    <row r="6" spans="1:14" ht="31.5" customHeight="1" x14ac:dyDescent="0.25">
      <c r="A6" s="122" t="s">
        <v>18</v>
      </c>
      <c r="B6" s="6">
        <f>[1]Impuestos!F5</f>
        <v>127083.33333333333</v>
      </c>
      <c r="C6" s="41"/>
      <c r="D6" s="65">
        <f>[1]Impuestos!E5</f>
        <v>26950.747671628644</v>
      </c>
      <c r="E6" s="40" t="s">
        <v>17</v>
      </c>
      <c r="F6" s="44">
        <f t="shared" si="0"/>
        <v>4</v>
      </c>
      <c r="G6" s="44">
        <v>1</v>
      </c>
      <c r="H6" s="6">
        <f t="shared" si="1"/>
        <v>6737.6869179071609</v>
      </c>
      <c r="I6" s="75">
        <v>1</v>
      </c>
      <c r="J6" s="6">
        <f t="shared" si="2"/>
        <v>6737.6869179071609</v>
      </c>
      <c r="K6" s="75">
        <v>1</v>
      </c>
      <c r="L6" s="6">
        <f t="shared" si="3"/>
        <v>6737.6869179071609</v>
      </c>
      <c r="M6" s="44">
        <v>1</v>
      </c>
      <c r="N6" s="6">
        <f t="shared" si="4"/>
        <v>6737.6869179071609</v>
      </c>
    </row>
    <row r="7" spans="1:14" ht="31.5" customHeight="1" x14ac:dyDescent="0.25">
      <c r="A7" s="122" t="s">
        <v>19</v>
      </c>
      <c r="B7" s="6">
        <f>[1]Impuestos!F6</f>
        <v>1000000.0000000001</v>
      </c>
      <c r="C7" s="41"/>
      <c r="D7" s="65">
        <f>[1]Impuestos!E6</f>
        <v>212071.4570882254</v>
      </c>
      <c r="E7" s="40" t="s">
        <v>17</v>
      </c>
      <c r="F7" s="44">
        <f t="shared" si="0"/>
        <v>4</v>
      </c>
      <c r="G7" s="44">
        <v>1</v>
      </c>
      <c r="H7" s="6">
        <f t="shared" si="1"/>
        <v>53017.864272056351</v>
      </c>
      <c r="I7" s="75">
        <v>1</v>
      </c>
      <c r="J7" s="6">
        <f t="shared" si="2"/>
        <v>53017.864272056351</v>
      </c>
      <c r="K7" s="75">
        <v>1</v>
      </c>
      <c r="L7" s="6">
        <f t="shared" si="3"/>
        <v>53017.864272056351</v>
      </c>
      <c r="M7" s="44">
        <v>1</v>
      </c>
      <c r="N7" s="6">
        <f t="shared" si="4"/>
        <v>53017.864272056351</v>
      </c>
    </row>
    <row r="8" spans="1:14" ht="31.5" customHeight="1" x14ac:dyDescent="0.25">
      <c r="A8" s="122" t="s">
        <v>20</v>
      </c>
      <c r="B8" s="52">
        <f>'[1]Servicios publicos'!O4</f>
        <v>1472248.6666666667</v>
      </c>
      <c r="C8" s="41"/>
      <c r="D8" s="52">
        <f>'[1]Servicios publicos'!N4</f>
        <v>725664.77366200869</v>
      </c>
      <c r="E8" s="40" t="s">
        <v>21</v>
      </c>
      <c r="F8" s="44">
        <f t="shared" si="0"/>
        <v>3</v>
      </c>
      <c r="G8" s="44">
        <v>0.75</v>
      </c>
      <c r="H8" s="6">
        <f t="shared" si="1"/>
        <v>181416.19341550217</v>
      </c>
      <c r="I8" s="44">
        <v>0.75</v>
      </c>
      <c r="J8" s="6">
        <f t="shared" si="2"/>
        <v>181416.19341550217</v>
      </c>
      <c r="K8" s="44">
        <v>0.75</v>
      </c>
      <c r="L8" s="6">
        <f t="shared" si="3"/>
        <v>181416.19341550217</v>
      </c>
      <c r="M8" s="44">
        <v>0.75</v>
      </c>
      <c r="N8" s="6">
        <f t="shared" si="4"/>
        <v>181416.19341550217</v>
      </c>
    </row>
    <row r="9" spans="1:14" ht="31.5" customHeight="1" x14ac:dyDescent="0.25">
      <c r="A9" s="122" t="s">
        <v>22</v>
      </c>
      <c r="B9" s="52">
        <f>'[1]Servicios publicos'!O5</f>
        <v>70485.666666666672</v>
      </c>
      <c r="C9" s="41"/>
      <c r="D9" s="52">
        <f>'[1]Servicios publicos'!N5</f>
        <v>34503.932710684101</v>
      </c>
      <c r="E9" s="40" t="s">
        <v>23</v>
      </c>
      <c r="F9" s="44">
        <f t="shared" si="0"/>
        <v>225</v>
      </c>
      <c r="G9" s="75">
        <v>56.25</v>
      </c>
      <c r="H9" s="6">
        <f t="shared" si="1"/>
        <v>8625.9831776710253</v>
      </c>
      <c r="I9" s="172">
        <v>56.25</v>
      </c>
      <c r="J9" s="6">
        <f t="shared" si="2"/>
        <v>8625.9831776710253</v>
      </c>
      <c r="K9" s="75">
        <v>56.25</v>
      </c>
      <c r="L9" s="6">
        <f t="shared" si="3"/>
        <v>8625.9831776710253</v>
      </c>
      <c r="M9" s="172">
        <v>56.25</v>
      </c>
      <c r="N9" s="6">
        <f t="shared" si="4"/>
        <v>8625.9831776710253</v>
      </c>
    </row>
    <row r="10" spans="1:14" ht="31.5" customHeight="1" x14ac:dyDescent="0.25">
      <c r="A10" s="122" t="s">
        <v>24</v>
      </c>
      <c r="B10" s="52">
        <f>'[1]Servicios publicos'!O6</f>
        <v>410000</v>
      </c>
      <c r="C10" s="41"/>
      <c r="D10" s="52">
        <f>'[1]Servicios publicos'!N6</f>
        <v>183052.2595232162</v>
      </c>
      <c r="E10" s="40" t="s">
        <v>15</v>
      </c>
      <c r="F10" s="44">
        <f t="shared" si="0"/>
        <v>4</v>
      </c>
      <c r="G10" s="44">
        <v>1</v>
      </c>
      <c r="H10" s="6">
        <f t="shared" si="1"/>
        <v>45763.06488080405</v>
      </c>
      <c r="I10" s="75">
        <v>1</v>
      </c>
      <c r="J10" s="6">
        <f t="shared" si="2"/>
        <v>45763.06488080405</v>
      </c>
      <c r="K10" s="75">
        <v>1</v>
      </c>
      <c r="L10" s="6">
        <f t="shared" si="3"/>
        <v>45763.06488080405</v>
      </c>
      <c r="M10" s="44">
        <v>1</v>
      </c>
      <c r="N10" s="6">
        <f t="shared" si="4"/>
        <v>45763.06488080405</v>
      </c>
    </row>
    <row r="11" spans="1:14" ht="31.5" customHeight="1" x14ac:dyDescent="0.25">
      <c r="A11" s="122" t="s">
        <v>25</v>
      </c>
      <c r="B11" s="52">
        <f>'[1]Servicios publicos'!O7</f>
        <v>528325.93789530685</v>
      </c>
      <c r="C11" s="41"/>
      <c r="D11" s="52">
        <f>'[1]Servicios publicos'!N7</f>
        <v>250453.33857983016</v>
      </c>
      <c r="E11" s="40" t="s">
        <v>15</v>
      </c>
      <c r="F11" s="44">
        <f t="shared" si="0"/>
        <v>2</v>
      </c>
      <c r="G11" s="44">
        <v>0</v>
      </c>
      <c r="H11" s="6">
        <f t="shared" si="1"/>
        <v>0</v>
      </c>
      <c r="I11" s="44">
        <v>1</v>
      </c>
      <c r="J11" s="6">
        <f t="shared" si="2"/>
        <v>125226.66928991508</v>
      </c>
      <c r="K11" s="44">
        <v>0</v>
      </c>
      <c r="L11" s="6">
        <f t="shared" si="3"/>
        <v>0</v>
      </c>
      <c r="M11" s="44">
        <v>1</v>
      </c>
      <c r="N11" s="6">
        <f t="shared" si="4"/>
        <v>125226.66928991508</v>
      </c>
    </row>
    <row r="12" spans="1:14" ht="31.5" customHeight="1" x14ac:dyDescent="0.25">
      <c r="A12" s="122" t="s">
        <v>134</v>
      </c>
      <c r="B12" s="52">
        <f>'[1]Servicios publicos'!O8</f>
        <v>1238000</v>
      </c>
      <c r="C12" s="41"/>
      <c r="D12" s="52">
        <f>'[1]Servicios publicos'!N8</f>
        <v>552728.52997497958</v>
      </c>
      <c r="E12" s="40" t="s">
        <v>15</v>
      </c>
      <c r="F12" s="44">
        <f t="shared" si="0"/>
        <v>4</v>
      </c>
      <c r="G12" s="44">
        <v>1</v>
      </c>
      <c r="H12" s="6">
        <f t="shared" si="1"/>
        <v>138182.1324937449</v>
      </c>
      <c r="I12" s="44">
        <v>1</v>
      </c>
      <c r="J12" s="6">
        <f t="shared" si="2"/>
        <v>138182.1324937449</v>
      </c>
      <c r="K12" s="44">
        <v>1</v>
      </c>
      <c r="L12" s="6">
        <f t="shared" si="3"/>
        <v>138182.1324937449</v>
      </c>
      <c r="M12" s="44">
        <v>1</v>
      </c>
      <c r="N12" s="6">
        <f t="shared" si="4"/>
        <v>138182.1324937449</v>
      </c>
    </row>
    <row r="13" spans="1:14" ht="31.5" customHeight="1" x14ac:dyDescent="0.25">
      <c r="A13" s="122" t="s">
        <v>26</v>
      </c>
      <c r="B13" s="52">
        <f>'[1]Servicios publicos'!O9</f>
        <v>40000</v>
      </c>
      <c r="C13" s="41"/>
      <c r="D13" s="52">
        <f>'[1]Servicios publicos'!N9</f>
        <v>0</v>
      </c>
      <c r="E13" s="40" t="s">
        <v>27</v>
      </c>
      <c r="F13" s="44">
        <f t="shared" si="0"/>
        <v>0</v>
      </c>
      <c r="G13" s="44">
        <v>0</v>
      </c>
      <c r="H13" s="6">
        <f t="shared" si="1"/>
        <v>0</v>
      </c>
      <c r="I13" s="44">
        <v>0</v>
      </c>
      <c r="J13" s="6">
        <f t="shared" si="2"/>
        <v>0</v>
      </c>
      <c r="K13" s="44">
        <v>0</v>
      </c>
      <c r="L13" s="6">
        <f t="shared" si="3"/>
        <v>0</v>
      </c>
      <c r="M13" s="44">
        <v>0</v>
      </c>
      <c r="N13" s="6">
        <f t="shared" si="4"/>
        <v>0</v>
      </c>
    </row>
    <row r="14" spans="1:14" ht="31.5" customHeight="1" x14ac:dyDescent="0.25">
      <c r="A14" s="122" t="s">
        <v>28</v>
      </c>
      <c r="B14" s="52">
        <f>'[1]Servicios publicos'!O10</f>
        <v>670257</v>
      </c>
      <c r="C14" s="41"/>
      <c r="D14" s="52">
        <f>'[1]Servicios publicos'!N10</f>
        <v>287205.12449999998</v>
      </c>
      <c r="E14" s="40" t="s">
        <v>15</v>
      </c>
      <c r="F14" s="44">
        <f t="shared" si="0"/>
        <v>4</v>
      </c>
      <c r="G14" s="44">
        <v>1</v>
      </c>
      <c r="H14" s="6">
        <f t="shared" si="1"/>
        <v>71801.281124999994</v>
      </c>
      <c r="I14" s="75">
        <v>1</v>
      </c>
      <c r="J14" s="6">
        <f t="shared" si="2"/>
        <v>71801.281124999994</v>
      </c>
      <c r="K14" s="75">
        <v>1</v>
      </c>
      <c r="L14" s="6">
        <f t="shared" si="3"/>
        <v>71801.281124999994</v>
      </c>
      <c r="M14" s="44">
        <v>1</v>
      </c>
      <c r="N14" s="6">
        <f t="shared" si="4"/>
        <v>71801.281124999994</v>
      </c>
    </row>
    <row r="15" spans="1:14" ht="31.5" customHeight="1" x14ac:dyDescent="0.25">
      <c r="A15" s="122" t="s">
        <v>29</v>
      </c>
      <c r="B15" s="52">
        <f>'[1]Servicios publicos'!O11</f>
        <v>131075.83542688834</v>
      </c>
      <c r="C15" s="41"/>
      <c r="D15" s="52">
        <f>'[1]Servicios publicos'!N11</f>
        <v>131075.83542688834</v>
      </c>
      <c r="E15" s="40" t="s">
        <v>27</v>
      </c>
      <c r="F15" s="44">
        <f t="shared" si="0"/>
        <v>4</v>
      </c>
      <c r="G15" s="44">
        <v>1</v>
      </c>
      <c r="H15" s="6">
        <f t="shared" si="1"/>
        <v>32768.958856722085</v>
      </c>
      <c r="I15" s="44">
        <v>1</v>
      </c>
      <c r="J15" s="6">
        <f t="shared" si="2"/>
        <v>32768.958856722085</v>
      </c>
      <c r="K15" s="44">
        <v>1</v>
      </c>
      <c r="L15" s="6">
        <f t="shared" si="3"/>
        <v>32768.958856722085</v>
      </c>
      <c r="M15" s="44">
        <v>1</v>
      </c>
      <c r="N15" s="6">
        <f t="shared" si="4"/>
        <v>32768.958856722085</v>
      </c>
    </row>
    <row r="16" spans="1:14" ht="31.5" customHeight="1" x14ac:dyDescent="0.25">
      <c r="A16" s="122" t="s">
        <v>30</v>
      </c>
      <c r="B16" s="6">
        <f>[1]Arriendos!D22</f>
        <v>4464150</v>
      </c>
      <c r="C16" s="41"/>
      <c r="D16" s="6">
        <f>[1]Arriendos!D21</f>
        <v>946718.79516040138</v>
      </c>
      <c r="E16" s="40" t="s">
        <v>17</v>
      </c>
      <c r="F16" s="44">
        <f t="shared" si="0"/>
        <v>4</v>
      </c>
      <c r="G16" s="44">
        <v>1</v>
      </c>
      <c r="H16" s="6">
        <f t="shared" si="1"/>
        <v>236679.69879010034</v>
      </c>
      <c r="I16" s="44">
        <v>1</v>
      </c>
      <c r="J16" s="6">
        <f t="shared" si="2"/>
        <v>236679.69879010034</v>
      </c>
      <c r="K16" s="44">
        <v>1</v>
      </c>
      <c r="L16" s="6">
        <f t="shared" si="3"/>
        <v>236679.69879010034</v>
      </c>
      <c r="M16" s="44">
        <v>1</v>
      </c>
      <c r="N16" s="6">
        <f t="shared" si="4"/>
        <v>236679.69879010034</v>
      </c>
    </row>
    <row r="17" spans="1:14" ht="31.5" customHeight="1" x14ac:dyDescent="0.25">
      <c r="A17" s="122" t="s">
        <v>31</v>
      </c>
      <c r="B17" s="6">
        <f>[1]Sistematización!$D$5</f>
        <v>1000000</v>
      </c>
      <c r="C17" s="41"/>
      <c r="D17" s="6">
        <f>[1]Sistematización!$E$10</f>
        <v>212071.4570882254</v>
      </c>
      <c r="E17" s="40" t="s">
        <v>17</v>
      </c>
      <c r="F17" s="44">
        <f t="shared" si="0"/>
        <v>2</v>
      </c>
      <c r="G17" s="44">
        <v>0</v>
      </c>
      <c r="H17" s="6">
        <f t="shared" si="1"/>
        <v>0</v>
      </c>
      <c r="I17" s="75">
        <v>1</v>
      </c>
      <c r="J17" s="6">
        <f t="shared" si="2"/>
        <v>106035.7285441127</v>
      </c>
      <c r="K17" s="75">
        <v>0</v>
      </c>
      <c r="L17" s="6">
        <f t="shared" si="3"/>
        <v>0</v>
      </c>
      <c r="M17" s="44">
        <v>1</v>
      </c>
      <c r="N17" s="6">
        <f t="shared" si="4"/>
        <v>106035.7285441127</v>
      </c>
    </row>
    <row r="18" spans="1:14" ht="31.5" customHeight="1" x14ac:dyDescent="0.25">
      <c r="A18" s="122" t="s">
        <v>32</v>
      </c>
      <c r="B18" s="6">
        <f>[1]papeleria!C40</f>
        <v>1516163.4740000002</v>
      </c>
      <c r="C18" s="41"/>
      <c r="D18" s="6">
        <f>[1]papeleria!C39</f>
        <v>169884.4139608079</v>
      </c>
      <c r="E18" s="40" t="s">
        <v>17</v>
      </c>
      <c r="F18" s="44">
        <f t="shared" si="0"/>
        <v>34</v>
      </c>
      <c r="G18" s="44">
        <v>0</v>
      </c>
      <c r="H18" s="6">
        <f t="shared" si="1"/>
        <v>0</v>
      </c>
      <c r="I18" s="44">
        <v>0</v>
      </c>
      <c r="J18" s="6">
        <f t="shared" si="2"/>
        <v>0</v>
      </c>
      <c r="K18" s="75">
        <v>0</v>
      </c>
      <c r="L18" s="6">
        <f t="shared" si="3"/>
        <v>0</v>
      </c>
      <c r="M18" s="44">
        <v>34</v>
      </c>
      <c r="N18" s="6">
        <f t="shared" si="4"/>
        <v>169884.4139608079</v>
      </c>
    </row>
    <row r="19" spans="1:14" ht="31.5" customHeight="1" x14ac:dyDescent="0.25">
      <c r="A19" s="122" t="s">
        <v>33</v>
      </c>
      <c r="B19" s="6">
        <f>[1]Mantenimiento!M4</f>
        <v>53333.333333333336</v>
      </c>
      <c r="C19" s="41"/>
      <c r="D19" s="6">
        <f>[1]Mantenimiento!L4</f>
        <v>23811.67603554032</v>
      </c>
      <c r="E19" s="40" t="s">
        <v>15</v>
      </c>
      <c r="F19" s="44">
        <f t="shared" si="0"/>
        <v>4</v>
      </c>
      <c r="G19" s="75">
        <v>1</v>
      </c>
      <c r="H19" s="6">
        <f t="shared" si="1"/>
        <v>5952.9190088850801</v>
      </c>
      <c r="I19" s="75">
        <v>1</v>
      </c>
      <c r="J19" s="6">
        <f t="shared" si="2"/>
        <v>5952.9190088850801</v>
      </c>
      <c r="K19" s="75">
        <v>1</v>
      </c>
      <c r="L19" s="6">
        <f t="shared" si="3"/>
        <v>5952.9190088850801</v>
      </c>
      <c r="M19" s="75">
        <v>1</v>
      </c>
      <c r="N19" s="6">
        <f t="shared" si="4"/>
        <v>5952.9190088850801</v>
      </c>
    </row>
    <row r="20" spans="1:14" ht="31.5" customHeight="1" x14ac:dyDescent="0.25">
      <c r="A20" s="122" t="s">
        <v>34</v>
      </c>
      <c r="B20" s="6">
        <f>[1]Mantenimiento!M5</f>
        <v>241200</v>
      </c>
      <c r="C20" s="41"/>
      <c r="D20" s="6">
        <f>[1]Mantenimiento!L5</f>
        <v>107688.3048707311</v>
      </c>
      <c r="E20" s="40" t="s">
        <v>15</v>
      </c>
      <c r="F20" s="44">
        <f t="shared" si="0"/>
        <v>4</v>
      </c>
      <c r="G20" s="75">
        <v>1</v>
      </c>
      <c r="H20" s="6">
        <f t="shared" si="1"/>
        <v>26922.076217682774</v>
      </c>
      <c r="I20" s="75">
        <v>1</v>
      </c>
      <c r="J20" s="6">
        <f t="shared" si="2"/>
        <v>26922.076217682774</v>
      </c>
      <c r="K20" s="75">
        <v>1</v>
      </c>
      <c r="L20" s="6">
        <f t="shared" si="3"/>
        <v>26922.076217682774</v>
      </c>
      <c r="M20" s="75">
        <v>1</v>
      </c>
      <c r="N20" s="6">
        <f t="shared" si="4"/>
        <v>26922.076217682774</v>
      </c>
    </row>
    <row r="21" spans="1:14" ht="31.5" customHeight="1" x14ac:dyDescent="0.25">
      <c r="A21" s="123" t="s">
        <v>35</v>
      </c>
      <c r="B21" s="6">
        <f>[1]Mantenimiento!M6</f>
        <v>80666.666666666672</v>
      </c>
      <c r="C21" s="41"/>
      <c r="D21" s="6">
        <f>[1]Mantenimiento!L6</f>
        <v>36015.160003754732</v>
      </c>
      <c r="E21" s="40" t="s">
        <v>15</v>
      </c>
      <c r="F21" s="44">
        <f t="shared" si="0"/>
        <v>4</v>
      </c>
      <c r="G21" s="75">
        <v>1</v>
      </c>
      <c r="H21" s="6">
        <f t="shared" si="1"/>
        <v>9003.7900009386831</v>
      </c>
      <c r="I21" s="75">
        <v>1</v>
      </c>
      <c r="J21" s="6">
        <f t="shared" si="2"/>
        <v>9003.7900009386831</v>
      </c>
      <c r="K21" s="75">
        <v>1</v>
      </c>
      <c r="L21" s="6">
        <f t="shared" si="3"/>
        <v>9003.7900009386831</v>
      </c>
      <c r="M21" s="75">
        <v>1</v>
      </c>
      <c r="N21" s="6">
        <f t="shared" si="4"/>
        <v>9003.7900009386831</v>
      </c>
    </row>
    <row r="22" spans="1:14" ht="31.5" customHeight="1" x14ac:dyDescent="0.25">
      <c r="A22" s="123" t="s">
        <v>36</v>
      </c>
      <c r="B22" s="6">
        <f>[1]Mantenimiento!M7</f>
        <v>63850.666666666672</v>
      </c>
      <c r="C22" s="41"/>
      <c r="D22" s="6">
        <f>[1]Mantenimiento!L7</f>
        <v>28507.338549748867</v>
      </c>
      <c r="E22" s="40" t="s">
        <v>15</v>
      </c>
      <c r="F22" s="44">
        <f t="shared" si="0"/>
        <v>4</v>
      </c>
      <c r="G22" s="75">
        <v>1</v>
      </c>
      <c r="H22" s="6">
        <f t="shared" si="1"/>
        <v>7126.8346374372168</v>
      </c>
      <c r="I22" s="75">
        <v>1</v>
      </c>
      <c r="J22" s="6">
        <f t="shared" si="2"/>
        <v>7126.8346374372168</v>
      </c>
      <c r="K22" s="75">
        <v>1</v>
      </c>
      <c r="L22" s="6">
        <f t="shared" si="3"/>
        <v>7126.8346374372168</v>
      </c>
      <c r="M22" s="75">
        <v>1</v>
      </c>
      <c r="N22" s="6">
        <f t="shared" si="4"/>
        <v>7126.8346374372168</v>
      </c>
    </row>
    <row r="23" spans="1:14" ht="31.5" customHeight="1" x14ac:dyDescent="0.25">
      <c r="A23" s="123" t="s">
        <v>37</v>
      </c>
      <c r="B23" s="6">
        <f>[1]Mantenimiento!M8</f>
        <v>1942166.6666666667</v>
      </c>
      <c r="C23" s="41"/>
      <c r="D23" s="6">
        <f>[1]Mantenimiento!L8</f>
        <v>0</v>
      </c>
      <c r="E23" s="40" t="s">
        <v>27</v>
      </c>
      <c r="F23" s="44">
        <f t="shared" si="0"/>
        <v>0</v>
      </c>
      <c r="G23" s="75">
        <v>0</v>
      </c>
      <c r="H23" s="6">
        <f t="shared" si="1"/>
        <v>0</v>
      </c>
      <c r="I23" s="75">
        <v>0</v>
      </c>
      <c r="J23" s="6">
        <f t="shared" si="2"/>
        <v>0</v>
      </c>
      <c r="K23" s="75">
        <v>0</v>
      </c>
      <c r="L23" s="6">
        <f t="shared" si="3"/>
        <v>0</v>
      </c>
      <c r="M23" s="75">
        <v>0</v>
      </c>
      <c r="N23" s="6">
        <f t="shared" si="4"/>
        <v>0</v>
      </c>
    </row>
    <row r="24" spans="1:14" ht="31.5" customHeight="1" x14ac:dyDescent="0.25">
      <c r="A24" s="123" t="s">
        <v>119</v>
      </c>
      <c r="B24" s="6">
        <f>[1]Mantenimiento!M9</f>
        <v>149888</v>
      </c>
      <c r="C24" s="41"/>
      <c r="D24" s="6">
        <f>[1]Mantenimiento!L9</f>
        <v>149888</v>
      </c>
      <c r="E24" s="40" t="s">
        <v>27</v>
      </c>
      <c r="F24" s="44">
        <f t="shared" si="0"/>
        <v>4</v>
      </c>
      <c r="G24" s="75">
        <v>1</v>
      </c>
      <c r="H24" s="6"/>
      <c r="I24" s="75">
        <v>1</v>
      </c>
      <c r="J24" s="6"/>
      <c r="K24" s="75">
        <v>1</v>
      </c>
      <c r="L24" s="6"/>
      <c r="M24" s="75">
        <v>1</v>
      </c>
      <c r="N24" s="6"/>
    </row>
    <row r="25" spans="1:14" ht="31.5" customHeight="1" x14ac:dyDescent="0.25">
      <c r="A25" s="122" t="s">
        <v>38</v>
      </c>
      <c r="B25" s="6">
        <f>[1]Depreciación!F3</f>
        <v>373027.16666666669</v>
      </c>
      <c r="C25" s="41"/>
      <c r="D25" s="6">
        <f>[1]Depreciación!E13</f>
        <v>79108.414768492308</v>
      </c>
      <c r="E25" s="40" t="s">
        <v>17</v>
      </c>
      <c r="F25" s="44">
        <f t="shared" si="0"/>
        <v>4</v>
      </c>
      <c r="G25" s="44">
        <v>1</v>
      </c>
      <c r="H25" s="6">
        <f t="shared" si="1"/>
        <v>19777.103692123077</v>
      </c>
      <c r="I25" s="44">
        <v>1</v>
      </c>
      <c r="J25" s="6">
        <f t="shared" si="2"/>
        <v>19777.103692123077</v>
      </c>
      <c r="K25" s="75">
        <v>1</v>
      </c>
      <c r="L25" s="6">
        <f t="shared" si="3"/>
        <v>19777.103692123077</v>
      </c>
      <c r="M25" s="44">
        <v>1</v>
      </c>
      <c r="N25" s="6">
        <f t="shared" si="4"/>
        <v>19777.103692123077</v>
      </c>
    </row>
    <row r="26" spans="1:14" ht="31.5" customHeight="1" x14ac:dyDescent="0.25">
      <c r="A26" s="123" t="s">
        <v>39</v>
      </c>
      <c r="B26" s="6">
        <f>[1]Depreciación!F4</f>
        <v>824659.5</v>
      </c>
      <c r="C26" s="41"/>
      <c r="D26" s="6">
        <f>[1]Depreciación!E14</f>
        <v>174886.74176664741</v>
      </c>
      <c r="E26" s="40" t="s">
        <v>17</v>
      </c>
      <c r="F26" s="44">
        <f t="shared" si="0"/>
        <v>4</v>
      </c>
      <c r="G26" s="44">
        <v>1</v>
      </c>
      <c r="H26" s="6">
        <f t="shared" si="1"/>
        <v>43721.685441661852</v>
      </c>
      <c r="I26" s="44">
        <v>1</v>
      </c>
      <c r="J26" s="6">
        <f t="shared" si="2"/>
        <v>43721.685441661852</v>
      </c>
      <c r="K26" s="75">
        <v>1</v>
      </c>
      <c r="L26" s="6">
        <f t="shared" si="3"/>
        <v>43721.685441661852</v>
      </c>
      <c r="M26" s="44">
        <v>1</v>
      </c>
      <c r="N26" s="6">
        <f t="shared" si="4"/>
        <v>43721.685441661852</v>
      </c>
    </row>
    <row r="27" spans="1:14" ht="31.5" customHeight="1" x14ac:dyDescent="0.25">
      <c r="A27" s="122" t="s">
        <v>40</v>
      </c>
      <c r="B27" s="6">
        <f>[1]Depreciación!F5</f>
        <v>46333.333333333336</v>
      </c>
      <c r="C27" s="41"/>
      <c r="D27" s="6">
        <f>[1]Depreciación!E15</f>
        <v>9825.9775117544432</v>
      </c>
      <c r="E27" s="40" t="s">
        <v>17</v>
      </c>
      <c r="F27" s="44">
        <f t="shared" si="0"/>
        <v>4</v>
      </c>
      <c r="G27" s="44">
        <v>1</v>
      </c>
      <c r="H27" s="6">
        <f t="shared" si="1"/>
        <v>2456.4943779386108</v>
      </c>
      <c r="I27" s="44">
        <v>1</v>
      </c>
      <c r="J27" s="6">
        <f t="shared" si="2"/>
        <v>2456.4943779386108</v>
      </c>
      <c r="K27" s="75">
        <v>1</v>
      </c>
      <c r="L27" s="6">
        <f t="shared" si="3"/>
        <v>2456.4943779386108</v>
      </c>
      <c r="M27" s="44">
        <v>1</v>
      </c>
      <c r="N27" s="6">
        <f t="shared" si="4"/>
        <v>2456.4943779386108</v>
      </c>
    </row>
    <row r="28" spans="1:14" ht="31.5" customHeight="1" x14ac:dyDescent="0.25">
      <c r="A28" s="122" t="s">
        <v>41</v>
      </c>
      <c r="B28" s="6">
        <f>[1]Depreciación!F6</f>
        <v>1274459.5833333333</v>
      </c>
      <c r="C28" s="41"/>
      <c r="D28" s="6">
        <f>[1]Depreciación!E16</f>
        <v>270276.50083755259</v>
      </c>
      <c r="E28" s="40" t="s">
        <v>17</v>
      </c>
      <c r="F28" s="44">
        <f t="shared" si="0"/>
        <v>4</v>
      </c>
      <c r="G28" s="75">
        <v>1</v>
      </c>
      <c r="H28" s="6">
        <f t="shared" si="1"/>
        <v>67569.125209388149</v>
      </c>
      <c r="I28" s="75">
        <v>1</v>
      </c>
      <c r="J28" s="6">
        <f t="shared" si="2"/>
        <v>67569.125209388149</v>
      </c>
      <c r="K28" s="75">
        <v>1</v>
      </c>
      <c r="L28" s="6">
        <f t="shared" si="3"/>
        <v>67569.125209388149</v>
      </c>
      <c r="M28" s="75">
        <v>1</v>
      </c>
      <c r="N28" s="6">
        <f t="shared" si="4"/>
        <v>67569.125209388149</v>
      </c>
    </row>
    <row r="29" spans="1:14" ht="31.5" customHeight="1" x14ac:dyDescent="0.25">
      <c r="A29" s="122" t="s">
        <v>42</v>
      </c>
      <c r="B29" s="6">
        <f>[1]Seguros!E3</f>
        <v>734431.66666666663</v>
      </c>
      <c r="C29" s="41"/>
      <c r="D29" s="6">
        <f>[1]Seguros!D10</f>
        <v>734431.66666666663</v>
      </c>
      <c r="E29" s="40" t="s">
        <v>27</v>
      </c>
      <c r="F29" s="44">
        <f t="shared" si="0"/>
        <v>4</v>
      </c>
      <c r="G29" s="7">
        <v>1</v>
      </c>
      <c r="H29" s="6">
        <f t="shared" si="1"/>
        <v>183607.91666666666</v>
      </c>
      <c r="I29" s="7">
        <v>1</v>
      </c>
      <c r="J29" s="6">
        <f t="shared" si="2"/>
        <v>183607.91666666666</v>
      </c>
      <c r="K29" s="7">
        <v>1</v>
      </c>
      <c r="L29" s="6">
        <f t="shared" si="3"/>
        <v>183607.91666666666</v>
      </c>
      <c r="M29" s="7">
        <v>1</v>
      </c>
      <c r="N29" s="6">
        <f t="shared" si="4"/>
        <v>183607.91666666666</v>
      </c>
    </row>
    <row r="30" spans="1:14" ht="31.5" customHeight="1" x14ac:dyDescent="0.25">
      <c r="A30" s="122" t="s">
        <v>43</v>
      </c>
      <c r="B30" s="6">
        <f>[1]Seguros!E4</f>
        <v>71566.666666666672</v>
      </c>
      <c r="C30" s="41"/>
      <c r="D30" s="6">
        <f>[1]Seguros!D11</f>
        <v>0</v>
      </c>
      <c r="E30" s="40" t="s">
        <v>27</v>
      </c>
      <c r="F30" s="44">
        <f t="shared" si="0"/>
        <v>0</v>
      </c>
      <c r="G30" s="7">
        <v>0</v>
      </c>
      <c r="H30" s="6">
        <f t="shared" si="1"/>
        <v>0</v>
      </c>
      <c r="I30" s="7">
        <v>0</v>
      </c>
      <c r="J30" s="6">
        <f t="shared" si="2"/>
        <v>0</v>
      </c>
      <c r="K30" s="7">
        <v>0</v>
      </c>
      <c r="L30" s="6">
        <f t="shared" si="3"/>
        <v>0</v>
      </c>
      <c r="M30" s="7">
        <v>0</v>
      </c>
      <c r="N30" s="6">
        <f t="shared" si="4"/>
        <v>0</v>
      </c>
    </row>
    <row r="31" spans="1:14" ht="31.5" customHeight="1" x14ac:dyDescent="0.25">
      <c r="A31" s="124" t="s">
        <v>44</v>
      </c>
      <c r="B31" s="6">
        <f>[1]MOI!F3</f>
        <v>438146.66666666669</v>
      </c>
      <c r="C31" s="41"/>
      <c r="D31" s="6">
        <f>[1]MOI!J3</f>
        <v>92918.402018348992</v>
      </c>
      <c r="E31" s="11" t="s">
        <v>45</v>
      </c>
      <c r="F31" s="44">
        <f t="shared" si="0"/>
        <v>208</v>
      </c>
      <c r="G31" s="7">
        <v>52</v>
      </c>
      <c r="H31" s="6">
        <f t="shared" si="1"/>
        <v>23229.600504587248</v>
      </c>
      <c r="I31" s="7">
        <v>52</v>
      </c>
      <c r="J31" s="6">
        <f t="shared" si="2"/>
        <v>23229.600504587248</v>
      </c>
      <c r="K31" s="7">
        <v>52</v>
      </c>
      <c r="L31" s="6">
        <f t="shared" si="3"/>
        <v>23229.600504587248</v>
      </c>
      <c r="M31" s="7">
        <v>52</v>
      </c>
      <c r="N31" s="6">
        <f t="shared" si="4"/>
        <v>23229.600504587248</v>
      </c>
    </row>
    <row r="32" spans="1:14" ht="31.5" customHeight="1" x14ac:dyDescent="0.25">
      <c r="A32" s="124" t="s">
        <v>46</v>
      </c>
      <c r="B32" s="6">
        <f>[1]MOI!F4</f>
        <v>388046.66666666669</v>
      </c>
      <c r="C32" s="41"/>
      <c r="D32" s="6">
        <f>[1]MOI!J4</f>
        <v>82293.622018228911</v>
      </c>
      <c r="E32" s="11" t="s">
        <v>45</v>
      </c>
      <c r="F32" s="44">
        <f t="shared" si="0"/>
        <v>208</v>
      </c>
      <c r="G32" s="7">
        <v>52</v>
      </c>
      <c r="H32" s="6">
        <f t="shared" si="1"/>
        <v>20573.405504557228</v>
      </c>
      <c r="I32" s="7">
        <v>52</v>
      </c>
      <c r="J32" s="6">
        <f t="shared" si="2"/>
        <v>20573.405504557228</v>
      </c>
      <c r="K32" s="7">
        <v>52</v>
      </c>
      <c r="L32" s="6">
        <f t="shared" si="3"/>
        <v>20573.405504557228</v>
      </c>
      <c r="M32" s="7">
        <v>52</v>
      </c>
      <c r="N32" s="6">
        <f t="shared" si="4"/>
        <v>20573.405504557228</v>
      </c>
    </row>
    <row r="33" spans="1:14" ht="31.5" customHeight="1" x14ac:dyDescent="0.25">
      <c r="A33" s="124" t="s">
        <v>47</v>
      </c>
      <c r="B33" s="6">
        <f>[1]MOI!F5</f>
        <v>745152.66666666663</v>
      </c>
      <c r="C33" s="41"/>
      <c r="D33" s="6">
        <f>[1]MOI!J5</f>
        <v>158025.6117731767</v>
      </c>
      <c r="E33" s="11" t="s">
        <v>45</v>
      </c>
      <c r="F33" s="44">
        <f t="shared" si="0"/>
        <v>208</v>
      </c>
      <c r="G33" s="7">
        <v>52</v>
      </c>
      <c r="H33" s="6">
        <f t="shared" si="1"/>
        <v>39506.402943294175</v>
      </c>
      <c r="I33" s="7">
        <v>52</v>
      </c>
      <c r="J33" s="6">
        <f t="shared" si="2"/>
        <v>39506.402943294175</v>
      </c>
      <c r="K33" s="7">
        <v>52</v>
      </c>
      <c r="L33" s="6">
        <f t="shared" si="3"/>
        <v>39506.402943294175</v>
      </c>
      <c r="M33" s="7">
        <v>52</v>
      </c>
      <c r="N33" s="6">
        <f t="shared" si="4"/>
        <v>39506.402943294175</v>
      </c>
    </row>
    <row r="34" spans="1:14" ht="31.5" customHeight="1" x14ac:dyDescent="0.25">
      <c r="A34" s="124" t="s">
        <v>48</v>
      </c>
      <c r="B34" s="6">
        <f>[1]MOI!F6</f>
        <v>771995</v>
      </c>
      <c r="C34" s="41"/>
      <c r="D34" s="6">
        <f>[1]MOI!J6</f>
        <v>163718.10451482455</v>
      </c>
      <c r="E34" s="11" t="s">
        <v>45</v>
      </c>
      <c r="F34" s="44">
        <f t="shared" si="0"/>
        <v>208</v>
      </c>
      <c r="G34" s="7">
        <v>52</v>
      </c>
      <c r="H34" s="6">
        <f t="shared" si="1"/>
        <v>40929.526128706137</v>
      </c>
      <c r="I34" s="7">
        <v>52</v>
      </c>
      <c r="J34" s="6">
        <f t="shared" si="2"/>
        <v>40929.526128706137</v>
      </c>
      <c r="K34" s="7">
        <v>52</v>
      </c>
      <c r="L34" s="6">
        <f t="shared" si="3"/>
        <v>40929.526128706137</v>
      </c>
      <c r="M34" s="7">
        <v>52</v>
      </c>
      <c r="N34" s="6">
        <f t="shared" si="4"/>
        <v>40929.526128706137</v>
      </c>
    </row>
    <row r="35" spans="1:14" ht="31.5" customHeight="1" x14ac:dyDescent="0.25">
      <c r="A35" s="124" t="s">
        <v>49</v>
      </c>
      <c r="B35" s="6">
        <f>[1]MOI!F7</f>
        <v>573484.66666666663</v>
      </c>
      <c r="C35" s="41"/>
      <c r="D35" s="6">
        <f>[1]MOI!J7</f>
        <v>121619.72887775523</v>
      </c>
      <c r="E35" s="11" t="s">
        <v>45</v>
      </c>
      <c r="F35" s="44">
        <f t="shared" si="0"/>
        <v>208</v>
      </c>
      <c r="G35" s="7">
        <v>52</v>
      </c>
      <c r="H35" s="6">
        <f t="shared" si="1"/>
        <v>30404.932219438808</v>
      </c>
      <c r="I35" s="7">
        <v>52</v>
      </c>
      <c r="J35" s="6">
        <f t="shared" si="2"/>
        <v>30404.932219438808</v>
      </c>
      <c r="K35" s="7">
        <v>52</v>
      </c>
      <c r="L35" s="6">
        <f t="shared" si="3"/>
        <v>30404.932219438808</v>
      </c>
      <c r="M35" s="7">
        <v>52</v>
      </c>
      <c r="N35" s="6">
        <f t="shared" si="4"/>
        <v>30404.932219438808</v>
      </c>
    </row>
    <row r="36" spans="1:14" ht="31.5" customHeight="1" x14ac:dyDescent="0.25">
      <c r="A36" s="124" t="s">
        <v>50</v>
      </c>
      <c r="B36" s="6">
        <f>[1]MOI!F8</f>
        <v>1656666.6666666667</v>
      </c>
      <c r="C36" s="41"/>
      <c r="D36" s="6">
        <f>[1]MOI!J8</f>
        <v>351331.71390949341</v>
      </c>
      <c r="E36" s="11" t="s">
        <v>45</v>
      </c>
      <c r="F36" s="44">
        <f t="shared" si="0"/>
        <v>240</v>
      </c>
      <c r="G36" s="7">
        <v>60</v>
      </c>
      <c r="H36" s="6">
        <f t="shared" si="1"/>
        <v>87832.928477373353</v>
      </c>
      <c r="I36" s="7">
        <v>60</v>
      </c>
      <c r="J36" s="6">
        <f t="shared" si="2"/>
        <v>87832.928477373353</v>
      </c>
      <c r="K36" s="7">
        <v>60</v>
      </c>
      <c r="L36" s="6">
        <f t="shared" si="3"/>
        <v>87832.928477373353</v>
      </c>
      <c r="M36" s="7">
        <v>60</v>
      </c>
      <c r="N36" s="6">
        <f t="shared" si="4"/>
        <v>87832.928477373353</v>
      </c>
    </row>
    <row r="37" spans="1:14" ht="31.5" customHeight="1" x14ac:dyDescent="0.25">
      <c r="A37" s="124" t="s">
        <v>51</v>
      </c>
      <c r="B37" s="6">
        <f>[1]MOI!F9</f>
        <v>2708000</v>
      </c>
      <c r="C37" s="41"/>
      <c r="D37" s="6">
        <f>[1]MOI!J9</f>
        <v>574289.50579491432</v>
      </c>
      <c r="E37" s="11" t="s">
        <v>45</v>
      </c>
      <c r="F37" s="44">
        <f t="shared" si="0"/>
        <v>240</v>
      </c>
      <c r="G37" s="7">
        <v>60</v>
      </c>
      <c r="H37" s="6">
        <f t="shared" si="1"/>
        <v>143572.37644872858</v>
      </c>
      <c r="I37" s="7">
        <v>60</v>
      </c>
      <c r="J37" s="6">
        <f t="shared" si="2"/>
        <v>143572.37644872858</v>
      </c>
      <c r="K37" s="7">
        <v>60</v>
      </c>
      <c r="L37" s="6">
        <f t="shared" si="3"/>
        <v>143572.37644872858</v>
      </c>
      <c r="M37" s="7">
        <v>60</v>
      </c>
      <c r="N37" s="6">
        <f t="shared" si="4"/>
        <v>143572.37644872858</v>
      </c>
    </row>
    <row r="38" spans="1:14" ht="31.5" customHeight="1" x14ac:dyDescent="0.25">
      <c r="A38" s="124" t="s">
        <v>52</v>
      </c>
      <c r="B38" s="6">
        <f>[1]MOI!F10</f>
        <v>666666.66666666663</v>
      </c>
      <c r="C38" s="41"/>
      <c r="D38" s="6">
        <f>[1]MOI!J10</f>
        <v>141380.97139215024</v>
      </c>
      <c r="E38" s="11" t="s">
        <v>45</v>
      </c>
      <c r="F38" s="44">
        <f t="shared" si="0"/>
        <v>240</v>
      </c>
      <c r="G38" s="7">
        <v>60</v>
      </c>
      <c r="H38" s="6">
        <f t="shared" si="1"/>
        <v>35345.24284803756</v>
      </c>
      <c r="I38" s="7">
        <v>60</v>
      </c>
      <c r="J38" s="6">
        <f t="shared" si="2"/>
        <v>35345.24284803756</v>
      </c>
      <c r="K38" s="7">
        <v>60</v>
      </c>
      <c r="L38" s="6">
        <f t="shared" si="3"/>
        <v>35345.24284803756</v>
      </c>
      <c r="M38" s="7">
        <v>60</v>
      </c>
      <c r="N38" s="6">
        <f t="shared" si="4"/>
        <v>35345.24284803756</v>
      </c>
    </row>
    <row r="39" spans="1:14" ht="31.5" customHeight="1" x14ac:dyDescent="0.25">
      <c r="A39" s="124" t="s">
        <v>53</v>
      </c>
      <c r="B39" s="6">
        <f>[1]MOI!F11</f>
        <v>130000</v>
      </c>
      <c r="C39" s="41"/>
      <c r="D39" s="6">
        <f>[1]MOI!J11</f>
        <v>27569.289421469301</v>
      </c>
      <c r="E39" s="11" t="s">
        <v>45</v>
      </c>
      <c r="F39" s="44">
        <f t="shared" si="0"/>
        <v>240</v>
      </c>
      <c r="G39" s="7">
        <v>60</v>
      </c>
      <c r="H39" s="6">
        <f t="shared" si="1"/>
        <v>6892.3223553673251</v>
      </c>
      <c r="I39" s="7">
        <v>60</v>
      </c>
      <c r="J39" s="6">
        <f t="shared" si="2"/>
        <v>6892.3223553673251</v>
      </c>
      <c r="K39" s="7">
        <v>60</v>
      </c>
      <c r="L39" s="6">
        <f t="shared" si="3"/>
        <v>6892.3223553673251</v>
      </c>
      <c r="M39" s="7">
        <v>60</v>
      </c>
      <c r="N39" s="6">
        <f t="shared" si="4"/>
        <v>6892.3223553673251</v>
      </c>
    </row>
    <row r="40" spans="1:14" ht="31.5" customHeight="1" x14ac:dyDescent="0.25">
      <c r="A40" s="124" t="s">
        <v>54</v>
      </c>
      <c r="B40" s="6">
        <f>[1]MOI!F12</f>
        <v>15000</v>
      </c>
      <c r="C40" s="41"/>
      <c r="D40" s="6">
        <f>[1]MOI!J12</f>
        <v>15000</v>
      </c>
      <c r="E40" s="11" t="s">
        <v>45</v>
      </c>
      <c r="F40" s="44">
        <f t="shared" si="0"/>
        <v>8</v>
      </c>
      <c r="G40" s="7">
        <v>2</v>
      </c>
      <c r="H40" s="6">
        <f t="shared" si="1"/>
        <v>3750</v>
      </c>
      <c r="I40" s="7">
        <v>2</v>
      </c>
      <c r="J40" s="6">
        <f t="shared" si="2"/>
        <v>3750</v>
      </c>
      <c r="K40" s="7">
        <v>2</v>
      </c>
      <c r="L40" s="6">
        <f t="shared" si="3"/>
        <v>3750</v>
      </c>
      <c r="M40" s="7">
        <v>2</v>
      </c>
      <c r="N40" s="6">
        <f t="shared" si="4"/>
        <v>3750</v>
      </c>
    </row>
    <row r="41" spans="1:14" ht="31.5" customHeight="1" x14ac:dyDescent="0.25">
      <c r="A41" s="124" t="s">
        <v>55</v>
      </c>
      <c r="B41" s="6">
        <f>[1]MOI!F13</f>
        <v>11666.666666666666</v>
      </c>
      <c r="C41" s="41"/>
      <c r="D41" s="6">
        <f>[1]MOI!J13</f>
        <v>11666.666666666666</v>
      </c>
      <c r="E41" s="11" t="s">
        <v>45</v>
      </c>
      <c r="F41" s="44">
        <f t="shared" si="0"/>
        <v>8</v>
      </c>
      <c r="G41" s="7">
        <v>2</v>
      </c>
      <c r="H41" s="6">
        <f t="shared" si="1"/>
        <v>2916.6666666666665</v>
      </c>
      <c r="I41" s="7">
        <v>2</v>
      </c>
      <c r="J41" s="6">
        <f t="shared" si="2"/>
        <v>2916.6666666666665</v>
      </c>
      <c r="K41" s="7">
        <v>2</v>
      </c>
      <c r="L41" s="6">
        <f t="shared" si="3"/>
        <v>2916.6666666666665</v>
      </c>
      <c r="M41" s="7">
        <v>2</v>
      </c>
      <c r="N41" s="6">
        <f t="shared" si="4"/>
        <v>2916.6666666666665</v>
      </c>
    </row>
    <row r="42" spans="1:14" ht="31.5" customHeight="1" x14ac:dyDescent="0.25">
      <c r="A42" s="124" t="s">
        <v>56</v>
      </c>
      <c r="B42" s="118">
        <f>[1]MOI!F14</f>
        <v>200000</v>
      </c>
      <c r="C42" s="45"/>
      <c r="D42" s="118">
        <f>[1]MOI!J14</f>
        <v>200000</v>
      </c>
      <c r="E42" s="119" t="s">
        <v>45</v>
      </c>
      <c r="F42" s="44">
        <f t="shared" si="0"/>
        <v>32</v>
      </c>
      <c r="G42" s="7">
        <v>8</v>
      </c>
      <c r="H42" s="6">
        <f t="shared" si="1"/>
        <v>50000</v>
      </c>
      <c r="I42" s="7">
        <v>8</v>
      </c>
      <c r="J42" s="6">
        <f t="shared" si="2"/>
        <v>50000</v>
      </c>
      <c r="K42" s="7">
        <v>8</v>
      </c>
      <c r="L42" s="6">
        <f t="shared" si="3"/>
        <v>50000</v>
      </c>
      <c r="M42" s="7">
        <v>8</v>
      </c>
      <c r="N42" s="6">
        <f t="shared" si="4"/>
        <v>50000</v>
      </c>
    </row>
    <row r="43" spans="1:14" ht="31.5" customHeight="1" x14ac:dyDescent="0.25">
      <c r="A43" s="124" t="s">
        <v>120</v>
      </c>
      <c r="B43" s="6">
        <f>[1]MOI!F15</f>
        <v>133333.33333333334</v>
      </c>
      <c r="C43" s="41"/>
      <c r="D43" s="6">
        <f>[1]MOI!J15</f>
        <v>66666.666666666672</v>
      </c>
      <c r="E43" s="11" t="s">
        <v>45</v>
      </c>
      <c r="F43" s="44">
        <f t="shared" si="0"/>
        <v>24</v>
      </c>
      <c r="G43" s="7">
        <v>6</v>
      </c>
      <c r="H43" s="6">
        <f t="shared" si="1"/>
        <v>16666.666666666668</v>
      </c>
      <c r="I43" s="7">
        <v>6</v>
      </c>
      <c r="J43" s="6">
        <f t="shared" si="2"/>
        <v>16666.666666666668</v>
      </c>
      <c r="K43" s="7">
        <v>6</v>
      </c>
      <c r="L43" s="6">
        <f t="shared" si="3"/>
        <v>16666.666666666668</v>
      </c>
      <c r="M43" s="7">
        <v>6</v>
      </c>
      <c r="N43" s="6">
        <f t="shared" si="4"/>
        <v>16666.666666666668</v>
      </c>
    </row>
    <row r="44" spans="1:14" ht="31.5" customHeight="1" x14ac:dyDescent="0.25">
      <c r="A44" s="124" t="s">
        <v>57</v>
      </c>
      <c r="B44" s="6">
        <f>[1]MOI!F16</f>
        <v>105000</v>
      </c>
      <c r="C44" s="41"/>
      <c r="D44" s="6">
        <f>[1]MOI!J16</f>
        <v>22267.502994263665</v>
      </c>
      <c r="E44" s="11" t="s">
        <v>45</v>
      </c>
      <c r="F44" s="44">
        <f t="shared" si="0"/>
        <v>24</v>
      </c>
      <c r="G44" s="7">
        <v>6</v>
      </c>
      <c r="H44" s="6">
        <f t="shared" si="1"/>
        <v>5566.8757485659162</v>
      </c>
      <c r="I44" s="7">
        <v>6</v>
      </c>
      <c r="J44" s="6">
        <f t="shared" si="2"/>
        <v>5566.8757485659162</v>
      </c>
      <c r="K44" s="7">
        <v>6</v>
      </c>
      <c r="L44" s="6">
        <f t="shared" si="3"/>
        <v>5566.8757485659162</v>
      </c>
      <c r="M44" s="7">
        <v>6</v>
      </c>
      <c r="N44" s="6">
        <f t="shared" si="4"/>
        <v>5566.8757485659162</v>
      </c>
    </row>
    <row r="45" spans="1:14" ht="31.5" customHeight="1" x14ac:dyDescent="0.25">
      <c r="A45" s="124" t="s">
        <v>121</v>
      </c>
      <c r="B45" s="6">
        <f>[1]MOI!F17</f>
        <v>290400</v>
      </c>
      <c r="C45" s="41"/>
      <c r="D45" s="6">
        <f>[1]MOI!J17</f>
        <v>0</v>
      </c>
      <c r="E45" s="11" t="s">
        <v>45</v>
      </c>
      <c r="F45" s="44">
        <f t="shared" si="0"/>
        <v>0</v>
      </c>
      <c r="G45" s="7">
        <v>0</v>
      </c>
      <c r="H45" s="6">
        <f t="shared" si="1"/>
        <v>0</v>
      </c>
      <c r="I45" s="7">
        <v>0</v>
      </c>
      <c r="J45" s="6">
        <f t="shared" si="2"/>
        <v>0</v>
      </c>
      <c r="K45" s="7">
        <v>0</v>
      </c>
      <c r="L45" s="6">
        <f t="shared" si="3"/>
        <v>0</v>
      </c>
      <c r="M45" s="7">
        <v>0</v>
      </c>
      <c r="N45" s="6">
        <f t="shared" si="4"/>
        <v>0</v>
      </c>
    </row>
    <row r="46" spans="1:14" ht="31.5" customHeight="1" x14ac:dyDescent="0.25">
      <c r="A46" s="124" t="s">
        <v>58</v>
      </c>
      <c r="B46" s="6">
        <f>[1]MOI!F18</f>
        <v>258333.33333333334</v>
      </c>
      <c r="C46" s="41"/>
      <c r="D46" s="6">
        <f>[1]MOI!J18</f>
        <v>54785.126414458231</v>
      </c>
      <c r="E46" s="11" t="s">
        <v>45</v>
      </c>
      <c r="F46" s="44">
        <f t="shared" si="0"/>
        <v>40</v>
      </c>
      <c r="G46" s="7">
        <v>10</v>
      </c>
      <c r="H46" s="6">
        <f t="shared" si="1"/>
        <v>13696.281603614556</v>
      </c>
      <c r="I46" s="7">
        <v>10</v>
      </c>
      <c r="J46" s="6">
        <f t="shared" si="2"/>
        <v>13696.281603614556</v>
      </c>
      <c r="K46" s="7">
        <v>10</v>
      </c>
      <c r="L46" s="6">
        <f t="shared" si="3"/>
        <v>13696.281603614556</v>
      </c>
      <c r="M46" s="7">
        <v>10</v>
      </c>
      <c r="N46" s="6">
        <f t="shared" si="4"/>
        <v>13696.281603614556</v>
      </c>
    </row>
    <row r="47" spans="1:14" ht="31.5" customHeight="1" x14ac:dyDescent="0.25">
      <c r="A47" s="124" t="s">
        <v>123</v>
      </c>
      <c r="B47" s="6">
        <f>[1]MOI!F19</f>
        <v>293333.33333333331</v>
      </c>
      <c r="C47" s="41"/>
      <c r="D47" s="6">
        <f>[1]MOI!J19</f>
        <v>293333.33333333331</v>
      </c>
      <c r="E47" s="11" t="s">
        <v>45</v>
      </c>
      <c r="F47" s="44">
        <f t="shared" si="0"/>
        <v>48</v>
      </c>
      <c r="G47" s="7">
        <v>12</v>
      </c>
      <c r="H47" s="6">
        <f t="shared" si="1"/>
        <v>73333.333333333328</v>
      </c>
      <c r="I47" s="7">
        <v>12</v>
      </c>
      <c r="J47" s="6">
        <f t="shared" si="2"/>
        <v>73333.333333333328</v>
      </c>
      <c r="K47" s="7">
        <v>12</v>
      </c>
      <c r="L47" s="6">
        <f t="shared" si="3"/>
        <v>73333.333333333328</v>
      </c>
      <c r="M47" s="7">
        <v>12</v>
      </c>
      <c r="N47" s="6">
        <f t="shared" si="4"/>
        <v>73333.333333333328</v>
      </c>
    </row>
    <row r="48" spans="1:14" ht="31.5" customHeight="1" x14ac:dyDescent="0.25">
      <c r="A48" s="124" t="s">
        <v>59</v>
      </c>
      <c r="B48" s="6">
        <f>[1]MOI!F20</f>
        <v>620000</v>
      </c>
      <c r="C48" s="41"/>
      <c r="D48" s="6">
        <f>[1]MOI!J20</f>
        <v>0</v>
      </c>
      <c r="E48" s="11" t="s">
        <v>45</v>
      </c>
      <c r="F48" s="44">
        <f t="shared" si="0"/>
        <v>0</v>
      </c>
      <c r="G48" s="7">
        <v>0</v>
      </c>
      <c r="H48" s="6">
        <f t="shared" si="1"/>
        <v>0</v>
      </c>
      <c r="I48" s="7">
        <v>0</v>
      </c>
      <c r="J48" s="6">
        <f t="shared" si="2"/>
        <v>0</v>
      </c>
      <c r="K48" s="7">
        <v>0</v>
      </c>
      <c r="L48" s="6">
        <f t="shared" si="3"/>
        <v>0</v>
      </c>
      <c r="M48" s="7">
        <v>0</v>
      </c>
      <c r="N48" s="6">
        <f t="shared" si="4"/>
        <v>0</v>
      </c>
    </row>
    <row r="49" spans="1:14" ht="31.5" customHeight="1" x14ac:dyDescent="0.25">
      <c r="A49" s="124" t="s">
        <v>122</v>
      </c>
      <c r="B49" s="6">
        <f>[1]MOI!F21</f>
        <v>153333.33333333334</v>
      </c>
      <c r="C49" s="41"/>
      <c r="D49" s="6">
        <f>[1]MOI!J21</f>
        <v>153333.33333333334</v>
      </c>
      <c r="E49" s="11" t="s">
        <v>45</v>
      </c>
      <c r="F49" s="44">
        <f t="shared" si="0"/>
        <v>32</v>
      </c>
      <c r="G49" s="7">
        <v>8</v>
      </c>
      <c r="H49" s="6">
        <f t="shared" si="1"/>
        <v>38333.333333333336</v>
      </c>
      <c r="I49" s="7">
        <v>8</v>
      </c>
      <c r="J49" s="6">
        <f t="shared" si="2"/>
        <v>38333.333333333336</v>
      </c>
      <c r="K49" s="7">
        <v>8</v>
      </c>
      <c r="L49" s="6">
        <f t="shared" si="3"/>
        <v>38333.333333333336</v>
      </c>
      <c r="M49" s="7">
        <v>8</v>
      </c>
      <c r="N49" s="6">
        <f t="shared" si="4"/>
        <v>38333.333333333336</v>
      </c>
    </row>
    <row r="50" spans="1:14" ht="31.5" customHeight="1" x14ac:dyDescent="0.25">
      <c r="A50" s="124" t="s">
        <v>59</v>
      </c>
      <c r="B50" s="6">
        <f>[1]MOI!F22</f>
        <v>35333.333333333336</v>
      </c>
      <c r="C50" s="41"/>
      <c r="D50" s="6">
        <f>[1]MOI!J22</f>
        <v>0</v>
      </c>
      <c r="E50" s="11" t="s">
        <v>45</v>
      </c>
      <c r="F50" s="44">
        <f t="shared" si="0"/>
        <v>0</v>
      </c>
      <c r="G50" s="7">
        <v>0</v>
      </c>
      <c r="H50" s="6">
        <f t="shared" si="1"/>
        <v>0</v>
      </c>
      <c r="I50" s="7">
        <v>0</v>
      </c>
      <c r="J50" s="6">
        <f t="shared" si="2"/>
        <v>0</v>
      </c>
      <c r="K50" s="7">
        <v>0</v>
      </c>
      <c r="L50" s="6">
        <f t="shared" si="3"/>
        <v>0</v>
      </c>
      <c r="M50" s="7">
        <v>0</v>
      </c>
      <c r="N50" s="6">
        <f t="shared" si="4"/>
        <v>0</v>
      </c>
    </row>
    <row r="51" spans="1:14" ht="31.5" customHeight="1" x14ac:dyDescent="0.25">
      <c r="A51" s="125" t="s">
        <v>60</v>
      </c>
      <c r="B51" s="8">
        <f>'[2]MOI POR CENTROS DE COSTOS'!D4</f>
        <v>1423420</v>
      </c>
      <c r="C51" s="41"/>
      <c r="D51" s="6">
        <f>'[2]MOI POR CENTROS DE COSTOS'!G4</f>
        <v>301866.75344852178</v>
      </c>
      <c r="E51" s="11" t="s">
        <v>45</v>
      </c>
      <c r="F51" s="44">
        <f t="shared" si="0"/>
        <v>240</v>
      </c>
      <c r="G51" s="7">
        <v>60</v>
      </c>
      <c r="H51" s="6">
        <f t="shared" si="1"/>
        <v>75466.688362130444</v>
      </c>
      <c r="I51" s="7">
        <v>60</v>
      </c>
      <c r="J51" s="6">
        <f t="shared" si="2"/>
        <v>75466.688362130444</v>
      </c>
      <c r="K51" s="7">
        <v>60</v>
      </c>
      <c r="L51" s="6">
        <f t="shared" si="3"/>
        <v>75466.688362130444</v>
      </c>
      <c r="M51" s="7">
        <v>60</v>
      </c>
      <c r="N51" s="6">
        <f t="shared" si="4"/>
        <v>75466.688362130444</v>
      </c>
    </row>
    <row r="52" spans="1:14" ht="31.5" customHeight="1" x14ac:dyDescent="0.25">
      <c r="A52" s="125" t="s">
        <v>61</v>
      </c>
      <c r="B52" s="8">
        <f>'[2]MOI POR CENTROS DE COSTOS'!D5</f>
        <v>813700</v>
      </c>
      <c r="C52" s="41"/>
      <c r="D52" s="6">
        <f>'[2]MOI POR CENTROS DE COSTOS'!G5</f>
        <v>172562.54463268901</v>
      </c>
      <c r="E52" s="11" t="s">
        <v>45</v>
      </c>
      <c r="F52" s="44">
        <f t="shared" si="0"/>
        <v>240</v>
      </c>
      <c r="G52" s="7">
        <v>60</v>
      </c>
      <c r="H52" s="6">
        <f t="shared" si="1"/>
        <v>43140.636158172252</v>
      </c>
      <c r="I52" s="7">
        <v>60</v>
      </c>
      <c r="J52" s="6">
        <f t="shared" si="2"/>
        <v>43140.636158172252</v>
      </c>
      <c r="K52" s="7">
        <v>60</v>
      </c>
      <c r="L52" s="6">
        <f t="shared" si="3"/>
        <v>43140.636158172252</v>
      </c>
      <c r="M52" s="7">
        <v>60</v>
      </c>
      <c r="N52" s="6">
        <f t="shared" si="4"/>
        <v>43140.636158172252</v>
      </c>
    </row>
    <row r="53" spans="1:14" ht="31.5" customHeight="1" x14ac:dyDescent="0.25">
      <c r="A53" s="125" t="s">
        <v>62</v>
      </c>
      <c r="B53" s="8">
        <f>'[2]MOI POR CENTROS DE COSTOS'!D6</f>
        <v>848700</v>
      </c>
      <c r="C53" s="41"/>
      <c r="D53" s="6">
        <f>'[2]MOI POR CENTROS DE COSTOS'!G6</f>
        <v>424350</v>
      </c>
      <c r="E53" s="11" t="s">
        <v>45</v>
      </c>
      <c r="F53" s="44">
        <f t="shared" si="0"/>
        <v>240</v>
      </c>
      <c r="G53" s="7">
        <v>60</v>
      </c>
      <c r="H53" s="6">
        <f t="shared" si="1"/>
        <v>106087.5</v>
      </c>
      <c r="I53" s="7">
        <v>60</v>
      </c>
      <c r="J53" s="6">
        <f t="shared" si="2"/>
        <v>106087.5</v>
      </c>
      <c r="K53" s="7">
        <v>60</v>
      </c>
      <c r="L53" s="6">
        <f t="shared" si="3"/>
        <v>106087.5</v>
      </c>
      <c r="M53" s="7">
        <v>60</v>
      </c>
      <c r="N53" s="6">
        <f t="shared" si="4"/>
        <v>106087.5</v>
      </c>
    </row>
    <row r="54" spans="1:14" ht="31.5" customHeight="1" x14ac:dyDescent="0.25">
      <c r="A54" s="125" t="s">
        <v>63</v>
      </c>
      <c r="B54" s="8">
        <f>'[2]MOI POR CENTROS DE COSTOS'!D7</f>
        <v>711955</v>
      </c>
      <c r="C54" s="41"/>
      <c r="D54" s="6">
        <f>'[2]MOI POR CENTROS DE COSTOS'!G7</f>
        <v>150985.33423124751</v>
      </c>
      <c r="E54" s="11" t="s">
        <v>45</v>
      </c>
      <c r="F54" s="44">
        <f t="shared" si="0"/>
        <v>240</v>
      </c>
      <c r="G54" s="7">
        <v>60</v>
      </c>
      <c r="H54" s="6">
        <f t="shared" si="1"/>
        <v>37746.333557811879</v>
      </c>
      <c r="I54" s="7">
        <v>60</v>
      </c>
      <c r="J54" s="6">
        <f t="shared" si="2"/>
        <v>37746.333557811879</v>
      </c>
      <c r="K54" s="7">
        <v>60</v>
      </c>
      <c r="L54" s="6">
        <f t="shared" si="3"/>
        <v>37746.333557811879</v>
      </c>
      <c r="M54" s="7">
        <v>60</v>
      </c>
      <c r="N54" s="6">
        <f t="shared" si="4"/>
        <v>37746.333557811879</v>
      </c>
    </row>
    <row r="55" spans="1:14" ht="31.5" customHeight="1" x14ac:dyDescent="0.25">
      <c r="A55" s="125" t="s">
        <v>64</v>
      </c>
      <c r="B55" s="8">
        <f>'[2]MOI POR CENTROS DE COSTOS'!D8</f>
        <v>1362100</v>
      </c>
      <c r="C55" s="41"/>
      <c r="D55" s="6">
        <f>'[2]MOI POR CENTROS DE COSTOS'!G8</f>
        <v>288862.53169987182</v>
      </c>
      <c r="E55" s="11" t="s">
        <v>45</v>
      </c>
      <c r="F55" s="44">
        <f t="shared" si="0"/>
        <v>240</v>
      </c>
      <c r="G55" s="7">
        <v>60</v>
      </c>
      <c r="H55" s="6">
        <f t="shared" si="1"/>
        <v>72215.632924967955</v>
      </c>
      <c r="I55" s="7">
        <v>60</v>
      </c>
      <c r="J55" s="6">
        <f t="shared" si="2"/>
        <v>72215.632924967955</v>
      </c>
      <c r="K55" s="7">
        <v>60</v>
      </c>
      <c r="L55" s="6">
        <f t="shared" si="3"/>
        <v>72215.632924967955</v>
      </c>
      <c r="M55" s="7">
        <v>60</v>
      </c>
      <c r="N55" s="6">
        <f t="shared" si="4"/>
        <v>72215.632924967955</v>
      </c>
    </row>
    <row r="56" spans="1:14" ht="31.5" customHeight="1" x14ac:dyDescent="0.25">
      <c r="A56" s="125" t="s">
        <v>65</v>
      </c>
      <c r="B56" s="8">
        <f>'[2]MOI POR CENTROS DE COSTOS'!D9</f>
        <v>711955</v>
      </c>
      <c r="C56" s="41"/>
      <c r="D56" s="6">
        <f>'[2]MOI POR CENTROS DE COSTOS'!G9</f>
        <v>150985.33423124751</v>
      </c>
      <c r="E56" s="11" t="s">
        <v>45</v>
      </c>
      <c r="F56" s="44">
        <f t="shared" si="0"/>
        <v>240</v>
      </c>
      <c r="G56" s="7">
        <v>60</v>
      </c>
      <c r="H56" s="6">
        <f t="shared" si="1"/>
        <v>37746.333557811879</v>
      </c>
      <c r="I56" s="7">
        <v>60</v>
      </c>
      <c r="J56" s="6">
        <f t="shared" si="2"/>
        <v>37746.333557811879</v>
      </c>
      <c r="K56" s="7">
        <v>60</v>
      </c>
      <c r="L56" s="6">
        <f t="shared" si="3"/>
        <v>37746.333557811879</v>
      </c>
      <c r="M56" s="7">
        <v>60</v>
      </c>
      <c r="N56" s="6">
        <f t="shared" si="4"/>
        <v>37746.333557811879</v>
      </c>
    </row>
    <row r="57" spans="1:14" ht="31.5" customHeight="1" x14ac:dyDescent="0.25">
      <c r="A57" s="125" t="s">
        <v>66</v>
      </c>
      <c r="B57" s="8">
        <f>'[2]MOI POR CENTROS DE COSTOS'!D10</f>
        <v>1363200</v>
      </c>
      <c r="C57" s="41"/>
      <c r="D57" s="6">
        <f>'[2]MOI POR CENTROS DE COSTOS'!G10</f>
        <v>289095.81030266883</v>
      </c>
      <c r="E57" s="11" t="s">
        <v>45</v>
      </c>
      <c r="F57" s="44">
        <f t="shared" si="0"/>
        <v>240</v>
      </c>
      <c r="G57" s="7">
        <v>60</v>
      </c>
      <c r="H57" s="6">
        <f t="shared" si="1"/>
        <v>72273.952575667208</v>
      </c>
      <c r="I57" s="7">
        <v>60</v>
      </c>
      <c r="J57" s="6">
        <f t="shared" si="2"/>
        <v>72273.952575667208</v>
      </c>
      <c r="K57" s="7">
        <v>60</v>
      </c>
      <c r="L57" s="6">
        <f t="shared" si="3"/>
        <v>72273.952575667208</v>
      </c>
      <c r="M57" s="7">
        <v>60</v>
      </c>
      <c r="N57" s="6">
        <f t="shared" si="4"/>
        <v>72273.952575667208</v>
      </c>
    </row>
    <row r="58" spans="1:14" ht="31.5" customHeight="1" x14ac:dyDescent="0.25">
      <c r="A58" s="125" t="s">
        <v>67</v>
      </c>
      <c r="B58" s="8">
        <f>'[2]MOI POR CENTROS DE COSTOS'!D11</f>
        <v>394827.5</v>
      </c>
      <c r="C58" s="41"/>
      <c r="D58" s="6">
        <f>'[2]MOI POR CENTROS DE COSTOS'!G11</f>
        <v>83731.643223501305</v>
      </c>
      <c r="E58" s="11" t="s">
        <v>45</v>
      </c>
      <c r="F58" s="44">
        <f t="shared" si="0"/>
        <v>240</v>
      </c>
      <c r="G58" s="7">
        <v>60</v>
      </c>
      <c r="H58" s="6">
        <f t="shared" si="1"/>
        <v>20932.910805875326</v>
      </c>
      <c r="I58" s="7">
        <v>60</v>
      </c>
      <c r="J58" s="6">
        <f t="shared" si="2"/>
        <v>20932.910805875326</v>
      </c>
      <c r="K58" s="7">
        <v>60</v>
      </c>
      <c r="L58" s="6">
        <f t="shared" si="3"/>
        <v>20932.910805875326</v>
      </c>
      <c r="M58" s="7">
        <v>60</v>
      </c>
      <c r="N58" s="6">
        <f t="shared" si="4"/>
        <v>20932.910805875326</v>
      </c>
    </row>
    <row r="59" spans="1:14" ht="31.5" customHeight="1" thickBot="1" x14ac:dyDescent="0.3">
      <c r="A59" s="126" t="s">
        <v>68</v>
      </c>
      <c r="B59" s="8">
        <f>'[2]MOI POR CENTROS DE COSTOS'!D12</f>
        <v>711955</v>
      </c>
      <c r="C59" s="60"/>
      <c r="D59" s="6">
        <f>'[2]MOI POR CENTROS DE COSTOS'!G12</f>
        <v>711955</v>
      </c>
      <c r="E59" s="62" t="s">
        <v>45</v>
      </c>
      <c r="F59" s="44">
        <f t="shared" si="0"/>
        <v>240</v>
      </c>
      <c r="G59" s="7">
        <v>60</v>
      </c>
      <c r="H59" s="9">
        <f t="shared" si="1"/>
        <v>177988.75</v>
      </c>
      <c r="I59" s="7">
        <v>60</v>
      </c>
      <c r="J59" s="9">
        <f t="shared" si="2"/>
        <v>177988.75</v>
      </c>
      <c r="K59" s="7">
        <v>60</v>
      </c>
      <c r="L59" s="9">
        <f t="shared" si="3"/>
        <v>177988.75</v>
      </c>
      <c r="M59" s="7">
        <v>60</v>
      </c>
      <c r="N59" s="9">
        <f t="shared" si="4"/>
        <v>177988.75</v>
      </c>
    </row>
    <row r="60" spans="1:14" ht="15.75" thickBot="1" x14ac:dyDescent="0.3">
      <c r="A60" s="127" t="s">
        <v>69</v>
      </c>
      <c r="B60" s="64"/>
      <c r="C60" s="10"/>
      <c r="D60" s="66"/>
      <c r="E60" s="11"/>
      <c r="F60" s="44"/>
      <c r="G60" s="7">
        <v>60</v>
      </c>
      <c r="H60" s="12"/>
      <c r="I60" s="7">
        <v>60</v>
      </c>
      <c r="J60" s="12"/>
      <c r="K60" s="7">
        <v>60</v>
      </c>
      <c r="L60" s="12"/>
      <c r="M60" s="7">
        <v>60</v>
      </c>
      <c r="N60" s="132"/>
    </row>
    <row r="61" spans="1:14" ht="39" customHeight="1" x14ac:dyDescent="0.25">
      <c r="A61" s="128" t="s">
        <v>70</v>
      </c>
      <c r="B61" s="4">
        <f>'[2]MOD POR CENTROS DE COSTOS'!C4</f>
        <v>1119321.3599999999</v>
      </c>
      <c r="C61" s="10"/>
      <c r="D61" s="6">
        <f>'[2]MOD POR CENTROS DE COSTOS'!F4</f>
        <v>0</v>
      </c>
      <c r="E61" s="61" t="s">
        <v>45</v>
      </c>
      <c r="F61" s="7">
        <f t="shared" si="0"/>
        <v>0</v>
      </c>
      <c r="G61" s="7">
        <v>0</v>
      </c>
      <c r="H61" s="53">
        <f t="shared" si="1"/>
        <v>0</v>
      </c>
      <c r="I61" s="7">
        <v>0</v>
      </c>
      <c r="J61" s="53">
        <f t="shared" si="2"/>
        <v>0</v>
      </c>
      <c r="K61" s="7">
        <v>0</v>
      </c>
      <c r="L61" s="53">
        <f t="shared" si="3"/>
        <v>0</v>
      </c>
      <c r="M61" s="7">
        <v>0</v>
      </c>
      <c r="N61" s="4">
        <f t="shared" si="4"/>
        <v>0</v>
      </c>
    </row>
    <row r="62" spans="1:14" ht="39" customHeight="1" x14ac:dyDescent="0.25">
      <c r="A62" s="124" t="s">
        <v>71</v>
      </c>
      <c r="B62" s="6">
        <f>'[2]MOD POR CENTROS DE COSTOS'!C5</f>
        <v>1394331.88</v>
      </c>
      <c r="C62" s="41"/>
      <c r="D62" s="6">
        <f>'[2]MOD POR CENTROS DE COSTOS'!F5</f>
        <v>1394331.88</v>
      </c>
      <c r="E62" s="11" t="s">
        <v>45</v>
      </c>
      <c r="F62" s="44">
        <f t="shared" si="0"/>
        <v>240</v>
      </c>
      <c r="G62" s="7">
        <v>60</v>
      </c>
      <c r="H62" s="54">
        <f t="shared" si="1"/>
        <v>348582.97</v>
      </c>
      <c r="I62" s="7">
        <v>60</v>
      </c>
      <c r="J62" s="54">
        <f t="shared" si="2"/>
        <v>348582.97</v>
      </c>
      <c r="K62" s="7">
        <v>60</v>
      </c>
      <c r="L62" s="54">
        <f t="shared" si="3"/>
        <v>348582.97</v>
      </c>
      <c r="M62" s="7">
        <v>60</v>
      </c>
      <c r="N62" s="6">
        <f t="shared" si="4"/>
        <v>348582.97</v>
      </c>
    </row>
    <row r="63" spans="1:14" ht="39" customHeight="1" x14ac:dyDescent="0.25">
      <c r="A63" s="124" t="s">
        <v>72</v>
      </c>
      <c r="B63" s="6">
        <f>'[2]MOD POR CENTROS DE COSTOS'!C6</f>
        <v>859102.96</v>
      </c>
      <c r="C63" s="41"/>
      <c r="D63" s="6">
        <f>'[2]MOD POR CENTROS DE COSTOS'!F6</f>
        <v>0</v>
      </c>
      <c r="E63" s="11" t="s">
        <v>45</v>
      </c>
      <c r="F63" s="44">
        <f t="shared" si="0"/>
        <v>0</v>
      </c>
      <c r="G63" s="7">
        <v>0</v>
      </c>
      <c r="H63" s="54">
        <f t="shared" si="1"/>
        <v>0</v>
      </c>
      <c r="I63" s="7">
        <v>0</v>
      </c>
      <c r="J63" s="54">
        <f t="shared" si="2"/>
        <v>0</v>
      </c>
      <c r="K63" s="7">
        <v>0</v>
      </c>
      <c r="L63" s="54">
        <f t="shared" si="3"/>
        <v>0</v>
      </c>
      <c r="M63" s="7">
        <v>0</v>
      </c>
      <c r="N63" s="6">
        <f t="shared" si="4"/>
        <v>0</v>
      </c>
    </row>
    <row r="64" spans="1:14" ht="39" customHeight="1" x14ac:dyDescent="0.25">
      <c r="A64" s="124" t="s">
        <v>73</v>
      </c>
      <c r="B64" s="6">
        <f>'[2]MOD POR CENTROS DE COSTOS'!C7</f>
        <v>859102.96</v>
      </c>
      <c r="C64" s="41"/>
      <c r="D64" s="6">
        <f>'[2]MOD POR CENTROS DE COSTOS'!F7</f>
        <v>0</v>
      </c>
      <c r="E64" s="11" t="s">
        <v>45</v>
      </c>
      <c r="F64" s="44">
        <f t="shared" si="0"/>
        <v>0</v>
      </c>
      <c r="G64" s="7">
        <v>0</v>
      </c>
      <c r="H64" s="54">
        <f t="shared" si="1"/>
        <v>0</v>
      </c>
      <c r="I64" s="7">
        <v>0</v>
      </c>
      <c r="J64" s="54">
        <f t="shared" si="2"/>
        <v>0</v>
      </c>
      <c r="K64" s="7">
        <v>0</v>
      </c>
      <c r="L64" s="54">
        <f t="shared" si="3"/>
        <v>0</v>
      </c>
      <c r="M64" s="7">
        <v>0</v>
      </c>
      <c r="N64" s="6">
        <f t="shared" si="4"/>
        <v>0</v>
      </c>
    </row>
    <row r="65" spans="1:14" ht="39" customHeight="1" x14ac:dyDescent="0.25">
      <c r="A65" s="124" t="s">
        <v>74</v>
      </c>
      <c r="B65" s="6">
        <f>'[2]MOD POR CENTROS DE COSTOS'!C8</f>
        <v>746998.8</v>
      </c>
      <c r="C65" s="41"/>
      <c r="D65" s="6">
        <f>'[2]MOD POR CENTROS DE COSTOS'!F8</f>
        <v>746998.8</v>
      </c>
      <c r="E65" s="11" t="s">
        <v>45</v>
      </c>
      <c r="F65" s="44">
        <f t="shared" si="0"/>
        <v>240</v>
      </c>
      <c r="G65" s="7">
        <v>60</v>
      </c>
      <c r="H65" s="54">
        <f t="shared" si="1"/>
        <v>186749.7</v>
      </c>
      <c r="I65" s="7">
        <v>60</v>
      </c>
      <c r="J65" s="54">
        <f t="shared" si="2"/>
        <v>186749.7</v>
      </c>
      <c r="K65" s="7">
        <v>60</v>
      </c>
      <c r="L65" s="54">
        <f t="shared" si="3"/>
        <v>186749.7</v>
      </c>
      <c r="M65" s="7">
        <v>60</v>
      </c>
      <c r="N65" s="6">
        <f t="shared" si="4"/>
        <v>186749.7</v>
      </c>
    </row>
    <row r="66" spans="1:14" ht="39" customHeight="1" x14ac:dyDescent="0.25">
      <c r="A66" s="124" t="s">
        <v>75</v>
      </c>
      <c r="B66" s="6">
        <f>'[2]MOD POR CENTROS DE COSTOS'!C9</f>
        <v>801197.6</v>
      </c>
      <c r="C66" s="41"/>
      <c r="D66" s="6">
        <f>'[2]MOD POR CENTROS DE COSTOS'!F9</f>
        <v>400598.8</v>
      </c>
      <c r="E66" s="11" t="s">
        <v>45</v>
      </c>
      <c r="F66" s="44">
        <f t="shared" si="0"/>
        <v>240</v>
      </c>
      <c r="G66" s="7">
        <v>60</v>
      </c>
      <c r="H66" s="54">
        <f t="shared" si="1"/>
        <v>100149.7</v>
      </c>
      <c r="I66" s="7">
        <v>60</v>
      </c>
      <c r="J66" s="54">
        <f t="shared" si="2"/>
        <v>100149.7</v>
      </c>
      <c r="K66" s="7">
        <v>60</v>
      </c>
      <c r="L66" s="54">
        <f t="shared" si="3"/>
        <v>100149.7</v>
      </c>
      <c r="M66" s="7">
        <v>60</v>
      </c>
      <c r="N66" s="6">
        <f t="shared" si="4"/>
        <v>100149.7</v>
      </c>
    </row>
    <row r="67" spans="1:14" ht="39" customHeight="1" x14ac:dyDescent="0.25">
      <c r="A67" s="124" t="s">
        <v>76</v>
      </c>
      <c r="B67" s="6">
        <f>'[2]MOD POR CENTROS DE COSTOS'!C10</f>
        <v>870573.24</v>
      </c>
      <c r="C67" s="41"/>
      <c r="D67" s="6">
        <f>'[2]MOD POR CENTROS DE COSTOS'!F10</f>
        <v>870573.24</v>
      </c>
      <c r="E67" s="11" t="s">
        <v>45</v>
      </c>
      <c r="F67" s="44">
        <f t="shared" si="0"/>
        <v>240</v>
      </c>
      <c r="G67" s="7">
        <v>60</v>
      </c>
      <c r="H67" s="54">
        <f t="shared" si="1"/>
        <v>217643.31</v>
      </c>
      <c r="I67" s="7">
        <v>60</v>
      </c>
      <c r="J67" s="54">
        <f t="shared" si="2"/>
        <v>217643.31</v>
      </c>
      <c r="K67" s="7">
        <v>60</v>
      </c>
      <c r="L67" s="54">
        <f t="shared" si="3"/>
        <v>217643.31</v>
      </c>
      <c r="M67" s="7">
        <v>60</v>
      </c>
      <c r="N67" s="6">
        <f t="shared" si="4"/>
        <v>217643.31</v>
      </c>
    </row>
    <row r="68" spans="1:14" ht="39" customHeight="1" x14ac:dyDescent="0.25">
      <c r="A68" s="124" t="s">
        <v>77</v>
      </c>
      <c r="B68" s="6">
        <f>'[2]MOD POR CENTROS DE COSTOS'!C11</f>
        <v>1131404.8400000001</v>
      </c>
      <c r="C68" s="41"/>
      <c r="D68" s="6">
        <f>'[2]MOD POR CENTROS DE COSTOS'!F11</f>
        <v>0</v>
      </c>
      <c r="E68" s="11" t="s">
        <v>45</v>
      </c>
      <c r="F68" s="44">
        <f t="shared" si="0"/>
        <v>0</v>
      </c>
      <c r="G68" s="7">
        <v>0</v>
      </c>
      <c r="H68" s="54">
        <f t="shared" si="1"/>
        <v>0</v>
      </c>
      <c r="I68" s="7">
        <v>0</v>
      </c>
      <c r="J68" s="54">
        <f t="shared" si="2"/>
        <v>0</v>
      </c>
      <c r="K68" s="7">
        <v>0</v>
      </c>
      <c r="L68" s="54">
        <f t="shared" si="3"/>
        <v>0</v>
      </c>
      <c r="M68" s="7">
        <v>0</v>
      </c>
      <c r="N68" s="6">
        <f t="shared" si="4"/>
        <v>0</v>
      </c>
    </row>
    <row r="69" spans="1:14" ht="39" customHeight="1" x14ac:dyDescent="0.25">
      <c r="A69" s="124" t="s">
        <v>78</v>
      </c>
      <c r="B69" s="6">
        <f>'[2]MOD POR CENTROS DE COSTOS'!C12</f>
        <v>956755.24</v>
      </c>
      <c r="C69" s="41"/>
      <c r="D69" s="6">
        <f>'[2]MOD POR CENTROS DE COSTOS'!F12</f>
        <v>478377.62</v>
      </c>
      <c r="E69" s="11" t="s">
        <v>45</v>
      </c>
      <c r="F69" s="44">
        <f t="shared" ref="F69:F73" si="5">G69+I69+K69+M69</f>
        <v>240</v>
      </c>
      <c r="G69" s="7">
        <v>60</v>
      </c>
      <c r="H69" s="54">
        <f t="shared" si="1"/>
        <v>119594.405</v>
      </c>
      <c r="I69" s="7">
        <v>60</v>
      </c>
      <c r="J69" s="54">
        <f t="shared" si="2"/>
        <v>119594.405</v>
      </c>
      <c r="K69" s="7">
        <v>60</v>
      </c>
      <c r="L69" s="54">
        <f t="shared" si="3"/>
        <v>119594.405</v>
      </c>
      <c r="M69" s="7">
        <v>60</v>
      </c>
      <c r="N69" s="6">
        <f t="shared" si="4"/>
        <v>119594.405</v>
      </c>
    </row>
    <row r="70" spans="1:14" ht="39" customHeight="1" x14ac:dyDescent="0.25">
      <c r="A70" s="124" t="s">
        <v>79</v>
      </c>
      <c r="B70" s="6">
        <f>'[2]MOD POR CENTROS DE COSTOS'!C13</f>
        <v>725213.24</v>
      </c>
      <c r="C70" s="41"/>
      <c r="D70" s="6">
        <f>'[2]MOD POR CENTROS DE COSTOS'!F13</f>
        <v>0</v>
      </c>
      <c r="E70" s="11" t="s">
        <v>45</v>
      </c>
      <c r="F70" s="44">
        <f t="shared" si="5"/>
        <v>0</v>
      </c>
      <c r="G70" s="7">
        <v>0</v>
      </c>
      <c r="H70" s="54">
        <f t="shared" si="1"/>
        <v>0</v>
      </c>
      <c r="I70" s="7">
        <v>0</v>
      </c>
      <c r="J70" s="54">
        <f t="shared" si="2"/>
        <v>0</v>
      </c>
      <c r="K70" s="7">
        <v>0</v>
      </c>
      <c r="L70" s="54">
        <f t="shared" si="3"/>
        <v>0</v>
      </c>
      <c r="M70" s="7">
        <v>0</v>
      </c>
      <c r="N70" s="6">
        <f t="shared" si="4"/>
        <v>0</v>
      </c>
    </row>
    <row r="71" spans="1:14" ht="39" customHeight="1" x14ac:dyDescent="0.25">
      <c r="A71" s="124" t="s">
        <v>76</v>
      </c>
      <c r="B71" s="6">
        <f>'[2]MOD POR CENTROS DE COSTOS'!C14</f>
        <v>802669.6</v>
      </c>
      <c r="C71" s="41"/>
      <c r="D71" s="6">
        <f>'[2]MOD POR CENTROS DE COSTOS'!F14</f>
        <v>802669.6</v>
      </c>
      <c r="E71" s="11" t="s">
        <v>45</v>
      </c>
      <c r="F71" s="44">
        <f t="shared" si="5"/>
        <v>240</v>
      </c>
      <c r="G71" s="7">
        <v>60</v>
      </c>
      <c r="H71" s="54">
        <f t="shared" si="1"/>
        <v>200667.4</v>
      </c>
      <c r="I71" s="7">
        <v>60</v>
      </c>
      <c r="J71" s="54">
        <f t="shared" si="2"/>
        <v>200667.4</v>
      </c>
      <c r="K71" s="7">
        <v>60</v>
      </c>
      <c r="L71" s="54">
        <f t="shared" si="3"/>
        <v>200667.4</v>
      </c>
      <c r="M71" s="7">
        <v>60</v>
      </c>
      <c r="N71" s="6">
        <f t="shared" si="4"/>
        <v>200667.4</v>
      </c>
    </row>
    <row r="72" spans="1:14" ht="39" customHeight="1" x14ac:dyDescent="0.25">
      <c r="A72" s="124" t="s">
        <v>80</v>
      </c>
      <c r="B72" s="6">
        <f>'[2]MOD POR CENTROS DE COSTOS'!C15</f>
        <v>1086028.24</v>
      </c>
      <c r="C72" s="41"/>
      <c r="D72" s="6">
        <f>'[2]MOD POR CENTROS DE COSTOS'!F15</f>
        <v>543014.12</v>
      </c>
      <c r="E72" s="11" t="s">
        <v>45</v>
      </c>
      <c r="F72" s="44">
        <f t="shared" si="5"/>
        <v>240</v>
      </c>
      <c r="G72" s="7">
        <v>60</v>
      </c>
      <c r="H72" s="54">
        <f t="shared" ref="H72:H73" si="6">IF(G72&gt;0,(D72/F72)*G72,0)</f>
        <v>135753.53</v>
      </c>
      <c r="I72" s="7">
        <v>60</v>
      </c>
      <c r="J72" s="54">
        <f t="shared" ref="J72:J73" si="7">IF(I72&gt;0,(D72/F72)*I72,0)</f>
        <v>135753.53</v>
      </c>
      <c r="K72" s="7">
        <v>60</v>
      </c>
      <c r="L72" s="54">
        <f t="shared" ref="L72:L73" si="8">IF(K72&gt;0,(D72/F72)*K72,0)</f>
        <v>135753.53</v>
      </c>
      <c r="M72" s="7">
        <v>60</v>
      </c>
      <c r="N72" s="6">
        <f t="shared" ref="N72:N73" si="9">IF(M72&gt;0,(D72/F72)*M72,0)</f>
        <v>135753.53</v>
      </c>
    </row>
    <row r="73" spans="1:14" ht="39" customHeight="1" thickBot="1" x14ac:dyDescent="0.3">
      <c r="A73" s="129" t="s">
        <v>81</v>
      </c>
      <c r="B73" s="9">
        <f>'[2]MOD POR CENTROS DE COSTOS'!C16</f>
        <v>891998.8</v>
      </c>
      <c r="C73" s="60"/>
      <c r="D73" s="9">
        <f>'[2]MOD POR CENTROS DE COSTOS'!F16</f>
        <v>891998.8</v>
      </c>
      <c r="E73" s="62" t="s">
        <v>45</v>
      </c>
      <c r="F73" s="57">
        <f t="shared" si="5"/>
        <v>240</v>
      </c>
      <c r="G73" s="130">
        <v>60</v>
      </c>
      <c r="H73" s="55">
        <f t="shared" si="6"/>
        <v>222999.7</v>
      </c>
      <c r="I73" s="130">
        <v>60</v>
      </c>
      <c r="J73" s="55">
        <f t="shared" si="7"/>
        <v>222999.7</v>
      </c>
      <c r="K73" s="130">
        <v>60</v>
      </c>
      <c r="L73" s="54">
        <f t="shared" si="8"/>
        <v>222999.7</v>
      </c>
      <c r="M73" s="130">
        <v>60</v>
      </c>
      <c r="N73" s="9">
        <f t="shared" si="9"/>
        <v>222999.7</v>
      </c>
    </row>
    <row r="74" spans="1:14" ht="15.75" thickBot="1" x14ac:dyDescent="0.3">
      <c r="A74" s="185" t="s">
        <v>82</v>
      </c>
      <c r="B74" s="186"/>
      <c r="C74" s="187"/>
      <c r="D74" s="186"/>
      <c r="E74" s="187"/>
      <c r="F74" s="188"/>
      <c r="G74" s="189">
        <f>SUM(H4:H73)</f>
        <v>4026225.3196241399</v>
      </c>
      <c r="H74" s="190"/>
      <c r="I74" s="189">
        <f>SUM(J4:J73)</f>
        <v>4257487.7174581671</v>
      </c>
      <c r="J74" s="190"/>
      <c r="K74" s="189">
        <f>SUM(L4:L73)</f>
        <v>4026225.3196241399</v>
      </c>
      <c r="L74" s="190"/>
      <c r="M74" s="189">
        <f>SUM(N4:N73)</f>
        <v>4427372.1314189751</v>
      </c>
      <c r="N74" s="190"/>
    </row>
  </sheetData>
  <mergeCells count="17">
    <mergeCell ref="C3:F3"/>
    <mergeCell ref="G1:N1"/>
    <mergeCell ref="A1:A2"/>
    <mergeCell ref="B1:B2"/>
    <mergeCell ref="C1:C2"/>
    <mergeCell ref="D1:D2"/>
    <mergeCell ref="E1:E2"/>
    <mergeCell ref="F1:F2"/>
    <mergeCell ref="G2:H2"/>
    <mergeCell ref="I2:J2"/>
    <mergeCell ref="K2:L2"/>
    <mergeCell ref="M2:N2"/>
    <mergeCell ref="A74:F74"/>
    <mergeCell ref="G74:H74"/>
    <mergeCell ref="I74:J74"/>
    <mergeCell ref="K74:L74"/>
    <mergeCell ref="M74:N74"/>
  </mergeCells>
  <conditionalFormatting sqref="A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{AE287C39-4C31-498D-A747-8D25E3123F48}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287C39-4C31-498D-A747-8D25E3123F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1"/>
  <sheetViews>
    <sheetView topLeftCell="A2" zoomScale="80" zoomScaleNormal="80" workbookViewId="0">
      <selection activeCell="H20" sqref="H20"/>
    </sheetView>
  </sheetViews>
  <sheetFormatPr baseColWidth="10" defaultRowHeight="15" x14ac:dyDescent="0.25"/>
  <cols>
    <col min="2" max="2" width="17.85546875" customWidth="1"/>
    <col min="3" max="3" width="15.7109375" customWidth="1"/>
    <col min="10" max="10" width="29.42578125" customWidth="1"/>
    <col min="11" max="11" width="19.5703125" customWidth="1"/>
    <col min="15" max="15" width="13.5703125" customWidth="1"/>
  </cols>
  <sheetData>
    <row r="4" spans="2:16" ht="15.75" thickBot="1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2:16" ht="15.75" thickBot="1" x14ac:dyDescent="0.3">
      <c r="B5" s="204" t="s">
        <v>83</v>
      </c>
      <c r="C5" s="205"/>
      <c r="D5" s="13"/>
      <c r="E5" s="204" t="s">
        <v>84</v>
      </c>
      <c r="F5" s="206"/>
      <c r="G5" s="206"/>
      <c r="H5" s="205"/>
      <c r="I5" s="13"/>
      <c r="J5" s="14"/>
      <c r="K5" s="14"/>
      <c r="L5" s="14"/>
      <c r="M5" s="14"/>
      <c r="N5" s="14"/>
      <c r="O5" s="13"/>
      <c r="P5" s="14"/>
    </row>
    <row r="6" spans="2:16" ht="15.75" thickBot="1" x14ac:dyDescent="0.3">
      <c r="B6" s="15" t="s">
        <v>85</v>
      </c>
      <c r="C6" s="16" t="s">
        <v>86</v>
      </c>
      <c r="D6" s="13"/>
      <c r="E6" s="17" t="s">
        <v>87</v>
      </c>
      <c r="F6" s="18" t="s">
        <v>88</v>
      </c>
      <c r="G6" s="18" t="s">
        <v>89</v>
      </c>
      <c r="H6" s="15" t="s">
        <v>90</v>
      </c>
      <c r="I6" s="13"/>
      <c r="J6" s="14"/>
      <c r="K6" s="15" t="s">
        <v>87</v>
      </c>
      <c r="L6" s="19" t="s">
        <v>88</v>
      </c>
      <c r="M6" s="15" t="s">
        <v>89</v>
      </c>
      <c r="N6" s="15" t="s">
        <v>91</v>
      </c>
      <c r="O6" s="13"/>
      <c r="P6" s="14"/>
    </row>
    <row r="7" spans="2:16" ht="15.75" thickBot="1" x14ac:dyDescent="0.3">
      <c r="B7" s="20">
        <v>239</v>
      </c>
      <c r="C7" s="21">
        <f>'[1]Servicios publicos'!$K$4</f>
        <v>759045.28646366112</v>
      </c>
      <c r="D7" s="13"/>
      <c r="E7" s="22">
        <f>B7</f>
        <v>239</v>
      </c>
      <c r="F7" s="20">
        <f>B11</f>
        <v>227</v>
      </c>
      <c r="G7" s="22">
        <f>B15</f>
        <v>210</v>
      </c>
      <c r="H7" s="22">
        <f>AVERAGE(E7:G7)</f>
        <v>225.33333333333334</v>
      </c>
      <c r="I7" s="13"/>
      <c r="J7" s="23" t="s">
        <v>92</v>
      </c>
      <c r="K7" s="24">
        <v>3942</v>
      </c>
      <c r="L7" s="25">
        <v>4593</v>
      </c>
      <c r="M7" s="24">
        <v>4270</v>
      </c>
      <c r="N7" s="14"/>
      <c r="O7" s="13"/>
      <c r="P7" s="14"/>
    </row>
    <row r="8" spans="2:16" ht="15.75" thickBot="1" x14ac:dyDescent="0.3">
      <c r="B8" s="13"/>
      <c r="C8" s="13"/>
      <c r="D8" s="13"/>
      <c r="E8" s="13"/>
      <c r="F8" s="13"/>
      <c r="G8" s="13"/>
      <c r="H8" s="13"/>
      <c r="I8" s="13"/>
      <c r="J8" s="26" t="s">
        <v>93</v>
      </c>
      <c r="K8" s="27">
        <v>3508</v>
      </c>
      <c r="L8" s="28">
        <v>4104</v>
      </c>
      <c r="M8" s="27">
        <v>3715</v>
      </c>
      <c r="N8" s="14"/>
      <c r="O8" s="13"/>
      <c r="P8" s="14"/>
    </row>
    <row r="9" spans="2:16" ht="15.75" thickBot="1" x14ac:dyDescent="0.3">
      <c r="B9" s="204" t="s">
        <v>94</v>
      </c>
      <c r="C9" s="205"/>
      <c r="D9" s="13"/>
      <c r="E9" s="29"/>
      <c r="F9" s="29"/>
      <c r="G9" s="29"/>
      <c r="H9" s="13"/>
      <c r="I9" s="13"/>
      <c r="J9" s="30" t="s">
        <v>95</v>
      </c>
      <c r="K9" s="24">
        <f>SUM(K7:K8)</f>
        <v>7450</v>
      </c>
      <c r="L9" s="25">
        <f>SUM(L7:L8)</f>
        <v>8697</v>
      </c>
      <c r="M9" s="24">
        <f>SUM(M7:M8)</f>
        <v>7985</v>
      </c>
      <c r="N9" s="24">
        <f>AVERAGE(K9:M9)</f>
        <v>8044</v>
      </c>
      <c r="O9" s="13"/>
      <c r="P9" s="14"/>
    </row>
    <row r="10" spans="2:16" ht="15.75" thickBot="1" x14ac:dyDescent="0.3">
      <c r="B10" s="15" t="s">
        <v>85</v>
      </c>
      <c r="C10" s="16" t="s">
        <v>86</v>
      </c>
      <c r="D10" s="13"/>
      <c r="E10" s="31"/>
      <c r="F10" s="32"/>
      <c r="G10" s="29"/>
      <c r="H10" s="13"/>
      <c r="I10" s="13"/>
      <c r="J10" s="13"/>
      <c r="K10" s="13"/>
      <c r="L10" s="13"/>
      <c r="M10" s="13"/>
      <c r="N10" s="13"/>
      <c r="O10" s="13"/>
      <c r="P10" s="14"/>
    </row>
    <row r="11" spans="2:16" ht="15.75" thickBot="1" x14ac:dyDescent="0.3">
      <c r="B11" s="20">
        <v>227</v>
      </c>
      <c r="C11" s="21">
        <f>'[1]Servicios publicos'!$L$4</f>
        <v>722692.93440419319</v>
      </c>
      <c r="D11" s="13"/>
      <c r="E11" s="13"/>
      <c r="F11" s="32"/>
      <c r="G11" s="13"/>
      <c r="H11" s="13"/>
      <c r="I11" s="13"/>
      <c r="J11" s="33" t="s">
        <v>96</v>
      </c>
      <c r="K11" s="13" t="s">
        <v>117</v>
      </c>
      <c r="L11" s="207"/>
      <c r="M11" s="13" t="s">
        <v>97</v>
      </c>
      <c r="N11" s="34">
        <v>240</v>
      </c>
      <c r="O11" s="13" t="s">
        <v>118</v>
      </c>
      <c r="P11" s="14"/>
    </row>
    <row r="12" spans="2:16" ht="15.75" thickBot="1" x14ac:dyDescent="0.3">
      <c r="B12" s="13"/>
      <c r="C12" s="13"/>
      <c r="D12" s="13"/>
      <c r="E12" s="13"/>
      <c r="F12" s="32"/>
      <c r="G12" s="13"/>
      <c r="H12" s="13"/>
      <c r="I12" s="13"/>
      <c r="J12" s="33" t="s">
        <v>98</v>
      </c>
      <c r="K12" s="13" t="s">
        <v>99</v>
      </c>
      <c r="L12" s="207"/>
      <c r="M12" s="13" t="s">
        <v>100</v>
      </c>
      <c r="N12" s="34">
        <v>8044</v>
      </c>
      <c r="O12" s="13" t="s">
        <v>118</v>
      </c>
      <c r="P12" s="14"/>
    </row>
    <row r="13" spans="2:16" ht="15.75" thickBot="1" x14ac:dyDescent="0.3">
      <c r="B13" s="204" t="s">
        <v>101</v>
      </c>
      <c r="C13" s="205"/>
      <c r="D13" s="13"/>
      <c r="E13" s="13"/>
      <c r="F13" s="13"/>
      <c r="G13" s="13"/>
      <c r="H13" s="13"/>
      <c r="I13" s="13"/>
      <c r="J13" s="33" t="s">
        <v>102</v>
      </c>
      <c r="K13" s="13"/>
      <c r="L13" s="13"/>
      <c r="M13" s="13"/>
      <c r="N13" s="13"/>
      <c r="O13" s="13"/>
      <c r="P13" s="14"/>
    </row>
    <row r="14" spans="2:16" ht="15.75" thickBot="1" x14ac:dyDescent="0.3">
      <c r="B14" s="15" t="s">
        <v>85</v>
      </c>
      <c r="C14" s="16" t="s">
        <v>86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16" ht="15.75" thickBot="1" x14ac:dyDescent="0.3">
      <c r="B15" s="20">
        <v>210</v>
      </c>
      <c r="C15" s="21">
        <f>'[1]Servicios publicos'!$M$4</f>
        <v>695256.10011817177</v>
      </c>
      <c r="D15" s="13"/>
      <c r="E15" s="13"/>
      <c r="F15" s="13"/>
      <c r="G15" s="13"/>
      <c r="H15" s="13"/>
      <c r="I15" s="13"/>
      <c r="J15" s="13"/>
      <c r="K15" s="13"/>
      <c r="L15" s="13"/>
      <c r="M15" s="22">
        <f>N12/N11</f>
        <v>33.516666666666666</v>
      </c>
      <c r="N15" s="35" t="s">
        <v>103</v>
      </c>
      <c r="O15" s="13"/>
      <c r="P15" s="14"/>
    </row>
    <row r="16" spans="2:16" x14ac:dyDescent="0.25">
      <c r="B16" s="13"/>
      <c r="C16" s="13"/>
      <c r="D16" s="13"/>
      <c r="E16" s="13"/>
      <c r="F16" s="13"/>
      <c r="G16" s="13"/>
      <c r="H16" s="13"/>
      <c r="I16" s="13"/>
      <c r="L16" s="13"/>
      <c r="M16" s="13"/>
      <c r="N16" s="13"/>
      <c r="O16" s="13"/>
      <c r="P16" s="14"/>
    </row>
    <row r="17" spans="2:16" ht="15.75" thickBot="1" x14ac:dyDescent="0.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spans="2:16" ht="15.75" thickBot="1" x14ac:dyDescent="0.3">
      <c r="B18" s="204" t="s">
        <v>104</v>
      </c>
      <c r="C18" s="205"/>
      <c r="D18" s="13"/>
      <c r="E18" s="204" t="s">
        <v>105</v>
      </c>
      <c r="F18" s="206"/>
      <c r="G18" s="206"/>
      <c r="H18" s="205"/>
      <c r="I18" s="13"/>
      <c r="J18" s="13"/>
      <c r="K18" s="13"/>
      <c r="L18" s="13"/>
      <c r="M18" s="13"/>
      <c r="N18" s="13"/>
      <c r="O18" s="13"/>
      <c r="P18" s="14"/>
    </row>
    <row r="19" spans="2:16" ht="15.75" thickBot="1" x14ac:dyDescent="0.3">
      <c r="B19" s="15" t="s">
        <v>106</v>
      </c>
      <c r="C19" s="16" t="s">
        <v>86</v>
      </c>
      <c r="D19" s="13"/>
      <c r="E19" s="17" t="s">
        <v>87</v>
      </c>
      <c r="F19" s="18" t="s">
        <v>88</v>
      </c>
      <c r="G19" s="18" t="s">
        <v>89</v>
      </c>
      <c r="H19" s="15" t="s">
        <v>90</v>
      </c>
      <c r="I19" s="13"/>
      <c r="J19" s="203"/>
      <c r="K19" s="203"/>
      <c r="L19" s="56"/>
      <c r="M19" s="56"/>
      <c r="N19" s="56"/>
      <c r="O19" s="56"/>
      <c r="P19" s="45"/>
    </row>
    <row r="20" spans="2:16" ht="15.75" thickBot="1" x14ac:dyDescent="0.3">
      <c r="B20" s="20">
        <v>4</v>
      </c>
      <c r="C20" s="21">
        <f>'[1]Servicios publicos'!$K$5</f>
        <v>38854.399934666966</v>
      </c>
      <c r="D20" s="13"/>
      <c r="E20" s="22">
        <f>B20</f>
        <v>4</v>
      </c>
      <c r="F20" s="36">
        <f>B24</f>
        <v>3</v>
      </c>
      <c r="G20" s="35">
        <f>B28</f>
        <v>3</v>
      </c>
      <c r="H20" s="22">
        <f>AVERAGE(E20:G20)</f>
        <v>3.3333333333333335</v>
      </c>
      <c r="I20" s="13"/>
      <c r="J20" s="58"/>
      <c r="K20" s="58"/>
      <c r="L20" s="56"/>
      <c r="M20" s="56"/>
      <c r="N20" s="56"/>
      <c r="O20" s="56"/>
      <c r="P20" s="45"/>
    </row>
    <row r="21" spans="2:16" ht="15.75" thickBot="1" x14ac:dyDescent="0.3">
      <c r="B21" s="13"/>
      <c r="C21" s="13"/>
      <c r="D21" s="13"/>
      <c r="E21" s="13"/>
      <c r="F21" s="13"/>
      <c r="G21" s="13"/>
      <c r="H21" s="13"/>
      <c r="I21" s="13"/>
      <c r="J21" s="48"/>
      <c r="K21" s="67"/>
      <c r="L21" s="56"/>
      <c r="M21" s="56"/>
      <c r="N21" s="56"/>
      <c r="O21" s="56"/>
      <c r="P21" s="45"/>
    </row>
    <row r="22" spans="2:16" ht="15.75" thickBot="1" x14ac:dyDescent="0.3">
      <c r="B22" s="204" t="s">
        <v>107</v>
      </c>
      <c r="C22" s="205"/>
      <c r="D22" s="13"/>
      <c r="I22" s="13"/>
      <c r="J22" s="56"/>
      <c r="K22" s="56"/>
      <c r="L22" s="56"/>
      <c r="M22" s="56"/>
      <c r="N22" s="56"/>
      <c r="O22" s="56"/>
      <c r="P22" s="45"/>
    </row>
    <row r="23" spans="2:16" ht="15.75" thickBot="1" x14ac:dyDescent="0.3">
      <c r="B23" s="15" t="s">
        <v>106</v>
      </c>
      <c r="C23" s="16" t="s">
        <v>86</v>
      </c>
      <c r="D23" s="13"/>
      <c r="E23" s="37"/>
      <c r="I23" s="13"/>
      <c r="J23" s="203"/>
      <c r="K23" s="203"/>
      <c r="L23" s="56"/>
      <c r="M23" s="203"/>
      <c r="N23" s="203"/>
      <c r="O23" s="203"/>
      <c r="P23" s="203"/>
    </row>
    <row r="24" spans="2:16" ht="15.75" thickBot="1" x14ac:dyDescent="0.3">
      <c r="B24" s="20">
        <v>3</v>
      </c>
      <c r="C24" s="21">
        <f>'[1]Servicios publicos'!$L$5</f>
        <v>29049.720290164281</v>
      </c>
      <c r="D24" s="13"/>
      <c r="I24" s="13"/>
      <c r="J24" s="58"/>
      <c r="K24" s="58"/>
      <c r="L24" s="56"/>
      <c r="M24" s="68"/>
      <c r="N24" s="58"/>
      <c r="O24" s="58"/>
      <c r="P24" s="58"/>
    </row>
    <row r="25" spans="2:16" ht="15.75" thickBot="1" x14ac:dyDescent="0.3">
      <c r="B25" s="13"/>
      <c r="C25" s="13"/>
      <c r="D25" s="13"/>
      <c r="E25" s="13"/>
      <c r="F25" s="13"/>
      <c r="G25" s="13"/>
      <c r="H25" s="13"/>
      <c r="I25" s="13"/>
      <c r="J25" s="48"/>
      <c r="K25" s="67"/>
      <c r="L25" s="56"/>
      <c r="M25" s="48"/>
      <c r="N25" s="48"/>
      <c r="O25" s="48"/>
      <c r="P25" s="48"/>
    </row>
    <row r="26" spans="2:16" ht="15.75" thickBot="1" x14ac:dyDescent="0.3">
      <c r="B26" s="204" t="s">
        <v>108</v>
      </c>
      <c r="C26" s="205"/>
      <c r="D26" s="13"/>
      <c r="E26" s="13"/>
      <c r="F26" s="13"/>
      <c r="G26" s="13"/>
      <c r="H26" s="13"/>
      <c r="I26" s="13"/>
      <c r="J26" s="56"/>
      <c r="K26" s="56"/>
      <c r="L26" s="56"/>
      <c r="M26" s="56"/>
      <c r="N26" s="56"/>
      <c r="O26" s="56"/>
      <c r="P26" s="45"/>
    </row>
    <row r="27" spans="2:16" ht="15.75" thickBot="1" x14ac:dyDescent="0.3">
      <c r="B27" s="15" t="s">
        <v>106</v>
      </c>
      <c r="C27" s="16" t="s">
        <v>86</v>
      </c>
      <c r="D27" s="13"/>
      <c r="E27" s="13"/>
      <c r="F27" s="13"/>
      <c r="G27" s="13"/>
      <c r="H27" s="13"/>
      <c r="I27" s="13"/>
      <c r="J27" s="203"/>
      <c r="K27" s="203"/>
      <c r="L27" s="56"/>
      <c r="M27" s="56"/>
      <c r="N27" s="56"/>
      <c r="O27" s="56"/>
      <c r="P27" s="45"/>
    </row>
    <row r="28" spans="2:16" ht="15.75" thickBot="1" x14ac:dyDescent="0.3">
      <c r="B28" s="20">
        <v>3</v>
      </c>
      <c r="C28" s="21">
        <f>'[1]Servicios publicos'!$M$5</f>
        <v>35607.677907221041</v>
      </c>
      <c r="D28" s="13"/>
      <c r="E28" s="13"/>
      <c r="F28" s="13"/>
      <c r="G28" s="13"/>
      <c r="H28" s="13"/>
      <c r="I28" s="13"/>
      <c r="J28" s="58"/>
      <c r="K28" s="58"/>
      <c r="L28" s="56"/>
      <c r="M28" s="69"/>
      <c r="N28" s="59"/>
      <c r="O28" s="56"/>
      <c r="P28" s="45"/>
    </row>
    <row r="29" spans="2:16" x14ac:dyDescent="0.25">
      <c r="B29" s="13"/>
      <c r="C29" s="13"/>
      <c r="D29" s="13"/>
      <c r="E29" s="13"/>
      <c r="F29" s="13"/>
      <c r="G29" s="13"/>
      <c r="H29" s="13"/>
      <c r="I29" s="13"/>
      <c r="J29" s="48"/>
      <c r="K29" s="67"/>
      <c r="L29" s="56"/>
      <c r="M29" s="59"/>
      <c r="N29" s="59"/>
      <c r="O29" s="56"/>
      <c r="P29" s="45"/>
    </row>
    <row r="30" spans="2:16" x14ac:dyDescent="0.25">
      <c r="B30" s="38"/>
      <c r="C30" s="38"/>
      <c r="D30" s="38"/>
      <c r="E30" s="38"/>
      <c r="F30" s="38"/>
      <c r="G30" s="38"/>
      <c r="H30" s="38"/>
      <c r="I30" s="38"/>
      <c r="J30" s="70"/>
      <c r="K30" s="70"/>
      <c r="L30" s="70"/>
      <c r="M30" s="71"/>
      <c r="N30" s="71"/>
      <c r="O30" s="70"/>
      <c r="P30" s="41"/>
    </row>
    <row r="31" spans="2:16" x14ac:dyDescent="0.25">
      <c r="J31" s="41"/>
      <c r="K31" s="41"/>
      <c r="L31" s="41"/>
      <c r="M31" s="41"/>
      <c r="N31" s="41"/>
      <c r="O31" s="41"/>
      <c r="P31" s="41"/>
    </row>
  </sheetData>
  <mergeCells count="13">
    <mergeCell ref="M23:P23"/>
    <mergeCell ref="B26:C26"/>
    <mergeCell ref="J27:K27"/>
    <mergeCell ref="B5:C5"/>
    <mergeCell ref="E5:H5"/>
    <mergeCell ref="B9:C9"/>
    <mergeCell ref="L11:L12"/>
    <mergeCell ref="B13:C13"/>
    <mergeCell ref="B18:C18"/>
    <mergeCell ref="E18:H18"/>
    <mergeCell ref="J19:K19"/>
    <mergeCell ref="B22:C22"/>
    <mergeCell ref="J23:K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4"/>
  <sheetViews>
    <sheetView topLeftCell="C1" zoomScale="80" zoomScaleNormal="80" workbookViewId="0">
      <selection activeCell="H12" sqref="H12:I12"/>
    </sheetView>
  </sheetViews>
  <sheetFormatPr baseColWidth="10" defaultRowHeight="15" x14ac:dyDescent="0.25"/>
  <cols>
    <col min="2" max="2" width="48.42578125" customWidth="1"/>
    <col min="3" max="3" width="17.28515625" customWidth="1"/>
    <col min="4" max="4" width="18" customWidth="1"/>
    <col min="5" max="5" width="17.28515625" customWidth="1"/>
    <col min="7" max="21" width="18.7109375" customWidth="1"/>
    <col min="22" max="22" width="21.5703125" customWidth="1"/>
    <col min="23" max="25" width="18.7109375" customWidth="1"/>
  </cols>
  <sheetData>
    <row r="2" spans="2:33" ht="15.75" thickBot="1" x14ac:dyDescent="0.3"/>
    <row r="3" spans="2:33" ht="16.5" customHeight="1" thickBot="1" x14ac:dyDescent="0.3">
      <c r="B3" s="230" t="s">
        <v>6</v>
      </c>
      <c r="C3" s="225" t="s">
        <v>82</v>
      </c>
      <c r="D3" s="209" t="s">
        <v>112</v>
      </c>
      <c r="E3" s="210"/>
      <c r="F3" s="209" t="s">
        <v>150</v>
      </c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10"/>
      <c r="Z3" s="93"/>
      <c r="AA3" s="93"/>
      <c r="AB3" s="93"/>
      <c r="AC3" s="93"/>
      <c r="AD3" s="93"/>
      <c r="AE3" s="93"/>
      <c r="AF3" s="93"/>
      <c r="AG3" s="93"/>
    </row>
    <row r="4" spans="2:33" ht="32.25" customHeight="1" thickBot="1" x14ac:dyDescent="0.3">
      <c r="B4" s="231"/>
      <c r="C4" s="226"/>
      <c r="D4" s="225" t="s">
        <v>151</v>
      </c>
      <c r="E4" s="225" t="s">
        <v>5</v>
      </c>
      <c r="F4" s="209" t="s">
        <v>164</v>
      </c>
      <c r="G4" s="210"/>
      <c r="H4" s="209" t="s">
        <v>152</v>
      </c>
      <c r="I4" s="210"/>
      <c r="J4" s="209" t="s">
        <v>165</v>
      </c>
      <c r="K4" s="210"/>
      <c r="L4" s="209" t="s">
        <v>166</v>
      </c>
      <c r="M4" s="210"/>
      <c r="N4" s="209" t="s">
        <v>167</v>
      </c>
      <c r="O4" s="210"/>
      <c r="P4" s="223" t="s">
        <v>154</v>
      </c>
      <c r="Q4" s="210"/>
      <c r="R4" s="223" t="s">
        <v>153</v>
      </c>
      <c r="S4" s="210"/>
      <c r="T4" s="209" t="s">
        <v>168</v>
      </c>
      <c r="U4" s="210"/>
      <c r="V4" s="209" t="s">
        <v>155</v>
      </c>
      <c r="W4" s="210"/>
      <c r="X4" s="209" t="s">
        <v>169</v>
      </c>
      <c r="Y4" s="210"/>
    </row>
    <row r="5" spans="2:33" ht="45.75" customHeight="1" thickBot="1" x14ac:dyDescent="0.3">
      <c r="B5" s="231"/>
      <c r="C5" s="226"/>
      <c r="D5" s="226"/>
      <c r="E5" s="226"/>
      <c r="F5" s="147" t="s">
        <v>156</v>
      </c>
      <c r="G5" s="147" t="s">
        <v>114</v>
      </c>
      <c r="H5" s="147" t="s">
        <v>156</v>
      </c>
      <c r="I5" s="147" t="s">
        <v>114</v>
      </c>
      <c r="J5" s="147" t="s">
        <v>156</v>
      </c>
      <c r="K5" s="147" t="s">
        <v>114</v>
      </c>
      <c r="L5" s="147" t="s">
        <v>156</v>
      </c>
      <c r="M5" s="147" t="s">
        <v>114</v>
      </c>
      <c r="N5" s="147" t="s">
        <v>156</v>
      </c>
      <c r="O5" s="148" t="s">
        <v>114</v>
      </c>
      <c r="P5" s="147" t="s">
        <v>156</v>
      </c>
      <c r="Q5" s="148" t="s">
        <v>114</v>
      </c>
      <c r="R5" s="147" t="s">
        <v>156</v>
      </c>
      <c r="S5" s="148" t="s">
        <v>114</v>
      </c>
      <c r="T5" s="147" t="s">
        <v>156</v>
      </c>
      <c r="U5" s="148" t="s">
        <v>114</v>
      </c>
      <c r="V5" s="147" t="s">
        <v>156</v>
      </c>
      <c r="W5" s="148" t="s">
        <v>114</v>
      </c>
      <c r="X5" s="147" t="s">
        <v>156</v>
      </c>
      <c r="Y5" s="147" t="s">
        <v>114</v>
      </c>
    </row>
    <row r="6" spans="2:33" ht="45" x14ac:dyDescent="0.25">
      <c r="B6" s="145" t="s">
        <v>157</v>
      </c>
      <c r="C6" s="86">
        <f>SUM('MATRIZ ABC'!H4:H73)</f>
        <v>4026225.3196241399</v>
      </c>
      <c r="D6" s="87" t="s">
        <v>158</v>
      </c>
      <c r="E6" s="97">
        <f>'INDUCTORES SECUNDARIOS'!$D$30</f>
        <v>5223.6171345770699</v>
      </c>
      <c r="F6" s="100">
        <f>'INDUCTORES SECUNDARIOS'!$D$20</f>
        <v>3.34089235041961</v>
      </c>
      <c r="G6" s="103">
        <f>IF(F$6&gt;0,($C$6/$E$6)*F$6,0)</f>
        <v>2575.0710714151742</v>
      </c>
      <c r="H6" s="106">
        <f>'INDUCTORES SECUNDARIOS'!$D$21</f>
        <v>4986.8222423474008</v>
      </c>
      <c r="I6" s="103">
        <f t="shared" ref="I6:Y6" si="0">IF(H$6&gt;0,($C$6/$E$6)*H$6,0)</f>
        <v>3843710.1072549326</v>
      </c>
      <c r="J6" s="106">
        <f>'INDUCTORES SECUNDARIOS'!$D$22</f>
        <v>208.3646199360019</v>
      </c>
      <c r="K6" s="103">
        <f t="shared" si="0"/>
        <v>160601.91374805171</v>
      </c>
      <c r="L6" s="109">
        <f>'INDUCTORES SECUNDARIOS'!$D$23</f>
        <v>17.591607800519228</v>
      </c>
      <c r="M6" s="103">
        <f t="shared" si="0"/>
        <v>13559.143963770348</v>
      </c>
      <c r="N6" s="106">
        <f>'INDUCTORES SECUNDARIOS'!$D$24</f>
        <v>6.4172070277123705</v>
      </c>
      <c r="O6" s="103">
        <f t="shared" si="0"/>
        <v>4946.2127010075019</v>
      </c>
      <c r="P6" s="109">
        <f>'INDUCTORES SECUNDARIOS'!$D$25</f>
        <v>0.21359657066956467</v>
      </c>
      <c r="Q6" s="109">
        <f t="shared" si="0"/>
        <v>164.63456238438829</v>
      </c>
      <c r="R6" s="106">
        <f>'INDUCTORES SECUNDARIOS'!$D$26</f>
        <v>0.27168991124796227</v>
      </c>
      <c r="S6" s="103">
        <f t="shared" si="0"/>
        <v>209.41136602683792</v>
      </c>
      <c r="T6" s="106">
        <f>'INDUCTORES SECUNDARIOS'!$D$27</f>
        <v>0.17388154319869586</v>
      </c>
      <c r="U6" s="103">
        <f t="shared" si="0"/>
        <v>134.02327425717627</v>
      </c>
      <c r="V6" s="106">
        <f>'INDUCTORES SECUNDARIOS'!$D$28</f>
        <v>0.22663768640946683</v>
      </c>
      <c r="W6" s="112">
        <f t="shared" si="0"/>
        <v>174.68630795367648</v>
      </c>
      <c r="X6" s="106">
        <f>'INDUCTORES SECUNDARIOS'!$D$29</f>
        <v>0.19475940348970597</v>
      </c>
      <c r="Y6" s="115">
        <f t="shared" si="0"/>
        <v>150.11537433986086</v>
      </c>
    </row>
    <row r="7" spans="2:33" ht="45" x14ac:dyDescent="0.25">
      <c r="B7" s="146" t="s">
        <v>159</v>
      </c>
      <c r="C7" s="88">
        <f>SUM('MATRIZ ABC'!J4:J73)</f>
        <v>4257487.7174581671</v>
      </c>
      <c r="D7" s="89" t="s">
        <v>158</v>
      </c>
      <c r="E7" s="98">
        <f>'INDUCTORES SECUNDARIOS'!$D$30</f>
        <v>5223.6171345770699</v>
      </c>
      <c r="F7" s="101">
        <f>'INDUCTORES SECUNDARIOS'!$D$20</f>
        <v>3.34089235041961</v>
      </c>
      <c r="G7" s="104">
        <f>IF(F$7&gt;0,($C$7/$E$7)*F$7,0)</f>
        <v>2722.9806053565344</v>
      </c>
      <c r="H7" s="107">
        <f>'INDUCTORES SECUNDARIOS'!$D$21</f>
        <v>4986.8222423474008</v>
      </c>
      <c r="I7" s="104">
        <f t="shared" ref="I7:Y7" si="1">IF(H$7&gt;0,($C$7/$E$7)*H$7,0)</f>
        <v>4064489.0119153517</v>
      </c>
      <c r="J7" s="107">
        <f>'INDUCTORES SECUNDARIOS'!$D$22</f>
        <v>208.3646199360019</v>
      </c>
      <c r="K7" s="104">
        <f t="shared" si="1"/>
        <v>169826.72873520086</v>
      </c>
      <c r="L7" s="110">
        <f>'INDUCTORES SECUNDARIOS'!$D$23</f>
        <v>17.591607800519228</v>
      </c>
      <c r="M7" s="104">
        <f t="shared" si="1"/>
        <v>14337.96777433916</v>
      </c>
      <c r="N7" s="107">
        <f>'INDUCTORES SECUNDARIOS'!$D$24</f>
        <v>6.4172070277123705</v>
      </c>
      <c r="O7" s="104">
        <f t="shared" si="1"/>
        <v>5230.3182635692365</v>
      </c>
      <c r="P7" s="110">
        <f>'INDUCTORES SECUNDARIOS'!$D$25</f>
        <v>0.21359657066956467</v>
      </c>
      <c r="Q7" s="110">
        <f t="shared" si="1"/>
        <v>174.09100871832661</v>
      </c>
      <c r="R7" s="107">
        <f>'INDUCTORES SECUNDARIOS'!$D$26</f>
        <v>0.27168991124796227</v>
      </c>
      <c r="S7" s="104">
        <f t="shared" si="1"/>
        <v>221.43974764895407</v>
      </c>
      <c r="T7" s="107">
        <f>'INDUCTORES SECUNDARIOS'!$D$27</f>
        <v>0.17388154319869586</v>
      </c>
      <c r="U7" s="104">
        <f t="shared" si="1"/>
        <v>141.7214384953306</v>
      </c>
      <c r="V7" s="107">
        <f>'INDUCTORES SECUNDARIOS'!$D$28</f>
        <v>0.22663768640946683</v>
      </c>
      <c r="W7" s="113">
        <f t="shared" si="1"/>
        <v>184.72011660547639</v>
      </c>
      <c r="X7" s="107">
        <f>'INDUCTORES SECUNDARIOS'!$D$29</f>
        <v>0.19475940348970597</v>
      </c>
      <c r="Y7" s="116">
        <f t="shared" si="1"/>
        <v>158.73785288133249</v>
      </c>
    </row>
    <row r="8" spans="2:33" ht="45" x14ac:dyDescent="0.25">
      <c r="B8" s="146" t="s">
        <v>160</v>
      </c>
      <c r="C8" s="88">
        <f>SUM('MATRIZ ABC'!L4:L73)</f>
        <v>4026225.3196241399</v>
      </c>
      <c r="D8" s="89" t="s">
        <v>158</v>
      </c>
      <c r="E8" s="98">
        <f>'INDUCTORES SECUNDARIOS'!$D$30</f>
        <v>5223.6171345770699</v>
      </c>
      <c r="F8" s="101">
        <f>'INDUCTORES SECUNDARIOS'!$D$20</f>
        <v>3.34089235041961</v>
      </c>
      <c r="G8" s="104">
        <f>IF(F$8&gt;0,($C$8/$E$8)*F$8,0)</f>
        <v>2575.0710714151742</v>
      </c>
      <c r="H8" s="107">
        <f>'INDUCTORES SECUNDARIOS'!$D$21</f>
        <v>4986.8222423474008</v>
      </c>
      <c r="I8" s="104">
        <f t="shared" ref="I8:Y8" si="2">IF(H$8&gt;0,($C$8/$E$8)*H$8,0)</f>
        <v>3843710.1072549326</v>
      </c>
      <c r="J8" s="107">
        <f>'INDUCTORES SECUNDARIOS'!$D$22</f>
        <v>208.3646199360019</v>
      </c>
      <c r="K8" s="104">
        <f t="shared" si="2"/>
        <v>160601.91374805171</v>
      </c>
      <c r="L8" s="110">
        <f>'INDUCTORES SECUNDARIOS'!$D$23</f>
        <v>17.591607800519228</v>
      </c>
      <c r="M8" s="104">
        <f t="shared" si="2"/>
        <v>13559.143963770348</v>
      </c>
      <c r="N8" s="107">
        <f>'INDUCTORES SECUNDARIOS'!$D$24</f>
        <v>6.4172070277123705</v>
      </c>
      <c r="O8" s="104">
        <f t="shared" si="2"/>
        <v>4946.2127010075019</v>
      </c>
      <c r="P8" s="110">
        <f>'INDUCTORES SECUNDARIOS'!$D$25</f>
        <v>0.21359657066956467</v>
      </c>
      <c r="Q8" s="110">
        <f t="shared" si="2"/>
        <v>164.63456238438829</v>
      </c>
      <c r="R8" s="107">
        <f>'INDUCTORES SECUNDARIOS'!$D$26</f>
        <v>0.27168991124796227</v>
      </c>
      <c r="S8" s="104">
        <f t="shared" si="2"/>
        <v>209.41136602683792</v>
      </c>
      <c r="T8" s="107">
        <f>'INDUCTORES SECUNDARIOS'!$D$27</f>
        <v>0.17388154319869586</v>
      </c>
      <c r="U8" s="104">
        <f t="shared" si="2"/>
        <v>134.02327425717627</v>
      </c>
      <c r="V8" s="107">
        <f>'INDUCTORES SECUNDARIOS'!$D$28</f>
        <v>0.22663768640946683</v>
      </c>
      <c r="W8" s="113">
        <f t="shared" si="2"/>
        <v>174.68630795367648</v>
      </c>
      <c r="X8" s="107">
        <f>'INDUCTORES SECUNDARIOS'!$D$29</f>
        <v>0.19475940348970597</v>
      </c>
      <c r="Y8" s="116">
        <f t="shared" si="2"/>
        <v>150.11537433986086</v>
      </c>
    </row>
    <row r="9" spans="2:33" ht="45.75" thickBot="1" x14ac:dyDescent="0.3">
      <c r="B9" s="146" t="s">
        <v>161</v>
      </c>
      <c r="C9" s="90">
        <f>SUM('MATRIZ ABC'!N4:N73)</f>
        <v>4427372.1314189751</v>
      </c>
      <c r="D9" s="91" t="s">
        <v>158</v>
      </c>
      <c r="E9" s="99">
        <f>'INDUCTORES SECUNDARIOS'!$D$30</f>
        <v>5223.6171345770699</v>
      </c>
      <c r="F9" s="102">
        <f>'INDUCTORES SECUNDARIOS'!$D$20</f>
        <v>3.34089235041961</v>
      </c>
      <c r="G9" s="105">
        <f>IF(F$9&gt;0,($C$9/$E$9)*F$9,0)</f>
        <v>2831.6343455589422</v>
      </c>
      <c r="H9" s="108">
        <f>'INDUCTORES SECUNDARIOS'!$D$21</f>
        <v>4986.8222423474008</v>
      </c>
      <c r="I9" s="105">
        <f t="shared" ref="I9:Y9" si="3">IF(H$9&gt;0,($C$9/$E$9)*H$9,0)</f>
        <v>4226672.2945606448</v>
      </c>
      <c r="J9" s="108">
        <f>'INDUCTORES SECUNDARIOS'!$D$22</f>
        <v>208.3646199360019</v>
      </c>
      <c r="K9" s="105">
        <f t="shared" si="3"/>
        <v>176603.24019000909</v>
      </c>
      <c r="L9" s="111">
        <f>'INDUCTORES SECUNDARIOS'!$D$23</f>
        <v>17.591607800519228</v>
      </c>
      <c r="M9" s="105">
        <f t="shared" si="3"/>
        <v>14910.088568192394</v>
      </c>
      <c r="N9" s="108">
        <f>'INDUCTORES SECUNDARIOS'!$D$24</f>
        <v>6.4172070277123705</v>
      </c>
      <c r="O9" s="105">
        <f t="shared" si="3"/>
        <v>5439.0210507531901</v>
      </c>
      <c r="P9" s="111">
        <f>'INDUCTORES SECUNDARIOS'!$D$25</f>
        <v>0.21359657066956467</v>
      </c>
      <c r="Q9" s="111">
        <f t="shared" si="3"/>
        <v>181.03767561549293</v>
      </c>
      <c r="R9" s="108">
        <f>'INDUCTORES SECUNDARIOS'!$D$26</f>
        <v>0.27168991124796227</v>
      </c>
      <c r="S9" s="105">
        <f t="shared" si="3"/>
        <v>230.27574771601505</v>
      </c>
      <c r="T9" s="108">
        <f>'INDUCTORES SECUNDARIOS'!$D$27</f>
        <v>0.17388154319869586</v>
      </c>
      <c r="U9" s="105">
        <f t="shared" si="3"/>
        <v>147.37647853824964</v>
      </c>
      <c r="V9" s="108">
        <f>'INDUCTORES SECUNDARIOS'!$D$28</f>
        <v>0.22663768640946683</v>
      </c>
      <c r="W9" s="114">
        <f t="shared" si="3"/>
        <v>192.09091150586161</v>
      </c>
      <c r="X9" s="108">
        <f>'INDUCTORES SECUNDARIOS'!$D$29</f>
        <v>0.19475940348970597</v>
      </c>
      <c r="Y9" s="117">
        <f t="shared" si="3"/>
        <v>165.07189044051589</v>
      </c>
    </row>
    <row r="10" spans="2:33" ht="15.75" thickBot="1" x14ac:dyDescent="0.3">
      <c r="B10" s="227" t="s">
        <v>162</v>
      </c>
      <c r="C10" s="228"/>
      <c r="D10" s="228"/>
      <c r="E10" s="229"/>
      <c r="F10" s="214">
        <f>SUM(G6:G9)</f>
        <v>10704.757093745826</v>
      </c>
      <c r="G10" s="201"/>
      <c r="H10" s="221">
        <f>SUM(I6:I9)</f>
        <v>15978581.52098586</v>
      </c>
      <c r="I10" s="222"/>
      <c r="J10" s="214">
        <f>SUM(K6:K9)</f>
        <v>667633.79642131343</v>
      </c>
      <c r="K10" s="219"/>
      <c r="L10" s="214">
        <f>SUM(M6:M9)</f>
        <v>56366.344270072252</v>
      </c>
      <c r="M10" s="201"/>
      <c r="N10" s="214">
        <f>SUM(O6:O9)</f>
        <v>20561.764716337428</v>
      </c>
      <c r="O10" s="215"/>
      <c r="P10" s="216">
        <f>SUM(Q6:Q9)</f>
        <v>684.39780910259606</v>
      </c>
      <c r="Q10" s="217"/>
      <c r="R10" s="214">
        <f>SUM(S6:S9)</f>
        <v>870.53822741864496</v>
      </c>
      <c r="S10" s="215"/>
      <c r="T10" s="214">
        <f>SUM(U6:U9)</f>
        <v>557.14446554793278</v>
      </c>
      <c r="U10" s="215"/>
      <c r="V10" s="218">
        <f>SUM(W6:W9)</f>
        <v>726.18364401869098</v>
      </c>
      <c r="W10" s="219"/>
      <c r="X10" s="218">
        <f>SUM(Y6:Y9)</f>
        <v>624.0404920015701</v>
      </c>
      <c r="Y10" s="220"/>
    </row>
    <row r="11" spans="2:33" ht="15.75" thickBot="1" x14ac:dyDescent="0.3"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</row>
    <row r="12" spans="2:33" ht="15.75" thickBot="1" x14ac:dyDescent="0.3">
      <c r="B12" s="227" t="s">
        <v>163</v>
      </c>
      <c r="C12" s="228"/>
      <c r="D12" s="228"/>
      <c r="E12" s="232"/>
      <c r="F12" s="211">
        <f>F10/'INDUCTORES SECUNDARIOS'!B20</f>
        <v>61.053747682960982</v>
      </c>
      <c r="G12" s="213"/>
      <c r="H12" s="233">
        <f>H10/'INDUCTORES SECUNDARIOS'!B21</f>
        <v>2358.8103810135608</v>
      </c>
      <c r="I12" s="222"/>
      <c r="J12" s="211">
        <f>J10/'INDUCTORES SECUNDARIOS'!B22</f>
        <v>482.16210622627352</v>
      </c>
      <c r="K12" s="213"/>
      <c r="L12" s="211">
        <f>L10/'INDUCTORES SECUNDARIOS'!B23</f>
        <v>140.09861873257395</v>
      </c>
      <c r="M12" s="213"/>
      <c r="N12" s="211">
        <f>N10/'INDUCTORES SECUNDARIOS'!B24</f>
        <v>84.616315705092291</v>
      </c>
      <c r="O12" s="212"/>
      <c r="P12" s="211">
        <f>P10/'INDUCTORES SECUNDARIOS'!B25</f>
        <v>15.43754456622397</v>
      </c>
      <c r="Q12" s="212"/>
      <c r="R12" s="211">
        <f>R10/'INDUCTORES SECUNDARIOS'!B26</f>
        <v>17.410764548372899</v>
      </c>
      <c r="S12" s="212"/>
      <c r="T12" s="211">
        <f>T10/'INDUCTORES SECUNDARIOS'!B27</f>
        <v>13.928611638698319</v>
      </c>
      <c r="U12" s="212"/>
      <c r="V12" s="211">
        <f>V10/'INDUCTORES SECUNDARIOS'!B28</f>
        <v>15.901831620847249</v>
      </c>
      <c r="W12" s="212"/>
      <c r="X12" s="211">
        <f>X10/'INDUCTORES SECUNDARIOS'!B29</f>
        <v>14.741113984289056</v>
      </c>
      <c r="Y12" s="213"/>
    </row>
    <row r="14" spans="2:33" x14ac:dyDescent="0.25">
      <c r="F14" s="208"/>
      <c r="G14" s="208"/>
    </row>
  </sheetData>
  <mergeCells count="39">
    <mergeCell ref="J12:K12"/>
    <mergeCell ref="L12:M12"/>
    <mergeCell ref="D3:E3"/>
    <mergeCell ref="D4:D5"/>
    <mergeCell ref="E4:E5"/>
    <mergeCell ref="B10:E10"/>
    <mergeCell ref="J10:K10"/>
    <mergeCell ref="L10:M10"/>
    <mergeCell ref="B3:B5"/>
    <mergeCell ref="C3:C5"/>
    <mergeCell ref="B12:E12"/>
    <mergeCell ref="F12:G12"/>
    <mergeCell ref="H12:I12"/>
    <mergeCell ref="R4:S4"/>
    <mergeCell ref="T4:U4"/>
    <mergeCell ref="F3:Y3"/>
    <mergeCell ref="H4:I4"/>
    <mergeCell ref="J4:K4"/>
    <mergeCell ref="L4:M4"/>
    <mergeCell ref="N4:O4"/>
    <mergeCell ref="P4:Q4"/>
    <mergeCell ref="V4:W4"/>
    <mergeCell ref="X4:Y4"/>
    <mergeCell ref="F14:G14"/>
    <mergeCell ref="F4:G4"/>
    <mergeCell ref="T12:U12"/>
    <mergeCell ref="V12:W12"/>
    <mergeCell ref="X12:Y12"/>
    <mergeCell ref="N10:O10"/>
    <mergeCell ref="P10:Q10"/>
    <mergeCell ref="R10:S10"/>
    <mergeCell ref="T10:U10"/>
    <mergeCell ref="V10:W10"/>
    <mergeCell ref="X10:Y10"/>
    <mergeCell ref="N12:O12"/>
    <mergeCell ref="P12:Q12"/>
    <mergeCell ref="R12:S12"/>
    <mergeCell ref="F10:G10"/>
    <mergeCell ref="H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2"/>
  <sheetViews>
    <sheetView zoomScale="80" zoomScaleNormal="80" workbookViewId="0">
      <selection activeCell="C7" sqref="C7"/>
    </sheetView>
  </sheetViews>
  <sheetFormatPr baseColWidth="10" defaultRowHeight="15" x14ac:dyDescent="0.25"/>
  <cols>
    <col min="1" max="1" width="32.7109375" customWidth="1"/>
    <col min="2" max="2" width="28.7109375" customWidth="1"/>
    <col min="3" max="9" width="26.42578125" customWidth="1"/>
  </cols>
  <sheetData>
    <row r="3" spans="1:10" ht="15.75" thickBot="1" x14ac:dyDescent="0.3"/>
    <row r="4" spans="1:10" ht="15.75" thickBot="1" x14ac:dyDescent="0.3">
      <c r="C4" s="209" t="s">
        <v>137</v>
      </c>
      <c r="D4" s="224"/>
      <c r="E4" s="210"/>
      <c r="F4" s="93"/>
      <c r="G4" s="41"/>
      <c r="H4" s="141" t="s">
        <v>111</v>
      </c>
      <c r="I4" s="234" t="s">
        <v>112</v>
      </c>
      <c r="J4" s="235"/>
    </row>
    <row r="5" spans="1:10" ht="15.75" thickBot="1" x14ac:dyDescent="0.3">
      <c r="A5" s="133" t="s">
        <v>124</v>
      </c>
      <c r="B5" s="137" t="s">
        <v>126</v>
      </c>
      <c r="C5" s="133" t="s">
        <v>87</v>
      </c>
      <c r="D5" s="133" t="s">
        <v>88</v>
      </c>
      <c r="E5" s="133" t="s">
        <v>89</v>
      </c>
      <c r="F5" s="133" t="s">
        <v>91</v>
      </c>
      <c r="G5" s="72"/>
      <c r="H5" s="142" t="s">
        <v>116</v>
      </c>
      <c r="I5" s="236" t="s">
        <v>113</v>
      </c>
      <c r="J5" s="237"/>
    </row>
    <row r="6" spans="1:10" x14ac:dyDescent="0.25">
      <c r="A6" s="134" t="s">
        <v>141</v>
      </c>
      <c r="B6" s="43">
        <v>44</v>
      </c>
      <c r="C6" s="43">
        <v>150</v>
      </c>
      <c r="D6" s="43">
        <v>230</v>
      </c>
      <c r="E6" s="74">
        <v>146</v>
      </c>
      <c r="F6" s="76">
        <f>AVERAGE(C6:E6)</f>
        <v>175.33333333333334</v>
      </c>
      <c r="G6" s="45"/>
      <c r="H6" s="143" t="s">
        <v>138</v>
      </c>
      <c r="I6" s="238"/>
      <c r="J6" s="239"/>
    </row>
    <row r="7" spans="1:10" x14ac:dyDescent="0.25">
      <c r="A7" s="135" t="s">
        <v>142</v>
      </c>
      <c r="B7" s="44">
        <v>252</v>
      </c>
      <c r="C7" s="75">
        <v>6782</v>
      </c>
      <c r="D7" s="44">
        <v>7119</v>
      </c>
      <c r="E7" s="44">
        <v>6421</v>
      </c>
      <c r="F7" s="77">
        <f t="shared" ref="F7:F15" si="0">AVERAGE(C7:E7)</f>
        <v>6774</v>
      </c>
      <c r="G7" s="45"/>
      <c r="H7" s="143" t="s">
        <v>139</v>
      </c>
      <c r="I7" s="238"/>
      <c r="J7" s="239"/>
    </row>
    <row r="8" spans="1:10" ht="15.75" thickBot="1" x14ac:dyDescent="0.3">
      <c r="A8" s="135" t="s">
        <v>143</v>
      </c>
      <c r="B8" s="44">
        <v>171</v>
      </c>
      <c r="C8" s="75">
        <v>1227</v>
      </c>
      <c r="D8" s="44">
        <v>1519</v>
      </c>
      <c r="E8" s="44">
        <v>1408</v>
      </c>
      <c r="F8" s="77">
        <f t="shared" si="0"/>
        <v>1384.6666666666667</v>
      </c>
      <c r="G8" s="45"/>
      <c r="H8" s="144" t="s">
        <v>115</v>
      </c>
      <c r="I8" s="240"/>
      <c r="J8" s="241"/>
    </row>
    <row r="9" spans="1:10" x14ac:dyDescent="0.25">
      <c r="A9" s="135" t="s">
        <v>144</v>
      </c>
      <c r="B9" s="44">
        <v>237</v>
      </c>
      <c r="C9" s="75">
        <v>411</v>
      </c>
      <c r="D9" s="75">
        <v>430</v>
      </c>
      <c r="E9" s="75">
        <v>366</v>
      </c>
      <c r="F9" s="77">
        <f t="shared" si="0"/>
        <v>402.33333333333331</v>
      </c>
      <c r="G9" s="45"/>
      <c r="H9" s="81"/>
      <c r="I9" s="80"/>
    </row>
    <row r="10" spans="1:10" ht="15" customHeight="1" x14ac:dyDescent="0.25">
      <c r="A10" s="135" t="s">
        <v>145</v>
      </c>
      <c r="B10" s="44">
        <v>171</v>
      </c>
      <c r="C10" s="75">
        <v>293</v>
      </c>
      <c r="D10" s="75">
        <v>236</v>
      </c>
      <c r="E10" s="75">
        <v>200</v>
      </c>
      <c r="F10" s="77">
        <f t="shared" si="0"/>
        <v>243</v>
      </c>
      <c r="G10" s="41"/>
      <c r="H10" s="41"/>
      <c r="I10" s="41"/>
    </row>
    <row r="11" spans="1:10" x14ac:dyDescent="0.25">
      <c r="A11" s="135" t="s">
        <v>146</v>
      </c>
      <c r="B11" s="44">
        <v>210</v>
      </c>
      <c r="C11" s="75">
        <v>35</v>
      </c>
      <c r="D11" s="75">
        <v>42</v>
      </c>
      <c r="E11" s="75">
        <v>56</v>
      </c>
      <c r="F11" s="77">
        <f t="shared" si="0"/>
        <v>44.333333333333336</v>
      </c>
      <c r="G11" s="41"/>
      <c r="H11" s="41"/>
      <c r="I11" s="41"/>
    </row>
    <row r="12" spans="1:10" x14ac:dyDescent="0.25">
      <c r="A12" s="135" t="s">
        <v>147</v>
      </c>
      <c r="B12" s="44">
        <v>227</v>
      </c>
      <c r="C12" s="75">
        <v>40</v>
      </c>
      <c r="D12" s="75">
        <v>56</v>
      </c>
      <c r="E12" s="75">
        <v>54</v>
      </c>
      <c r="F12" s="77">
        <f t="shared" si="0"/>
        <v>50</v>
      </c>
      <c r="G12" s="41"/>
      <c r="H12" s="41"/>
      <c r="I12" s="41"/>
    </row>
    <row r="13" spans="1:10" x14ac:dyDescent="0.25">
      <c r="A13" s="135" t="s">
        <v>148</v>
      </c>
      <c r="B13" s="44">
        <v>27</v>
      </c>
      <c r="C13" s="75">
        <v>34</v>
      </c>
      <c r="D13" s="75">
        <v>49</v>
      </c>
      <c r="E13" s="75">
        <v>37</v>
      </c>
      <c r="F13" s="77">
        <f t="shared" si="0"/>
        <v>40</v>
      </c>
      <c r="G13" s="41"/>
      <c r="H13" s="41"/>
      <c r="I13" s="41"/>
    </row>
    <row r="14" spans="1:10" x14ac:dyDescent="0.25">
      <c r="A14" s="135" t="s">
        <v>136</v>
      </c>
      <c r="B14" s="44">
        <v>81</v>
      </c>
      <c r="C14" s="75">
        <v>36</v>
      </c>
      <c r="D14" s="75">
        <v>45</v>
      </c>
      <c r="E14" s="75">
        <v>56</v>
      </c>
      <c r="F14" s="77">
        <f t="shared" si="0"/>
        <v>45.666666666666664</v>
      </c>
      <c r="G14" s="41"/>
      <c r="H14" s="41"/>
      <c r="I14" s="41"/>
    </row>
    <row r="15" spans="1:10" ht="15.75" thickBot="1" x14ac:dyDescent="0.3">
      <c r="A15" s="136" t="s">
        <v>149</v>
      </c>
      <c r="B15" s="57">
        <v>81</v>
      </c>
      <c r="C15" s="27">
        <v>39</v>
      </c>
      <c r="D15" s="27">
        <v>42</v>
      </c>
      <c r="E15" s="27">
        <v>46</v>
      </c>
      <c r="F15" s="78">
        <f t="shared" si="0"/>
        <v>42.333333333333336</v>
      </c>
      <c r="G15" s="41"/>
      <c r="H15" s="41"/>
      <c r="I15" s="41"/>
    </row>
    <row r="16" spans="1:10" x14ac:dyDescent="0.25">
      <c r="B16" s="79"/>
      <c r="C16" s="79"/>
      <c r="D16" s="79"/>
      <c r="E16" s="73"/>
      <c r="F16" s="42"/>
      <c r="G16" s="41"/>
      <c r="H16" s="41"/>
      <c r="I16" s="41"/>
    </row>
    <row r="17" spans="1:9" x14ac:dyDescent="0.25">
      <c r="B17" s="79"/>
      <c r="C17" s="79"/>
      <c r="D17" s="79"/>
      <c r="E17" s="73"/>
      <c r="F17" s="42"/>
      <c r="G17" s="41"/>
      <c r="H17" s="41"/>
      <c r="I17" s="41"/>
    </row>
    <row r="18" spans="1:9" ht="15.75" thickBot="1" x14ac:dyDescent="0.3">
      <c r="B18" s="47"/>
      <c r="C18" s="47"/>
      <c r="D18" s="47"/>
      <c r="E18" s="47"/>
      <c r="F18" s="45"/>
      <c r="G18" s="45"/>
      <c r="H18" s="45"/>
      <c r="I18" s="45"/>
    </row>
    <row r="19" spans="1:9" ht="27.75" customHeight="1" thickBot="1" x14ac:dyDescent="0.3">
      <c r="A19" s="138" t="s">
        <v>135</v>
      </c>
      <c r="B19" s="139" t="s">
        <v>140</v>
      </c>
      <c r="C19" s="138" t="s">
        <v>109</v>
      </c>
      <c r="D19" s="140" t="s">
        <v>110</v>
      </c>
      <c r="E19" s="48"/>
      <c r="F19" s="45"/>
      <c r="G19" s="31"/>
      <c r="H19" s="203"/>
      <c r="I19" s="203"/>
    </row>
    <row r="20" spans="1:9" x14ac:dyDescent="0.25">
      <c r="A20" s="134" t="s">
        <v>141</v>
      </c>
      <c r="B20" s="82">
        <f t="shared" ref="B20:B29" si="1">F6</f>
        <v>175.33333333333334</v>
      </c>
      <c r="C20" s="74">
        <f t="shared" ref="C20:C29" si="2">B20/$B$30</f>
        <v>1.9054519108857089E-2</v>
      </c>
      <c r="D20" s="94">
        <f>B20*C20</f>
        <v>3.34089235041961</v>
      </c>
      <c r="E20" s="48"/>
      <c r="F20" s="45"/>
      <c r="G20" s="49"/>
      <c r="H20" s="242"/>
      <c r="I20" s="242"/>
    </row>
    <row r="21" spans="1:9" x14ac:dyDescent="0.25">
      <c r="A21" s="135" t="s">
        <v>142</v>
      </c>
      <c r="B21" s="83">
        <f t="shared" si="1"/>
        <v>6774</v>
      </c>
      <c r="C21" s="75">
        <f t="shared" si="2"/>
        <v>0.73617098351747867</v>
      </c>
      <c r="D21" s="95">
        <f t="shared" ref="D21:D29" si="3">B21*C21</f>
        <v>4986.8222423474008</v>
      </c>
      <c r="E21" s="48"/>
      <c r="F21" s="45"/>
      <c r="G21" s="49"/>
      <c r="H21" s="242"/>
      <c r="I21" s="242"/>
    </row>
    <row r="22" spans="1:9" x14ac:dyDescent="0.25">
      <c r="A22" s="135" t="s">
        <v>143</v>
      </c>
      <c r="B22" s="83">
        <f t="shared" si="1"/>
        <v>1384.6666666666667</v>
      </c>
      <c r="C22" s="75">
        <f t="shared" si="2"/>
        <v>0.15047998550987138</v>
      </c>
      <c r="D22" s="95">
        <f t="shared" si="3"/>
        <v>208.3646199360019</v>
      </c>
      <c r="E22" s="48"/>
      <c r="F22" s="45"/>
      <c r="G22" s="49"/>
      <c r="H22" s="242"/>
      <c r="I22" s="242"/>
    </row>
    <row r="23" spans="1:9" x14ac:dyDescent="0.25">
      <c r="A23" s="135" t="s">
        <v>144</v>
      </c>
      <c r="B23" s="83">
        <f t="shared" si="1"/>
        <v>402.33333333333331</v>
      </c>
      <c r="C23" s="75">
        <f t="shared" si="2"/>
        <v>4.3723963050172066E-2</v>
      </c>
      <c r="D23" s="95">
        <f t="shared" si="3"/>
        <v>17.591607800519228</v>
      </c>
      <c r="E23" s="48"/>
      <c r="F23" s="45"/>
      <c r="G23" s="49"/>
      <c r="H23" s="242"/>
      <c r="I23" s="242"/>
    </row>
    <row r="24" spans="1:9" x14ac:dyDescent="0.25">
      <c r="A24" s="135" t="s">
        <v>145</v>
      </c>
      <c r="B24" s="83">
        <f t="shared" si="1"/>
        <v>243</v>
      </c>
      <c r="C24" s="75">
        <f t="shared" si="2"/>
        <v>2.6408259373301934E-2</v>
      </c>
      <c r="D24" s="95">
        <f t="shared" si="3"/>
        <v>6.4172070277123705</v>
      </c>
      <c r="E24" s="48"/>
      <c r="F24" s="45"/>
      <c r="G24" s="45"/>
      <c r="H24" s="45"/>
      <c r="I24" s="45"/>
    </row>
    <row r="25" spans="1:9" x14ac:dyDescent="0.25">
      <c r="A25" s="135" t="s">
        <v>146</v>
      </c>
      <c r="B25" s="83">
        <f t="shared" si="1"/>
        <v>44.333333333333336</v>
      </c>
      <c r="C25" s="75">
        <f t="shared" si="2"/>
        <v>4.8179677594638644E-3</v>
      </c>
      <c r="D25" s="95">
        <f t="shared" si="3"/>
        <v>0.21359657066956467</v>
      </c>
      <c r="E25" s="50"/>
      <c r="F25" s="45"/>
      <c r="G25" s="203"/>
      <c r="H25" s="203"/>
      <c r="I25" s="203"/>
    </row>
    <row r="26" spans="1:9" x14ac:dyDescent="0.25">
      <c r="A26" s="135" t="s">
        <v>147</v>
      </c>
      <c r="B26" s="83">
        <f t="shared" si="1"/>
        <v>50</v>
      </c>
      <c r="C26" s="75">
        <f t="shared" si="2"/>
        <v>5.4337982249592458E-3</v>
      </c>
      <c r="D26" s="95">
        <f t="shared" si="3"/>
        <v>0.27168991124796227</v>
      </c>
      <c r="E26" s="45"/>
      <c r="F26" s="45"/>
      <c r="G26" s="45"/>
      <c r="H26" s="46"/>
      <c r="I26" s="51"/>
    </row>
    <row r="27" spans="1:9" x14ac:dyDescent="0.25">
      <c r="A27" s="135" t="s">
        <v>148</v>
      </c>
      <c r="B27" s="83">
        <f t="shared" si="1"/>
        <v>40</v>
      </c>
      <c r="C27" s="75">
        <f t="shared" si="2"/>
        <v>4.3470385799673963E-3</v>
      </c>
      <c r="D27" s="95">
        <f t="shared" si="3"/>
        <v>0.17388154319869586</v>
      </c>
      <c r="E27" s="45"/>
      <c r="F27" s="45"/>
      <c r="G27" s="45"/>
      <c r="H27" s="46"/>
      <c r="I27" s="51"/>
    </row>
    <row r="28" spans="1:9" x14ac:dyDescent="0.25">
      <c r="A28" s="135" t="s">
        <v>136</v>
      </c>
      <c r="B28" s="83">
        <f t="shared" si="1"/>
        <v>45.666666666666664</v>
      </c>
      <c r="C28" s="75">
        <f t="shared" si="2"/>
        <v>4.9628690454627776E-3</v>
      </c>
      <c r="D28" s="95">
        <f t="shared" si="3"/>
        <v>0.22663768640946683</v>
      </c>
      <c r="E28" s="45"/>
      <c r="F28" s="45"/>
      <c r="G28" s="45"/>
      <c r="H28" s="46"/>
      <c r="I28" s="51"/>
    </row>
    <row r="29" spans="1:9" ht="15.75" thickBot="1" x14ac:dyDescent="0.3">
      <c r="A29" s="136" t="s">
        <v>149</v>
      </c>
      <c r="B29" s="84">
        <f t="shared" si="1"/>
        <v>42.333333333333336</v>
      </c>
      <c r="C29" s="27">
        <f t="shared" si="2"/>
        <v>4.6006158304654947E-3</v>
      </c>
      <c r="D29" s="96">
        <f t="shared" si="3"/>
        <v>0.19475940348970597</v>
      </c>
      <c r="E29" s="45"/>
      <c r="F29" s="45"/>
      <c r="G29" s="45"/>
      <c r="H29" s="46"/>
      <c r="I29" s="51"/>
    </row>
    <row r="30" spans="1:9" ht="15.75" thickBot="1" x14ac:dyDescent="0.3">
      <c r="B30" s="85">
        <f>SUM(B20:B29)</f>
        <v>9201.6666666666679</v>
      </c>
      <c r="C30" s="85">
        <f>SUM(C20:C29)</f>
        <v>0.99999999999999989</v>
      </c>
      <c r="D30" s="85">
        <f>SUM(D20:D29)</f>
        <v>5223.6171345770699</v>
      </c>
      <c r="E30" s="45"/>
      <c r="F30" s="45"/>
      <c r="G30" s="45"/>
      <c r="H30" s="46"/>
      <c r="I30" s="51"/>
    </row>
    <row r="31" spans="1:9" x14ac:dyDescent="0.25">
      <c r="B31" s="45"/>
      <c r="C31" s="45"/>
      <c r="D31" s="45"/>
      <c r="E31" s="45"/>
      <c r="F31" s="45"/>
      <c r="G31" s="45"/>
      <c r="H31" s="46"/>
      <c r="I31" s="45"/>
    </row>
    <row r="32" spans="1:9" x14ac:dyDescent="0.25">
      <c r="B32" s="45"/>
      <c r="C32" s="45"/>
      <c r="D32" s="45"/>
      <c r="E32" s="45"/>
      <c r="F32" s="45"/>
      <c r="G32" s="45"/>
      <c r="H32" s="46"/>
      <c r="I32" s="45"/>
    </row>
  </sheetData>
  <mergeCells count="6">
    <mergeCell ref="G25:I25"/>
    <mergeCell ref="C4:E4"/>
    <mergeCell ref="I4:J4"/>
    <mergeCell ref="I5:J8"/>
    <mergeCell ref="H19:I19"/>
    <mergeCell ref="H20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4" sqref="G4"/>
    </sheetView>
  </sheetViews>
  <sheetFormatPr baseColWidth="10" defaultRowHeight="15" x14ac:dyDescent="0.25"/>
  <cols>
    <col min="1" max="3" width="20.5703125" customWidth="1"/>
    <col min="4" max="4" width="21.7109375" customWidth="1"/>
    <col min="5" max="5" width="20.5703125" customWidth="1"/>
    <col min="6" max="6" width="17.140625" customWidth="1"/>
  </cols>
  <sheetData>
    <row r="1" spans="1:7" ht="15.75" thickBot="1" x14ac:dyDescent="0.3"/>
    <row r="2" spans="1:7" ht="15.75" thickBot="1" x14ac:dyDescent="0.3">
      <c r="D2" s="209" t="s">
        <v>137</v>
      </c>
      <c r="E2" s="224"/>
      <c r="F2" s="224"/>
      <c r="G2" s="210"/>
    </row>
    <row r="3" spans="1:7" ht="15.75" thickBot="1" x14ac:dyDescent="0.3">
      <c r="A3" s="155" t="s">
        <v>124</v>
      </c>
      <c r="B3" s="155" t="s">
        <v>125</v>
      </c>
      <c r="C3" s="156" t="s">
        <v>126</v>
      </c>
      <c r="D3" s="155" t="s">
        <v>87</v>
      </c>
      <c r="E3" s="155" t="s">
        <v>88</v>
      </c>
      <c r="F3" s="155" t="s">
        <v>89</v>
      </c>
      <c r="G3" s="155" t="s">
        <v>91</v>
      </c>
    </row>
    <row r="4" spans="1:7" x14ac:dyDescent="0.25">
      <c r="A4" s="149" t="s">
        <v>127</v>
      </c>
      <c r="B4" s="150" t="s">
        <v>128</v>
      </c>
      <c r="C4" s="43">
        <v>44</v>
      </c>
      <c r="D4" s="43">
        <v>118</v>
      </c>
      <c r="E4" s="43">
        <v>127</v>
      </c>
      <c r="F4" s="74">
        <v>130</v>
      </c>
      <c r="G4" s="76">
        <f>AVERAGE(D4:F4)</f>
        <v>125</v>
      </c>
    </row>
    <row r="5" spans="1:7" x14ac:dyDescent="0.25">
      <c r="A5" s="151" t="s">
        <v>129</v>
      </c>
      <c r="B5" s="152" t="s">
        <v>128</v>
      </c>
      <c r="C5" s="44">
        <v>252</v>
      </c>
      <c r="D5" s="75">
        <v>6782</v>
      </c>
      <c r="E5" s="44">
        <v>7119</v>
      </c>
      <c r="F5" s="44">
        <v>6421</v>
      </c>
      <c r="G5" s="77">
        <f t="shared" ref="G5:G13" si="0">AVERAGE(D5:F5)</f>
        <v>6774</v>
      </c>
    </row>
    <row r="6" spans="1:7" x14ac:dyDescent="0.25">
      <c r="A6" s="151" t="s">
        <v>129</v>
      </c>
      <c r="B6" s="152" t="s">
        <v>130</v>
      </c>
      <c r="C6" s="44">
        <v>171</v>
      </c>
      <c r="D6" s="75">
        <v>1227</v>
      </c>
      <c r="E6" s="44">
        <v>1519</v>
      </c>
      <c r="F6" s="44">
        <v>1408</v>
      </c>
      <c r="G6" s="77">
        <f t="shared" si="0"/>
        <v>1384.6666666666667</v>
      </c>
    </row>
    <row r="7" spans="1:7" x14ac:dyDescent="0.25">
      <c r="A7" s="151" t="s">
        <v>129</v>
      </c>
      <c r="B7" s="152" t="s">
        <v>131</v>
      </c>
      <c r="C7" s="44">
        <v>237</v>
      </c>
      <c r="D7" s="75">
        <v>411</v>
      </c>
      <c r="E7" s="75">
        <v>430</v>
      </c>
      <c r="F7" s="75">
        <v>366</v>
      </c>
      <c r="G7" s="77">
        <f t="shared" si="0"/>
        <v>402.33333333333331</v>
      </c>
    </row>
    <row r="8" spans="1:7" x14ac:dyDescent="0.25">
      <c r="A8" s="151" t="s">
        <v>129</v>
      </c>
      <c r="B8" s="152" t="s">
        <v>132</v>
      </c>
      <c r="C8" s="44">
        <v>171</v>
      </c>
      <c r="D8" s="75">
        <v>293</v>
      </c>
      <c r="E8" s="75">
        <v>236</v>
      </c>
      <c r="F8" s="75">
        <v>200</v>
      </c>
      <c r="G8" s="77">
        <f t="shared" si="0"/>
        <v>243</v>
      </c>
    </row>
    <row r="9" spans="1:7" x14ac:dyDescent="0.25">
      <c r="A9" s="151" t="s">
        <v>129</v>
      </c>
      <c r="B9" s="152" t="s">
        <v>127</v>
      </c>
      <c r="C9" s="44">
        <v>210</v>
      </c>
      <c r="D9" s="75">
        <v>10</v>
      </c>
      <c r="E9" s="75">
        <v>4</v>
      </c>
      <c r="F9" s="75">
        <v>11</v>
      </c>
      <c r="G9" s="77">
        <f t="shared" si="0"/>
        <v>8.3333333333333339</v>
      </c>
    </row>
    <row r="10" spans="1:7" x14ac:dyDescent="0.25">
      <c r="A10" s="151" t="s">
        <v>129</v>
      </c>
      <c r="B10" s="152" t="s">
        <v>133</v>
      </c>
      <c r="C10" s="44">
        <v>227</v>
      </c>
      <c r="D10" s="75">
        <v>35</v>
      </c>
      <c r="E10" s="75">
        <v>43</v>
      </c>
      <c r="F10" s="75">
        <v>31</v>
      </c>
      <c r="G10" s="77">
        <f t="shared" si="0"/>
        <v>36.333333333333336</v>
      </c>
    </row>
    <row r="11" spans="1:7" x14ac:dyDescent="0.25">
      <c r="A11" s="151" t="s">
        <v>133</v>
      </c>
      <c r="B11" s="152" t="s">
        <v>128</v>
      </c>
      <c r="C11" s="44">
        <v>27</v>
      </c>
      <c r="D11" s="75">
        <v>34</v>
      </c>
      <c r="E11" s="75">
        <v>49</v>
      </c>
      <c r="F11" s="75">
        <v>37</v>
      </c>
      <c r="G11" s="77">
        <f t="shared" si="0"/>
        <v>40</v>
      </c>
    </row>
    <row r="12" spans="1:7" x14ac:dyDescent="0.25">
      <c r="A12" s="151" t="s">
        <v>132</v>
      </c>
      <c r="B12" s="152" t="s">
        <v>128</v>
      </c>
      <c r="C12" s="44">
        <v>81</v>
      </c>
      <c r="D12" s="75">
        <v>29</v>
      </c>
      <c r="E12" s="75">
        <v>14</v>
      </c>
      <c r="F12" s="75">
        <v>13</v>
      </c>
      <c r="G12" s="77">
        <f t="shared" si="0"/>
        <v>18.666666666666668</v>
      </c>
    </row>
    <row r="13" spans="1:7" ht="15.75" thickBot="1" x14ac:dyDescent="0.3">
      <c r="A13" s="153" t="s">
        <v>130</v>
      </c>
      <c r="B13" s="154" t="s">
        <v>128</v>
      </c>
      <c r="C13" s="57">
        <v>81</v>
      </c>
      <c r="D13" s="27">
        <v>38</v>
      </c>
      <c r="E13" s="27">
        <v>23</v>
      </c>
      <c r="F13" s="27">
        <v>34</v>
      </c>
      <c r="G13" s="78">
        <f t="shared" si="0"/>
        <v>31.666666666666668</v>
      </c>
    </row>
  </sheetData>
  <mergeCells count="1">
    <mergeCell ref="D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8"/>
  <sheetViews>
    <sheetView zoomScaleNormal="100" workbookViewId="0">
      <selection activeCell="F18" sqref="F18"/>
    </sheetView>
  </sheetViews>
  <sheetFormatPr baseColWidth="10" defaultRowHeight="15" x14ac:dyDescent="0.25"/>
  <cols>
    <col min="2" max="2" width="20.42578125" customWidth="1"/>
    <col min="3" max="3" width="12.140625" customWidth="1"/>
    <col min="4" max="4" width="13.85546875" customWidth="1"/>
    <col min="5" max="5" width="11" customWidth="1"/>
    <col min="6" max="6" width="13.85546875" customWidth="1"/>
    <col min="7" max="7" width="11.5703125" customWidth="1"/>
    <col min="8" max="8" width="13.85546875" customWidth="1"/>
    <col min="9" max="9" width="13.28515625" customWidth="1"/>
    <col min="10" max="10" width="13.85546875" customWidth="1"/>
    <col min="12" max="12" width="13.28515625" customWidth="1"/>
    <col min="19" max="21" width="16.42578125" customWidth="1"/>
  </cols>
  <sheetData>
    <row r="1" spans="2:15" ht="15.75" thickBot="1" x14ac:dyDescent="0.3"/>
    <row r="2" spans="2:15" ht="15.75" thickBot="1" x14ac:dyDescent="0.3">
      <c r="C2" s="245" t="s">
        <v>178</v>
      </c>
      <c r="D2" s="246"/>
      <c r="E2" s="245" t="s">
        <v>179</v>
      </c>
      <c r="F2" s="246"/>
      <c r="G2" s="245" t="s">
        <v>180</v>
      </c>
      <c r="H2" s="246"/>
    </row>
    <row r="4" spans="2:15" x14ac:dyDescent="0.25">
      <c r="B4" s="37" t="s">
        <v>185</v>
      </c>
      <c r="C4" s="208" t="s">
        <v>189</v>
      </c>
      <c r="D4" s="208"/>
      <c r="E4" s="208" t="s">
        <v>187</v>
      </c>
      <c r="F4" s="208"/>
      <c r="G4" s="208" t="s">
        <v>188</v>
      </c>
      <c r="H4" s="208"/>
    </row>
    <row r="5" spans="2:15" x14ac:dyDescent="0.25">
      <c r="C5" s="37">
        <v>5000</v>
      </c>
      <c r="D5" s="181">
        <f>6*5*4*400</f>
        <v>48000</v>
      </c>
      <c r="E5" s="37">
        <v>10000</v>
      </c>
      <c r="F5" s="181">
        <f>6*8*4*400</f>
        <v>76800</v>
      </c>
      <c r="G5" s="37">
        <v>7000</v>
      </c>
      <c r="H5" s="181">
        <f>6*6*4*400</f>
        <v>57600</v>
      </c>
    </row>
    <row r="6" spans="2:15" x14ac:dyDescent="0.25">
      <c r="B6" s="37"/>
      <c r="C6" s="168"/>
      <c r="D6" s="173"/>
    </row>
    <row r="7" spans="2:15" ht="15.75" thickBot="1" x14ac:dyDescent="0.3">
      <c r="B7" s="37" t="s">
        <v>186</v>
      </c>
      <c r="C7" s="167">
        <f>16*252</f>
        <v>4032</v>
      </c>
      <c r="D7" s="173"/>
    </row>
    <row r="8" spans="2:15" ht="15.75" thickBot="1" x14ac:dyDescent="0.3">
      <c r="I8" s="245" t="s">
        <v>91</v>
      </c>
      <c r="J8" s="246"/>
    </row>
    <row r="9" spans="2:15" ht="15.75" thickBot="1" x14ac:dyDescent="0.3">
      <c r="C9" s="245" t="s">
        <v>142</v>
      </c>
      <c r="D9" s="246"/>
      <c r="E9" s="245" t="s">
        <v>142</v>
      </c>
      <c r="F9" s="246"/>
      <c r="G9" s="245" t="s">
        <v>142</v>
      </c>
      <c r="H9" s="246"/>
      <c r="I9" s="245" t="s">
        <v>142</v>
      </c>
      <c r="J9" s="246"/>
      <c r="M9" s="183"/>
      <c r="N9" s="171"/>
    </row>
    <row r="10" spans="2:15" x14ac:dyDescent="0.25">
      <c r="B10" s="157" t="s">
        <v>170</v>
      </c>
      <c r="C10" s="243" t="s">
        <v>181</v>
      </c>
      <c r="D10" s="163">
        <v>110000</v>
      </c>
      <c r="E10" s="243" t="s">
        <v>181</v>
      </c>
      <c r="F10" s="158">
        <v>110000</v>
      </c>
      <c r="G10" s="243" t="s">
        <v>181</v>
      </c>
      <c r="H10" s="158">
        <v>100000</v>
      </c>
      <c r="I10" s="243" t="s">
        <v>181</v>
      </c>
      <c r="J10" s="163">
        <f>AVERAGE(D10,F10,H10)</f>
        <v>106666.66666666667</v>
      </c>
    </row>
    <row r="11" spans="2:15" x14ac:dyDescent="0.25">
      <c r="B11" s="159" t="s">
        <v>171</v>
      </c>
      <c r="C11" s="244"/>
      <c r="D11" s="169">
        <v>490000</v>
      </c>
      <c r="E11" s="244"/>
      <c r="F11" s="160">
        <v>490000</v>
      </c>
      <c r="G11" s="244"/>
      <c r="H11" s="160">
        <v>490000</v>
      </c>
      <c r="I11" s="244"/>
      <c r="J11" s="169">
        <f t="shared" ref="J11:J16" si="0">AVERAGE(D11,F11,H11)</f>
        <v>490000</v>
      </c>
    </row>
    <row r="12" spans="2:15" x14ac:dyDescent="0.25">
      <c r="B12" s="159" t="s">
        <v>172</v>
      </c>
      <c r="C12" s="244"/>
      <c r="D12" s="169">
        <v>23700</v>
      </c>
      <c r="E12" s="244"/>
      <c r="F12" s="160">
        <v>23700</v>
      </c>
      <c r="G12" s="244"/>
      <c r="H12" s="160">
        <v>23700</v>
      </c>
      <c r="I12" s="244"/>
      <c r="J12" s="169">
        <f t="shared" si="0"/>
        <v>23700</v>
      </c>
      <c r="M12" s="171"/>
      <c r="O12">
        <f>(M12*1150)+(0.016*50000)</f>
        <v>800</v>
      </c>
    </row>
    <row r="13" spans="2:15" ht="15.75" thickBot="1" x14ac:dyDescent="0.3">
      <c r="B13" s="161" t="s">
        <v>173</v>
      </c>
      <c r="C13" s="244"/>
      <c r="D13" s="165">
        <f>(500000/C7)*252</f>
        <v>31250</v>
      </c>
      <c r="E13" s="244"/>
      <c r="F13" s="162">
        <f>(600000/C7)*252</f>
        <v>37500</v>
      </c>
      <c r="G13" s="244"/>
      <c r="H13" s="162">
        <f>(500000/C7)*252</f>
        <v>31250</v>
      </c>
      <c r="I13" s="244"/>
      <c r="J13" s="165">
        <f t="shared" si="0"/>
        <v>33333.333333333336</v>
      </c>
      <c r="M13" s="171"/>
    </row>
    <row r="14" spans="2:15" x14ac:dyDescent="0.25">
      <c r="B14" s="157" t="s">
        <v>174</v>
      </c>
      <c r="C14" s="244"/>
      <c r="D14" s="163">
        <v>0</v>
      </c>
      <c r="E14" s="244"/>
      <c r="F14" s="163">
        <f>(1430000/C7)*252</f>
        <v>89375</v>
      </c>
      <c r="G14" s="244"/>
      <c r="H14" s="163">
        <f>(1430000/C7)*252</f>
        <v>89375</v>
      </c>
      <c r="I14" s="244"/>
      <c r="J14" s="163">
        <f t="shared" si="0"/>
        <v>59583.333333333336</v>
      </c>
    </row>
    <row r="15" spans="2:15" x14ac:dyDescent="0.25">
      <c r="B15" s="159" t="s">
        <v>175</v>
      </c>
      <c r="C15" s="244"/>
      <c r="D15" s="164">
        <f>(23000000/(12*C7))*252</f>
        <v>119791.66666666667</v>
      </c>
      <c r="E15" s="244"/>
      <c r="F15" s="164">
        <f>(26000000/(12*C7))*252</f>
        <v>135416.66666666666</v>
      </c>
      <c r="G15" s="244"/>
      <c r="H15" s="164">
        <f>(26000000/(12*C7))*252</f>
        <v>135416.66666666666</v>
      </c>
      <c r="I15" s="244"/>
      <c r="J15" s="169">
        <f t="shared" si="0"/>
        <v>130208.33333333333</v>
      </c>
    </row>
    <row r="16" spans="2:15" ht="15.75" thickBot="1" x14ac:dyDescent="0.3">
      <c r="B16" s="161" t="s">
        <v>176</v>
      </c>
      <c r="C16" s="249"/>
      <c r="D16" s="169">
        <f>(120000000/(60*C7))*252</f>
        <v>125000</v>
      </c>
      <c r="E16" s="249"/>
      <c r="F16" s="169">
        <f>(160000000/(60*C7))*252</f>
        <v>166666.66666666666</v>
      </c>
      <c r="G16" s="249"/>
      <c r="H16" s="169">
        <f>(150000000/(60*C7))*252</f>
        <v>156250</v>
      </c>
      <c r="I16" s="249"/>
      <c r="J16" s="165">
        <f t="shared" si="0"/>
        <v>149305.55555555553</v>
      </c>
    </row>
    <row r="17" spans="2:15" ht="15.75" thickBot="1" x14ac:dyDescent="0.3">
      <c r="B17" s="179" t="s">
        <v>177</v>
      </c>
      <c r="C17" s="175"/>
      <c r="D17" s="176">
        <f>SUM(D10:D16)</f>
        <v>899741.66666666663</v>
      </c>
      <c r="E17" s="175"/>
      <c r="F17" s="176">
        <f>SUM(F10:F16)</f>
        <v>1052658.3333333333</v>
      </c>
      <c r="G17" s="175"/>
      <c r="H17" s="176">
        <f>SUM(H10:H16)</f>
        <v>1025991.6666666666</v>
      </c>
    </row>
    <row r="18" spans="2:15" x14ac:dyDescent="0.25">
      <c r="D18" s="178">
        <f>D17/C5</f>
        <v>179.94833333333332</v>
      </c>
      <c r="F18" s="178">
        <f>F17/E5</f>
        <v>105.26583333333332</v>
      </c>
      <c r="H18" s="177">
        <f>H17/G5</f>
        <v>146.5702380952381</v>
      </c>
      <c r="J18" s="182">
        <f>AVERAGE(D18,F18,H18)</f>
        <v>143.9281349206349</v>
      </c>
    </row>
    <row r="19" spans="2:15" ht="15.75" thickBot="1" x14ac:dyDescent="0.3">
      <c r="D19" s="170"/>
    </row>
    <row r="20" spans="2:15" ht="15.75" thickBot="1" x14ac:dyDescent="0.3">
      <c r="I20" s="245" t="s">
        <v>91</v>
      </c>
      <c r="J20" s="246"/>
    </row>
    <row r="21" spans="2:15" ht="15.75" thickBot="1" x14ac:dyDescent="0.3">
      <c r="C21" s="245" t="s">
        <v>143</v>
      </c>
      <c r="D21" s="246"/>
      <c r="E21" s="245" t="s">
        <v>143</v>
      </c>
      <c r="F21" s="246"/>
      <c r="G21" s="245" t="s">
        <v>143</v>
      </c>
      <c r="H21" s="246"/>
      <c r="I21" s="245" t="s">
        <v>143</v>
      </c>
      <c r="J21" s="246"/>
      <c r="L21" s="178"/>
      <c r="O21">
        <f>(M21*1240)+(0.016*50000)</f>
        <v>800</v>
      </c>
    </row>
    <row r="22" spans="2:15" x14ac:dyDescent="0.25">
      <c r="B22" s="157" t="s">
        <v>170</v>
      </c>
      <c r="C22" s="243" t="s">
        <v>182</v>
      </c>
      <c r="D22" s="163">
        <v>75000</v>
      </c>
      <c r="E22" s="243" t="s">
        <v>182</v>
      </c>
      <c r="F22" s="158">
        <v>75000</v>
      </c>
      <c r="G22" s="243" t="s">
        <v>182</v>
      </c>
      <c r="H22" s="158">
        <v>68000</v>
      </c>
      <c r="I22" s="243" t="s">
        <v>182</v>
      </c>
      <c r="J22" s="163">
        <f>AVERAGE(D22,F22,H22)</f>
        <v>72666.666666666672</v>
      </c>
    </row>
    <row r="23" spans="2:15" x14ac:dyDescent="0.25">
      <c r="B23" s="159" t="s">
        <v>171</v>
      </c>
      <c r="C23" s="244"/>
      <c r="D23" s="169">
        <v>70000</v>
      </c>
      <c r="E23" s="244"/>
      <c r="F23" s="160">
        <v>70000</v>
      </c>
      <c r="G23" s="244"/>
      <c r="H23" s="160">
        <v>60000</v>
      </c>
      <c r="I23" s="244"/>
      <c r="J23" s="169">
        <f t="shared" ref="J23:J25" si="1">AVERAGE(D23,F23,H23)</f>
        <v>66666.666666666672</v>
      </c>
    </row>
    <row r="24" spans="2:15" x14ac:dyDescent="0.25">
      <c r="B24" s="159" t="s">
        <v>172</v>
      </c>
      <c r="C24" s="244"/>
      <c r="D24" s="169">
        <v>23700</v>
      </c>
      <c r="E24" s="244"/>
      <c r="F24" s="160">
        <v>23700</v>
      </c>
      <c r="G24" s="244"/>
      <c r="H24" s="160">
        <v>23700</v>
      </c>
      <c r="I24" s="244"/>
      <c r="J24" s="169">
        <f t="shared" si="1"/>
        <v>23700</v>
      </c>
    </row>
    <row r="25" spans="2:15" ht="15.75" thickBot="1" x14ac:dyDescent="0.3">
      <c r="B25" s="161" t="s">
        <v>173</v>
      </c>
      <c r="C25" s="244"/>
      <c r="D25" s="165">
        <f>(500000/C7)*171</f>
        <v>21205.357142857141</v>
      </c>
      <c r="E25" s="244"/>
      <c r="F25" s="162">
        <f>(600000/C7)*171</f>
        <v>25446.428571428569</v>
      </c>
      <c r="G25" s="244"/>
      <c r="H25" s="162">
        <f>(500000/C7)*171</f>
        <v>21205.357142857141</v>
      </c>
      <c r="I25" s="244"/>
      <c r="J25" s="165">
        <f t="shared" si="1"/>
        <v>22619.047619047618</v>
      </c>
    </row>
    <row r="26" spans="2:15" x14ac:dyDescent="0.25">
      <c r="B26" s="157" t="s">
        <v>174</v>
      </c>
      <c r="C26" s="244"/>
      <c r="D26" s="163">
        <v>0</v>
      </c>
      <c r="E26" s="244"/>
      <c r="F26" s="163">
        <f>(1430000/C7)*171</f>
        <v>60647.321428571435</v>
      </c>
      <c r="G26" s="244"/>
      <c r="H26" s="163">
        <f>(1430000/C7)*171</f>
        <v>60647.321428571435</v>
      </c>
      <c r="I26" s="244"/>
      <c r="J26" s="163">
        <f>AVERAGE(D26,F26,H26)</f>
        <v>40431.547619047626</v>
      </c>
    </row>
    <row r="27" spans="2:15" x14ac:dyDescent="0.25">
      <c r="B27" s="159" t="s">
        <v>175</v>
      </c>
      <c r="C27" s="244"/>
      <c r="D27" s="164">
        <f>(23000000/(12*C7))*171</f>
        <v>81287.202380952382</v>
      </c>
      <c r="E27" s="244"/>
      <c r="F27" s="164">
        <f>(26000000/(12*C7))*171</f>
        <v>91889.880952380947</v>
      </c>
      <c r="G27" s="244"/>
      <c r="H27" s="164">
        <f>(26000000/(12*C7))*171</f>
        <v>91889.880952380947</v>
      </c>
      <c r="I27" s="244"/>
      <c r="J27" s="169">
        <f>AVERAGE(D27,F27,H27)</f>
        <v>88355.654761904749</v>
      </c>
    </row>
    <row r="28" spans="2:15" ht="15.75" thickBot="1" x14ac:dyDescent="0.3">
      <c r="B28" s="161" t="s">
        <v>176</v>
      </c>
      <c r="C28" s="244"/>
      <c r="D28" s="169">
        <f>(120000000/(60*C7))*171</f>
        <v>84821.428571428565</v>
      </c>
      <c r="E28" s="244"/>
      <c r="F28" s="169">
        <f>(160000000/(60*C7))*171</f>
        <v>113095.23809523809</v>
      </c>
      <c r="G28" s="244"/>
      <c r="H28" s="169">
        <f>(150000000/(60*C7))*171</f>
        <v>106026.78571428571</v>
      </c>
      <c r="I28" s="249"/>
      <c r="J28" s="165">
        <f>AVERAGE(D28,F28,H28)</f>
        <v>101314.48412698413</v>
      </c>
    </row>
    <row r="29" spans="2:15" ht="15.75" thickBot="1" x14ac:dyDescent="0.3">
      <c r="B29" s="174" t="s">
        <v>177</v>
      </c>
      <c r="C29" s="175"/>
      <c r="D29" s="176">
        <f>SUM(D22:D28)</f>
        <v>356013.98809523811</v>
      </c>
      <c r="E29" s="175"/>
      <c r="F29" s="176">
        <f>SUM(F22:F28)</f>
        <v>459778.86904761905</v>
      </c>
      <c r="G29" s="175"/>
      <c r="H29" s="176">
        <f>SUM(H22:H28)</f>
        <v>431469.34523809527</v>
      </c>
    </row>
    <row r="30" spans="2:15" x14ac:dyDescent="0.25">
      <c r="D30" s="170">
        <f>D29/C5</f>
        <v>71.202797619047615</v>
      </c>
      <c r="F30" s="170">
        <f>F29/E5</f>
        <v>45.977886904761903</v>
      </c>
      <c r="H30" s="170">
        <f>H29/G5</f>
        <v>61.638477891156469</v>
      </c>
      <c r="J30" s="170">
        <f>AVERAGE(D30,F30,H30)</f>
        <v>59.606387471655331</v>
      </c>
    </row>
    <row r="31" spans="2:15" ht="15.75" thickBot="1" x14ac:dyDescent="0.3"/>
    <row r="32" spans="2:15" ht="15.75" thickBot="1" x14ac:dyDescent="0.3">
      <c r="I32" s="245" t="s">
        <v>91</v>
      </c>
      <c r="J32" s="246"/>
      <c r="L32" s="178"/>
      <c r="O32">
        <f>(M32*1200)+(0.016*50000)</f>
        <v>800</v>
      </c>
    </row>
    <row r="33" spans="2:15" ht="15.75" thickBot="1" x14ac:dyDescent="0.3">
      <c r="C33" s="245" t="s">
        <v>144</v>
      </c>
      <c r="D33" s="246"/>
      <c r="E33" s="245" t="s">
        <v>144</v>
      </c>
      <c r="F33" s="246"/>
      <c r="G33" s="245" t="s">
        <v>144</v>
      </c>
      <c r="H33" s="246"/>
      <c r="I33" s="245" t="s">
        <v>143</v>
      </c>
      <c r="J33" s="246"/>
    </row>
    <row r="34" spans="2:15" x14ac:dyDescent="0.25">
      <c r="B34" s="157" t="s">
        <v>170</v>
      </c>
      <c r="C34" s="243" t="s">
        <v>183</v>
      </c>
      <c r="D34" s="163">
        <v>104000</v>
      </c>
      <c r="E34" s="243" t="s">
        <v>183</v>
      </c>
      <c r="F34" s="158">
        <v>104000</v>
      </c>
      <c r="G34" s="243" t="s">
        <v>183</v>
      </c>
      <c r="H34" s="158">
        <v>103000</v>
      </c>
      <c r="I34" s="243" t="s">
        <v>183</v>
      </c>
      <c r="J34" s="163">
        <f>AVERAGE(D34,F34,H34)</f>
        <v>103666.66666666667</v>
      </c>
    </row>
    <row r="35" spans="2:15" x14ac:dyDescent="0.25">
      <c r="B35" s="159" t="s">
        <v>171</v>
      </c>
      <c r="C35" s="244"/>
      <c r="D35" s="169">
        <v>70000</v>
      </c>
      <c r="E35" s="244"/>
      <c r="F35" s="160">
        <v>80000</v>
      </c>
      <c r="G35" s="244"/>
      <c r="H35" s="160">
        <v>75000</v>
      </c>
      <c r="I35" s="244"/>
      <c r="J35" s="169">
        <f t="shared" ref="J35:J40" si="2">AVERAGE(D35,F35,H35)</f>
        <v>75000</v>
      </c>
    </row>
    <row r="36" spans="2:15" x14ac:dyDescent="0.25">
      <c r="B36" s="159" t="s">
        <v>172</v>
      </c>
      <c r="C36" s="244"/>
      <c r="D36" s="169">
        <v>14000</v>
      </c>
      <c r="E36" s="244"/>
      <c r="F36" s="160">
        <v>14000</v>
      </c>
      <c r="G36" s="244"/>
      <c r="H36" s="160">
        <v>14000</v>
      </c>
      <c r="I36" s="244"/>
      <c r="J36" s="169">
        <f t="shared" si="2"/>
        <v>14000</v>
      </c>
    </row>
    <row r="37" spans="2:15" ht="15.75" thickBot="1" x14ac:dyDescent="0.3">
      <c r="B37" s="161" t="s">
        <v>173</v>
      </c>
      <c r="C37" s="244"/>
      <c r="D37" s="165">
        <f>(500000/C7)*237</f>
        <v>29389.88095238095</v>
      </c>
      <c r="E37" s="244"/>
      <c r="F37" s="162">
        <f>(600000/C7)*237</f>
        <v>35267.857142857138</v>
      </c>
      <c r="G37" s="244"/>
      <c r="H37" s="162">
        <f>(500000/C7)*237</f>
        <v>29389.88095238095</v>
      </c>
      <c r="I37" s="244"/>
      <c r="J37" s="165">
        <f t="shared" si="2"/>
        <v>31349.206349206346</v>
      </c>
    </row>
    <row r="38" spans="2:15" x14ac:dyDescent="0.25">
      <c r="B38" s="157" t="s">
        <v>174</v>
      </c>
      <c r="C38" s="244"/>
      <c r="D38" s="163">
        <v>0</v>
      </c>
      <c r="E38" s="244"/>
      <c r="F38" s="163">
        <f>(1430000/C7)*237</f>
        <v>84055.059523809527</v>
      </c>
      <c r="G38" s="244"/>
      <c r="H38" s="163">
        <f>(1430000/C7)*237</f>
        <v>84055.059523809527</v>
      </c>
      <c r="I38" s="244"/>
      <c r="J38" s="163">
        <f t="shared" si="2"/>
        <v>56036.706349206353</v>
      </c>
    </row>
    <row r="39" spans="2:15" x14ac:dyDescent="0.25">
      <c r="B39" s="159" t="s">
        <v>175</v>
      </c>
      <c r="C39" s="244"/>
      <c r="D39" s="164">
        <f>(23000000/(12*C7))*237</f>
        <v>112661.21031746031</v>
      </c>
      <c r="E39" s="244"/>
      <c r="F39" s="164">
        <f>(26000000/(12*C7))*237</f>
        <v>127356.1507936508</v>
      </c>
      <c r="G39" s="244"/>
      <c r="H39" s="164">
        <f>(26000000/(12*C7))*237</f>
        <v>127356.1507936508</v>
      </c>
      <c r="I39" s="244"/>
      <c r="J39" s="169">
        <f t="shared" si="2"/>
        <v>122457.83730158729</v>
      </c>
    </row>
    <row r="40" spans="2:15" ht="15.75" thickBot="1" x14ac:dyDescent="0.3">
      <c r="B40" s="159" t="s">
        <v>176</v>
      </c>
      <c r="C40" s="244"/>
      <c r="D40" s="169">
        <f>(120000000/(60*C7))*237</f>
        <v>117559.5238095238</v>
      </c>
      <c r="E40" s="244"/>
      <c r="F40" s="169">
        <f>(160000000/(60*C7))*237</f>
        <v>156746.03174603175</v>
      </c>
      <c r="G40" s="244"/>
      <c r="H40" s="169">
        <f>(150000000/(60*C7))*237</f>
        <v>146949.40476190476</v>
      </c>
      <c r="I40" s="249"/>
      <c r="J40" s="165">
        <f t="shared" si="2"/>
        <v>140418.32010582011</v>
      </c>
    </row>
    <row r="41" spans="2:15" ht="15.75" thickBot="1" x14ac:dyDescent="0.3">
      <c r="B41" s="179" t="s">
        <v>177</v>
      </c>
      <c r="C41" s="175"/>
      <c r="D41" s="176">
        <f>SUM(D34:D40)</f>
        <v>447610.61507936503</v>
      </c>
      <c r="E41" s="175"/>
      <c r="F41" s="176">
        <f>SUM(F34:F40)</f>
        <v>601425.09920634911</v>
      </c>
      <c r="G41" s="175"/>
      <c r="H41" s="176">
        <f>SUM(H34:H40)</f>
        <v>579750.49603174604</v>
      </c>
    </row>
    <row r="42" spans="2:15" x14ac:dyDescent="0.25">
      <c r="D42" s="170">
        <f>D41/C5</f>
        <v>89.522123015873007</v>
      </c>
      <c r="F42" s="170">
        <f>F41/E5</f>
        <v>60.142509920634915</v>
      </c>
      <c r="H42" s="170">
        <f>H41/G5</f>
        <v>82.821499433106581</v>
      </c>
      <c r="J42" s="170">
        <f>AVERAGE(D42,F42,H42)</f>
        <v>77.495377456538165</v>
      </c>
    </row>
    <row r="43" spans="2:15" ht="15.75" thickBot="1" x14ac:dyDescent="0.3"/>
    <row r="44" spans="2:15" ht="15.75" thickBot="1" x14ac:dyDescent="0.3">
      <c r="I44" s="245" t="s">
        <v>91</v>
      </c>
      <c r="J44" s="246"/>
      <c r="L44" s="178"/>
      <c r="O44">
        <f>(M44*1000)+(0.016*50000)</f>
        <v>800</v>
      </c>
    </row>
    <row r="45" spans="2:15" ht="15.75" thickBot="1" x14ac:dyDescent="0.3">
      <c r="C45" s="247" t="s">
        <v>145</v>
      </c>
      <c r="D45" s="248"/>
      <c r="E45" s="247" t="s">
        <v>145</v>
      </c>
      <c r="F45" s="248"/>
      <c r="G45" s="247" t="s">
        <v>145</v>
      </c>
      <c r="H45" s="248"/>
      <c r="I45" s="247" t="s">
        <v>143</v>
      </c>
      <c r="J45" s="248"/>
    </row>
    <row r="46" spans="2:15" x14ac:dyDescent="0.25">
      <c r="B46" s="157" t="s">
        <v>170</v>
      </c>
      <c r="C46" s="243" t="s">
        <v>182</v>
      </c>
      <c r="D46" s="163">
        <v>75000</v>
      </c>
      <c r="E46" s="243" t="s">
        <v>182</v>
      </c>
      <c r="F46" s="158">
        <v>75000</v>
      </c>
      <c r="G46" s="243" t="s">
        <v>182</v>
      </c>
      <c r="H46" s="158">
        <v>68000</v>
      </c>
      <c r="I46" s="243" t="s">
        <v>182</v>
      </c>
      <c r="J46" s="163">
        <f>AVERAGE(D46,F46,H46)</f>
        <v>72666.666666666672</v>
      </c>
    </row>
    <row r="47" spans="2:15" x14ac:dyDescent="0.25">
      <c r="B47" s="159" t="s">
        <v>171</v>
      </c>
      <c r="C47" s="244"/>
      <c r="D47" s="169">
        <v>10000</v>
      </c>
      <c r="E47" s="244"/>
      <c r="F47" s="160">
        <v>12000</v>
      </c>
      <c r="G47" s="244"/>
      <c r="H47" s="160">
        <v>10000</v>
      </c>
      <c r="I47" s="244"/>
      <c r="J47" s="169">
        <f t="shared" ref="J47:J52" si="3">AVERAGE(D47,F47,H47)</f>
        <v>10666.666666666666</v>
      </c>
    </row>
    <row r="48" spans="2:15" x14ac:dyDescent="0.25">
      <c r="B48" s="159" t="s">
        <v>172</v>
      </c>
      <c r="C48" s="244"/>
      <c r="D48" s="169">
        <v>14000</v>
      </c>
      <c r="E48" s="244"/>
      <c r="F48" s="160">
        <v>14000</v>
      </c>
      <c r="G48" s="244"/>
      <c r="H48" s="160">
        <v>14000</v>
      </c>
      <c r="I48" s="244"/>
      <c r="J48" s="169">
        <f t="shared" si="3"/>
        <v>14000</v>
      </c>
    </row>
    <row r="49" spans="2:15" ht="15.75" thickBot="1" x14ac:dyDescent="0.3">
      <c r="B49" s="161" t="s">
        <v>173</v>
      </c>
      <c r="C49" s="244"/>
      <c r="D49" s="165">
        <f>(500000/C7)*171</f>
        <v>21205.357142857141</v>
      </c>
      <c r="E49" s="244"/>
      <c r="F49" s="162">
        <f>(600000/C7)*171</f>
        <v>25446.428571428569</v>
      </c>
      <c r="G49" s="244"/>
      <c r="H49" s="162">
        <f>(500000/C7)*171</f>
        <v>21205.357142857141</v>
      </c>
      <c r="I49" s="244"/>
      <c r="J49" s="165">
        <f t="shared" si="3"/>
        <v>22619.047619047618</v>
      </c>
    </row>
    <row r="50" spans="2:15" x14ac:dyDescent="0.25">
      <c r="B50" s="157" t="s">
        <v>174</v>
      </c>
      <c r="C50" s="244"/>
      <c r="D50" s="163">
        <v>0</v>
      </c>
      <c r="E50" s="244"/>
      <c r="F50" s="163">
        <f>(1430000/C7)*171</f>
        <v>60647.321428571435</v>
      </c>
      <c r="G50" s="244"/>
      <c r="H50" s="163">
        <f>(1430000/C7)*171</f>
        <v>60647.321428571435</v>
      </c>
      <c r="I50" s="244"/>
      <c r="J50" s="163">
        <f t="shared" si="3"/>
        <v>40431.547619047626</v>
      </c>
    </row>
    <row r="51" spans="2:15" x14ac:dyDescent="0.25">
      <c r="B51" s="159" t="s">
        <v>175</v>
      </c>
      <c r="C51" s="244"/>
      <c r="D51" s="164">
        <f>(23000000/(12*C7))*171</f>
        <v>81287.202380952382</v>
      </c>
      <c r="E51" s="244"/>
      <c r="F51" s="164">
        <f>(26000000/(12*C7))*171</f>
        <v>91889.880952380947</v>
      </c>
      <c r="G51" s="244"/>
      <c r="H51" s="164">
        <f>(26000000/(12*C7))*171</f>
        <v>91889.880952380947</v>
      </c>
      <c r="I51" s="244"/>
      <c r="J51" s="169">
        <f t="shared" si="3"/>
        <v>88355.654761904749</v>
      </c>
    </row>
    <row r="52" spans="2:15" ht="15.75" thickBot="1" x14ac:dyDescent="0.3">
      <c r="B52" s="159" t="s">
        <v>176</v>
      </c>
      <c r="C52" s="244"/>
      <c r="D52" s="169">
        <f>(120000000/(60*C7))*171</f>
        <v>84821.428571428565</v>
      </c>
      <c r="E52" s="244"/>
      <c r="F52" s="169">
        <f>(160000000/(60*C7))*171</f>
        <v>113095.23809523809</v>
      </c>
      <c r="G52" s="244"/>
      <c r="H52" s="169">
        <f>(150000000/(60*C7))*171</f>
        <v>106026.78571428571</v>
      </c>
      <c r="I52" s="249"/>
      <c r="J52" s="165">
        <f t="shared" si="3"/>
        <v>101314.48412698413</v>
      </c>
    </row>
    <row r="53" spans="2:15" ht="15.75" thickBot="1" x14ac:dyDescent="0.3">
      <c r="B53" s="179" t="s">
        <v>177</v>
      </c>
      <c r="C53" s="175"/>
      <c r="D53" s="176">
        <f>SUM(D46:D52)</f>
        <v>286313.98809523811</v>
      </c>
      <c r="E53" s="175"/>
      <c r="F53" s="176">
        <f>SUM(F46:F52)</f>
        <v>392078.86904761905</v>
      </c>
      <c r="G53" s="175"/>
      <c r="H53" s="176">
        <f>SUM(H46:H52)</f>
        <v>371769.34523809527</v>
      </c>
    </row>
    <row r="54" spans="2:15" x14ac:dyDescent="0.25">
      <c r="D54" s="170">
        <f>D53/C5</f>
        <v>57.262797619047625</v>
      </c>
      <c r="F54" s="170">
        <f>F53/E5</f>
        <v>39.207886904761907</v>
      </c>
      <c r="H54" s="170">
        <f>H53/G5</f>
        <v>53.109906462585037</v>
      </c>
      <c r="J54" s="170">
        <f>AVERAGE(D54,F54,H54)</f>
        <v>49.860196995464854</v>
      </c>
    </row>
    <row r="56" spans="2:15" ht="15.75" thickBot="1" x14ac:dyDescent="0.3"/>
    <row r="57" spans="2:15" ht="15.75" thickBot="1" x14ac:dyDescent="0.3">
      <c r="I57" s="245" t="s">
        <v>91</v>
      </c>
      <c r="J57" s="246"/>
      <c r="L57" s="178"/>
      <c r="O57">
        <f>(M57*1000)+(0.016*50000)</f>
        <v>800</v>
      </c>
    </row>
    <row r="58" spans="2:15" ht="15.75" thickBot="1" x14ac:dyDescent="0.3">
      <c r="C58" s="245" t="s">
        <v>136</v>
      </c>
      <c r="D58" s="246"/>
      <c r="E58" s="245" t="s">
        <v>136</v>
      </c>
      <c r="F58" s="246"/>
      <c r="G58" s="245" t="s">
        <v>136</v>
      </c>
      <c r="H58" s="246"/>
      <c r="I58" s="247" t="s">
        <v>143</v>
      </c>
      <c r="J58" s="248"/>
    </row>
    <row r="59" spans="2:15" x14ac:dyDescent="0.25">
      <c r="B59" s="157" t="s">
        <v>170</v>
      </c>
      <c r="C59" s="243" t="s">
        <v>184</v>
      </c>
      <c r="D59" s="163">
        <v>36000</v>
      </c>
      <c r="E59" s="243" t="s">
        <v>184</v>
      </c>
      <c r="F59" s="158">
        <v>36000</v>
      </c>
      <c r="G59" s="243" t="s">
        <v>184</v>
      </c>
      <c r="H59" s="158">
        <v>35000</v>
      </c>
      <c r="I59" s="243" t="s">
        <v>184</v>
      </c>
      <c r="J59" s="163">
        <f>AVERAGE(D59,F59,H59)</f>
        <v>35666.666666666664</v>
      </c>
    </row>
    <row r="60" spans="2:15" x14ac:dyDescent="0.25">
      <c r="B60" s="159" t="s">
        <v>171</v>
      </c>
      <c r="C60" s="244"/>
      <c r="D60" s="169">
        <v>70000</v>
      </c>
      <c r="E60" s="244"/>
      <c r="F60" s="160">
        <v>80000</v>
      </c>
      <c r="G60" s="244"/>
      <c r="H60" s="160">
        <v>75000</v>
      </c>
      <c r="I60" s="244"/>
      <c r="J60" s="169">
        <f t="shared" ref="J60:J65" si="4">AVERAGE(D60,F60,H60)</f>
        <v>75000</v>
      </c>
    </row>
    <row r="61" spans="2:15" x14ac:dyDescent="0.25">
      <c r="B61" s="159" t="s">
        <v>172</v>
      </c>
      <c r="C61" s="244"/>
      <c r="D61" s="169">
        <v>0</v>
      </c>
      <c r="E61" s="244"/>
      <c r="F61" s="160">
        <v>0</v>
      </c>
      <c r="G61" s="244"/>
      <c r="H61" s="160">
        <v>0</v>
      </c>
      <c r="I61" s="244"/>
      <c r="J61" s="169">
        <f t="shared" si="4"/>
        <v>0</v>
      </c>
    </row>
    <row r="62" spans="2:15" ht="15.75" thickBot="1" x14ac:dyDescent="0.3">
      <c r="B62" s="161" t="s">
        <v>173</v>
      </c>
      <c r="C62" s="244"/>
      <c r="D62" s="165">
        <f>(500000/C7)*81</f>
        <v>10044.642857142857</v>
      </c>
      <c r="E62" s="244"/>
      <c r="F62" s="162">
        <f>(600000/C7)*81</f>
        <v>12053.571428571428</v>
      </c>
      <c r="G62" s="244"/>
      <c r="H62" s="162">
        <f>(500000/C7)*81</f>
        <v>10044.642857142857</v>
      </c>
      <c r="I62" s="244"/>
      <c r="J62" s="165">
        <f t="shared" si="4"/>
        <v>10714.285714285712</v>
      </c>
    </row>
    <row r="63" spans="2:15" x14ac:dyDescent="0.25">
      <c r="B63" s="157" t="s">
        <v>174</v>
      </c>
      <c r="C63" s="244"/>
      <c r="D63" s="163">
        <v>0</v>
      </c>
      <c r="E63" s="244"/>
      <c r="F63" s="163">
        <f>(1430000/C7)*81</f>
        <v>28727.678571428572</v>
      </c>
      <c r="G63" s="244"/>
      <c r="H63" s="163">
        <f>(1430000/C7)*81</f>
        <v>28727.678571428572</v>
      </c>
      <c r="I63" s="244"/>
      <c r="J63" s="163">
        <f t="shared" si="4"/>
        <v>19151.785714285714</v>
      </c>
    </row>
    <row r="64" spans="2:15" x14ac:dyDescent="0.25">
      <c r="B64" s="159" t="s">
        <v>175</v>
      </c>
      <c r="C64" s="244"/>
      <c r="D64" s="164">
        <f>(23000000/(12*C7))*81</f>
        <v>38504.464285714283</v>
      </c>
      <c r="E64" s="244"/>
      <c r="F64" s="164">
        <f>(26000000/(12*C7))*81</f>
        <v>43526.78571428571</v>
      </c>
      <c r="G64" s="244"/>
      <c r="H64" s="164">
        <f>(26000000/(12*C7))*81</f>
        <v>43526.78571428571</v>
      </c>
      <c r="I64" s="244"/>
      <c r="J64" s="169">
        <f t="shared" si="4"/>
        <v>41852.678571428572</v>
      </c>
    </row>
    <row r="65" spans="2:15" ht="15.75" thickBot="1" x14ac:dyDescent="0.3">
      <c r="B65" s="159" t="s">
        <v>176</v>
      </c>
      <c r="C65" s="244"/>
      <c r="D65" s="169">
        <f>(120000000/(60*C7))*81</f>
        <v>40178.571428571428</v>
      </c>
      <c r="E65" s="244"/>
      <c r="F65" s="169">
        <f>(160000000/(60*C7))*81</f>
        <v>53571.428571428572</v>
      </c>
      <c r="G65" s="244"/>
      <c r="H65" s="169">
        <f>(150000000/(60*C7))*81</f>
        <v>50223.214285714283</v>
      </c>
      <c r="I65" s="249"/>
      <c r="J65" s="165">
        <f t="shared" si="4"/>
        <v>47991.071428571428</v>
      </c>
    </row>
    <row r="66" spans="2:15" ht="15.75" thickBot="1" x14ac:dyDescent="0.3">
      <c r="B66" s="15" t="s">
        <v>177</v>
      </c>
      <c r="C66" s="175"/>
      <c r="D66" s="176">
        <f>SUM(D59:D65)</f>
        <v>194727.67857142855</v>
      </c>
      <c r="E66" s="175"/>
      <c r="F66" s="176">
        <f>SUM(F59:F65)</f>
        <v>253879.46428571429</v>
      </c>
      <c r="G66" s="175"/>
      <c r="H66" s="176">
        <f>SUM(H59:H65)</f>
        <v>242522.32142857142</v>
      </c>
    </row>
    <row r="67" spans="2:15" ht="15.75" thickBot="1" x14ac:dyDescent="0.3">
      <c r="D67" s="184">
        <f>D66/C5</f>
        <v>38.945535714285711</v>
      </c>
      <c r="E67" s="41"/>
      <c r="F67" s="184">
        <f>F66/E5</f>
        <v>25.387946428571428</v>
      </c>
      <c r="G67" s="41"/>
      <c r="H67" s="184">
        <f>H66/G5</f>
        <v>34.646045918367349</v>
      </c>
      <c r="J67" s="170">
        <f>AVERAGE(D67,F67,H67)</f>
        <v>32.993176020408164</v>
      </c>
    </row>
    <row r="68" spans="2:15" ht="15.75" thickBot="1" x14ac:dyDescent="0.3">
      <c r="I68" s="245" t="s">
        <v>91</v>
      </c>
      <c r="J68" s="246"/>
    </row>
    <row r="69" spans="2:15" ht="15.75" thickBot="1" x14ac:dyDescent="0.3">
      <c r="C69" s="245" t="s">
        <v>149</v>
      </c>
      <c r="D69" s="246"/>
      <c r="E69" s="245" t="s">
        <v>149</v>
      </c>
      <c r="F69" s="246"/>
      <c r="G69" s="245" t="s">
        <v>149</v>
      </c>
      <c r="H69" s="246"/>
      <c r="I69" s="247" t="s">
        <v>143</v>
      </c>
      <c r="J69" s="248"/>
      <c r="L69" s="178"/>
      <c r="O69">
        <f>(M69*1000)+(0.016*50000)</f>
        <v>800</v>
      </c>
    </row>
    <row r="70" spans="2:15" x14ac:dyDescent="0.25">
      <c r="B70" s="157" t="s">
        <v>170</v>
      </c>
      <c r="C70" s="243" t="s">
        <v>184</v>
      </c>
      <c r="D70" s="163">
        <v>36000</v>
      </c>
      <c r="E70" s="243" t="s">
        <v>184</v>
      </c>
      <c r="F70" s="158">
        <v>36000</v>
      </c>
      <c r="G70" s="243" t="s">
        <v>184</v>
      </c>
      <c r="H70" s="158">
        <v>35000</v>
      </c>
      <c r="I70" s="243" t="s">
        <v>184</v>
      </c>
      <c r="J70" s="163">
        <f>AVERAGE(D70,F70,H70)</f>
        <v>35666.666666666664</v>
      </c>
    </row>
    <row r="71" spans="2:15" x14ac:dyDescent="0.25">
      <c r="B71" s="159" t="s">
        <v>171</v>
      </c>
      <c r="C71" s="244"/>
      <c r="D71" s="169">
        <v>10000</v>
      </c>
      <c r="E71" s="244"/>
      <c r="F71" s="160">
        <v>12000</v>
      </c>
      <c r="G71" s="244"/>
      <c r="H71" s="160">
        <v>15000</v>
      </c>
      <c r="I71" s="244"/>
      <c r="J71" s="169">
        <f t="shared" ref="J71:J76" si="5">AVERAGE(D71,F71,H71)</f>
        <v>12333.333333333334</v>
      </c>
    </row>
    <row r="72" spans="2:15" x14ac:dyDescent="0.25">
      <c r="B72" s="159" t="s">
        <v>172</v>
      </c>
      <c r="C72" s="244"/>
      <c r="D72" s="169">
        <v>0</v>
      </c>
      <c r="E72" s="244"/>
      <c r="F72" s="160">
        <v>0</v>
      </c>
      <c r="G72" s="244"/>
      <c r="H72" s="160">
        <v>0</v>
      </c>
      <c r="I72" s="244"/>
      <c r="J72" s="169">
        <f t="shared" si="5"/>
        <v>0</v>
      </c>
    </row>
    <row r="73" spans="2:15" ht="15.75" thickBot="1" x14ac:dyDescent="0.3">
      <c r="B73" s="161" t="s">
        <v>173</v>
      </c>
      <c r="C73" s="244"/>
      <c r="D73" s="165">
        <f>(500000/C7)*81</f>
        <v>10044.642857142857</v>
      </c>
      <c r="E73" s="244"/>
      <c r="F73" s="162">
        <f>(600000/C7)*81</f>
        <v>12053.571428571428</v>
      </c>
      <c r="G73" s="244"/>
      <c r="H73" s="162">
        <f>(500000/C7)*81</f>
        <v>10044.642857142857</v>
      </c>
      <c r="I73" s="244"/>
      <c r="J73" s="165">
        <f t="shared" si="5"/>
        <v>10714.285714285712</v>
      </c>
    </row>
    <row r="74" spans="2:15" x14ac:dyDescent="0.25">
      <c r="B74" s="157" t="s">
        <v>174</v>
      </c>
      <c r="C74" s="244"/>
      <c r="D74" s="163">
        <v>0</v>
      </c>
      <c r="E74" s="244"/>
      <c r="F74" s="163">
        <f>(1430000/C7)*81</f>
        <v>28727.678571428572</v>
      </c>
      <c r="G74" s="244"/>
      <c r="H74" s="163">
        <f>(1430000/C7)*81</f>
        <v>28727.678571428572</v>
      </c>
      <c r="I74" s="244"/>
      <c r="J74" s="163">
        <f t="shared" si="5"/>
        <v>19151.785714285714</v>
      </c>
    </row>
    <row r="75" spans="2:15" x14ac:dyDescent="0.25">
      <c r="B75" s="159" t="s">
        <v>175</v>
      </c>
      <c r="C75" s="244"/>
      <c r="D75" s="164">
        <f>(23000000/(12*C7))*81</f>
        <v>38504.464285714283</v>
      </c>
      <c r="E75" s="244"/>
      <c r="F75" s="164">
        <f>(26000000/(12*C7))*81</f>
        <v>43526.78571428571</v>
      </c>
      <c r="G75" s="244"/>
      <c r="H75" s="164">
        <f>(26000000/(12*C7))*81</f>
        <v>43526.78571428571</v>
      </c>
      <c r="I75" s="244"/>
      <c r="J75" s="169">
        <f t="shared" si="5"/>
        <v>41852.678571428572</v>
      </c>
    </row>
    <row r="76" spans="2:15" ht="15.75" thickBot="1" x14ac:dyDescent="0.3">
      <c r="B76" s="159" t="s">
        <v>176</v>
      </c>
      <c r="C76" s="244"/>
      <c r="D76" s="169">
        <f>(120000000/(60*C7))*81</f>
        <v>40178.571428571428</v>
      </c>
      <c r="E76" s="244"/>
      <c r="F76" s="169">
        <f>(160000000/(60*C7))*81</f>
        <v>53571.428571428572</v>
      </c>
      <c r="G76" s="244"/>
      <c r="H76" s="169">
        <f>(150000000/(60*C7))*81</f>
        <v>50223.214285714283</v>
      </c>
      <c r="I76" s="249"/>
      <c r="J76" s="165">
        <f t="shared" si="5"/>
        <v>47991.071428571428</v>
      </c>
    </row>
    <row r="77" spans="2:15" ht="15.75" thickBot="1" x14ac:dyDescent="0.3">
      <c r="B77" s="15" t="s">
        <v>177</v>
      </c>
      <c r="C77" s="175"/>
      <c r="D77" s="176">
        <f>SUM(D70:D76)</f>
        <v>134727.67857142855</v>
      </c>
      <c r="E77" s="175"/>
      <c r="F77" s="176">
        <f>SUM(F70:F76)</f>
        <v>185879.46428571429</v>
      </c>
      <c r="G77" s="175"/>
      <c r="H77" s="176">
        <f>SUM(H70:H76)</f>
        <v>182522.32142857142</v>
      </c>
    </row>
    <row r="78" spans="2:15" x14ac:dyDescent="0.25">
      <c r="D78" s="170">
        <f>D77/C5</f>
        <v>26.945535714285711</v>
      </c>
      <c r="F78" s="170">
        <f>F77/E5</f>
        <v>18.587946428571428</v>
      </c>
      <c r="H78" s="170">
        <f>H77/G5</f>
        <v>26.074617346938773</v>
      </c>
      <c r="J78" s="170">
        <f>AVERAGE(D78,F78,H78)</f>
        <v>23.869366496598634</v>
      </c>
    </row>
  </sheetData>
  <mergeCells count="60">
    <mergeCell ref="I10:I16"/>
    <mergeCell ref="I9:J9"/>
    <mergeCell ref="I8:J8"/>
    <mergeCell ref="G34:G40"/>
    <mergeCell ref="C21:D21"/>
    <mergeCell ref="E21:F21"/>
    <mergeCell ref="G21:H21"/>
    <mergeCell ref="C22:C28"/>
    <mergeCell ref="E22:E28"/>
    <mergeCell ref="G22:G28"/>
    <mergeCell ref="C10:C16"/>
    <mergeCell ref="E10:E16"/>
    <mergeCell ref="G10:G16"/>
    <mergeCell ref="I20:J20"/>
    <mergeCell ref="I21:J21"/>
    <mergeCell ref="I22:I28"/>
    <mergeCell ref="C2:D2"/>
    <mergeCell ref="E2:F2"/>
    <mergeCell ref="G2:H2"/>
    <mergeCell ref="C69:D69"/>
    <mergeCell ref="E69:F69"/>
    <mergeCell ref="G69:H69"/>
    <mergeCell ref="C45:D45"/>
    <mergeCell ref="E45:F45"/>
    <mergeCell ref="G45:H45"/>
    <mergeCell ref="C46:C52"/>
    <mergeCell ref="E46:E52"/>
    <mergeCell ref="G46:G52"/>
    <mergeCell ref="C33:D33"/>
    <mergeCell ref="E33:F33"/>
    <mergeCell ref="G33:H33"/>
    <mergeCell ref="C34:C40"/>
    <mergeCell ref="E4:F4"/>
    <mergeCell ref="C4:D4"/>
    <mergeCell ref="G4:H4"/>
    <mergeCell ref="C9:D9"/>
    <mergeCell ref="E9:F9"/>
    <mergeCell ref="G9:H9"/>
    <mergeCell ref="I32:J32"/>
    <mergeCell ref="I33:J33"/>
    <mergeCell ref="I34:I40"/>
    <mergeCell ref="I44:J44"/>
    <mergeCell ref="I45:J45"/>
    <mergeCell ref="I46:I52"/>
    <mergeCell ref="I57:J57"/>
    <mergeCell ref="I58:J58"/>
    <mergeCell ref="I59:I65"/>
    <mergeCell ref="I68:J68"/>
    <mergeCell ref="I69:J69"/>
    <mergeCell ref="I70:I76"/>
    <mergeCell ref="C70:C76"/>
    <mergeCell ref="E70:E76"/>
    <mergeCell ref="G70:G76"/>
    <mergeCell ref="E34:E40"/>
    <mergeCell ref="C58:D58"/>
    <mergeCell ref="E58:F58"/>
    <mergeCell ref="G58:H58"/>
    <mergeCell ref="C59:C65"/>
    <mergeCell ref="E59:E65"/>
    <mergeCell ref="G59:G65"/>
  </mergeCells>
  <conditionalFormatting sqref="B10:B13">
    <cfRule type="duplicateValues" dxfId="5" priority="9"/>
  </conditionalFormatting>
  <conditionalFormatting sqref="B22:B25">
    <cfRule type="duplicateValues" dxfId="4" priority="8"/>
  </conditionalFormatting>
  <conditionalFormatting sqref="B34:B37">
    <cfRule type="duplicateValues" dxfId="3" priority="7"/>
  </conditionalFormatting>
  <conditionalFormatting sqref="B46:B49">
    <cfRule type="duplicateValues" dxfId="2" priority="6"/>
  </conditionalFormatting>
  <conditionalFormatting sqref="B59:B62">
    <cfRule type="duplicateValues" dxfId="1" priority="2"/>
  </conditionalFormatting>
  <conditionalFormatting sqref="B70:B73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H6" sqref="H6"/>
    </sheetView>
  </sheetViews>
  <sheetFormatPr baseColWidth="10" defaultRowHeight="15" x14ac:dyDescent="0.25"/>
  <cols>
    <col min="2" max="2" width="23.140625" customWidth="1"/>
    <col min="3" max="4" width="17.28515625" customWidth="1"/>
    <col min="7" max="7" width="15.7109375" customWidth="1"/>
  </cols>
  <sheetData>
    <row r="1" spans="2:9" ht="15.75" thickBot="1" x14ac:dyDescent="0.3"/>
    <row r="2" spans="2:9" ht="15.75" thickBot="1" x14ac:dyDescent="0.3">
      <c r="B2" s="245" t="s">
        <v>195</v>
      </c>
      <c r="C2" s="250"/>
      <c r="D2" s="246"/>
    </row>
    <row r="3" spans="2:9" ht="15.75" thickBot="1" x14ac:dyDescent="0.3">
      <c r="B3" s="166" t="s">
        <v>193</v>
      </c>
      <c r="C3" s="166" t="s">
        <v>192</v>
      </c>
      <c r="D3" s="166" t="s">
        <v>194</v>
      </c>
      <c r="G3" s="180" t="s">
        <v>190</v>
      </c>
      <c r="H3">
        <v>10</v>
      </c>
    </row>
    <row r="4" spans="2:9" x14ac:dyDescent="0.25">
      <c r="B4" s="251" t="s">
        <v>129</v>
      </c>
      <c r="C4" s="251" t="s">
        <v>128</v>
      </c>
      <c r="D4" s="254">
        <f>1100+FURGONES!J18</f>
        <v>1243.9281349206349</v>
      </c>
      <c r="G4" s="92" t="s">
        <v>191</v>
      </c>
      <c r="H4">
        <f>0.2*0.3*0.3</f>
        <v>1.7999999999999999E-2</v>
      </c>
      <c r="I4">
        <f>H4*400</f>
        <v>7.1999999999999993</v>
      </c>
    </row>
    <row r="5" spans="2:9" x14ac:dyDescent="0.25">
      <c r="B5" s="252" t="s">
        <v>129</v>
      </c>
      <c r="C5" s="252" t="s">
        <v>130</v>
      </c>
      <c r="D5" s="255">
        <f>1100+FURGONES!J30</f>
        <v>1159.6063874716554</v>
      </c>
    </row>
    <row r="6" spans="2:9" x14ac:dyDescent="0.25">
      <c r="B6" s="252" t="s">
        <v>129</v>
      </c>
      <c r="C6" s="252" t="s">
        <v>131</v>
      </c>
      <c r="D6" s="255">
        <f>1100+FURGONES!J42</f>
        <v>1177.4953774565381</v>
      </c>
      <c r="G6" s="37" t="s">
        <v>198</v>
      </c>
      <c r="H6" s="178">
        <f>H3*D4</f>
        <v>12439.281349206349</v>
      </c>
    </row>
    <row r="7" spans="2:9" x14ac:dyDescent="0.25">
      <c r="B7" s="252" t="s">
        <v>129</v>
      </c>
      <c r="C7" s="252" t="s">
        <v>132</v>
      </c>
      <c r="D7" s="255">
        <f>1100+FURGONES!J54</f>
        <v>1149.8601969954648</v>
      </c>
      <c r="G7" s="37" t="s">
        <v>199</v>
      </c>
      <c r="H7" s="183">
        <f>(100000*0.6%)</f>
        <v>600</v>
      </c>
    </row>
    <row r="8" spans="2:9" x14ac:dyDescent="0.25">
      <c r="B8" s="252" t="s">
        <v>132</v>
      </c>
      <c r="C8" s="252" t="s">
        <v>128</v>
      </c>
      <c r="D8" s="255">
        <f>1100+FURGONES!J67</f>
        <v>1132.9931760204081</v>
      </c>
      <c r="H8" s="178">
        <f>SUM(H6:H7)</f>
        <v>13039.281349206349</v>
      </c>
    </row>
    <row r="9" spans="2:9" x14ac:dyDescent="0.25">
      <c r="B9" s="252" t="s">
        <v>130</v>
      </c>
      <c r="C9" s="252" t="s">
        <v>128</v>
      </c>
      <c r="D9" s="255">
        <f>1100+FURGONES!J78</f>
        <v>1123.8693664965986</v>
      </c>
    </row>
    <row r="10" spans="2:9" x14ac:dyDescent="0.25">
      <c r="B10" s="252" t="s">
        <v>129</v>
      </c>
      <c r="C10" s="252" t="s">
        <v>127</v>
      </c>
      <c r="D10" s="256">
        <f>1100</f>
        <v>1100</v>
      </c>
    </row>
    <row r="11" spans="2:9" x14ac:dyDescent="0.25">
      <c r="B11" s="252" t="s">
        <v>129</v>
      </c>
      <c r="C11" s="252" t="s">
        <v>133</v>
      </c>
      <c r="D11" s="256">
        <f>1100</f>
        <v>1100</v>
      </c>
    </row>
    <row r="12" spans="2:9" x14ac:dyDescent="0.25">
      <c r="B12" s="252" t="s">
        <v>127</v>
      </c>
      <c r="C12" s="252" t="s">
        <v>128</v>
      </c>
      <c r="D12" s="256">
        <f>1100</f>
        <v>1100</v>
      </c>
    </row>
    <row r="13" spans="2:9" ht="15.75" thickBot="1" x14ac:dyDescent="0.3">
      <c r="B13" s="253" t="s">
        <v>133</v>
      </c>
      <c r="C13" s="253" t="s">
        <v>128</v>
      </c>
      <c r="D13" s="257">
        <f>1100</f>
        <v>1100</v>
      </c>
    </row>
    <row r="15" spans="2:9" x14ac:dyDescent="0.25">
      <c r="B15" t="s">
        <v>196</v>
      </c>
      <c r="C15" s="183">
        <v>6000</v>
      </c>
    </row>
    <row r="16" spans="2:9" x14ac:dyDescent="0.25">
      <c r="B16" t="s">
        <v>197</v>
      </c>
      <c r="C16" s="183">
        <v>7000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MATRIZ ABC</vt:lpstr>
      <vt:lpstr>INDUCTORES PRIMARIOS</vt:lpstr>
      <vt:lpstr>MATRIZ ABC DE ACTIV A PRODUCTOS</vt:lpstr>
      <vt:lpstr>INDUCTORES SECUNDARIOS</vt:lpstr>
      <vt:lpstr>DESTINOS</vt:lpstr>
      <vt:lpstr>FURGONES</vt:lpstr>
      <vt:lpstr>TARIFAS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KarenG Palacio</dc:creator>
  <cp:lastModifiedBy>KarenG Palacio</cp:lastModifiedBy>
  <dcterms:created xsi:type="dcterms:W3CDTF">2016-06-29T15:41:36Z</dcterms:created>
  <dcterms:modified xsi:type="dcterms:W3CDTF">2016-08-02T21:24:31Z</dcterms:modified>
</cp:coreProperties>
</file>