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6.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d072036013d390a9/Desktop/Presupuesto/"/>
    </mc:Choice>
  </mc:AlternateContent>
  <xr:revisionPtr revIDLastSave="2052" documentId="13_ncr:1_{ED985ED9-2CCB-4B46-BD0B-4445FB9A043D}" xr6:coauthVersionLast="47" xr6:coauthVersionMax="47" xr10:uidLastSave="{EE6A36FE-B11B-4057-8426-DF49E1752E37}"/>
  <bookViews>
    <workbookView xWindow="-108" yWindow="-108" windowWidth="23256" windowHeight="12456" firstSheet="10" activeTab="13" xr2:uid="{8616128E-D7AF-4D80-B52E-A081C75B388B}"/>
  </bookViews>
  <sheets>
    <sheet name="Mantenimiento" sheetId="19" r:id="rId1"/>
    <sheet name="Ingresos" sheetId="1" r:id="rId2"/>
    <sheet name="Ingresos_Resumen" sheetId="2" r:id="rId3"/>
    <sheet name="Gast_Cod" sheetId="3" r:id="rId4"/>
    <sheet name="Gast_Entr" sheetId="4" r:id="rId5"/>
    <sheet name="TD_Gast_Entr" sheetId="31" r:id="rId6"/>
    <sheet name="Gast_Resumen" sheetId="5" r:id="rId7"/>
    <sheet name="Gastos Presupuesto" sheetId="17" r:id="rId8"/>
    <sheet name="GastA_Cod" sheetId="7" r:id="rId9"/>
    <sheet name="GastA_Entr" sheetId="9" r:id="rId10"/>
    <sheet name="GastA_Resumen" sheetId="8" r:id="rId11"/>
    <sheet name="FC" sheetId="13" r:id="rId12"/>
    <sheet name="Bancos" sheetId="20" r:id="rId13"/>
    <sheet name="Vacaciones" sheetId="27" r:id="rId14"/>
    <sheet name="Tabla vacaciones" sheetId="28" r:id="rId15"/>
    <sheet name="Declaracion de renta 2024" sheetId="29" r:id="rId16"/>
  </sheets>
  <definedNames>
    <definedName name="Slicer_CATEGORIA">#N/A</definedName>
    <definedName name="Slicer_CONCEPTO">#N/A</definedName>
    <definedName name="Slicer_DESTINO">#N/A</definedName>
  </definedNames>
  <calcPr calcId="191028"/>
  <pivotCaches>
    <pivotCache cacheId="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 i="4" l="1"/>
  <c r="F70" i="4"/>
  <c r="H70" i="4"/>
  <c r="K70" i="4"/>
  <c r="M70" i="4" s="1"/>
  <c r="L70" i="4"/>
  <c r="H69" i="4"/>
  <c r="F69" i="4"/>
  <c r="D69" i="4"/>
  <c r="K69" i="4"/>
  <c r="M69" i="4" s="1"/>
  <c r="L69" i="4"/>
  <c r="D68" i="4"/>
  <c r="F68" i="4"/>
  <c r="H68" i="4"/>
  <c r="K68" i="4"/>
  <c r="L68" i="4"/>
  <c r="D67" i="4"/>
  <c r="F67" i="4"/>
  <c r="H67" i="4"/>
  <c r="K67" i="4"/>
  <c r="L67" i="4"/>
  <c r="D66" i="4"/>
  <c r="F66" i="4"/>
  <c r="H66" i="4"/>
  <c r="K66" i="4"/>
  <c r="L66" i="4"/>
  <c r="D65" i="4"/>
  <c r="F65" i="4"/>
  <c r="H65" i="4"/>
  <c r="K65" i="4"/>
  <c r="L65" i="4"/>
  <c r="D64" i="4"/>
  <c r="F64" i="4"/>
  <c r="H64" i="4"/>
  <c r="K64" i="4"/>
  <c r="L64" i="4"/>
  <c r="D63" i="4"/>
  <c r="F63" i="4"/>
  <c r="H63" i="4"/>
  <c r="K63" i="4"/>
  <c r="L63" i="4"/>
  <c r="J62" i="4"/>
  <c r="D62" i="4"/>
  <c r="F62" i="4"/>
  <c r="H62" i="4"/>
  <c r="K62" i="4"/>
  <c r="L62" i="4"/>
  <c r="D61" i="4"/>
  <c r="F61" i="4"/>
  <c r="H61" i="4"/>
  <c r="K61" i="4"/>
  <c r="L61" i="4"/>
  <c r="H60" i="4"/>
  <c r="F60" i="4"/>
  <c r="D60" i="4"/>
  <c r="K60" i="4"/>
  <c r="L60" i="4"/>
  <c r="H59" i="4"/>
  <c r="F59" i="4"/>
  <c r="D59" i="4"/>
  <c r="K59" i="4"/>
  <c r="L59" i="4"/>
  <c r="D58" i="4"/>
  <c r="F58" i="4"/>
  <c r="H58" i="4"/>
  <c r="K58" i="4"/>
  <c r="L58" i="4"/>
  <c r="E18" i="1"/>
  <c r="F18" i="1"/>
  <c r="H18" i="1" s="1"/>
  <c r="G18" i="1"/>
  <c r="H56" i="4"/>
  <c r="F56" i="4"/>
  <c r="D56" i="4"/>
  <c r="D57" i="4"/>
  <c r="F57" i="4"/>
  <c r="H57" i="4"/>
  <c r="K57" i="4"/>
  <c r="L57" i="4"/>
  <c r="K56" i="4"/>
  <c r="L56" i="4"/>
  <c r="H55" i="4"/>
  <c r="F55" i="4"/>
  <c r="D55" i="4"/>
  <c r="K55" i="4"/>
  <c r="L55" i="4"/>
  <c r="J54" i="4"/>
  <c r="D54" i="4"/>
  <c r="F54" i="4"/>
  <c r="H54" i="4"/>
  <c r="K54" i="4"/>
  <c r="L54" i="4"/>
  <c r="F17" i="1"/>
  <c r="H17" i="1" s="1"/>
  <c r="G17" i="1"/>
  <c r="D53" i="4"/>
  <c r="F16" i="1"/>
  <c r="H16" i="1" s="1"/>
  <c r="G16" i="1"/>
  <c r="E25" i="29"/>
  <c r="F53" i="4"/>
  <c r="H53" i="4"/>
  <c r="K53" i="4"/>
  <c r="L53" i="4"/>
  <c r="D52" i="4"/>
  <c r="F52" i="4"/>
  <c r="H52" i="4"/>
  <c r="K52" i="4"/>
  <c r="L52" i="4"/>
  <c r="D51" i="4"/>
  <c r="F51" i="4"/>
  <c r="H51" i="4"/>
  <c r="K51" i="4"/>
  <c r="L51" i="4"/>
  <c r="D50" i="4"/>
  <c r="F50" i="4"/>
  <c r="H50" i="4"/>
  <c r="K50" i="4"/>
  <c r="L50" i="4"/>
  <c r="H49" i="4"/>
  <c r="F49" i="4"/>
  <c r="D49" i="4"/>
  <c r="K49" i="4"/>
  <c r="L49" i="4"/>
  <c r="H48" i="4"/>
  <c r="F48" i="4"/>
  <c r="D48" i="4"/>
  <c r="K48" i="4"/>
  <c r="L48" i="4"/>
  <c r="D47" i="4"/>
  <c r="F47" i="4"/>
  <c r="H47" i="4"/>
  <c r="K47" i="4"/>
  <c r="L47" i="4"/>
  <c r="I15" i="17"/>
  <c r="F15" i="1"/>
  <c r="H15" i="1" s="1"/>
  <c r="G15" i="1"/>
  <c r="F14" i="1"/>
  <c r="G14" i="1"/>
  <c r="D46" i="4"/>
  <c r="F46" i="4"/>
  <c r="H46" i="4"/>
  <c r="K46" i="4"/>
  <c r="L46" i="4"/>
  <c r="I10" i="29"/>
  <c r="J45" i="4"/>
  <c r="D45" i="4"/>
  <c r="F45" i="4"/>
  <c r="H45" i="4"/>
  <c r="K45" i="4"/>
  <c r="L45" i="4"/>
  <c r="H10" i="29"/>
  <c r="F13" i="1"/>
  <c r="G13" i="1"/>
  <c r="H44" i="4"/>
  <c r="F44" i="4"/>
  <c r="D44" i="4"/>
  <c r="K44" i="4"/>
  <c r="L44" i="4"/>
  <c r="H41" i="4"/>
  <c r="F41" i="4"/>
  <c r="D41" i="4"/>
  <c r="K41" i="4"/>
  <c r="L41" i="4"/>
  <c r="F12" i="1"/>
  <c r="G12" i="1"/>
  <c r="D43" i="4"/>
  <c r="F43" i="4"/>
  <c r="H43" i="4"/>
  <c r="K43" i="4"/>
  <c r="L43" i="4"/>
  <c r="D42" i="4"/>
  <c r="F42" i="4"/>
  <c r="H42" i="4"/>
  <c r="K42" i="4"/>
  <c r="L42" i="4"/>
  <c r="F11" i="1"/>
  <c r="G11" i="1"/>
  <c r="D40" i="4"/>
  <c r="F40" i="4"/>
  <c r="H40" i="4"/>
  <c r="K40" i="4"/>
  <c r="L40" i="4"/>
  <c r="D39" i="4"/>
  <c r="F39" i="4"/>
  <c r="H39" i="4"/>
  <c r="K39" i="4"/>
  <c r="L39" i="4"/>
  <c r="D38" i="4"/>
  <c r="F38" i="4"/>
  <c r="H38" i="4"/>
  <c r="K38" i="4"/>
  <c r="L38" i="4"/>
  <c r="D37" i="4"/>
  <c r="F37" i="4"/>
  <c r="H37" i="4"/>
  <c r="K37" i="4"/>
  <c r="L37" i="4"/>
  <c r="D36" i="4"/>
  <c r="F36" i="4"/>
  <c r="H36" i="4"/>
  <c r="K36" i="4"/>
  <c r="L36" i="4"/>
  <c r="J35" i="4"/>
  <c r="H31" i="4"/>
  <c r="D35" i="4"/>
  <c r="F35" i="4"/>
  <c r="H35" i="4"/>
  <c r="K35" i="4"/>
  <c r="L35" i="4"/>
  <c r="D34" i="4"/>
  <c r="F34" i="4"/>
  <c r="H34" i="4"/>
  <c r="K34" i="4"/>
  <c r="L34" i="4"/>
  <c r="D33" i="4"/>
  <c r="F33" i="4"/>
  <c r="H33" i="4"/>
  <c r="K33" i="4"/>
  <c r="L33" i="4"/>
  <c r="H32" i="4"/>
  <c r="F32" i="4"/>
  <c r="D32" i="4"/>
  <c r="K32" i="4"/>
  <c r="L32" i="4"/>
  <c r="D31" i="4"/>
  <c r="F31" i="4"/>
  <c r="K31" i="4"/>
  <c r="L31" i="4"/>
  <c r="D30" i="4"/>
  <c r="F30" i="4"/>
  <c r="H30" i="4"/>
  <c r="K30" i="4"/>
  <c r="L30" i="4"/>
  <c r="D29" i="4"/>
  <c r="F29" i="4"/>
  <c r="H29" i="4"/>
  <c r="K29" i="4"/>
  <c r="L29" i="4"/>
  <c r="D28" i="4"/>
  <c r="F28" i="4"/>
  <c r="H28" i="4"/>
  <c r="K28" i="4"/>
  <c r="L28" i="4"/>
  <c r="D27" i="4"/>
  <c r="F27" i="4"/>
  <c r="H27" i="4"/>
  <c r="K27" i="4"/>
  <c r="L27" i="4"/>
  <c r="D26" i="4"/>
  <c r="F26" i="4"/>
  <c r="H26" i="4"/>
  <c r="K26" i="4"/>
  <c r="L26" i="4"/>
  <c r="G12" i="20"/>
  <c r="J12" i="20"/>
  <c r="D25" i="4"/>
  <c r="F25" i="4"/>
  <c r="H25" i="4"/>
  <c r="K25" i="4"/>
  <c r="L25" i="4"/>
  <c r="H24" i="4"/>
  <c r="F24" i="4"/>
  <c r="D24" i="4"/>
  <c r="K24" i="4"/>
  <c r="L24" i="4"/>
  <c r="F10" i="1"/>
  <c r="G10" i="1"/>
  <c r="F22" i="27"/>
  <c r="F23" i="27"/>
  <c r="F24" i="27"/>
  <c r="F25" i="27"/>
  <c r="F26" i="27"/>
  <c r="F27" i="27"/>
  <c r="F28" i="27"/>
  <c r="F29" i="27"/>
  <c r="F30" i="27"/>
  <c r="F31" i="27"/>
  <c r="F32" i="27"/>
  <c r="F9" i="1"/>
  <c r="G9" i="1"/>
  <c r="C9" i="17"/>
  <c r="D23" i="4"/>
  <c r="F23" i="4"/>
  <c r="H23" i="4"/>
  <c r="K23" i="4"/>
  <c r="L23" i="4"/>
  <c r="C8" i="17"/>
  <c r="C11" i="17" s="1"/>
  <c r="D22" i="4"/>
  <c r="F22" i="4"/>
  <c r="H22" i="4"/>
  <c r="K22" i="4"/>
  <c r="L22" i="4"/>
  <c r="D21" i="4"/>
  <c r="F21" i="4"/>
  <c r="H21" i="4"/>
  <c r="K21" i="4"/>
  <c r="L21" i="4"/>
  <c r="D20" i="4"/>
  <c r="F20" i="4"/>
  <c r="H20" i="4"/>
  <c r="K20" i="4"/>
  <c r="L20" i="4"/>
  <c r="D19" i="4"/>
  <c r="F19" i="4"/>
  <c r="H19" i="4"/>
  <c r="K19" i="4"/>
  <c r="L19" i="4"/>
  <c r="D18" i="4"/>
  <c r="F18" i="4"/>
  <c r="H18" i="4"/>
  <c r="K18" i="4"/>
  <c r="L18" i="4"/>
  <c r="D17" i="4"/>
  <c r="F17" i="4"/>
  <c r="H17" i="4"/>
  <c r="K17" i="4"/>
  <c r="L17" i="4"/>
  <c r="D16" i="4"/>
  <c r="F16" i="4"/>
  <c r="H16" i="4"/>
  <c r="K16" i="4"/>
  <c r="L16" i="4"/>
  <c r="D15" i="4"/>
  <c r="F15" i="4"/>
  <c r="H15" i="4"/>
  <c r="K15" i="4"/>
  <c r="L15" i="4"/>
  <c r="F8" i="1"/>
  <c r="G8" i="1"/>
  <c r="D14" i="4"/>
  <c r="F14" i="4"/>
  <c r="H14" i="4"/>
  <c r="K14" i="4"/>
  <c r="L14" i="4"/>
  <c r="D13" i="4"/>
  <c r="F13" i="4"/>
  <c r="H13" i="4"/>
  <c r="K13" i="4"/>
  <c r="L13" i="4"/>
  <c r="D12" i="4"/>
  <c r="F12" i="4"/>
  <c r="H12" i="4"/>
  <c r="K12" i="4"/>
  <c r="L12" i="4"/>
  <c r="D11" i="4"/>
  <c r="F11" i="4"/>
  <c r="H11" i="4"/>
  <c r="K11" i="4"/>
  <c r="L11" i="4"/>
  <c r="D10" i="4"/>
  <c r="F10" i="4"/>
  <c r="H10" i="4"/>
  <c r="K10" i="4"/>
  <c r="L10" i="4"/>
  <c r="F7" i="1"/>
  <c r="G7" i="1"/>
  <c r="E23" i="29"/>
  <c r="I37" i="29"/>
  <c r="E51" i="29" s="1"/>
  <c r="H37" i="29"/>
  <c r="E49" i="29" s="1"/>
  <c r="D9" i="4"/>
  <c r="F9" i="4"/>
  <c r="H9" i="4"/>
  <c r="K9" i="4"/>
  <c r="L9" i="4"/>
  <c r="D8" i="4"/>
  <c r="F8" i="4"/>
  <c r="H8" i="4"/>
  <c r="K8" i="4"/>
  <c r="L8" i="4"/>
  <c r="E6" i="1"/>
  <c r="F6" i="1"/>
  <c r="G6" i="1"/>
  <c r="D7" i="4"/>
  <c r="F7" i="4"/>
  <c r="H7" i="4"/>
  <c r="K7" i="4"/>
  <c r="L7" i="4"/>
  <c r="M68" i="4" l="1"/>
  <c r="M67" i="4"/>
  <c r="M66" i="4"/>
  <c r="M65" i="4"/>
  <c r="M64" i="4"/>
  <c r="M63" i="4"/>
  <c r="M61" i="4"/>
  <c r="M62" i="4"/>
  <c r="M59" i="4"/>
  <c r="M58" i="4"/>
  <c r="M60" i="4"/>
  <c r="M56" i="4"/>
  <c r="M57" i="4"/>
  <c r="M55" i="4"/>
  <c r="M47" i="4"/>
  <c r="M50" i="4"/>
  <c r="M48" i="4"/>
  <c r="M53" i="4"/>
  <c r="M51" i="4"/>
  <c r="M54" i="4"/>
  <c r="M52" i="4"/>
  <c r="H14" i="1"/>
  <c r="H11" i="1"/>
  <c r="M49" i="4"/>
  <c r="M46" i="4"/>
  <c r="M45" i="4"/>
  <c r="H13" i="1"/>
  <c r="M41" i="4"/>
  <c r="M44" i="4"/>
  <c r="H12" i="1"/>
  <c r="M34" i="4"/>
  <c r="M40" i="4"/>
  <c r="M43" i="4"/>
  <c r="M42" i="4"/>
  <c r="H9" i="1"/>
  <c r="M38" i="4"/>
  <c r="H6" i="1"/>
  <c r="H10" i="1"/>
  <c r="M37" i="4"/>
  <c r="M39" i="4"/>
  <c r="M35" i="4"/>
  <c r="M36" i="4"/>
  <c r="M30" i="4"/>
  <c r="M33" i="4"/>
  <c r="M32" i="4"/>
  <c r="M31" i="4"/>
  <c r="M29" i="4"/>
  <c r="M27" i="4"/>
  <c r="M28" i="4"/>
  <c r="M26" i="4"/>
  <c r="M25" i="4"/>
  <c r="M23" i="4"/>
  <c r="M24" i="4"/>
  <c r="H7" i="1"/>
  <c r="H8" i="1"/>
  <c r="M22" i="4"/>
  <c r="M20" i="4"/>
  <c r="M18" i="4"/>
  <c r="M21" i="4"/>
  <c r="M19" i="4"/>
  <c r="M17" i="4"/>
  <c r="M15" i="4"/>
  <c r="M16" i="4"/>
  <c r="M12" i="4"/>
  <c r="M14" i="4"/>
  <c r="M13" i="4"/>
  <c r="M7" i="4"/>
  <c r="M10" i="4"/>
  <c r="M9" i="4"/>
  <c r="M11" i="4"/>
  <c r="M8" i="4"/>
  <c r="F33" i="27"/>
  <c r="I22" i="27"/>
  <c r="I23" i="27"/>
  <c r="I24" i="27"/>
  <c r="I25" i="27"/>
  <c r="I26" i="27"/>
  <c r="I27" i="27"/>
  <c r="I28" i="27"/>
  <c r="I29" i="27"/>
  <c r="I30" i="27"/>
  <c r="I31" i="27"/>
  <c r="I32" i="27"/>
  <c r="D6" i="4"/>
  <c r="F6" i="4"/>
  <c r="H6" i="4"/>
  <c r="K6" i="4"/>
  <c r="L6" i="4"/>
  <c r="M6" i="4" l="1"/>
  <c r="D5" i="9"/>
  <c r="F5" i="9"/>
  <c r="H5" i="9"/>
  <c r="F11" i="20"/>
  <c r="J11" i="20" s="1"/>
  <c r="D33" i="27"/>
  <c r="F10" i="20"/>
  <c r="J10" i="20" s="1"/>
  <c r="G17" i="27"/>
  <c r="H5" i="27"/>
  <c r="H6" i="27"/>
  <c r="H7" i="27"/>
  <c r="H8" i="27"/>
  <c r="H9" i="27"/>
  <c r="H10" i="27"/>
  <c r="H11" i="27"/>
  <c r="H12" i="27"/>
  <c r="H13" i="27"/>
  <c r="H14" i="27"/>
  <c r="H16" i="27"/>
  <c r="F9" i="20"/>
  <c r="J9" i="20" s="1"/>
  <c r="D15" i="27"/>
  <c r="D17" i="27" s="1"/>
  <c r="F17" i="27"/>
  <c r="L8" i="27" s="1"/>
  <c r="F8" i="20"/>
  <c r="J8" i="20" s="1"/>
  <c r="F7" i="20"/>
  <c r="J7" i="20" s="1"/>
  <c r="F6" i="20"/>
  <c r="J6" i="20" s="1"/>
  <c r="E53" i="29"/>
  <c r="G6" i="20"/>
  <c r="L6" i="27"/>
  <c r="L4" i="27"/>
  <c r="G63" i="29"/>
  <c r="G64" i="29"/>
  <c r="G65" i="29"/>
  <c r="G66" i="29"/>
  <c r="G67" i="29"/>
  <c r="G68" i="29"/>
  <c r="G69" i="29"/>
  <c r="G70" i="29"/>
  <c r="G71" i="29"/>
  <c r="G72" i="29"/>
  <c r="G73" i="29"/>
  <c r="G62" i="29"/>
  <c r="E79" i="29"/>
  <c r="E77" i="29"/>
  <c r="M73" i="29"/>
  <c r="J73" i="29"/>
  <c r="M72" i="29"/>
  <c r="J72" i="29"/>
  <c r="M71" i="29"/>
  <c r="J71" i="29"/>
  <c r="M70" i="29"/>
  <c r="J70" i="29"/>
  <c r="M69" i="29"/>
  <c r="J69" i="29"/>
  <c r="M68" i="29"/>
  <c r="J68" i="29"/>
  <c r="M67" i="29"/>
  <c r="J67" i="29"/>
  <c r="M66" i="29"/>
  <c r="J66" i="29"/>
  <c r="M65" i="29"/>
  <c r="J65" i="29"/>
  <c r="M64" i="29"/>
  <c r="J64" i="29"/>
  <c r="M63" i="29"/>
  <c r="J63" i="29"/>
  <c r="M62" i="29"/>
  <c r="J62" i="29"/>
  <c r="F4" i="20"/>
  <c r="J4" i="20" s="1"/>
  <c r="F5" i="20"/>
  <c r="J5" i="20" s="1"/>
  <c r="E17" i="27"/>
  <c r="M8" i="8"/>
  <c r="N8" i="8"/>
  <c r="E5" i="17"/>
  <c r="D2" i="4"/>
  <c r="D5" i="4"/>
  <c r="F5" i="4"/>
  <c r="H5" i="4"/>
  <c r="K5" i="4"/>
  <c r="L5" i="4"/>
  <c r="K5" i="9"/>
  <c r="L5" i="9"/>
  <c r="O13" i="13"/>
  <c r="O6" i="13"/>
  <c r="H15" i="27" l="1"/>
  <c r="I33" i="27"/>
  <c r="E34" i="27"/>
  <c r="D34" i="27"/>
  <c r="H17" i="27"/>
  <c r="D9" i="5"/>
  <c r="G8" i="8"/>
  <c r="K8" i="8"/>
  <c r="C7" i="8"/>
  <c r="M5" i="4"/>
  <c r="M5" i="9"/>
  <c r="D6" i="17"/>
  <c r="E6" i="17"/>
  <c r="C8" i="8" l="1"/>
  <c r="J8" i="8"/>
  <c r="E7" i="8"/>
  <c r="L8" i="8"/>
  <c r="D2" i="9" l="1"/>
  <c r="C2" i="9"/>
  <c r="B2" i="9"/>
  <c r="I4" i="8"/>
  <c r="C2" i="4"/>
  <c r="B2" i="4"/>
  <c r="J12" i="5"/>
  <c r="F5" i="1"/>
  <c r="G5" i="1"/>
  <c r="M13" i="5" l="1"/>
  <c r="J5" i="5"/>
  <c r="F14" i="5"/>
  <c r="K13" i="5"/>
  <c r="M5" i="5"/>
  <c r="E11" i="5"/>
  <c r="E5" i="5"/>
  <c r="F8" i="5"/>
  <c r="G12" i="5"/>
  <c r="E4" i="5"/>
  <c r="G11" i="5"/>
  <c r="K4" i="5"/>
  <c r="N8" i="5"/>
  <c r="N9" i="5"/>
  <c r="C10" i="5"/>
  <c r="H4" i="5"/>
  <c r="K8" i="5"/>
  <c r="C11" i="5"/>
  <c r="L11" i="5"/>
  <c r="D12" i="5"/>
  <c r="I10" i="5"/>
  <c r="L10" i="5"/>
  <c r="H6" i="5"/>
  <c r="E13" i="5"/>
  <c r="D11" i="5"/>
  <c r="I9" i="5"/>
  <c r="N10" i="5"/>
  <c r="E12" i="5"/>
  <c r="F9" i="5"/>
  <c r="J13" i="5"/>
  <c r="M6" i="5"/>
  <c r="K7" i="5"/>
  <c r="H7" i="5"/>
  <c r="D10" i="5"/>
  <c r="H13" i="5"/>
  <c r="J11" i="5"/>
  <c r="L9" i="5"/>
  <c r="E10" i="5"/>
  <c r="C13" i="5"/>
  <c r="G9" i="5"/>
  <c r="J10" i="5"/>
  <c r="L8" i="5"/>
  <c r="E9" i="5"/>
  <c r="C6" i="5"/>
  <c r="D8" i="5"/>
  <c r="F13" i="5"/>
  <c r="F5" i="5"/>
  <c r="G8" i="5"/>
  <c r="H11" i="5"/>
  <c r="I14" i="5"/>
  <c r="I6" i="5"/>
  <c r="J9" i="5"/>
  <c r="K12" i="5"/>
  <c r="L4" i="5"/>
  <c r="L7" i="5"/>
  <c r="M10" i="5"/>
  <c r="N13" i="5"/>
  <c r="N5" i="5"/>
  <c r="C12" i="5"/>
  <c r="F7" i="5"/>
  <c r="I8" i="5"/>
  <c r="M12" i="5"/>
  <c r="C5" i="5"/>
  <c r="F6" i="5"/>
  <c r="I7" i="5"/>
  <c r="M11" i="5"/>
  <c r="N6" i="5"/>
  <c r="E8" i="5"/>
  <c r="C7" i="5"/>
  <c r="D4" i="5"/>
  <c r="D7" i="5"/>
  <c r="F12" i="5"/>
  <c r="G4" i="5"/>
  <c r="G7" i="5"/>
  <c r="H10" i="5"/>
  <c r="I13" i="5"/>
  <c r="I5" i="5"/>
  <c r="J8" i="5"/>
  <c r="K11" i="5"/>
  <c r="L6" i="5"/>
  <c r="M9" i="5"/>
  <c r="N12" i="5"/>
  <c r="C4" i="5"/>
  <c r="G10" i="5"/>
  <c r="N4" i="5"/>
  <c r="H12" i="5"/>
  <c r="K5" i="5"/>
  <c r="E7" i="5"/>
  <c r="C8" i="5"/>
  <c r="D6" i="5"/>
  <c r="F11" i="5"/>
  <c r="G5" i="5"/>
  <c r="H9" i="5"/>
  <c r="I12" i="5"/>
  <c r="J4" i="5"/>
  <c r="J7" i="5"/>
  <c r="K10" i="5"/>
  <c r="L13" i="5"/>
  <c r="L5" i="5"/>
  <c r="M8" i="5"/>
  <c r="N11" i="5"/>
  <c r="F4" i="5"/>
  <c r="H5" i="5"/>
  <c r="K6" i="5"/>
  <c r="N7" i="5"/>
  <c r="I4" i="5"/>
  <c r="E6" i="5"/>
  <c r="C9" i="5"/>
  <c r="D13" i="5"/>
  <c r="D5" i="5"/>
  <c r="F10" i="5"/>
  <c r="G13" i="5"/>
  <c r="G6" i="5"/>
  <c r="H8" i="5"/>
  <c r="I11" i="5"/>
  <c r="J6" i="5"/>
  <c r="K9" i="5"/>
  <c r="L12" i="5"/>
  <c r="M4" i="5"/>
  <c r="M7" i="5"/>
  <c r="H5" i="1"/>
  <c r="E4" i="2" s="1"/>
  <c r="D5" i="8"/>
  <c r="M4" i="8"/>
  <c r="H6" i="8"/>
  <c r="E6" i="8"/>
  <c r="L5" i="8"/>
  <c r="I5" i="8"/>
  <c r="H4" i="8"/>
  <c r="M6" i="8"/>
  <c r="E4" i="8"/>
  <c r="L5" i="2"/>
  <c r="I7" i="8"/>
  <c r="L7" i="8"/>
  <c r="D7" i="8"/>
  <c r="K7" i="8"/>
  <c r="G6" i="8"/>
  <c r="K5" i="8"/>
  <c r="C5" i="8"/>
  <c r="G4" i="8"/>
  <c r="J7" i="8"/>
  <c r="N6" i="8"/>
  <c r="F6" i="8"/>
  <c r="J5" i="8"/>
  <c r="N4" i="8"/>
  <c r="F4" i="8"/>
  <c r="H7" i="8"/>
  <c r="L6" i="8"/>
  <c r="D6" i="8"/>
  <c r="H5" i="8"/>
  <c r="L4" i="8"/>
  <c r="D4" i="8"/>
  <c r="G7" i="8"/>
  <c r="K6" i="8"/>
  <c r="C6" i="8"/>
  <c r="G5" i="8"/>
  <c r="K4" i="8"/>
  <c r="C4" i="8"/>
  <c r="N7" i="8"/>
  <c r="F7" i="8"/>
  <c r="J6" i="8"/>
  <c r="N5" i="8"/>
  <c r="F5" i="8"/>
  <c r="J4" i="8"/>
  <c r="M7" i="8"/>
  <c r="I6" i="8"/>
  <c r="M5" i="8"/>
  <c r="E5" i="8"/>
  <c r="H6" i="2" l="1"/>
  <c r="N5" i="2"/>
  <c r="I6" i="2"/>
  <c r="K9" i="8"/>
  <c r="K11" i="13" s="1"/>
  <c r="L9" i="8"/>
  <c r="L11" i="13" s="1"/>
  <c r="I9" i="8"/>
  <c r="J9" i="8"/>
  <c r="G9" i="8"/>
  <c r="I2" i="9" s="1"/>
  <c r="F9" i="8"/>
  <c r="E9" i="8"/>
  <c r="G2" i="9" s="1"/>
  <c r="M9" i="8"/>
  <c r="M11" i="13" s="1"/>
  <c r="N9" i="8"/>
  <c r="N11" i="13" s="1"/>
  <c r="D9" i="8"/>
  <c r="H9" i="8"/>
  <c r="C9" i="8"/>
  <c r="D5" i="2"/>
  <c r="I5" i="2"/>
  <c r="H5" i="2"/>
  <c r="C5" i="2"/>
  <c r="G5" i="2"/>
  <c r="N4" i="2"/>
  <c r="G6" i="2"/>
  <c r="N14" i="5"/>
  <c r="N15" i="5" s="1"/>
  <c r="L14" i="5"/>
  <c r="L15" i="5" s="1"/>
  <c r="M14" i="5"/>
  <c r="M15" i="5" s="1"/>
  <c r="J14" i="5"/>
  <c r="J15" i="5" s="1"/>
  <c r="H14" i="5"/>
  <c r="H15" i="5" s="1"/>
  <c r="F4" i="2"/>
  <c r="H4" i="2"/>
  <c r="D4" i="2"/>
  <c r="M4" i="2"/>
  <c r="L4" i="2"/>
  <c r="C4" i="2"/>
  <c r="K4" i="2"/>
  <c r="I4" i="2"/>
  <c r="J4" i="2"/>
  <c r="G4" i="2"/>
  <c r="E14" i="5"/>
  <c r="E15" i="5" s="1"/>
  <c r="G14" i="5"/>
  <c r="G15" i="5" s="1"/>
  <c r="K14" i="5"/>
  <c r="K15" i="5" s="1"/>
  <c r="D14" i="5"/>
  <c r="D15" i="5" s="1"/>
  <c r="C14" i="5"/>
  <c r="C15" i="5" s="1"/>
  <c r="C5" i="17" s="1"/>
  <c r="F5" i="17" s="1"/>
  <c r="O12" i="5"/>
  <c r="O5" i="5"/>
  <c r="I15" i="5"/>
  <c r="O11" i="5"/>
  <c r="O13" i="5"/>
  <c r="F15" i="5"/>
  <c r="O6" i="5"/>
  <c r="O10" i="5"/>
  <c r="O4" i="5"/>
  <c r="O7" i="5"/>
  <c r="O8" i="5"/>
  <c r="O9" i="5"/>
  <c r="N6" i="2"/>
  <c r="M5" i="2"/>
  <c r="K5" i="2"/>
  <c r="O6" i="8"/>
  <c r="F5" i="2"/>
  <c r="E5" i="2"/>
  <c r="M6" i="2"/>
  <c r="K6" i="2"/>
  <c r="L6" i="2"/>
  <c r="E6" i="2"/>
  <c r="C6" i="2"/>
  <c r="D6" i="2"/>
  <c r="J5" i="2"/>
  <c r="F6" i="2"/>
  <c r="J6" i="2"/>
  <c r="O5" i="8"/>
  <c r="O7" i="8"/>
  <c r="O4" i="8"/>
  <c r="M5" i="17" l="1"/>
  <c r="M6" i="17" s="1"/>
  <c r="H2" i="4"/>
  <c r="P5" i="17"/>
  <c r="P6" i="17" s="1"/>
  <c r="I2" i="4"/>
  <c r="J5" i="17"/>
  <c r="G2" i="4"/>
  <c r="S5" i="17"/>
  <c r="S6" i="17" s="1"/>
  <c r="J2" i="4"/>
  <c r="C12" i="13"/>
  <c r="E2" i="4"/>
  <c r="D12" i="13"/>
  <c r="D14" i="13" s="1"/>
  <c r="G5" i="17"/>
  <c r="G6" i="17" s="1"/>
  <c r="F2" i="4"/>
  <c r="C11" i="13"/>
  <c r="E2" i="9"/>
  <c r="H11" i="13"/>
  <c r="J2" i="9"/>
  <c r="D11" i="13"/>
  <c r="F2" i="9"/>
  <c r="F11" i="13"/>
  <c r="H2" i="9"/>
  <c r="I7" i="2"/>
  <c r="I5" i="13" s="1"/>
  <c r="I7" i="13" s="1"/>
  <c r="N12" i="13"/>
  <c r="N14" i="13" s="1"/>
  <c r="M12" i="13"/>
  <c r="M14" i="13" s="1"/>
  <c r="AB5" i="17"/>
  <c r="AB6" i="17" s="1"/>
  <c r="AE5" i="17"/>
  <c r="AE6" i="17" s="1"/>
  <c r="J12" i="13"/>
  <c r="Y5" i="17"/>
  <c r="Y6" i="17" s="1"/>
  <c r="V5" i="17"/>
  <c r="V6" i="17" s="1"/>
  <c r="H7" i="2"/>
  <c r="H5" i="13" s="1"/>
  <c r="H7" i="13" s="1"/>
  <c r="G7" i="2"/>
  <c r="G5" i="13" s="1"/>
  <c r="G7" i="13" s="1"/>
  <c r="D7" i="2"/>
  <c r="D5" i="13" s="1"/>
  <c r="D7" i="13" s="1"/>
  <c r="N7" i="2"/>
  <c r="N5" i="13" s="1"/>
  <c r="N7" i="13" s="1"/>
  <c r="G12" i="13"/>
  <c r="L7" i="2"/>
  <c r="L5" i="13" s="1"/>
  <c r="L7" i="13" s="1"/>
  <c r="K7" i="2"/>
  <c r="K5" i="13" s="1"/>
  <c r="K7" i="13" s="1"/>
  <c r="C7" i="2"/>
  <c r="M7" i="2"/>
  <c r="M5" i="13" s="1"/>
  <c r="M7" i="13" s="1"/>
  <c r="K12" i="13"/>
  <c r="O14" i="5"/>
  <c r="O15" i="5" s="1"/>
  <c r="H12" i="13"/>
  <c r="AH5" i="17"/>
  <c r="AH6" i="17" s="1"/>
  <c r="AK5" i="17"/>
  <c r="AK6" i="17" s="1"/>
  <c r="L12" i="13"/>
  <c r="F12" i="13"/>
  <c r="I12" i="13"/>
  <c r="E12" i="13"/>
  <c r="E11" i="13"/>
  <c r="I11" i="13"/>
  <c r="J11" i="13"/>
  <c r="G11" i="13"/>
  <c r="J7" i="2"/>
  <c r="J5" i="13" s="1"/>
  <c r="J7" i="13" s="1"/>
  <c r="F7" i="2"/>
  <c r="F5" i="13" s="1"/>
  <c r="F7" i="13" s="1"/>
  <c r="E7" i="2"/>
  <c r="E5" i="13" s="1"/>
  <c r="E7" i="13" s="1"/>
  <c r="O9" i="8"/>
  <c r="H5" i="17" l="1"/>
  <c r="C6" i="17"/>
  <c r="C5" i="13"/>
  <c r="C7" i="13" s="1"/>
  <c r="O7" i="13" s="1"/>
  <c r="O7" i="2"/>
  <c r="C14" i="13"/>
  <c r="N16" i="13"/>
  <c r="D16" i="13"/>
  <c r="M16" i="13"/>
  <c r="O11" i="13"/>
  <c r="F14" i="13"/>
  <c r="K14" i="13"/>
  <c r="K16" i="13" s="1"/>
  <c r="H14" i="13"/>
  <c r="H16" i="13" s="1"/>
  <c r="O12" i="13"/>
  <c r="L14" i="13"/>
  <c r="L16" i="13" s="1"/>
  <c r="I14" i="13"/>
  <c r="I16" i="13" s="1"/>
  <c r="E14" i="13"/>
  <c r="E16" i="13" s="1"/>
  <c r="AN5" i="17"/>
  <c r="AN6" i="17" s="1"/>
  <c r="J6" i="17"/>
  <c r="J14" i="13"/>
  <c r="J16" i="13" s="1"/>
  <c r="G14" i="13"/>
  <c r="G16" i="13" s="1"/>
  <c r="F6" i="17" l="1"/>
  <c r="O5" i="13"/>
  <c r="C16" i="13"/>
  <c r="C18" i="13" s="1"/>
  <c r="D18" i="13" s="1"/>
  <c r="E18" i="13" s="1"/>
  <c r="F16" i="13"/>
  <c r="O14" i="13"/>
  <c r="I5" i="17" l="1"/>
  <c r="H6" i="17"/>
  <c r="O16" i="13"/>
  <c r="F18" i="13"/>
  <c r="G18" i="13" s="1"/>
  <c r="H18" i="13" s="1"/>
  <c r="I18" i="13" s="1"/>
  <c r="J18" i="13" s="1"/>
  <c r="K18" i="13" s="1"/>
  <c r="L18" i="13" s="1"/>
  <c r="M18" i="13" s="1"/>
  <c r="N18" i="13" s="1"/>
  <c r="K5" i="17" l="1"/>
  <c r="I6" i="17"/>
  <c r="L5" i="17" l="1"/>
  <c r="K6" i="17"/>
  <c r="N5" i="17" l="1"/>
  <c r="L6" i="17"/>
  <c r="O5" i="17" l="1"/>
  <c r="N6" i="17"/>
  <c r="Q5" i="17" l="1"/>
  <c r="O6" i="17"/>
  <c r="R5" i="17" l="1"/>
  <c r="Q6" i="17"/>
  <c r="T5" i="17" l="1"/>
  <c r="R6" i="17"/>
  <c r="L2" i="4" s="1"/>
  <c r="U5" i="17" l="1"/>
  <c r="T6" i="17"/>
  <c r="W5" i="17" l="1"/>
  <c r="U6" i="17"/>
  <c r="X5" i="17" l="1"/>
  <c r="W6" i="17"/>
  <c r="Z5" i="17" l="1"/>
  <c r="X6" i="17"/>
  <c r="AA5" i="17" l="1"/>
  <c r="Z6" i="17"/>
  <c r="AC5" i="17" l="1"/>
  <c r="AA6" i="17"/>
  <c r="AD5" i="17" l="1"/>
  <c r="AC6" i="17"/>
  <c r="AF5" i="17" l="1"/>
  <c r="AD6" i="17"/>
  <c r="AF6" i="17" l="1"/>
  <c r="AG5" i="17"/>
  <c r="AI5" i="17" l="1"/>
  <c r="AG6" i="17"/>
  <c r="AI6" i="17" l="1"/>
  <c r="AJ5" i="17"/>
  <c r="AJ6" i="17" l="1"/>
  <c r="AL5" i="17"/>
  <c r="AL6" i="17" l="1"/>
  <c r="AM5" i="17"/>
  <c r="AO5" i="17"/>
  <c r="AO6" i="17" s="1"/>
  <c r="AM6" i="17" l="1"/>
  <c r="AP5" i="17"/>
  <c r="AP6"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Fernando Diaz paba</author>
  </authors>
  <commentList>
    <comment ref="H21" authorId="0" shapeId="0" xr:uid="{7DBB5C1C-F7A6-488D-BD94-ED1C3CE0271E}">
      <text>
        <r>
          <rPr>
            <b/>
            <sz val="9"/>
            <color indexed="81"/>
            <rFont val="Tahoma"/>
            <charset val="1"/>
          </rPr>
          <t>Juan Fernando Diaz paba:</t>
        </r>
        <r>
          <rPr>
            <sz val="9"/>
            <color indexed="81"/>
            <rFont val="Tahoma"/>
            <charset val="1"/>
          </rPr>
          <t xml:space="preserve">
Inflada balon + impresión mercadolibre
</t>
        </r>
      </text>
    </comment>
    <comment ref="H22" authorId="0" shapeId="0" xr:uid="{29E31325-A3FB-4EA7-9D58-EB684E0D51D1}">
      <text>
        <r>
          <rPr>
            <b/>
            <sz val="9"/>
            <color indexed="81"/>
            <rFont val="Tahoma"/>
            <charset val="1"/>
          </rPr>
          <t>Juan Fernando Diaz paba:</t>
        </r>
        <r>
          <rPr>
            <sz val="9"/>
            <color indexed="81"/>
            <rFont val="Tahoma"/>
            <charset val="1"/>
          </rPr>
          <t xml:space="preserve">
18.000 balon de basquet + volleyball + 2000 parqueo
</t>
        </r>
      </text>
    </comment>
    <comment ref="J39" authorId="0" shapeId="0" xr:uid="{E5883DD9-F273-4D1B-9F9B-119CBA7420B9}">
      <text>
        <r>
          <rPr>
            <b/>
            <sz val="9"/>
            <color indexed="81"/>
            <rFont val="Tahoma"/>
            <charset val="1"/>
          </rPr>
          <t>Juan Fernando Diaz paba:</t>
        </r>
        <r>
          <rPr>
            <sz val="9"/>
            <color indexed="81"/>
            <rFont val="Tahoma"/>
            <charset val="1"/>
          </rPr>
          <t xml:space="preserve">
Pantaloneta Adidas</t>
        </r>
      </text>
    </comment>
    <comment ref="J58" authorId="0" shapeId="0" xr:uid="{C850B64F-4793-43AA-A3F2-68FFA77A0340}">
      <text>
        <r>
          <rPr>
            <b/>
            <sz val="9"/>
            <color indexed="81"/>
            <rFont val="Tahoma"/>
            <charset val="1"/>
          </rPr>
          <t>Juan Fernando Diaz paba:</t>
        </r>
        <r>
          <rPr>
            <sz val="9"/>
            <color indexed="81"/>
            <rFont val="Tahoma"/>
            <charset val="1"/>
          </rPr>
          <t xml:space="preserve">
Boxers pat primo</t>
        </r>
      </text>
    </comment>
    <comment ref="J63" authorId="0" shapeId="0" xr:uid="{7CDCF5AF-813E-477C-904B-47D61AE6FE15}">
      <text>
        <r>
          <rPr>
            <b/>
            <sz val="9"/>
            <color indexed="81"/>
            <rFont val="Tahoma"/>
            <charset val="1"/>
          </rPr>
          <t>Juan Fernando Diaz paba:</t>
        </r>
        <r>
          <rPr>
            <sz val="9"/>
            <color indexed="81"/>
            <rFont val="Tahoma"/>
            <charset val="1"/>
          </rPr>
          <t xml:space="preserve">
Impresión hoja de vida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tc={2E5F8D17-24BC-4DC2-B0E9-971F6878AED2}</author>
    <author>Juan Fernando Diaz paba</author>
  </authors>
  <commentList>
    <comment ref="L5" authorId="0" shapeId="0" xr:uid="{2E5F8D17-24BC-4DC2-B0E9-971F6878AED2}">
      <text>
        <t xml:space="preserve">[Threaded comment]
Your version of Excel allows you to read this threaded comment; however, any edits to it will get removed if the file is opened in a newer version of Excel. Learn more: https://go.microsoft.com/fwlink/?linkid=870924
Comment:
    Quitar suma en 2025
</t>
      </text>
    </comment>
    <comment ref="AN5" authorId="1" shapeId="0" xr:uid="{610E7022-82B7-4BAA-97F1-E18BA5A48644}">
      <text>
        <r>
          <rPr>
            <b/>
            <sz val="9"/>
            <color indexed="81"/>
            <rFont val="Tahoma"/>
            <family val="2"/>
          </rPr>
          <t>Juan Fernando Diaz paba:</t>
        </r>
        <r>
          <rPr>
            <sz val="9"/>
            <color indexed="81"/>
            <rFont val="Tahoma"/>
            <family val="2"/>
          </rPr>
          <t xml:space="preserve">
Recordar poner meses Enero y Febrero en 2025.
</t>
        </r>
      </text>
    </comment>
  </commentList>
</comments>
</file>

<file path=xl/sharedStrings.xml><?xml version="1.0" encoding="utf-8"?>
<sst xmlns="http://schemas.openxmlformats.org/spreadsheetml/2006/main" count="492" uniqueCount="176">
  <si>
    <t>Actividad</t>
  </si>
  <si>
    <t>Frecuencia</t>
  </si>
  <si>
    <t>Office 365</t>
  </si>
  <si>
    <t>1 año</t>
  </si>
  <si>
    <t>FECHA</t>
  </si>
  <si>
    <t>ORIGEN</t>
  </si>
  <si>
    <t>CONCEPTO</t>
  </si>
  <si>
    <t>VALOR</t>
  </si>
  <si>
    <t>MES</t>
  </si>
  <si>
    <t>AÑO</t>
  </si>
  <si>
    <t>MES_AÑO</t>
  </si>
  <si>
    <t>Salario</t>
  </si>
  <si>
    <t>CDT</t>
  </si>
  <si>
    <t>Interés Bancario</t>
  </si>
  <si>
    <t>Otros</t>
  </si>
  <si>
    <t>Mercadolibre</t>
  </si>
  <si>
    <t>Total</t>
  </si>
  <si>
    <t>COD_CAT</t>
  </si>
  <si>
    <t>CATEGORIAS</t>
  </si>
  <si>
    <t>COD_DEST</t>
  </si>
  <si>
    <t>DESTINOS</t>
  </si>
  <si>
    <t>COD_CONC</t>
  </si>
  <si>
    <t>CONCEPTOS</t>
  </si>
  <si>
    <t>Salidas</t>
  </si>
  <si>
    <t>Juan Carlos</t>
  </si>
  <si>
    <t>Alimentación y Aseo</t>
  </si>
  <si>
    <t>Marisol</t>
  </si>
  <si>
    <t>Servicios Públicos</t>
  </si>
  <si>
    <t>Juanfer</t>
  </si>
  <si>
    <t>Servicios Financieros</t>
  </si>
  <si>
    <t>Maria Rocio</t>
  </si>
  <si>
    <t>Vehículos</t>
  </si>
  <si>
    <t>Santiago</t>
  </si>
  <si>
    <t>Ropa y Calzado</t>
  </si>
  <si>
    <t>Cine Colombia</t>
  </si>
  <si>
    <t>Normal</t>
  </si>
  <si>
    <t>Peluqueria</t>
  </si>
  <si>
    <t>Xbox</t>
  </si>
  <si>
    <t>Casual</t>
  </si>
  <si>
    <t>Varios</t>
  </si>
  <si>
    <t>Alexis (Cuentas)</t>
  </si>
  <si>
    <t>Casa</t>
  </si>
  <si>
    <t>Muebles y Enseres /Cel</t>
  </si>
  <si>
    <t>Serfinanza</t>
  </si>
  <si>
    <t>Desayuno</t>
  </si>
  <si>
    <t>Educación</t>
  </si>
  <si>
    <t>Almuerzo</t>
  </si>
  <si>
    <t>Entretenimiento</t>
  </si>
  <si>
    <t>Cena</t>
  </si>
  <si>
    <t>Game Pass</t>
  </si>
  <si>
    <t>4 X 1000</t>
  </si>
  <si>
    <t>Registros</t>
  </si>
  <si>
    <t>Promedio</t>
  </si>
  <si>
    <t>COD_CA</t>
  </si>
  <si>
    <t>CATEGORIA</t>
  </si>
  <si>
    <t>COD_DE</t>
  </si>
  <si>
    <t>DESTINO</t>
  </si>
  <si>
    <t>COD_CO</t>
  </si>
  <si>
    <t>MEDIO</t>
  </si>
  <si>
    <t>Efectivo</t>
  </si>
  <si>
    <t>Inflación</t>
  </si>
  <si>
    <t>ppto</t>
  </si>
  <si>
    <t>ppto inflacion</t>
  </si>
  <si>
    <t>Dif</t>
  </si>
  <si>
    <t>Total R</t>
  </si>
  <si>
    <t>Total P</t>
  </si>
  <si>
    <t>Salidas y otros</t>
  </si>
  <si>
    <t>Aportes</t>
  </si>
  <si>
    <t>Tecnología</t>
  </si>
  <si>
    <t>Computador</t>
  </si>
  <si>
    <t>Pensión</t>
  </si>
  <si>
    <t>TD BC</t>
  </si>
  <si>
    <t>INGRESOS</t>
  </si>
  <si>
    <t>Ingresos</t>
  </si>
  <si>
    <t>SubTotal Ingresos</t>
  </si>
  <si>
    <t>EGRESOS</t>
  </si>
  <si>
    <t>Gastos No Gestionables</t>
  </si>
  <si>
    <t>Gastos Gestionables</t>
  </si>
  <si>
    <t xml:space="preserve">SubTotal Egresos </t>
  </si>
  <si>
    <t>Ingresos - Egresos</t>
  </si>
  <si>
    <t>Acumulado</t>
  </si>
  <si>
    <t>Observacion</t>
  </si>
  <si>
    <t>Shawarma</t>
  </si>
  <si>
    <t>Barba fina</t>
  </si>
  <si>
    <t>Motilada</t>
  </si>
  <si>
    <t>Libros</t>
  </si>
  <si>
    <t>Atrium</t>
  </si>
  <si>
    <t>Streaming</t>
  </si>
  <si>
    <t>HBO</t>
  </si>
  <si>
    <t>Crepes &amp; Waffles</t>
  </si>
  <si>
    <t>Presupuesto acumulado</t>
  </si>
  <si>
    <t>Suscripción Disney</t>
  </si>
  <si>
    <t>Tia kenya</t>
  </si>
  <si>
    <t>Regalos</t>
  </si>
  <si>
    <t>Mercadolibre Xbox</t>
  </si>
  <si>
    <t>Vacaciones</t>
  </si>
  <si>
    <t>Bancolombia</t>
  </si>
  <si>
    <t>Nequi</t>
  </si>
  <si>
    <t>Fecha</t>
  </si>
  <si>
    <t>Interes CDT</t>
  </si>
  <si>
    <t>Valor ahorro</t>
  </si>
  <si>
    <t>Enero</t>
  </si>
  <si>
    <t>Febrero</t>
  </si>
  <si>
    <t>Marzo</t>
  </si>
  <si>
    <t>Abril</t>
  </si>
  <si>
    <t>Mayo</t>
  </si>
  <si>
    <t>Junio</t>
  </si>
  <si>
    <t>Julio</t>
  </si>
  <si>
    <t>Agosto</t>
  </si>
  <si>
    <t>Septiembre</t>
  </si>
  <si>
    <t>Octubre</t>
  </si>
  <si>
    <t>Noviembre</t>
  </si>
  <si>
    <t>Diciembre</t>
  </si>
  <si>
    <t>Tabla vacaciones</t>
  </si>
  <si>
    <t>Tabla ahorro</t>
  </si>
  <si>
    <t>Ahorro</t>
  </si>
  <si>
    <t>Total vacaciones</t>
  </si>
  <si>
    <t>Total ahorro</t>
  </si>
  <si>
    <t>xbox</t>
  </si>
  <si>
    <t xml:space="preserve">Marzo </t>
  </si>
  <si>
    <t>Total Abonos</t>
  </si>
  <si>
    <t>Total Cargos</t>
  </si>
  <si>
    <t>Total Movimientos</t>
  </si>
  <si>
    <t>Total abonos</t>
  </si>
  <si>
    <t>Parrillas</t>
  </si>
  <si>
    <t>Futbol</t>
  </si>
  <si>
    <t>Row Labels</t>
  </si>
  <si>
    <t>Grand Total</t>
  </si>
  <si>
    <t>Sum of VALOR</t>
  </si>
  <si>
    <t>Total Office 365</t>
  </si>
  <si>
    <t>restaurantes</t>
  </si>
  <si>
    <t>Tradicion caribe</t>
  </si>
  <si>
    <t>Fiducuenta</t>
  </si>
  <si>
    <t>Valor inicial</t>
  </si>
  <si>
    <t>Valor final</t>
  </si>
  <si>
    <t>Tasa</t>
  </si>
  <si>
    <t xml:space="preserve">Fecha inicial </t>
  </si>
  <si>
    <t>Fecha final</t>
  </si>
  <si>
    <t>Enero_2025</t>
  </si>
  <si>
    <t>Febrero_2025</t>
  </si>
  <si>
    <t>Marzo_2025</t>
  </si>
  <si>
    <t>Abril_2025</t>
  </si>
  <si>
    <t>Mayo_2025</t>
  </si>
  <si>
    <t>Junio_2025</t>
  </si>
  <si>
    <t>Julio_2025</t>
  </si>
  <si>
    <t>Agosto_2025</t>
  </si>
  <si>
    <t>Septiembre_2025</t>
  </si>
  <si>
    <t>Octubre_2025</t>
  </si>
  <si>
    <t>Noviembre_2025</t>
  </si>
  <si>
    <t>Diciembre_2025</t>
  </si>
  <si>
    <t>TD Nequi</t>
  </si>
  <si>
    <t xml:space="preserve">Eostrading </t>
  </si>
  <si>
    <t>Interés bancario</t>
  </si>
  <si>
    <t>TD SF</t>
  </si>
  <si>
    <t>Supermercados</t>
  </si>
  <si>
    <t>TD Bancolombia</t>
  </si>
  <si>
    <t xml:space="preserve">Familiar </t>
  </si>
  <si>
    <t>Taxi</t>
  </si>
  <si>
    <t>Ahorro presupuesto</t>
  </si>
  <si>
    <t>Ahorro externo</t>
  </si>
  <si>
    <t>Ahorro total</t>
  </si>
  <si>
    <t>Concepto ahorro</t>
  </si>
  <si>
    <t>Valor</t>
  </si>
  <si>
    <t>Ahorro Enero</t>
  </si>
  <si>
    <t>Cumpleaños JC</t>
  </si>
  <si>
    <t>Cumpleaños MP</t>
  </si>
  <si>
    <t>Cumpleaños MR</t>
  </si>
  <si>
    <t>Navidad MR</t>
  </si>
  <si>
    <t>Dia de las madres</t>
  </si>
  <si>
    <t>JF Brands</t>
  </si>
  <si>
    <t>Ahorro Febrero</t>
  </si>
  <si>
    <t>feb</t>
  </si>
  <si>
    <t>Months (FECHA)</t>
  </si>
  <si>
    <t>Parqueo</t>
  </si>
  <si>
    <t>Imprevisto</t>
  </si>
  <si>
    <t>Ahorro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</si>
</sst>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 #,##0.00_-;\-&quot;$&quot;\ * #,##0.00_-;_-&quot;$&quot;\ * &quot;-&quot;??_-;_-@_-"/>
    <numFmt numFmtId="43" formatCode="_-* #,##0.00_-;\-* #,##0.00_-;_-* &quot;-&quot;??_-;_-@_-"/>
    <numFmt numFmtId="164" formatCode="_-* #,##0_-;\-* #,##0_-;_-* &quot;-&quot;??_-;_-@_-"/>
    <numFmt numFmtId="165" formatCode="_-&quot;$&quot;\ * #,##0_-;\-&quot;$&quot;\ * #,##0_-;_-&quot;$&quot;\ * &quot;-&quot;??_-;_-@_-"/>
    <numFmt numFmtId="166" formatCode="dd\-mmm\-yyyy"/>
  </numFmts>
  <fonts count="11"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name val="Aptos Narrow"/>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theme="4"/>
        <bgColor theme="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749992370372631"/>
        <bgColor indexed="64"/>
      </patternFill>
    </fill>
  </fills>
  <borders count="18">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2" fillId="2" borderId="2" xfId="0" applyFont="1" applyFill="1" applyBorder="1" applyAlignment="1">
      <alignment horizontal="center"/>
    </xf>
    <xf numFmtId="0" fontId="2" fillId="2" borderId="3" xfId="0" applyFont="1" applyFill="1" applyBorder="1" applyAlignment="1">
      <alignment horizontal="center"/>
    </xf>
    <xf numFmtId="164" fontId="2" fillId="2" borderId="4" xfId="1" applyNumberFormat="1" applyFont="1" applyFill="1" applyBorder="1" applyAlignment="1">
      <alignment horizontal="center"/>
    </xf>
    <xf numFmtId="14" fontId="0" fillId="0" borderId="0" xfId="0" applyNumberFormat="1"/>
    <xf numFmtId="165" fontId="0" fillId="0" borderId="0" xfId="2" applyNumberFormat="1" applyFont="1"/>
    <xf numFmtId="0" fontId="3" fillId="3" borderId="0" xfId="0" applyFont="1" applyFill="1" applyAlignment="1">
      <alignment horizontal="center"/>
    </xf>
    <xf numFmtId="17" fontId="3" fillId="3" borderId="0" xfId="0" applyNumberFormat="1" applyFont="1" applyFill="1" applyAlignment="1">
      <alignment horizontal="center"/>
    </xf>
    <xf numFmtId="166" fontId="0" fillId="4" borderId="1" xfId="0" applyNumberFormat="1" applyFill="1" applyBorder="1"/>
    <xf numFmtId="164" fontId="0" fillId="0" borderId="0" xfId="1" applyNumberFormat="1" applyFont="1"/>
    <xf numFmtId="0" fontId="0" fillId="4" borderId="1" xfId="0" applyFill="1" applyBorder="1"/>
    <xf numFmtId="0" fontId="3" fillId="4" borderId="0" xfId="0" applyFont="1" applyFill="1" applyAlignment="1">
      <alignment horizontal="right"/>
    </xf>
    <xf numFmtId="164" fontId="3" fillId="5" borderId="0" xfId="1" applyNumberFormat="1" applyFont="1" applyFill="1"/>
    <xf numFmtId="0" fontId="4" fillId="0" borderId="0" xfId="0" applyFont="1"/>
    <xf numFmtId="0" fontId="3" fillId="0" borderId="0" xfId="0" applyFont="1" applyAlignment="1">
      <alignment horizontal="center"/>
    </xf>
    <xf numFmtId="164" fontId="2" fillId="2" borderId="3" xfId="1" applyNumberFormat="1" applyFont="1" applyFill="1" applyBorder="1" applyAlignment="1">
      <alignment horizontal="center"/>
    </xf>
    <xf numFmtId="0" fontId="2" fillId="2" borderId="4" xfId="0" applyFont="1" applyFill="1" applyBorder="1" applyAlignment="1">
      <alignment horizontal="center"/>
    </xf>
    <xf numFmtId="0" fontId="3" fillId="5" borderId="5" xfId="0" applyFont="1" applyFill="1" applyBorder="1" applyAlignment="1">
      <alignment horizontal="center"/>
    </xf>
    <xf numFmtId="17" fontId="3" fillId="5" borderId="5" xfId="0" applyNumberFormat="1" applyFont="1" applyFill="1" applyBorder="1" applyAlignment="1">
      <alignment horizontal="center"/>
    </xf>
    <xf numFmtId="0" fontId="3" fillId="4" borderId="0" xfId="0" applyFont="1" applyFill="1" applyAlignment="1">
      <alignment horizontal="center"/>
    </xf>
    <xf numFmtId="17" fontId="3" fillId="4" borderId="0" xfId="0" applyNumberFormat="1" applyFont="1" applyFill="1" applyAlignment="1">
      <alignment horizontal="center"/>
    </xf>
    <xf numFmtId="0" fontId="0" fillId="6" borderId="0" xfId="0" applyFill="1"/>
    <xf numFmtId="164" fontId="0" fillId="6" borderId="0" xfId="1" applyNumberFormat="1" applyFont="1" applyFill="1"/>
    <xf numFmtId="164" fontId="0" fillId="0" borderId="0" xfId="0" applyNumberFormat="1"/>
    <xf numFmtId="164" fontId="6" fillId="3" borderId="0" xfId="0" applyNumberFormat="1" applyFont="1" applyFill="1"/>
    <xf numFmtId="164" fontId="6" fillId="3" borderId="5" xfId="1" applyNumberFormat="1" applyFont="1" applyFill="1" applyBorder="1"/>
    <xf numFmtId="17" fontId="3" fillId="5" borderId="0" xfId="0" applyNumberFormat="1" applyFont="1" applyFill="1" applyAlignment="1">
      <alignment horizontal="center"/>
    </xf>
    <xf numFmtId="0" fontId="3" fillId="5" borderId="0" xfId="0" applyFont="1" applyFill="1" applyAlignment="1">
      <alignment horizontal="center"/>
    </xf>
    <xf numFmtId="0" fontId="3" fillId="5" borderId="0" xfId="0" applyFont="1" applyFill="1"/>
    <xf numFmtId="164" fontId="3" fillId="5" borderId="0" xfId="0" applyNumberFormat="1" applyFont="1" applyFill="1"/>
    <xf numFmtId="164" fontId="3" fillId="0" borderId="0" xfId="0" applyNumberFormat="1" applyFont="1"/>
    <xf numFmtId="0" fontId="0" fillId="7" borderId="5" xfId="0" applyFill="1" applyBorder="1"/>
    <xf numFmtId="9" fontId="0" fillId="0" borderId="5" xfId="0" applyNumberFormat="1" applyBorder="1"/>
    <xf numFmtId="0" fontId="3" fillId="3" borderId="5" xfId="0" applyFont="1" applyFill="1" applyBorder="1" applyAlignment="1">
      <alignment horizontal="center"/>
    </xf>
    <xf numFmtId="17" fontId="3" fillId="4" borderId="5" xfId="0" applyNumberFormat="1" applyFont="1" applyFill="1" applyBorder="1" applyAlignment="1">
      <alignment horizontal="center"/>
    </xf>
    <xf numFmtId="164" fontId="0" fillId="8" borderId="0" xfId="1" applyNumberFormat="1" applyFont="1" applyFill="1"/>
    <xf numFmtId="164" fontId="0" fillId="9" borderId="0" xfId="1" applyNumberFormat="1" applyFont="1" applyFill="1"/>
    <xf numFmtId="164" fontId="0" fillId="10" borderId="0" xfId="1" applyNumberFormat="1" applyFont="1" applyFill="1"/>
    <xf numFmtId="164" fontId="0" fillId="3" borderId="5" xfId="1" applyNumberFormat="1" applyFont="1" applyFill="1" applyBorder="1"/>
    <xf numFmtId="164" fontId="0" fillId="4" borderId="5" xfId="1" applyNumberFormat="1" applyFont="1" applyFill="1" applyBorder="1"/>
    <xf numFmtId="164" fontId="0" fillId="7" borderId="5" xfId="1" applyNumberFormat="1" applyFont="1" applyFill="1" applyBorder="1"/>
    <xf numFmtId="164" fontId="3" fillId="3" borderId="5" xfId="0" applyNumberFormat="1" applyFont="1" applyFill="1" applyBorder="1"/>
    <xf numFmtId="164" fontId="3" fillId="4" borderId="5" xfId="0" applyNumberFormat="1" applyFont="1" applyFill="1" applyBorder="1"/>
    <xf numFmtId="164" fontId="3" fillId="5" borderId="5" xfId="0" applyNumberFormat="1" applyFont="1" applyFill="1" applyBorder="1"/>
    <xf numFmtId="0" fontId="0" fillId="6" borderId="5" xfId="0" applyFill="1" applyBorder="1"/>
    <xf numFmtId="0" fontId="3" fillId="6" borderId="5" xfId="0" applyFont="1" applyFill="1" applyBorder="1" applyAlignment="1">
      <alignment horizontal="center"/>
    </xf>
    <xf numFmtId="17" fontId="3" fillId="6" borderId="6" xfId="0" applyNumberFormat="1" applyFont="1" applyFill="1" applyBorder="1" applyAlignment="1">
      <alignment horizontal="center"/>
    </xf>
    <xf numFmtId="17" fontId="3" fillId="6" borderId="5" xfId="0" applyNumberFormat="1" applyFont="1" applyFill="1" applyBorder="1" applyAlignment="1">
      <alignment horizontal="center"/>
    </xf>
    <xf numFmtId="0" fontId="3" fillId="11" borderId="5" xfId="0" applyFont="1" applyFill="1" applyBorder="1" applyAlignment="1">
      <alignment horizontal="right"/>
    </xf>
    <xf numFmtId="164" fontId="3" fillId="4" borderId="5" xfId="1" applyNumberFormat="1" applyFont="1" applyFill="1" applyBorder="1"/>
    <xf numFmtId="164" fontId="3" fillId="3" borderId="5" xfId="1" applyNumberFormat="1" applyFont="1" applyFill="1" applyBorder="1"/>
    <xf numFmtId="165" fontId="0" fillId="0" borderId="0" xfId="0" applyNumberFormat="1"/>
    <xf numFmtId="0" fontId="0" fillId="3" borderId="7" xfId="0" applyFill="1" applyBorder="1"/>
    <xf numFmtId="0" fontId="0" fillId="9" borderId="8" xfId="0" applyFill="1" applyBorder="1"/>
    <xf numFmtId="0" fontId="0" fillId="0" borderId="8" xfId="0" applyBorder="1"/>
    <xf numFmtId="0" fontId="0" fillId="0" borderId="11" xfId="0" applyBorder="1"/>
    <xf numFmtId="0" fontId="0" fillId="0" borderId="12" xfId="0" applyBorder="1"/>
    <xf numFmtId="0" fontId="0" fillId="4" borderId="5" xfId="0" applyFill="1" applyBorder="1" applyAlignment="1">
      <alignment horizontal="center"/>
    </xf>
    <xf numFmtId="0" fontId="0" fillId="4" borderId="5" xfId="0" applyFill="1" applyBorder="1"/>
    <xf numFmtId="165" fontId="0" fillId="0" borderId="5" xfId="2" applyNumberFormat="1" applyFont="1" applyBorder="1"/>
    <xf numFmtId="0" fontId="0" fillId="8" borderId="5" xfId="0" applyFill="1" applyBorder="1"/>
    <xf numFmtId="165" fontId="0" fillId="9" borderId="5" xfId="2" applyNumberFormat="1" applyFont="1" applyFill="1" applyBorder="1"/>
    <xf numFmtId="0" fontId="0" fillId="0" borderId="5" xfId="0" applyBorder="1"/>
    <xf numFmtId="0" fontId="0" fillId="9" borderId="5" xfId="0" applyFill="1" applyBorder="1"/>
    <xf numFmtId="0" fontId="0" fillId="12" borderId="5" xfId="0" applyFill="1" applyBorder="1"/>
    <xf numFmtId="165" fontId="0" fillId="12" borderId="5" xfId="2" applyNumberFormat="1" applyFont="1" applyFill="1" applyBorder="1"/>
    <xf numFmtId="165" fontId="0" fillId="7" borderId="5" xfId="0" applyNumberFormat="1" applyFill="1" applyBorder="1"/>
    <xf numFmtId="0" fontId="0" fillId="7" borderId="0" xfId="0" applyFill="1"/>
    <xf numFmtId="0" fontId="0" fillId="0" borderId="0" xfId="0" pivotButton="1"/>
    <xf numFmtId="0" fontId="0" fillId="0" borderId="0" xfId="0" applyAlignment="1">
      <alignment horizontal="left"/>
    </xf>
    <xf numFmtId="165" fontId="0" fillId="0" borderId="14" xfId="2" applyNumberFormat="1" applyFont="1" applyBorder="1"/>
    <xf numFmtId="9" fontId="0" fillId="0" borderId="0" xfId="0" applyNumberFormat="1"/>
    <xf numFmtId="14" fontId="0" fillId="0" borderId="5" xfId="2" applyNumberFormat="1" applyFont="1" applyBorder="1"/>
    <xf numFmtId="10" fontId="0" fillId="0" borderId="5" xfId="3" applyNumberFormat="1" applyFont="1" applyBorder="1"/>
    <xf numFmtId="165" fontId="0" fillId="0" borderId="5" xfId="0" applyNumberFormat="1" applyBorder="1"/>
    <xf numFmtId="0" fontId="2" fillId="0" borderId="0" xfId="0" applyFont="1"/>
    <xf numFmtId="0" fontId="0" fillId="13" borderId="5" xfId="0" applyFill="1" applyBorder="1"/>
    <xf numFmtId="0" fontId="0" fillId="14" borderId="5" xfId="0" applyFill="1" applyBorder="1"/>
    <xf numFmtId="165" fontId="0" fillId="0" borderId="5" xfId="2" applyNumberFormat="1" applyFont="1" applyFill="1" applyBorder="1"/>
    <xf numFmtId="165" fontId="0" fillId="0" borderId="17" xfId="2" applyNumberFormat="1" applyFont="1" applyBorder="1"/>
    <xf numFmtId="17" fontId="0" fillId="3" borderId="9" xfId="0" applyNumberFormat="1" applyFill="1" applyBorder="1" applyAlignment="1">
      <alignment horizontal="center"/>
    </xf>
    <xf numFmtId="0" fontId="0" fillId="3" borderId="10" xfId="0" applyFill="1" applyBorder="1" applyAlignment="1">
      <alignment horizontal="center"/>
    </xf>
    <xf numFmtId="17" fontId="3" fillId="5" borderId="13" xfId="0" applyNumberFormat="1" applyFont="1" applyFill="1" applyBorder="1" applyAlignment="1">
      <alignment horizontal="center"/>
    </xf>
    <xf numFmtId="17" fontId="3" fillId="5" borderId="6" xfId="0" applyNumberFormat="1" applyFont="1" applyFill="1" applyBorder="1" applyAlignment="1">
      <alignment horizontal="center"/>
    </xf>
    <xf numFmtId="164" fontId="6" fillId="3" borderId="13" xfId="1" applyNumberFormat="1" applyFont="1" applyFill="1" applyBorder="1" applyAlignment="1">
      <alignment horizontal="center"/>
    </xf>
    <xf numFmtId="164" fontId="6" fillId="3" borderId="6" xfId="1" applyNumberFormat="1" applyFont="1" applyFill="1" applyBorder="1" applyAlignment="1">
      <alignment horizontal="center"/>
    </xf>
    <xf numFmtId="165" fontId="0" fillId="7" borderId="5" xfId="0" applyNumberFormat="1" applyFill="1" applyBorder="1" applyAlignment="1">
      <alignment horizontal="center"/>
    </xf>
    <xf numFmtId="0" fontId="0" fillId="7" borderId="16" xfId="0" applyFill="1" applyBorder="1" applyAlignment="1">
      <alignment horizontal="center"/>
    </xf>
    <xf numFmtId="0" fontId="0" fillId="9" borderId="5" xfId="0" applyFill="1" applyBorder="1" applyAlignment="1">
      <alignment horizontal="center"/>
    </xf>
    <xf numFmtId="0" fontId="0" fillId="12" borderId="5" xfId="0" applyFill="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9" borderId="13" xfId="0" applyFill="1" applyBorder="1" applyAlignment="1">
      <alignment horizontal="center"/>
    </xf>
    <xf numFmtId="0" fontId="0" fillId="9" borderId="15" xfId="0" applyFill="1" applyBorder="1" applyAlignment="1">
      <alignment horizontal="center"/>
    </xf>
    <xf numFmtId="0" fontId="0" fillId="9" borderId="6" xfId="0" applyFill="1" applyBorder="1" applyAlignment="1">
      <alignment horizontal="center"/>
    </xf>
    <xf numFmtId="0" fontId="0" fillId="12" borderId="13" xfId="0" applyFill="1" applyBorder="1" applyAlignment="1">
      <alignment horizontal="center"/>
    </xf>
    <xf numFmtId="0" fontId="0" fillId="12" borderId="15" xfId="0" applyFill="1" applyBorder="1" applyAlignment="1">
      <alignment horizontal="center"/>
    </xf>
    <xf numFmtId="0" fontId="0" fillId="12" borderId="6" xfId="0"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165" fontId="0" fillId="0" borderId="0" xfId="0" applyNumberFormat="1" applyFont="1"/>
    <xf numFmtId="0" fontId="0" fillId="0" borderId="0" xfId="0" applyNumberFormat="1"/>
  </cellXfs>
  <cellStyles count="4">
    <cellStyle name="Comma" xfId="1" builtinId="3"/>
    <cellStyle name="Currency" xfId="2" builtinId="4"/>
    <cellStyle name="Normal" xfId="0" builtinId="0"/>
    <cellStyle name="Percent" xfId="3" builtinId="5"/>
  </cellStyles>
  <dxfs count="53">
    <dxf>
      <font>
        <color rgb="FF9C0006"/>
      </font>
      <fill>
        <patternFill>
          <bgColor rgb="FFFFC7CE"/>
        </patternFill>
      </fill>
    </dxf>
    <dxf>
      <font>
        <color rgb="FF9C0006"/>
      </font>
    </dxf>
    <dxf>
      <font>
        <color rgb="FF9C0006"/>
      </font>
    </dxf>
    <dxf>
      <font>
        <color rgb="FF9C0006"/>
      </font>
    </dxf>
    <dxf>
      <font>
        <color rgb="FF9C0006"/>
      </font>
    </dxf>
    <dxf>
      <font>
        <color rgb="FF9C0006"/>
      </font>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numFmt numFmtId="19" formatCode="d/mm/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_-* #,##0_-;\-* #,##0_-;_-* &quot;-&quot;??_-;_-@_-"/>
    </dxf>
    <dxf>
      <numFmt numFmtId="164" formatCode="_-* #,##0_-;\-* #,##0_-;_-* &quot;-&quot;??_-;_-@_-"/>
    </dxf>
    <dxf>
      <numFmt numFmtId="19" formatCode="d/mm/yyyy"/>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numFmt numFmtId="165" formatCode="_-&quot;$&quot;\ * #,##0_-;\-&quot;$&quot;\ * #,##0_-;_-&quot;$&quot;\ * &quot;-&quot;??_-;_-@_-"/>
    </dxf>
    <dxf>
      <numFmt numFmtId="165" formatCode="_-&quot;$&quot;\ * #,##0_-;\-&quot;$&quot;\ * #,##0_-;_-&quot;$&quot;\ * &quot;-&quot;??_-;_-@_-"/>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numFmt numFmtId="164" formatCode="_-* #,##0_-;\-* #,##0_-;_-* &quot;-&quot;??_-;_-@_-"/>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5" formatCode="_-&quot;$&quot;\ * #,##0_-;\-&quot;$&quot;\ * #,##0_-;_-&quot;$&quot;\ * &quot;-&quot;??_-;_-@_-"/>
    </dxf>
    <dxf>
      <numFmt numFmtId="165" formatCode="_-&quot;$&quot;\ * #,##0_-;\-&quot;$&quot;\ * #,##0_-;_-&quot;$&quot;\ * &quot;-&quot;??_-;_-@_-"/>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129540</xdr:colOff>
      <xdr:row>1</xdr:row>
      <xdr:rowOff>167640</xdr:rowOff>
    </xdr:from>
    <xdr:to>
      <xdr:col>7</xdr:col>
      <xdr:colOff>121920</xdr:colOff>
      <xdr:row>16</xdr:row>
      <xdr:rowOff>3175</xdr:rowOff>
    </xdr:to>
    <mc:AlternateContent xmlns:mc="http://schemas.openxmlformats.org/markup-compatibility/2006" xmlns:a14="http://schemas.microsoft.com/office/drawing/2010/main">
      <mc:Choice Requires="a14">
        <xdr:graphicFrame macro="">
          <xdr:nvGraphicFramePr>
            <xdr:cNvPr id="2" name="CONCEPTO">
              <a:extLst>
                <a:ext uri="{FF2B5EF4-FFF2-40B4-BE49-F238E27FC236}">
                  <a16:creationId xmlns:a16="http://schemas.microsoft.com/office/drawing/2014/main" id="{50F60418-9793-6F55-3ED3-20E720B8CEA2}"/>
                </a:ext>
              </a:extLst>
            </xdr:cNvPr>
            <xdr:cNvGraphicFramePr/>
          </xdr:nvGraphicFramePr>
          <xdr:xfrm>
            <a:off x="0" y="0"/>
            <a:ext cx="0" cy="0"/>
          </xdr:xfrm>
          <a:graphic>
            <a:graphicData uri="http://schemas.microsoft.com/office/drawing/2010/slicer">
              <sle:slicer xmlns:sle="http://schemas.microsoft.com/office/drawing/2010/slicer" name="CONCEPTO"/>
            </a:graphicData>
          </a:graphic>
        </xdr:graphicFrame>
      </mc:Choice>
      <mc:Fallback xmlns="">
        <xdr:sp macro="" textlink="">
          <xdr:nvSpPr>
            <xdr:cNvPr id="0" name=""/>
            <xdr:cNvSpPr>
              <a:spLocks noTextEdit="1"/>
            </xdr:cNvSpPr>
          </xdr:nvSpPr>
          <xdr:spPr>
            <a:xfrm>
              <a:off x="3550920" y="350520"/>
              <a:ext cx="1821180" cy="257873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510540</xdr:colOff>
      <xdr:row>1</xdr:row>
      <xdr:rowOff>175260</xdr:rowOff>
    </xdr:from>
    <xdr:to>
      <xdr:col>10</xdr:col>
      <xdr:colOff>502920</xdr:colOff>
      <xdr:row>16</xdr:row>
      <xdr:rowOff>6985</xdr:rowOff>
    </xdr:to>
    <mc:AlternateContent xmlns:mc="http://schemas.openxmlformats.org/markup-compatibility/2006" xmlns:a14="http://schemas.microsoft.com/office/drawing/2010/main">
      <mc:Choice Requires="a14">
        <xdr:graphicFrame macro="">
          <xdr:nvGraphicFramePr>
            <xdr:cNvPr id="3" name="DESTINO">
              <a:extLst>
                <a:ext uri="{FF2B5EF4-FFF2-40B4-BE49-F238E27FC236}">
                  <a16:creationId xmlns:a16="http://schemas.microsoft.com/office/drawing/2014/main" id="{E261973D-3228-3420-0B3E-30BF303CDD50}"/>
                </a:ext>
              </a:extLst>
            </xdr:cNvPr>
            <xdr:cNvGraphicFramePr/>
          </xdr:nvGraphicFramePr>
          <xdr:xfrm>
            <a:off x="0" y="0"/>
            <a:ext cx="0" cy="0"/>
          </xdr:xfrm>
          <a:graphic>
            <a:graphicData uri="http://schemas.microsoft.com/office/drawing/2010/slicer">
              <sle:slicer xmlns:sle="http://schemas.microsoft.com/office/drawing/2010/slicer" name="DESTINO"/>
            </a:graphicData>
          </a:graphic>
        </xdr:graphicFrame>
      </mc:Choice>
      <mc:Fallback xmlns="">
        <xdr:sp macro="" textlink="">
          <xdr:nvSpPr>
            <xdr:cNvPr id="0" name=""/>
            <xdr:cNvSpPr>
              <a:spLocks noTextEdit="1"/>
            </xdr:cNvSpPr>
          </xdr:nvSpPr>
          <xdr:spPr>
            <a:xfrm>
              <a:off x="5760720" y="358140"/>
              <a:ext cx="1821180" cy="25749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434340</xdr:colOff>
      <xdr:row>2</xdr:row>
      <xdr:rowOff>15240</xdr:rowOff>
    </xdr:from>
    <xdr:to>
      <xdr:col>14</xdr:col>
      <xdr:colOff>434340</xdr:colOff>
      <xdr:row>16</xdr:row>
      <xdr:rowOff>36195</xdr:rowOff>
    </xdr:to>
    <mc:AlternateContent xmlns:mc="http://schemas.openxmlformats.org/markup-compatibility/2006" xmlns:a14="http://schemas.microsoft.com/office/drawing/2010/main">
      <mc:Choice Requires="a14">
        <xdr:graphicFrame macro="">
          <xdr:nvGraphicFramePr>
            <xdr:cNvPr id="4" name="CATEGORIA">
              <a:extLst>
                <a:ext uri="{FF2B5EF4-FFF2-40B4-BE49-F238E27FC236}">
                  <a16:creationId xmlns:a16="http://schemas.microsoft.com/office/drawing/2014/main" id="{D2D96871-F8A3-7772-26E3-83ADC0C06A56}"/>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8031480" y="381000"/>
              <a:ext cx="1828800" cy="25812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uan Fernando Diaz paba" id="{019BA31C-27D7-4F6E-BCEC-986F84C9ECF9}" userId="d072036013d390a9"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ernando Diaz paba" refreshedDate="45750.484293055553" createdVersion="8" refreshedVersion="8" minRefreshableVersion="3" recordCount="42" xr:uid="{81E61D9C-F417-4848-8CD2-B476FE824B65}">
  <cacheSource type="worksheet">
    <worksheetSource name="Tbl_Gastos"/>
  </cacheSource>
  <cacheFields count="14">
    <cacheField name="FECHA" numFmtId="14">
      <sharedItems containsSemiMixedTypes="0" containsNonDate="0" containsDate="1" containsString="0" minDate="2025-01-01T00:00:00" maxDate="2025-03-21T00:00:00" count="29">
        <d v="2025-01-01T00:00:00"/>
        <d v="2025-01-02T00:00:00"/>
        <d v="2025-01-03T00:00:00"/>
        <d v="2025-01-04T00:00:00"/>
        <d v="2025-01-07T00:00:00"/>
        <d v="2025-01-08T00:00:00"/>
        <d v="2025-01-09T00:00:00"/>
        <d v="2025-01-11T00:00:00"/>
        <d v="2025-01-12T00:00:00"/>
        <d v="2025-01-16T00:00:00"/>
        <d v="2025-01-23T00:00:00"/>
        <d v="2025-01-26T00:00:00"/>
        <d v="2025-01-31T00:00:00"/>
        <d v="2025-02-01T00:00:00"/>
        <d v="2025-02-06T00:00:00"/>
        <d v="2025-02-09T00:00:00"/>
        <d v="2025-02-13T00:00:00"/>
        <d v="2025-02-16T00:00:00"/>
        <d v="2025-02-17T00:00:00"/>
        <d v="2025-02-18T00:00:00"/>
        <d v="2025-02-19T00:00:00"/>
        <d v="2025-02-20T00:00:00"/>
        <d v="2025-02-26T00:00:00"/>
        <d v="2025-02-27T00:00:00"/>
        <d v="2025-03-01T00:00:00"/>
        <d v="2025-03-02T00:00:00"/>
        <d v="2025-03-10T00:00:00"/>
        <d v="2025-03-13T00:00:00"/>
        <d v="2025-03-20T00:00:00"/>
      </sharedItems>
      <fieldGroup par="13"/>
    </cacheField>
    <cacheField name="COD_CA" numFmtId="0">
      <sharedItems containsSemiMixedTypes="0" containsString="0" containsNumber="1" containsInteger="1" minValue="1001" maxValue="1011"/>
    </cacheField>
    <cacheField name="CATEGORIA" numFmtId="0">
      <sharedItems count="8">
        <s v="Salidas"/>
        <s v="Entretenimiento"/>
        <s v="Servicios Financieros"/>
        <s v="Alimentación y Aseo"/>
        <s v="Peluqueria"/>
        <s v="Varios"/>
        <s v="Ropa y Calzado"/>
        <s v="Muebles y Enseres /Cel" u="1"/>
      </sharedItems>
    </cacheField>
    <cacheField name="COD_DE" numFmtId="0">
      <sharedItems containsSemiMixedTypes="0" containsString="0" containsNumber="1" containsInteger="1" minValue="2006" maxValue="2023"/>
    </cacheField>
    <cacheField name="DESTINO" numFmtId="0">
      <sharedItems count="21">
        <s v="restaurantes"/>
        <s v="Alexis (Cuentas)"/>
        <s v="Futbol"/>
        <s v="Xbox"/>
        <s v="Serfinanza"/>
        <s v="Supermercados"/>
        <s v="Barba fina"/>
        <s v="Otros"/>
        <s v="Tradicion caribe"/>
        <s v="Cine Colombia"/>
        <s v="Mercadolibre"/>
        <s v="Crepes &amp; Waffles"/>
        <s v="Shawarma" u="1"/>
        <s v="Marisol" u="1"/>
        <s v="Pizza margarita" u="1"/>
        <s v="Libros" u="1"/>
        <s v="Atrium" u="1"/>
        <s v="Streaming" u="1"/>
        <s v="Tradicion carbe" u="1"/>
        <s v="Tia kenya" u="1"/>
        <s v="Parrillas" u="1"/>
      </sharedItems>
    </cacheField>
    <cacheField name="COD_CO" numFmtId="0">
      <sharedItems containsSemiMixedTypes="0" containsString="0" containsNumber="1" containsInteger="1" minValue="3003" maxValue="3021"/>
    </cacheField>
    <cacheField name="CONCEPTO" numFmtId="0">
      <sharedItems count="16">
        <s v="Otros"/>
        <s v="Suscripción Disney"/>
        <s v="Casual"/>
        <s v="Cena"/>
        <s v="Game Pass"/>
        <s v="4 X 1000"/>
        <s v="Motilada"/>
        <s v="Taxi"/>
        <s v="Normal"/>
        <s v="Parqueo"/>
        <s v="Juanfer"/>
        <s v="Juan Fer" u="1"/>
        <s v="HBO" u="1"/>
        <s v="Regalos" u="1"/>
        <s v="xbox" u="1"/>
        <s v="Almuerzo" u="1"/>
      </sharedItems>
    </cacheField>
    <cacheField name="MEDIO" numFmtId="0">
      <sharedItems/>
    </cacheField>
    <cacheField name="VALOR" numFmtId="164">
      <sharedItems containsSemiMixedTypes="0" containsString="0" containsNumber="1" containsInteger="1" minValue="1134" maxValue="55000"/>
    </cacheField>
    <cacheField name="MES" numFmtId="165">
      <sharedItems/>
    </cacheField>
    <cacheField name="AÑO" numFmtId="0">
      <sharedItems containsSemiMixedTypes="0" containsString="0" containsNumber="1" containsInteger="1" minValue="2025" maxValue="2025"/>
    </cacheField>
    <cacheField name="MES_AÑO" numFmtId="0">
      <sharedItems/>
    </cacheField>
    <cacheField name="Days (FECHA)" numFmtId="0" databaseField="0">
      <fieldGroup base="0">
        <rangePr groupBy="days" startDate="2025-01-01T00:00:00" endDate="2025-03-21T00:00:00"/>
        <groupItems count="368">
          <s v="&lt;1/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1/03/2025"/>
        </groupItems>
      </fieldGroup>
    </cacheField>
    <cacheField name="Months (FECHA)" numFmtId="0" databaseField="0">
      <fieldGroup base="0">
        <rangePr groupBy="months" startDate="2025-01-01T00:00:00" endDate="2025-03-21T00:00:00"/>
        <groupItems count="14">
          <s v="&lt;1/01/2025"/>
          <s v="ene"/>
          <s v="feb"/>
          <s v="mar"/>
          <s v="abr"/>
          <s v="may"/>
          <s v="jun"/>
          <s v="jul"/>
          <s v="ago"/>
          <s v="sep"/>
          <s v="oct"/>
          <s v="nov"/>
          <s v="dic"/>
          <s v="&gt;21/03/2025"/>
        </groupItems>
      </fieldGroup>
    </cacheField>
  </cacheFields>
  <extLst>
    <ext xmlns:x14="http://schemas.microsoft.com/office/spreadsheetml/2009/9/main" uri="{725AE2AE-9491-48be-B2B4-4EB974FC3084}">
      <x14:pivotCacheDefinition pivotCacheId="1106342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n v="1001"/>
    <x v="0"/>
    <n v="2023"/>
    <x v="0"/>
    <n v="3015"/>
    <x v="0"/>
    <s v="Efectivo"/>
    <n v="50000"/>
    <s v="Enero"/>
    <n v="2025"/>
    <s v="Enero_2025"/>
  </r>
  <r>
    <x v="0"/>
    <n v="1011"/>
    <x v="1"/>
    <n v="2008"/>
    <x v="1"/>
    <n v="3013"/>
    <x v="1"/>
    <s v="TD Nequi"/>
    <n v="6000"/>
    <s v="Enero"/>
    <n v="2025"/>
    <s v="Enero_2025"/>
  </r>
  <r>
    <x v="1"/>
    <n v="1001"/>
    <x v="0"/>
    <n v="2022"/>
    <x v="2"/>
    <n v="3007"/>
    <x v="2"/>
    <s v="TD Nequi"/>
    <n v="8333"/>
    <s v="Enero"/>
    <n v="2025"/>
    <s v="Enero_2025"/>
  </r>
  <r>
    <x v="2"/>
    <n v="1001"/>
    <x v="0"/>
    <n v="2023"/>
    <x v="0"/>
    <n v="3011"/>
    <x v="3"/>
    <s v="TD Nequi"/>
    <n v="20000"/>
    <s v="Enero"/>
    <n v="2025"/>
    <s v="Enero_2025"/>
  </r>
  <r>
    <x v="3"/>
    <n v="1011"/>
    <x v="1"/>
    <n v="2007"/>
    <x v="3"/>
    <n v="3012"/>
    <x v="4"/>
    <s v="TD Nequi"/>
    <n v="21500"/>
    <s v="Enero"/>
    <n v="2025"/>
    <s v="Enero_2025"/>
  </r>
  <r>
    <x v="4"/>
    <n v="1004"/>
    <x v="2"/>
    <n v="2009"/>
    <x v="4"/>
    <n v="3014"/>
    <x v="5"/>
    <s v="TD SF"/>
    <n v="1134"/>
    <s v="Enero"/>
    <n v="2025"/>
    <s v="Enero_2025"/>
  </r>
  <r>
    <x v="4"/>
    <n v="1011"/>
    <x v="1"/>
    <n v="2007"/>
    <x v="3"/>
    <n v="3012"/>
    <x v="4"/>
    <s v="TD BC"/>
    <n v="13000"/>
    <s v="Enero"/>
    <n v="2025"/>
    <s v="Enero_2025"/>
  </r>
  <r>
    <x v="5"/>
    <n v="1002"/>
    <x v="3"/>
    <n v="2014"/>
    <x v="5"/>
    <n v="3007"/>
    <x v="2"/>
    <s v="TD Bancolombia"/>
    <n v="12840"/>
    <s v="Enero"/>
    <n v="2025"/>
    <s v="Enero_2025"/>
  </r>
  <r>
    <x v="6"/>
    <n v="1007"/>
    <x v="4"/>
    <n v="2013"/>
    <x v="6"/>
    <n v="3016"/>
    <x v="6"/>
    <s v="TD Bancolombia"/>
    <n v="25000"/>
    <s v="Enero"/>
    <n v="2025"/>
    <s v="Enero_2025"/>
  </r>
  <r>
    <x v="6"/>
    <n v="1001"/>
    <x v="0"/>
    <n v="2023"/>
    <x v="0"/>
    <n v="3011"/>
    <x v="3"/>
    <s v="TD Bancolombia"/>
    <n v="37000"/>
    <s v="Enero"/>
    <n v="2025"/>
    <s v="Enero_2025"/>
  </r>
  <r>
    <x v="7"/>
    <n v="1001"/>
    <x v="0"/>
    <n v="2023"/>
    <x v="0"/>
    <n v="3011"/>
    <x v="3"/>
    <s v="Efectivo"/>
    <n v="55000"/>
    <s v="Enero"/>
    <n v="2025"/>
    <s v="Enero_2025"/>
  </r>
  <r>
    <x v="8"/>
    <n v="1001"/>
    <x v="0"/>
    <n v="2023"/>
    <x v="0"/>
    <n v="3007"/>
    <x v="2"/>
    <s v="Efectivo"/>
    <n v="13000"/>
    <s v="Enero"/>
    <n v="2025"/>
    <s v="Enero_2025"/>
  </r>
  <r>
    <x v="9"/>
    <n v="1001"/>
    <x v="0"/>
    <n v="2022"/>
    <x v="2"/>
    <n v="3007"/>
    <x v="2"/>
    <s v="TD Nequi"/>
    <n v="7200"/>
    <s v="Enero"/>
    <n v="2025"/>
    <s v="Enero_2025"/>
  </r>
  <r>
    <x v="9"/>
    <n v="1001"/>
    <x v="0"/>
    <n v="2023"/>
    <x v="0"/>
    <n v="3011"/>
    <x v="3"/>
    <s v="TD Bancolombia"/>
    <n v="32100"/>
    <s v="Enero"/>
    <n v="2025"/>
    <s v="Enero_2025"/>
  </r>
  <r>
    <x v="9"/>
    <n v="1001"/>
    <x v="0"/>
    <n v="2011"/>
    <x v="7"/>
    <n v="3020"/>
    <x v="7"/>
    <s v="TD Nequi"/>
    <n v="10000"/>
    <s v="Enero"/>
    <n v="2025"/>
    <s v="Enero_2025"/>
  </r>
  <r>
    <x v="10"/>
    <n v="1001"/>
    <x v="0"/>
    <n v="2022"/>
    <x v="2"/>
    <n v="3007"/>
    <x v="2"/>
    <s v="TD Bancolombia"/>
    <n v="7600"/>
    <s v="Enero"/>
    <n v="2025"/>
    <s v="Enero_2025"/>
  </r>
  <r>
    <x v="11"/>
    <n v="1008"/>
    <x v="5"/>
    <n v="2011"/>
    <x v="7"/>
    <n v="3015"/>
    <x v="0"/>
    <s v="Efectivo"/>
    <n v="5000"/>
    <s v="Enero"/>
    <n v="2025"/>
    <s v="Enero_2025"/>
  </r>
  <r>
    <x v="11"/>
    <n v="1001"/>
    <x v="0"/>
    <n v="2011"/>
    <x v="7"/>
    <n v="3015"/>
    <x v="0"/>
    <s v="TD Bancolombia"/>
    <n v="20000"/>
    <s v="Enero"/>
    <n v="2025"/>
    <s v="Enero_2025"/>
  </r>
  <r>
    <x v="12"/>
    <n v="1001"/>
    <x v="0"/>
    <n v="2022"/>
    <x v="2"/>
    <n v="3007"/>
    <x v="2"/>
    <s v="TD Nequi"/>
    <n v="7000"/>
    <s v="Enero"/>
    <n v="2025"/>
    <s v="Enero_2025"/>
  </r>
  <r>
    <x v="13"/>
    <n v="1011"/>
    <x v="1"/>
    <n v="2008"/>
    <x v="1"/>
    <n v="3013"/>
    <x v="1"/>
    <s v="TD Bancolombia"/>
    <n v="8000"/>
    <s v="Febrero"/>
    <n v="2025"/>
    <s v="Febrero_2025"/>
  </r>
  <r>
    <x v="14"/>
    <n v="1001"/>
    <x v="0"/>
    <n v="2022"/>
    <x v="2"/>
    <n v="3007"/>
    <x v="2"/>
    <s v="TD Nequi"/>
    <n v="8900"/>
    <s v="Febrero"/>
    <n v="2025"/>
    <s v="Febrero_2025"/>
  </r>
  <r>
    <x v="15"/>
    <n v="1001"/>
    <x v="0"/>
    <n v="2023"/>
    <x v="0"/>
    <n v="3011"/>
    <x v="3"/>
    <s v="TD Bancolombia"/>
    <n v="25400"/>
    <s v="Febrero"/>
    <n v="2025"/>
    <s v="Febrero_2025"/>
  </r>
  <r>
    <x v="16"/>
    <n v="1001"/>
    <x v="0"/>
    <n v="2022"/>
    <x v="2"/>
    <n v="3007"/>
    <x v="2"/>
    <s v="TD Nequi"/>
    <n v="6250"/>
    <s v="Febrero"/>
    <n v="2025"/>
    <s v="Febrero_2025"/>
  </r>
  <r>
    <x v="16"/>
    <n v="1001"/>
    <x v="0"/>
    <n v="2023"/>
    <x v="0"/>
    <n v="3011"/>
    <x v="3"/>
    <s v="TD Bancolombia"/>
    <n v="52300"/>
    <s v="Febrero"/>
    <n v="2025"/>
    <s v="Febrero_2025"/>
  </r>
  <r>
    <x v="17"/>
    <n v="1001"/>
    <x v="0"/>
    <n v="2019"/>
    <x v="8"/>
    <n v="3007"/>
    <x v="2"/>
    <s v="TD Bancolombia"/>
    <n v="27000"/>
    <s v="Febrero"/>
    <n v="2025"/>
    <s v="Febrero_2025"/>
  </r>
  <r>
    <x v="18"/>
    <n v="1001"/>
    <x v="0"/>
    <n v="2006"/>
    <x v="9"/>
    <n v="3006"/>
    <x v="8"/>
    <s v="TD Bancolombia"/>
    <n v="10700"/>
    <s v="Febrero"/>
    <n v="2025"/>
    <s v="Febrero_2025"/>
  </r>
  <r>
    <x v="18"/>
    <n v="1001"/>
    <x v="0"/>
    <n v="2006"/>
    <x v="9"/>
    <n v="3006"/>
    <x v="8"/>
    <s v="TD Bancolombia"/>
    <n v="11000"/>
    <s v="Febrero"/>
    <n v="2025"/>
    <s v="Febrero_2025"/>
  </r>
  <r>
    <x v="18"/>
    <n v="1011"/>
    <x v="1"/>
    <n v="2007"/>
    <x v="3"/>
    <n v="3012"/>
    <x v="4"/>
    <s v="TD BC"/>
    <n v="17000"/>
    <s v="Febrero"/>
    <n v="2025"/>
    <s v="Febrero_2025"/>
  </r>
  <r>
    <x v="19"/>
    <n v="1001"/>
    <x v="0"/>
    <n v="2006"/>
    <x v="9"/>
    <n v="3006"/>
    <x v="8"/>
    <s v="TD Bancolombia"/>
    <n v="14000"/>
    <s v="Febrero"/>
    <n v="2025"/>
    <s v="Febrero_2025"/>
  </r>
  <r>
    <x v="19"/>
    <n v="1001"/>
    <x v="0"/>
    <n v="2006"/>
    <x v="9"/>
    <n v="3021"/>
    <x v="9"/>
    <s v="Efectivo"/>
    <n v="3000"/>
    <s v="Febrero"/>
    <n v="2025"/>
    <s v="Febrero_2025"/>
  </r>
  <r>
    <x v="20"/>
    <n v="1001"/>
    <x v="0"/>
    <n v="2006"/>
    <x v="9"/>
    <n v="3006"/>
    <x v="8"/>
    <s v="TD Bancolombia"/>
    <n v="22000"/>
    <s v="Febrero"/>
    <n v="2025"/>
    <s v="Febrero_2025"/>
  </r>
  <r>
    <x v="21"/>
    <n v="1008"/>
    <x v="5"/>
    <n v="2011"/>
    <x v="7"/>
    <n v="3015"/>
    <x v="0"/>
    <s v="Efectivo"/>
    <n v="2000"/>
    <s v="Febrero"/>
    <n v="2025"/>
    <s v="Febrero_2025"/>
  </r>
  <r>
    <x v="21"/>
    <n v="1001"/>
    <x v="0"/>
    <n v="2022"/>
    <x v="2"/>
    <n v="3007"/>
    <x v="2"/>
    <s v="TD Nequi"/>
    <n v="6250"/>
    <s v="Febrero"/>
    <n v="2025"/>
    <s v="Febrero_2025"/>
  </r>
  <r>
    <x v="21"/>
    <n v="1001"/>
    <x v="0"/>
    <n v="2023"/>
    <x v="0"/>
    <n v="3011"/>
    <x v="3"/>
    <s v="TD Nequi"/>
    <n v="20500"/>
    <s v="Febrero"/>
    <n v="2025"/>
    <s v="Febrero_2025"/>
  </r>
  <r>
    <x v="22"/>
    <n v="1006"/>
    <x v="6"/>
    <n v="2010"/>
    <x v="10"/>
    <n v="3003"/>
    <x v="10"/>
    <s v="TD Bancolombia"/>
    <n v="54950"/>
    <s v="Febrero"/>
    <n v="2025"/>
    <s v="Febrero_2025"/>
  </r>
  <r>
    <x v="23"/>
    <n v="1001"/>
    <x v="0"/>
    <n v="2022"/>
    <x v="2"/>
    <n v="3007"/>
    <x v="2"/>
    <s v="TD Nequi"/>
    <n v="7833"/>
    <s v="Febrero"/>
    <n v="2025"/>
    <s v="Febrero_2025"/>
  </r>
  <r>
    <x v="24"/>
    <n v="1011"/>
    <x v="1"/>
    <n v="2008"/>
    <x v="1"/>
    <n v="3013"/>
    <x v="1"/>
    <s v="TD Bancolombia"/>
    <n v="8000"/>
    <s v="Marzo"/>
    <n v="2025"/>
    <s v="Marzo_2025"/>
  </r>
  <r>
    <x v="25"/>
    <n v="1001"/>
    <x v="0"/>
    <n v="2018"/>
    <x v="11"/>
    <n v="3007"/>
    <x v="2"/>
    <s v="TD Bancolombia"/>
    <n v="19000"/>
    <s v="Marzo"/>
    <n v="2025"/>
    <s v="Marzo_2025"/>
  </r>
  <r>
    <x v="25"/>
    <n v="1001"/>
    <x v="0"/>
    <n v="2023"/>
    <x v="0"/>
    <n v="3011"/>
    <x v="3"/>
    <s v="TD Nequi"/>
    <n v="15000"/>
    <s v="Marzo"/>
    <n v="2025"/>
    <s v="Marzo_2025"/>
  </r>
  <r>
    <x v="26"/>
    <n v="1007"/>
    <x v="4"/>
    <n v="2013"/>
    <x v="6"/>
    <n v="3016"/>
    <x v="6"/>
    <s v="TD Nequi"/>
    <n v="25000"/>
    <s v="Marzo"/>
    <n v="2025"/>
    <s v="Marzo_2025"/>
  </r>
  <r>
    <x v="27"/>
    <n v="1001"/>
    <x v="0"/>
    <n v="2022"/>
    <x v="2"/>
    <n v="3007"/>
    <x v="2"/>
    <s v="TD Nequi"/>
    <n v="23111"/>
    <s v="Marzo"/>
    <n v="2025"/>
    <s v="Marzo_2025"/>
  </r>
  <r>
    <x v="28"/>
    <n v="1001"/>
    <x v="0"/>
    <n v="2019"/>
    <x v="8"/>
    <n v="3011"/>
    <x v="3"/>
    <s v="TD Bancolombia"/>
    <n v="45500"/>
    <s v="Marzo"/>
    <n v="2025"/>
    <s v="Marzo_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A60AC-4B48-4E79-A72A-579C5E8620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rowPageCount="1" colPageCount="1"/>
  <pivotFields count="14">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axis="axisRow" showAll="0">
      <items count="9">
        <item x="3"/>
        <item x="1"/>
        <item m="1" x="7"/>
        <item x="4"/>
        <item x="0"/>
        <item x="2"/>
        <item x="5"/>
        <item x="6"/>
        <item t="default"/>
      </items>
    </pivotField>
    <pivotField showAll="0"/>
    <pivotField showAll="0">
      <items count="22">
        <item h="1" x="1"/>
        <item h="1" m="1" x="16"/>
        <item h="1" x="6"/>
        <item h="1" x="9"/>
        <item h="1" x="11"/>
        <item h="1" x="2"/>
        <item h="1" m="1" x="15"/>
        <item h="1" m="1" x="13"/>
        <item h="1" x="10"/>
        <item h="1" x="7"/>
        <item h="1" m="1" x="20"/>
        <item h="1" m="1" x="14"/>
        <item h="1" x="0"/>
        <item h="1" x="4"/>
        <item h="1" m="1" x="12"/>
        <item h="1" m="1" x="17"/>
        <item h="1" x="5"/>
        <item h="1" m="1" x="19"/>
        <item h="1" m="1" x="18"/>
        <item h="1" x="8"/>
        <item x="3"/>
        <item t="default"/>
      </items>
    </pivotField>
    <pivotField showAll="0"/>
    <pivotField showAll="0">
      <items count="17">
        <item x="5"/>
        <item m="1" x="15"/>
        <item x="2"/>
        <item x="3"/>
        <item x="4"/>
        <item m="1" x="12"/>
        <item m="1" x="11"/>
        <item x="10"/>
        <item x="6"/>
        <item x="8"/>
        <item x="0"/>
        <item x="9"/>
        <item m="1" x="13"/>
        <item x="1"/>
        <item x="7"/>
        <item m="1" x="14"/>
        <item t="default"/>
      </items>
    </pivotField>
    <pivotField showAll="0"/>
    <pivotField dataField="1" numFmtId="164"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1"/>
    </i>
    <i t="grand">
      <x/>
    </i>
  </rowItems>
  <colItems count="1">
    <i/>
  </colItems>
  <pageFields count="1">
    <pageField fld="13" item="2" hier="-1"/>
  </pageFields>
  <dataFields count="1">
    <dataField name="Sum of VALOR" fld="8" baseField="0" baseItem="0" numFmtId="165"/>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CEPTO" xr10:uid="{14E2CC3E-5DF1-47D9-9018-CF4A009F0564}" sourceName="CONCEPTO">
  <pivotTables>
    <pivotTable tabId="31" name="PivotTable1"/>
  </pivotTables>
  <data>
    <tabular pivotCacheId="1106342231">
      <items count="16">
        <i x="4" s="1"/>
        <i x="5" s="1" nd="1"/>
        <i x="15" s="1" nd="1"/>
        <i x="2" s="1" nd="1"/>
        <i x="3" s="1" nd="1"/>
        <i x="12" s="1" nd="1"/>
        <i x="11" s="1" nd="1"/>
        <i x="10" s="1" nd="1"/>
        <i x="6" s="1" nd="1"/>
        <i x="8" s="1" nd="1"/>
        <i x="0" s="1" nd="1"/>
        <i x="9" s="1" nd="1"/>
        <i x="13" s="1" nd="1"/>
        <i x="1" s="1" nd="1"/>
        <i x="7"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O" xr10:uid="{108D62C9-ACB7-4CCD-BE90-F45CBA490683}" sourceName="DESTINO">
  <pivotTables>
    <pivotTable tabId="31" name="PivotTable1"/>
  </pivotTables>
  <data>
    <tabular pivotCacheId="1106342231">
      <items count="21">
        <i x="1"/>
        <i x="9"/>
        <i x="2"/>
        <i x="10"/>
        <i x="7"/>
        <i x="0"/>
        <i x="8"/>
        <i x="3" s="1"/>
        <i x="16" nd="1"/>
        <i x="6" nd="1"/>
        <i x="11" nd="1"/>
        <i x="15" nd="1"/>
        <i x="13" nd="1"/>
        <i x="20" nd="1"/>
        <i x="14" nd="1"/>
        <i x="4" nd="1"/>
        <i x="12" nd="1"/>
        <i x="17" nd="1"/>
        <i x="5" nd="1"/>
        <i x="19" nd="1"/>
        <i x="1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64213485-4537-4C5B-81C8-D1D129367A7A}" sourceName="CATEGORIA">
  <pivotTables>
    <pivotTable tabId="31" name="PivotTable1"/>
  </pivotTables>
  <data>
    <tabular pivotCacheId="1106342231">
      <items count="8">
        <i x="1" s="1"/>
        <i x="3" s="1" nd="1"/>
        <i x="7" s="1" nd="1"/>
        <i x="4" s="1" nd="1"/>
        <i x="6" s="1" nd="1"/>
        <i x="0" s="1" nd="1"/>
        <i x="2"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CEPTO" xr10:uid="{BEEBD2B7-03F9-4182-9CBF-C45BECD20F0D}" cache="Slicer_CONCEPTO" caption="CONCEPTO" rowHeight="247650"/>
  <slicer name="DESTINO" xr10:uid="{D6E58F6F-D4CC-4CD5-A12D-1FBAF2B3B110}" cache="Slicer_DESTINO" caption="DESTINO" rowHeight="247650"/>
  <slicer name="CATEGORIA" xr10:uid="{30187048-3FA9-431F-B342-CAB9D6E6ABAB}" cache="Slicer_CATEGORIA" caption="CATEGORIA" startItem="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07F31D-6175-4AA3-A76C-2E23DDACFEAA}" name="Tbl_Ingresos" displayName="Tbl_Ingresos" ref="B4:H18" totalsRowShown="0" headerRowDxfId="52" headerRowBorderDxfId="51" tableBorderDxfId="50">
  <autoFilter ref="B4:H18" xr:uid="{D507F31D-6175-4AA3-A76C-2E23DDACFEAA}"/>
  <tableColumns count="7">
    <tableColumn id="1" xr3:uid="{28AFFC9A-D0EF-4E36-B584-980ABE601597}" name="FECHA"/>
    <tableColumn id="2" xr3:uid="{F427FF75-F75B-4BB8-BBC5-313D0CB8FB12}" name="ORIGEN"/>
    <tableColumn id="3" xr3:uid="{4D379890-1B81-48E0-AFE4-855CEE31388D}" name="CONCEPTO"/>
    <tableColumn id="4" xr3:uid="{6007490F-C2DF-469B-858C-E518DC2DA529}" name="VALOR" dataDxfId="49"/>
    <tableColumn id="7" xr3:uid="{0140C82A-4DF1-401E-B8CF-E2FB35FB1A06}" name="MES" dataDxfId="48">
      <calculatedColumnFormula>PROPER(TEXT(Tbl_Ingresos[[#This Row],[FECHA]],"mmmm"))</calculatedColumnFormula>
    </tableColumn>
    <tableColumn id="5" xr3:uid="{B0E63586-5D98-48B1-83E8-CAE4734DB7F7}" name="AÑO" dataDxfId="47">
      <calculatedColumnFormula>YEAR(Tbl_Ingresos[[#This Row],[FECHA]])</calculatedColumnFormula>
    </tableColumn>
    <tableColumn id="6" xr3:uid="{F5C0F6AC-36E8-40C2-9E30-5744F17D4407}" name="MES_AÑO" dataDxfId="46">
      <calculatedColumnFormula>CONCATENATE(Tbl_Ingresos[[#This Row],[MES]],"_",Tbl_Ingresos[[#This Row],[AÑO]])</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BB7A99-2B6C-4AF1-BA7D-2AA6C60962EC}" name="Tbl_Gastos_A" displayName="Tbl_Gastos_A" ref="B4:M5" totalsRowShown="0" headerRowDxfId="24" headerRowBorderDxfId="23">
  <autoFilter ref="B4:M5" xr:uid="{67BB7A99-2B6C-4AF1-BA7D-2AA6C60962EC}"/>
  <tableColumns count="12">
    <tableColumn id="1" xr3:uid="{BC5FB7B4-6AF3-482D-827E-7E8A350FDE72}" name="FECHA" dataDxfId="22"/>
    <tableColumn id="2" xr3:uid="{B2FA84BA-F8A9-44CA-8967-62954EE16F67}" name="COD_CA"/>
    <tableColumn id="3" xr3:uid="{CFAD4A72-9326-4F96-AAA6-43B15BEAB134}" name="CATEGORIA">
      <calculatedColumnFormula>VLOOKUP(Tbl_Gastos_A[[#This Row],[COD_CA]],Tbl_Cod_Cat_A[#All],2,FALSE)</calculatedColumnFormula>
    </tableColumn>
    <tableColumn id="4" xr3:uid="{F3A76890-066A-44B9-927D-BAFEFE2713B4}" name="COD_DE"/>
    <tableColumn id="5" xr3:uid="{A738297D-07FB-4874-91C7-1C84D27B1A5D}" name="DESTINO">
      <calculatedColumnFormula>VLOOKUP(Tbl_Gastos_A[[#This Row],[COD_DE]],Tbl_Cod_Dest_A[#All],2,FALSE)</calculatedColumnFormula>
    </tableColumn>
    <tableColumn id="6" xr3:uid="{E0A3BD98-5619-4B28-B50B-DA39E56ADC95}" name="COD_CO"/>
    <tableColumn id="7" xr3:uid="{899BE806-4C80-4CCE-BA9B-07FCD28EB4F7}" name="CONCEPTO">
      <calculatedColumnFormula>VLOOKUP(Tbl_Gastos_A[[#This Row],[COD_CO]],Tbl_Cod_Conc_A[#All],2,FALSE)</calculatedColumnFormula>
    </tableColumn>
    <tableColumn id="8" xr3:uid="{D323D2C8-84E1-4F8D-AB84-7F49A53F8E39}" name="MEDIO"/>
    <tableColumn id="9" xr3:uid="{800FA561-1511-4307-8EAB-256D70A396B4}" name="VALOR" dataDxfId="21"/>
    <tableColumn id="12" xr3:uid="{0C0D30B4-9AEA-468B-A429-8EBE4F25144D}" name="MES" dataDxfId="20">
      <calculatedColumnFormula>PROPER(TEXT(Tbl_Gastos_A[[#This Row],[FECHA]],"mmmm"))</calculatedColumnFormula>
    </tableColumn>
    <tableColumn id="10" xr3:uid="{93442D80-4559-49D6-ACA0-5D10C8A3427C}" name="AÑO">
      <calculatedColumnFormula>YEAR(Tbl_Gastos_A[[#This Row],[FECHA]])</calculatedColumnFormula>
    </tableColumn>
    <tableColumn id="11" xr3:uid="{E0EB1BBF-C34C-4E6B-BEDF-64B38AD732E0}" name="MES_AÑO">
      <calculatedColumnFormula>CONCATENATE(Tbl_Gastos_A[[#This Row],[MES]],"_",Tbl_Gastos_A[[#This Row],[AÑO]])</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818700C-786A-43B5-9DEB-5B5DD9F6CD9A}" name="Table10" displayName="Table10" ref="B3:J12" totalsRowShown="0" dataDxfId="19" dataCellStyle="Currency">
  <autoFilter ref="B3:J12" xr:uid="{0818700C-786A-43B5-9DEB-5B5DD9F6CD9A}"/>
  <tableColumns count="9">
    <tableColumn id="1" xr3:uid="{217A4ED3-DD5D-4D28-AF77-180A822C1488}" name="Fecha" dataDxfId="18"/>
    <tableColumn id="2" xr3:uid="{3C1EAA87-91D5-4CD1-8F21-603570412C6D}" name="Serfinanza" dataDxfId="17" dataCellStyle="Currency"/>
    <tableColumn id="3" xr3:uid="{A06D8B2D-FCFA-4192-B8A7-19358B886D27}" name="Efectivo" dataDxfId="16" dataCellStyle="Currency"/>
    <tableColumn id="4" xr3:uid="{E239DCE8-213A-47FD-8340-C5FA9369B157}" name="CDT" dataDxfId="15" dataCellStyle="Currency"/>
    <tableColumn id="5" xr3:uid="{70895F2D-5234-4F8E-91B0-6164D201740A}" name="Interes CDT" dataDxfId="14" dataCellStyle="Currency">
      <calculatedColumnFormula>1260291*(1-4%)</calculatedColumnFormula>
    </tableColumn>
    <tableColumn id="6" xr3:uid="{6CF4A2ED-DF07-481B-A22E-363354CCD821}" name="Bancolombia" dataDxfId="13" dataCellStyle="Currency"/>
    <tableColumn id="7" xr3:uid="{8FBB0DAE-AFFD-4AB2-9200-816FFF239B3B}" name="Nequi" dataDxfId="12" dataCellStyle="Currency"/>
    <tableColumn id="9" xr3:uid="{E88E82DD-2DA9-432F-B56A-508C36D4047B}" name="Fiducuenta" dataDxfId="11" dataCellStyle="Currency"/>
    <tableColumn id="8" xr3:uid="{3D106F01-33B5-4B30-87E4-738BBA60B077}" name="Total" dataDxfId="10" dataCellStyle="Currency">
      <calculatedColumnFormula>SUM(C4:I4)</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DFB47AF-5321-4745-B026-9B715CB90E24}" name="Table11" displayName="Table11" ref="E4:E8" totalsRowShown="0" dataDxfId="9" dataCellStyle="Currency">
  <autoFilter ref="E4:E8" xr:uid="{4DFB47AF-5321-4745-B026-9B715CB90E24}"/>
  <tableColumns count="1">
    <tableColumn id="1" xr3:uid="{A74971EB-DCD9-4BC2-87CD-A5E2E232BB06}" name="Tabla vacaciones" dataDxfId="8" dataCellStyle="Currenc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016FF9A-A544-4295-A462-0324C30EC200}" name="Table12" displayName="Table12" ref="F4:F8" totalsRowShown="0" dataDxfId="7" dataCellStyle="Currency">
  <autoFilter ref="F4:F8" xr:uid="{4016FF9A-A544-4295-A462-0324C30EC200}"/>
  <tableColumns count="1">
    <tableColumn id="1" xr3:uid="{F62BDA59-F64C-4161-9DEF-E0093FAAB5F9}" name="Tabla ahorro" dataDxfId="6"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84580-419F-46A2-A5B3-42F2CCBD6C32}" name="Tbl_Cod_Cat" displayName="Tbl_Cod_Cat" ref="B2:C13" totalsRowShown="0" headerRowDxfId="45" headerRowBorderDxfId="44" tableBorderDxfId="43">
  <autoFilter ref="B2:C13" xr:uid="{C8284580-419F-46A2-A5B3-42F2CCBD6C32}"/>
  <tableColumns count="2">
    <tableColumn id="1" xr3:uid="{A301C81A-8734-4D3F-8BDF-E80C5E51B55E}" name="COD_CAT"/>
    <tableColumn id="2" xr3:uid="{4680D2B1-7069-4230-9CC9-A7959A1A4AA6}" name="CATEGORI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74694B-C53C-435A-B80D-5EC2078EA379}" name="Tbl_Cod_Dest" displayName="Tbl_Cod_Dest" ref="E2:F25" totalsRowShown="0" headerRowDxfId="42" headerRowBorderDxfId="41" tableBorderDxfId="40">
  <autoFilter ref="E2:F25" xr:uid="{B874694B-C53C-435A-B80D-5EC2078EA379}"/>
  <tableColumns count="2">
    <tableColumn id="1" xr3:uid="{C2B884CC-D261-41A7-A7F4-91761CE3D8EC}" name="COD_DEST"/>
    <tableColumn id="2" xr3:uid="{3727A1FE-EE23-4384-9FAA-B71A0611D99A}" name="DESTINO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4D1C4B-6FC4-4547-BF93-817BE28FCE62}" name="Tbl_Cod_Conc" displayName="Tbl_Cod_Conc" ref="H2:I23" totalsRowShown="0" headerRowDxfId="39" headerRowBorderDxfId="38" tableBorderDxfId="37">
  <autoFilter ref="H2:I23" xr:uid="{654D1C4B-6FC4-4547-BF93-817BE28FCE62}"/>
  <tableColumns count="2">
    <tableColumn id="1" xr3:uid="{FE450823-C303-42B2-A2A4-3B093EDE7E6C}" name="COD_CONC"/>
    <tableColumn id="2" xr3:uid="{DBDF6B14-A69E-4214-94FB-42BCFBE363E0}" name="CONCEPTO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437B48-9A56-49C4-8D14-A0D470EBC002}" name="Tbl_Gastos" displayName="Tbl_Gastos" ref="B4:M70" totalsRowShown="0" headerRowDxfId="36" headerRowBorderDxfId="35" tableBorderDxfId="34">
  <autoFilter ref="B4:M70" xr:uid="{A6437B48-9A56-49C4-8D14-A0D470EBC002}"/>
  <tableColumns count="12">
    <tableColumn id="1" xr3:uid="{4BCB3923-5A42-4084-A314-90A413946A54}" name="FECHA"/>
    <tableColumn id="2" xr3:uid="{875F8CF7-E464-4E08-9B5A-5C572279975E}" name="COD_CA"/>
    <tableColumn id="3" xr3:uid="{96AE21B7-A968-4533-AA3A-85FF8B3BC6BC}" name="CATEGORIA">
      <calculatedColumnFormula>VLOOKUP(Tbl_Gastos[[#This Row],[COD_CA]],Tbl_Cod_Cat[#All],2,FALSE)</calculatedColumnFormula>
    </tableColumn>
    <tableColumn id="4" xr3:uid="{D4871B43-8284-4833-9978-A004435C4006}" name="COD_DE"/>
    <tableColumn id="5" xr3:uid="{375920DF-AB4F-42B9-A0A5-80FD3A970770}" name="DESTINO">
      <calculatedColumnFormula>VLOOKUP(Tbl_Gastos[[#This Row],[COD_DE]],Tbl_Cod_Dest[#All],2,FALSE)</calculatedColumnFormula>
    </tableColumn>
    <tableColumn id="6" xr3:uid="{1651F5ED-B4F7-4B8F-8790-04C79ECC2EDA}" name="COD_CO"/>
    <tableColumn id="7" xr3:uid="{677C98F7-B430-45A2-9559-58DC5C0186D3}" name="CONCEPTO">
      <calculatedColumnFormula>VLOOKUP(Tbl_Gastos[[#This Row],[COD_CO]],Tbl_Cod_Conc[#All],2,FALSE)</calculatedColumnFormula>
    </tableColumn>
    <tableColumn id="8" xr3:uid="{861C64B3-5D47-4542-A616-173A9CB3E50E}" name="MEDIO"/>
    <tableColumn id="9" xr3:uid="{562F0AB0-90C2-4461-B8C9-58EE06D93D72}" name="VALOR" dataDxfId="33"/>
    <tableColumn id="12" xr3:uid="{98A75F4B-C841-4F64-BB34-798D1F5BE17A}" name="MES" dataDxfId="32">
      <calculatedColumnFormula>PROPER(TEXT(Tbl_Gastos[[#This Row],[FECHA]],"mmmm"))</calculatedColumnFormula>
    </tableColumn>
    <tableColumn id="10" xr3:uid="{8095231E-5693-4206-A280-099FCADBF4E5}" name="AÑO" dataDxfId="31">
      <calculatedColumnFormula>YEAR(Tbl_Gastos[[#This Row],[FECHA]])</calculatedColumnFormula>
    </tableColumn>
    <tableColumn id="11" xr3:uid="{1A9141BB-E328-4C59-B006-99A3A53BE54B}" name="MES_AÑO" dataDxfId="30">
      <calculatedColumnFormula>CONCATENATE(Tbl_Gastos[[#This Row],[MES]],"_",Tbl_Gastos[[#This Row],[AÑO]])</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8F82BA8-CB99-4087-9D1B-9E6BB497EFE0}" name="Table14" displayName="Table14" ref="B18:C21" totalsRowShown="0">
  <autoFilter ref="B18:C21" xr:uid="{78F82BA8-CB99-4087-9D1B-9E6BB497EFE0}"/>
  <tableColumns count="2">
    <tableColumn id="1" xr3:uid="{7A34E821-FE84-41D0-8D04-AC35F8E849AB}" name="Concepto ahorro"/>
    <tableColumn id="2" xr3:uid="{837E6F4E-80AB-4EDF-AFCE-0B78FB6CC66D}" name="Valor" dataDxfId="28" dataCellStyle="Currenc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475434-C781-4CBC-9BB0-5800B1090FFC}" name="Tbl_Cod_Cat_A" displayName="Tbl_Cod_Cat_A" ref="B2:C7" totalsRowShown="0" headerRowDxfId="27">
  <autoFilter ref="B2:C7" xr:uid="{E7475434-C781-4CBC-9BB0-5800B1090FFC}"/>
  <tableColumns count="2">
    <tableColumn id="1" xr3:uid="{38D27338-735E-4F5A-9758-3BE5E1279F02}" name="COD_CAT"/>
    <tableColumn id="2" xr3:uid="{BEEBAAE3-A39D-4F64-BE74-5F8975ED58F1}" name="CATEGORIA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5F5F0B-8678-4AF8-95BB-764D35BB2AE4}" name="Tbl_Cod_Dest_A" displayName="Tbl_Cod_Dest_A" ref="E2:F9" totalsRowShown="0" headerRowDxfId="26">
  <autoFilter ref="E2:F9" xr:uid="{FB5F5F0B-8678-4AF8-95BB-764D35BB2AE4}"/>
  <tableColumns count="2">
    <tableColumn id="1" xr3:uid="{044F012F-48A0-4A72-9312-0FC003BD0D90}" name="COD_DEST"/>
    <tableColumn id="2" xr3:uid="{8B5DD8DA-8450-46AE-BB96-C5D8138589DD}" name="DESTINO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25DB5C-A65E-4B5C-BFDF-7385B22F8E66}" name="Tbl_Cod_Conc_A" displayName="Tbl_Cod_Conc_A" ref="H2:I13" totalsRowShown="0" headerRowDxfId="25">
  <autoFilter ref="H2:I13" xr:uid="{CC25DB5C-A65E-4B5C-BFDF-7385B22F8E66}"/>
  <tableColumns count="2">
    <tableColumn id="1" xr3:uid="{88CDAF70-C28C-4B68-BA65-2B45E64B151F}" name="COD_CONC"/>
    <tableColumn id="2" xr3:uid="{2717F94A-C9E0-444E-A09F-4A6A04BB0FB8}" name="CONCEPTO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5" dT="2024-03-28T15:20:41.00" personId="{019BA31C-27D7-4F6E-BCEC-986F84C9ECF9}" id="{2E5F8D17-24BC-4DC2-B0E9-971F6878AED2}">
    <text xml:space="preserve">Quitar suma en 2025
</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790EC-65AF-42A3-9EDB-C0188E529FFA}">
  <dimension ref="C2:AB20"/>
  <sheetViews>
    <sheetView workbookViewId="0">
      <selection activeCell="D28" sqref="D28"/>
    </sheetView>
  </sheetViews>
  <sheetFormatPr defaultRowHeight="14.4" x14ac:dyDescent="0.3"/>
  <cols>
    <col min="3" max="3" width="9.33203125" bestFit="1" customWidth="1"/>
    <col min="4" max="4" width="10.109375" bestFit="1" customWidth="1"/>
  </cols>
  <sheetData>
    <row r="2" spans="3:28" ht="15" thickBot="1" x14ac:dyDescent="0.35"/>
    <row r="3" spans="3:28" x14ac:dyDescent="0.3">
      <c r="C3" s="52" t="s">
        <v>0</v>
      </c>
      <c r="D3" s="52" t="s">
        <v>1</v>
      </c>
      <c r="E3" s="80">
        <v>45292</v>
      </c>
      <c r="F3" s="81"/>
      <c r="G3" s="80">
        <v>45323</v>
      </c>
      <c r="H3" s="81"/>
      <c r="I3" s="80">
        <v>45352</v>
      </c>
      <c r="J3" s="81"/>
      <c r="K3" s="80">
        <v>45383</v>
      </c>
      <c r="L3" s="81"/>
      <c r="M3" s="80">
        <v>45413</v>
      </c>
      <c r="N3" s="81"/>
      <c r="O3" s="80">
        <v>45444</v>
      </c>
      <c r="P3" s="81"/>
      <c r="Q3" s="80">
        <v>45474</v>
      </c>
      <c r="R3" s="81"/>
      <c r="S3" s="80">
        <v>45505</v>
      </c>
      <c r="T3" s="81"/>
      <c r="U3" s="80">
        <v>45536</v>
      </c>
      <c r="V3" s="81"/>
      <c r="W3" s="80">
        <v>45566</v>
      </c>
      <c r="X3" s="81"/>
      <c r="Y3" s="80">
        <v>45597</v>
      </c>
      <c r="Z3" s="81"/>
      <c r="AA3" s="80">
        <v>45627</v>
      </c>
      <c r="AB3" s="81"/>
    </row>
    <row r="4" spans="3:28" ht="15" thickBot="1" x14ac:dyDescent="0.35">
      <c r="C4" s="53" t="s">
        <v>2</v>
      </c>
      <c r="D4" s="54" t="s">
        <v>3</v>
      </c>
      <c r="E4" s="55"/>
      <c r="F4" s="56"/>
      <c r="G4" s="55"/>
      <c r="H4" s="56"/>
      <c r="I4" s="55">
        <v>15</v>
      </c>
      <c r="J4" s="56"/>
      <c r="K4" s="55"/>
      <c r="L4" s="56"/>
      <c r="M4" s="55"/>
      <c r="N4" s="56"/>
      <c r="O4" s="55"/>
      <c r="P4" s="56"/>
      <c r="Q4" s="55"/>
      <c r="R4" s="56"/>
      <c r="S4" s="55"/>
      <c r="T4" s="56"/>
      <c r="U4" s="55"/>
      <c r="V4" s="56"/>
      <c r="W4" s="55"/>
      <c r="X4" s="56"/>
      <c r="Y4" s="55"/>
      <c r="Z4" s="56"/>
      <c r="AA4" s="55"/>
      <c r="AB4" s="56"/>
    </row>
    <row r="9" spans="3:28" x14ac:dyDescent="0.3">
      <c r="G9" s="71"/>
    </row>
    <row r="10" spans="3:28" x14ac:dyDescent="0.3">
      <c r="G10" s="71"/>
    </row>
    <row r="11" spans="3:28" x14ac:dyDescent="0.3">
      <c r="G11" s="71"/>
    </row>
    <row r="12" spans="3:28" x14ac:dyDescent="0.3">
      <c r="G12" s="71"/>
    </row>
    <row r="13" spans="3:28" x14ac:dyDescent="0.3">
      <c r="G13" s="71"/>
    </row>
    <row r="14" spans="3:28" x14ac:dyDescent="0.3">
      <c r="G14" s="71"/>
    </row>
    <row r="15" spans="3:28" x14ac:dyDescent="0.3">
      <c r="G15" s="71"/>
    </row>
    <row r="16" spans="3:28" x14ac:dyDescent="0.3">
      <c r="G16" s="71"/>
    </row>
    <row r="17" spans="7:7" x14ac:dyDescent="0.3">
      <c r="G17" s="71"/>
    </row>
    <row r="18" spans="7:7" x14ac:dyDescent="0.3">
      <c r="G18" s="71"/>
    </row>
    <row r="19" spans="7:7" x14ac:dyDescent="0.3">
      <c r="G19" s="71"/>
    </row>
    <row r="20" spans="7:7" x14ac:dyDescent="0.3">
      <c r="G20" s="71"/>
    </row>
  </sheetData>
  <mergeCells count="12">
    <mergeCell ref="AA3:AB3"/>
    <mergeCell ref="E3:F3"/>
    <mergeCell ref="G3:H3"/>
    <mergeCell ref="I3:J3"/>
    <mergeCell ref="K3:L3"/>
    <mergeCell ref="M3:N3"/>
    <mergeCell ref="O3:P3"/>
    <mergeCell ref="Q3:R3"/>
    <mergeCell ref="S3:T3"/>
    <mergeCell ref="U3:V3"/>
    <mergeCell ref="W3:X3"/>
    <mergeCell ref="Y3:Z3"/>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B01D-F306-4AB6-A855-FBC7CA413379}">
  <sheetPr>
    <tabColor theme="9" tint="0.39997558519241921"/>
  </sheetPr>
  <dimension ref="B1:M5"/>
  <sheetViews>
    <sheetView workbookViewId="0">
      <selection activeCell="J6" sqref="J6"/>
    </sheetView>
  </sheetViews>
  <sheetFormatPr defaultColWidth="11.5546875" defaultRowHeight="14.4" x14ac:dyDescent="0.3"/>
  <cols>
    <col min="1" max="1" width="5" customWidth="1"/>
    <col min="3" max="3" width="12.33203125" bestFit="1" customWidth="1"/>
    <col min="4" max="4" width="15.109375" bestFit="1" customWidth="1"/>
    <col min="5" max="5" width="12.33203125" bestFit="1" customWidth="1"/>
    <col min="6" max="6" width="12.88671875" bestFit="1" customWidth="1"/>
    <col min="7" max="7" width="12.5546875" bestFit="1" customWidth="1"/>
    <col min="8" max="8" width="14.88671875" bestFit="1" customWidth="1"/>
    <col min="11" max="12" width="0" hidden="1" customWidth="1"/>
    <col min="13" max="13" width="13.5546875" hidden="1" customWidth="1"/>
  </cols>
  <sheetData>
    <row r="1" spans="2:13" x14ac:dyDescent="0.3">
      <c r="B1" s="17" t="s">
        <v>16</v>
      </c>
      <c r="C1" s="17" t="s">
        <v>51</v>
      </c>
      <c r="D1" s="17" t="s">
        <v>52</v>
      </c>
      <c r="E1" s="18">
        <v>45658</v>
      </c>
      <c r="F1" s="18">
        <v>45689</v>
      </c>
      <c r="G1" s="18">
        <v>45717</v>
      </c>
      <c r="H1" s="18">
        <v>45748</v>
      </c>
      <c r="I1" s="18">
        <v>45778</v>
      </c>
      <c r="J1" s="18">
        <v>45809</v>
      </c>
    </row>
    <row r="2" spans="2:13" x14ac:dyDescent="0.3">
      <c r="B2" s="25">
        <f>SUBTOTAL(9,Tbl_Gastos_A[[#All],[VALOR]])</f>
        <v>1</v>
      </c>
      <c r="C2" s="25">
        <f>SUBTOTAL(2,Tbl_Gastos_A[[#All],[VALOR]])</f>
        <v>1</v>
      </c>
      <c r="D2" s="25">
        <f>SUBTOTAL(101,Tbl_Gastos_A[[#All],[VALOR]])</f>
        <v>1</v>
      </c>
      <c r="E2" s="25">
        <f>GastA_Resumen!C9</f>
        <v>1</v>
      </c>
      <c r="F2" s="25">
        <f>GastA_Resumen!D9</f>
        <v>0</v>
      </c>
      <c r="G2" s="25">
        <f>GastA_Resumen!E9</f>
        <v>0</v>
      </c>
      <c r="H2" s="25">
        <f>GastA_Resumen!F9</f>
        <v>0</v>
      </c>
      <c r="I2" s="25">
        <f>GastA_Resumen!G9</f>
        <v>0</v>
      </c>
      <c r="J2" s="25">
        <f>GastA_Resumen!H9</f>
        <v>0</v>
      </c>
    </row>
    <row r="4" spans="2:13" x14ac:dyDescent="0.3">
      <c r="B4" s="1" t="s">
        <v>4</v>
      </c>
      <c r="C4" s="2" t="s">
        <v>53</v>
      </c>
      <c r="D4" s="2" t="s">
        <v>54</v>
      </c>
      <c r="E4" s="2" t="s">
        <v>55</v>
      </c>
      <c r="F4" s="2" t="s">
        <v>56</v>
      </c>
      <c r="G4" s="2" t="s">
        <v>57</v>
      </c>
      <c r="H4" s="2" t="s">
        <v>6</v>
      </c>
      <c r="I4" s="2" t="s">
        <v>58</v>
      </c>
      <c r="J4" s="16" t="s">
        <v>7</v>
      </c>
      <c r="K4" s="2" t="s">
        <v>8</v>
      </c>
      <c r="L4" s="2" t="s">
        <v>9</v>
      </c>
      <c r="M4" s="2" t="s">
        <v>10</v>
      </c>
    </row>
    <row r="5" spans="2:13" x14ac:dyDescent="0.3">
      <c r="B5" s="4">
        <v>45658</v>
      </c>
      <c r="C5">
        <v>101</v>
      </c>
      <c r="D5" t="str">
        <f>VLOOKUP(Tbl_Gastos_A[[#This Row],[COD_CA]],Tbl_Cod_Cat_A[#All],2,FALSE)</f>
        <v>Aportes</v>
      </c>
      <c r="E5">
        <v>201</v>
      </c>
      <c r="F5" t="str">
        <f>VLOOKUP(Tbl_Gastos_A[[#This Row],[COD_DE]],Tbl_Cod_Dest_A[#All],2,FALSE)</f>
        <v>Juan Carlos</v>
      </c>
      <c r="G5">
        <v>309</v>
      </c>
      <c r="H5" t="str">
        <f>VLOOKUP(Tbl_Gastos_A[[#This Row],[COD_CO]],Tbl_Cod_Conc_A[#All],2,FALSE)</f>
        <v>Pensión</v>
      </c>
      <c r="I5" t="s">
        <v>71</v>
      </c>
      <c r="J5" s="9">
        <v>1</v>
      </c>
      <c r="K5" s="9" t="str">
        <f>PROPER(TEXT(Tbl_Gastos_A[[#This Row],[FECHA]],"mmmm"))</f>
        <v>Enero</v>
      </c>
      <c r="L5">
        <f>YEAR(Tbl_Gastos_A[[#This Row],[FECHA]])</f>
        <v>2025</v>
      </c>
      <c r="M5" t="str">
        <f>CONCATENATE(Tbl_Gastos_A[[#This Row],[MES]],"_",Tbl_Gastos_A[[#This Row],[AÑO]])</f>
        <v>Enero_2025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76234-522C-44CB-A523-1F3B2DF57376}">
  <dimension ref="B1:O9"/>
  <sheetViews>
    <sheetView workbookViewId="0">
      <selection activeCell="F19" sqref="F19"/>
    </sheetView>
  </sheetViews>
  <sheetFormatPr defaultColWidth="11.5546875" defaultRowHeight="14.4" x14ac:dyDescent="0.3"/>
  <cols>
    <col min="1" max="1" width="3.6640625" customWidth="1"/>
    <col min="2" max="2" width="19.44140625" bestFit="1" customWidth="1"/>
  </cols>
  <sheetData>
    <row r="1" spans="2:15" ht="9" customHeight="1" x14ac:dyDescent="0.3"/>
    <row r="2" spans="2:15" ht="8.4" customHeight="1" x14ac:dyDescent="0.3">
      <c r="C2" s="13" t="s">
        <v>138</v>
      </c>
      <c r="D2" s="13" t="s">
        <v>139</v>
      </c>
      <c r="E2" s="13" t="s">
        <v>140</v>
      </c>
      <c r="F2" s="13" t="s">
        <v>141</v>
      </c>
      <c r="G2" s="13" t="s">
        <v>142</v>
      </c>
      <c r="H2" s="13" t="s">
        <v>143</v>
      </c>
      <c r="I2" s="13" t="s">
        <v>144</v>
      </c>
      <c r="J2" s="13" t="s">
        <v>145</v>
      </c>
      <c r="K2" s="13" t="s">
        <v>146</v>
      </c>
      <c r="L2" s="13" t="s">
        <v>147</v>
      </c>
      <c r="M2" s="13" t="s">
        <v>148</v>
      </c>
      <c r="N2" s="13" t="s">
        <v>149</v>
      </c>
    </row>
    <row r="3" spans="2:15" x14ac:dyDescent="0.3">
      <c r="B3" s="19" t="s">
        <v>54</v>
      </c>
      <c r="C3" s="20">
        <v>45658</v>
      </c>
      <c r="D3" s="20">
        <v>45689</v>
      </c>
      <c r="E3" s="20">
        <v>45717</v>
      </c>
      <c r="F3" s="20">
        <v>45748</v>
      </c>
      <c r="G3" s="20">
        <v>45778</v>
      </c>
      <c r="H3" s="20">
        <v>45809</v>
      </c>
      <c r="I3" s="20">
        <v>45839</v>
      </c>
      <c r="J3" s="20">
        <v>45870</v>
      </c>
      <c r="K3" s="20">
        <v>45901</v>
      </c>
      <c r="L3" s="20">
        <v>45931</v>
      </c>
      <c r="M3" s="20">
        <v>45962</v>
      </c>
      <c r="N3" s="20">
        <v>45992</v>
      </c>
      <c r="O3" s="19" t="s">
        <v>16</v>
      </c>
    </row>
    <row r="4" spans="2:15" x14ac:dyDescent="0.3">
      <c r="B4" s="21" t="s">
        <v>67</v>
      </c>
      <c r="C4" s="9">
        <f>SUMIFS(Tbl_Gastos_A[[#All],[VALOR]],Tbl_Gastos_A[[#All],[CATEGORIA]],$B4,Tbl_Gastos_A[[#All],[MES_AÑO]],$C$2)</f>
        <v>1</v>
      </c>
      <c r="D4" s="9">
        <f>SUMIFS(Tbl_Gastos_A[[#All],[VALOR]],Tbl_Gastos_A[[#All],[CATEGORIA]],$B4,Tbl_Gastos_A[[#All],[MES_AÑO]],$D$2)</f>
        <v>0</v>
      </c>
      <c r="E4" s="9">
        <f>SUMIFS(Tbl_Gastos_A[[#All],[VALOR]],Tbl_Gastos_A[[#All],[CATEGORIA]],$B4,Tbl_Gastos_A[[#All],[MES_AÑO]],$E$2)</f>
        <v>0</v>
      </c>
      <c r="F4" s="9">
        <f>SUMIFS(Tbl_Gastos_A[[#All],[VALOR]],Tbl_Gastos_A[[#All],[CATEGORIA]],$B4,Tbl_Gastos_A[[#All],[MES_AÑO]],$F$2)</f>
        <v>0</v>
      </c>
      <c r="G4" s="9">
        <f>SUMIFS(Tbl_Gastos_A[[#All],[VALOR]],Tbl_Gastos_A[[#All],[CATEGORIA]],$B4,Tbl_Gastos_A[[#All],[MES_AÑO]],$G$2)</f>
        <v>0</v>
      </c>
      <c r="H4" s="9">
        <f>SUMIFS(Tbl_Gastos_A[[#All],[VALOR]],Tbl_Gastos_A[[#All],[CATEGORIA]],$B4,Tbl_Gastos_A[[#All],[MES_AÑO]],$H$2)</f>
        <v>0</v>
      </c>
      <c r="I4" s="9">
        <f>SUMIFS(Tbl_Gastos_A[[#All],[VALOR]],Tbl_Gastos_A[[#All],[CATEGORIA]],$B4,Tbl_Gastos_A[[#All],[MES_AÑO]],$I$2)</f>
        <v>0</v>
      </c>
      <c r="J4" s="9">
        <f>SUMIFS(Tbl_Gastos_A[[#All],[VALOR]],Tbl_Gastos_A[[#All],[CATEGORIA]],$B4,Tbl_Gastos_A[[#All],[MES_AÑO]],$J$2)</f>
        <v>0</v>
      </c>
      <c r="K4" s="9">
        <f>SUMIFS(Tbl_Gastos_A[[#All],[VALOR]],Tbl_Gastos_A[[#All],[CATEGORIA]],$B4,Tbl_Gastos_A[[#All],[MES_AÑO]],$K$2)</f>
        <v>0</v>
      </c>
      <c r="L4" s="9">
        <f>SUMIFS(Tbl_Gastos_A[[#All],[VALOR]],Tbl_Gastos_A[[#All],[CATEGORIA]],$B4,Tbl_Gastos_A[[#All],[MES_AÑO]],$L$2)</f>
        <v>0</v>
      </c>
      <c r="M4" s="9">
        <f>SUMIFS(Tbl_Gastos_A[[#All],[VALOR]],Tbl_Gastos_A[[#All],[CATEGORIA]],$B4,Tbl_Gastos_A[[#All],[MES_AÑO]],$M$2)</f>
        <v>0</v>
      </c>
      <c r="N4" s="9">
        <f>SUMIFS(Tbl_Gastos_A[[#All],[VALOR]],Tbl_Gastos_A[[#All],[CATEGORIA]],$B4,Tbl_Gastos_A[[#All],[MES_AÑO]],$N$2)</f>
        <v>0</v>
      </c>
      <c r="O4" s="23">
        <f>SUM(C4:N4)</f>
        <v>1</v>
      </c>
    </row>
    <row r="5" spans="2:15" x14ac:dyDescent="0.3">
      <c r="B5" s="21" t="s">
        <v>45</v>
      </c>
      <c r="C5" s="9">
        <f>SUMIFS(Tbl_Gastos_A[[#All],[VALOR]],Tbl_Gastos_A[[#All],[CATEGORIA]],$B5,Tbl_Gastos_A[[#All],[MES_AÑO]],$C$2)</f>
        <v>0</v>
      </c>
      <c r="D5" s="9">
        <f>SUMIFS(Tbl_Gastos_A[[#All],[VALOR]],Tbl_Gastos_A[[#All],[CATEGORIA]],$B5,Tbl_Gastos_A[[#All],[MES_AÑO]],$D$2)</f>
        <v>0</v>
      </c>
      <c r="E5" s="9">
        <f>SUMIFS(Tbl_Gastos_A[[#All],[VALOR]],Tbl_Gastos_A[[#All],[CATEGORIA]],$B5,Tbl_Gastos_A[[#All],[MES_AÑO]],$E$2)</f>
        <v>0</v>
      </c>
      <c r="F5" s="9">
        <f>SUMIFS(Tbl_Gastos_A[[#All],[VALOR]],Tbl_Gastos_A[[#All],[CATEGORIA]],$B5,Tbl_Gastos_A[[#All],[MES_AÑO]],$F$2)</f>
        <v>0</v>
      </c>
      <c r="G5" s="9">
        <f>SUMIFS(Tbl_Gastos_A[[#All],[VALOR]],Tbl_Gastos_A[[#All],[CATEGORIA]],$B5,Tbl_Gastos_A[[#All],[MES_AÑO]],$G$2)</f>
        <v>0</v>
      </c>
      <c r="H5" s="9">
        <f>SUMIFS(Tbl_Gastos_A[[#All],[VALOR]],Tbl_Gastos_A[[#All],[CATEGORIA]],$B5,Tbl_Gastos_A[[#All],[MES_AÑO]],$H$2)</f>
        <v>0</v>
      </c>
      <c r="I5" s="9">
        <f>SUMIFS(Tbl_Gastos_A[[#All],[VALOR]],Tbl_Gastos_A[[#All],[CATEGORIA]],$B5,Tbl_Gastos_A[[#All],[MES_AÑO]],$I$2)</f>
        <v>0</v>
      </c>
      <c r="J5" s="9">
        <f>SUMIFS(Tbl_Gastos_A[[#All],[VALOR]],Tbl_Gastos_A[[#All],[CATEGORIA]],$B5,Tbl_Gastos_A[[#All],[MES_AÑO]],$J$2)</f>
        <v>0</v>
      </c>
      <c r="K5" s="9">
        <f>SUMIFS(Tbl_Gastos_A[[#All],[VALOR]],Tbl_Gastos_A[[#All],[CATEGORIA]],$B5,Tbl_Gastos_A[[#All],[MES_AÑO]],$K$2)</f>
        <v>0</v>
      </c>
      <c r="L5" s="9">
        <f>SUMIFS(Tbl_Gastos_A[[#All],[VALOR]],Tbl_Gastos_A[[#All],[CATEGORIA]],$B5,Tbl_Gastos_A[[#All],[MES_AÑO]],$L$2)</f>
        <v>0</v>
      </c>
      <c r="M5" s="9">
        <f>SUMIFS(Tbl_Gastos_A[[#All],[VALOR]],Tbl_Gastos_A[[#All],[CATEGORIA]],$B5,Tbl_Gastos_A[[#All],[MES_AÑO]],$M$2)</f>
        <v>0</v>
      </c>
      <c r="N5" s="9">
        <f>SUMIFS(Tbl_Gastos_A[[#All],[VALOR]],Tbl_Gastos_A[[#All],[CATEGORIA]],$B5,Tbl_Gastos_A[[#All],[MES_AÑO]],$N$2)</f>
        <v>0</v>
      </c>
      <c r="O5" s="23">
        <f t="shared" ref="O5:O7" si="0">SUM(C5:N5)</f>
        <v>0</v>
      </c>
    </row>
    <row r="6" spans="2:15" x14ac:dyDescent="0.3">
      <c r="B6" s="21" t="s">
        <v>27</v>
      </c>
      <c r="C6" s="9">
        <f>SUMIFS(Tbl_Gastos_A[[#All],[VALOR]],Tbl_Gastos_A[[#All],[CATEGORIA]],$B6,Tbl_Gastos_A[[#All],[MES_AÑO]],$C$2)</f>
        <v>0</v>
      </c>
      <c r="D6" s="9">
        <f>SUMIFS(Tbl_Gastos_A[[#All],[VALOR]],Tbl_Gastos_A[[#All],[CATEGORIA]],$B6,Tbl_Gastos_A[[#All],[MES_AÑO]],$D$2)</f>
        <v>0</v>
      </c>
      <c r="E6" s="9">
        <f>SUMIFS(Tbl_Gastos_A[[#All],[VALOR]],Tbl_Gastos_A[[#All],[CATEGORIA]],$B6,Tbl_Gastos_A[[#All],[MES_AÑO]],$E$2)</f>
        <v>0</v>
      </c>
      <c r="F6" s="9">
        <f>SUMIFS(Tbl_Gastos_A[[#All],[VALOR]],Tbl_Gastos_A[[#All],[CATEGORIA]],$B6,Tbl_Gastos_A[[#All],[MES_AÑO]],$F$2)</f>
        <v>0</v>
      </c>
      <c r="G6" s="9">
        <f>SUMIFS(Tbl_Gastos_A[[#All],[VALOR]],Tbl_Gastos_A[[#All],[CATEGORIA]],$B6,Tbl_Gastos_A[[#All],[MES_AÑO]],$G$2)</f>
        <v>0</v>
      </c>
      <c r="H6" s="9">
        <f>SUMIFS(Tbl_Gastos_A[[#All],[VALOR]],Tbl_Gastos_A[[#All],[CATEGORIA]],$B6,Tbl_Gastos_A[[#All],[MES_AÑO]],$H$2)</f>
        <v>0</v>
      </c>
      <c r="I6" s="9">
        <f>SUMIFS(Tbl_Gastos_A[[#All],[VALOR]],Tbl_Gastos_A[[#All],[CATEGORIA]],$B6,Tbl_Gastos_A[[#All],[MES_AÑO]],$I$2)</f>
        <v>0</v>
      </c>
      <c r="J6" s="9">
        <f>SUMIFS(Tbl_Gastos_A[[#All],[VALOR]],Tbl_Gastos_A[[#All],[CATEGORIA]],$B6,Tbl_Gastos_A[[#All],[MES_AÑO]],$J$2)</f>
        <v>0</v>
      </c>
      <c r="K6" s="9">
        <f>SUMIFS(Tbl_Gastos_A[[#All],[VALOR]],Tbl_Gastos_A[[#All],[CATEGORIA]],$B6,Tbl_Gastos_A[[#All],[MES_AÑO]],$K$2)</f>
        <v>0</v>
      </c>
      <c r="L6" s="9">
        <f>SUMIFS(Tbl_Gastos_A[[#All],[VALOR]],Tbl_Gastos_A[[#All],[CATEGORIA]],$B6,Tbl_Gastos_A[[#All],[MES_AÑO]],$L$2)</f>
        <v>0</v>
      </c>
      <c r="M6" s="9">
        <f>SUMIFS(Tbl_Gastos_A[[#All],[VALOR]],Tbl_Gastos_A[[#All],[CATEGORIA]],$B6,Tbl_Gastos_A[[#All],[MES_AÑO]],$M$2)</f>
        <v>0</v>
      </c>
      <c r="N6" s="9">
        <f>SUMIFS(Tbl_Gastos_A[[#All],[VALOR]],Tbl_Gastos_A[[#All],[CATEGORIA]],$B6,Tbl_Gastos_A[[#All],[MES_AÑO]],$N$2)</f>
        <v>0</v>
      </c>
      <c r="O6" s="23">
        <f t="shared" si="0"/>
        <v>0</v>
      </c>
    </row>
    <row r="7" spans="2:15" x14ac:dyDescent="0.3">
      <c r="B7" s="21" t="s">
        <v>68</v>
      </c>
      <c r="C7" s="9">
        <f>SUMIFS(Tbl_Gastos_A[[#All],[VALOR]],Tbl_Gastos_A[[#All],[CATEGORIA]],$B7,Tbl_Gastos_A[[#All],[MES_AÑO]],$C$2)</f>
        <v>0</v>
      </c>
      <c r="D7" s="9">
        <f>SUMIFS(Tbl_Gastos_A[[#All],[VALOR]],Tbl_Gastos_A[[#All],[CATEGORIA]],$B7,Tbl_Gastos_A[[#All],[MES_AÑO]],$D$2)</f>
        <v>0</v>
      </c>
      <c r="E7" s="9">
        <f>SUMIFS(Tbl_Gastos_A[[#All],[VALOR]],Tbl_Gastos_A[[#All],[CATEGORIA]],$B7,Tbl_Gastos_A[[#All],[MES_AÑO]],$E$2)</f>
        <v>0</v>
      </c>
      <c r="F7" s="9">
        <f>SUMIFS(Tbl_Gastos_A[[#All],[VALOR]],Tbl_Gastos_A[[#All],[CATEGORIA]],$B7,Tbl_Gastos_A[[#All],[MES_AÑO]],$F$2)</f>
        <v>0</v>
      </c>
      <c r="G7" s="9">
        <f>SUMIFS(Tbl_Gastos_A[[#All],[VALOR]],Tbl_Gastos_A[[#All],[CATEGORIA]],$B7,Tbl_Gastos_A[[#All],[MES_AÑO]],$G$2)</f>
        <v>0</v>
      </c>
      <c r="H7" s="9">
        <f>SUMIFS(Tbl_Gastos_A[[#All],[VALOR]],Tbl_Gastos_A[[#All],[CATEGORIA]],$B7,Tbl_Gastos_A[[#All],[MES_AÑO]],$H$2)</f>
        <v>0</v>
      </c>
      <c r="I7" s="9">
        <f>SUMIFS(Tbl_Gastos_A[[#All],[VALOR]],Tbl_Gastos_A[[#All],[CATEGORIA]],$B7,Tbl_Gastos_A[[#All],[MES_AÑO]],$I$2)</f>
        <v>0</v>
      </c>
      <c r="J7" s="9">
        <f>SUMIFS(Tbl_Gastos_A[[#All],[VALOR]],Tbl_Gastos_A[[#All],[CATEGORIA]],$B7,Tbl_Gastos_A[[#All],[MES_AÑO]],$J$2)</f>
        <v>0</v>
      </c>
      <c r="K7" s="9">
        <f>SUMIFS(Tbl_Gastos_A[[#All],[VALOR]],Tbl_Gastos_A[[#All],[CATEGORIA]],$B7,Tbl_Gastos_A[[#All],[MES_AÑO]],$K$2)</f>
        <v>0</v>
      </c>
      <c r="L7" s="9">
        <f>SUMIFS(Tbl_Gastos_A[[#All],[VALOR]],Tbl_Gastos_A[[#All],[CATEGORIA]],$B7,Tbl_Gastos_A[[#All],[MES_AÑO]],$L$2)</f>
        <v>0</v>
      </c>
      <c r="M7" s="9">
        <f>SUMIFS(Tbl_Gastos_A[[#All],[VALOR]],Tbl_Gastos_A[[#All],[CATEGORIA]],$B7,Tbl_Gastos_A[[#All],[MES_AÑO]],$M$2)</f>
        <v>0</v>
      </c>
      <c r="N7" s="9">
        <f>SUMIFS(Tbl_Gastos_A[[#All],[VALOR]],Tbl_Gastos_A[[#All],[CATEGORIA]],$B7,Tbl_Gastos_A[[#All],[MES_AÑO]],$N$2)</f>
        <v>0</v>
      </c>
      <c r="O7" s="23">
        <f t="shared" si="0"/>
        <v>0</v>
      </c>
    </row>
    <row r="8" spans="2:15" x14ac:dyDescent="0.3">
      <c r="B8" s="21" t="s">
        <v>95</v>
      </c>
      <c r="C8" s="9">
        <f>SUMIFS(Tbl_Gastos_A[[#All],[VALOR]],Tbl_Gastos_A[[#All],[CATEGORIA]],$B8,Tbl_Gastos_A[[#All],[MES_AÑO]],$C$2)</f>
        <v>0</v>
      </c>
      <c r="D8" s="9"/>
      <c r="E8" s="9"/>
      <c r="F8" s="9"/>
      <c r="G8" s="9">
        <f>SUMIFS(Tbl_Gastos_A[[#All],[FECHA]],Tbl_Gastos_A[[#All],[CONCEPTO]],$B7,Tbl_Gastos_A[[#All],[COD_DE]],$G$2)</f>
        <v>0</v>
      </c>
      <c r="H8" s="9"/>
      <c r="I8" s="9"/>
      <c r="J8" s="9">
        <f>SUMIFS(Tbl_Gastos_A[[#All],[VALOR]],Tbl_Gastos_A[[#All],[CATEGORIA]],$B8,Tbl_Gastos_A[[#All],[MES_AÑO]],$J$2)</f>
        <v>0</v>
      </c>
      <c r="K8" s="9">
        <f>SUMIFS(Tbl_Gastos_A[[#All],[DESTINO]],Tbl_Gastos_A[[#All],[AÑO]],$B7,Tbl_Gastos_A[[#All],[MEDIO]],$C$2)</f>
        <v>0</v>
      </c>
      <c r="L8" s="9">
        <f>SUMIFS(Tbl_Gastos_A[[#All],[COD_CO]],Tbl_Gastos_A[[#All],[MES_AÑO]],$B7,Tbl_Gastos_A[[#All],[VALOR]],$C$2)</f>
        <v>0</v>
      </c>
      <c r="M8" s="9">
        <f>SUMIFS(Tbl_Gastos_A[[#All],[CONCEPTO]],Tbl_Gastos_A[[#All],[FECHA]],$B7,Tbl_Gastos_A[[#All],[MES]],$C$2)</f>
        <v>0</v>
      </c>
      <c r="N8" s="9">
        <f>SUMIFS(Tbl_Gastos_A[[#All],[MEDIO]],Tbl_Gastos_A[[#All],[COD_CA]],$B7,Tbl_Gastos_A[[#All],[AÑO]],$C$2)</f>
        <v>0</v>
      </c>
      <c r="O8" s="23"/>
    </row>
    <row r="9" spans="2:15" x14ac:dyDescent="0.3">
      <c r="B9" s="21" t="s">
        <v>16</v>
      </c>
      <c r="C9" s="22">
        <f>SUM(C4:C8)</f>
        <v>1</v>
      </c>
      <c r="D9" s="22">
        <f t="shared" ref="D9:N9" si="1">SUM(D4:D8)</f>
        <v>0</v>
      </c>
      <c r="E9" s="22">
        <f t="shared" si="1"/>
        <v>0</v>
      </c>
      <c r="F9" s="22">
        <f t="shared" si="1"/>
        <v>0</v>
      </c>
      <c r="G9" s="22">
        <f t="shared" si="1"/>
        <v>0</v>
      </c>
      <c r="H9" s="22">
        <f t="shared" si="1"/>
        <v>0</v>
      </c>
      <c r="I9" s="22">
        <f t="shared" si="1"/>
        <v>0</v>
      </c>
      <c r="J9" s="22">
        <f t="shared" si="1"/>
        <v>0</v>
      </c>
      <c r="K9" s="22">
        <f t="shared" si="1"/>
        <v>0</v>
      </c>
      <c r="L9" s="22">
        <f t="shared" si="1"/>
        <v>0</v>
      </c>
      <c r="M9" s="22">
        <f t="shared" si="1"/>
        <v>0</v>
      </c>
      <c r="N9" s="22">
        <f t="shared" si="1"/>
        <v>0</v>
      </c>
      <c r="O9" s="24">
        <f t="shared" ref="O9" si="2">SUM(O4:O7)</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895E-A250-4293-B38A-A8E156A96433}">
  <dimension ref="B3:O20"/>
  <sheetViews>
    <sheetView workbookViewId="0">
      <selection activeCell="F26" sqref="F26"/>
    </sheetView>
  </sheetViews>
  <sheetFormatPr defaultColWidth="11.5546875" defaultRowHeight="14.4" x14ac:dyDescent="0.3"/>
  <cols>
    <col min="2" max="2" width="20.33203125" bestFit="1" customWidth="1"/>
    <col min="15" max="15" width="12.44140625" bestFit="1" customWidth="1"/>
  </cols>
  <sheetData>
    <row r="3" spans="2:15" x14ac:dyDescent="0.3">
      <c r="B3" s="14">
        <v>0</v>
      </c>
      <c r="C3" s="26">
        <v>45292</v>
      </c>
      <c r="D3" s="26">
        <v>45323</v>
      </c>
      <c r="E3" s="26">
        <v>45352</v>
      </c>
      <c r="F3" s="26">
        <v>45383</v>
      </c>
      <c r="G3" s="26">
        <v>45413</v>
      </c>
      <c r="H3" s="26">
        <v>45444</v>
      </c>
      <c r="I3" s="26">
        <v>45474</v>
      </c>
      <c r="J3" s="26">
        <v>45505</v>
      </c>
      <c r="K3" s="26">
        <v>45536</v>
      </c>
      <c r="L3" s="26">
        <v>45566</v>
      </c>
      <c r="M3" s="26">
        <v>45597</v>
      </c>
      <c r="N3" s="26">
        <v>45627</v>
      </c>
      <c r="O3" s="27" t="s">
        <v>16</v>
      </c>
    </row>
    <row r="4" spans="2:15" x14ac:dyDescent="0.3">
      <c r="B4" s="27" t="s">
        <v>72</v>
      </c>
    </row>
    <row r="5" spans="2:15" x14ac:dyDescent="0.3">
      <c r="B5" t="s">
        <v>73</v>
      </c>
      <c r="C5" s="9">
        <f>Ingresos_Resumen!C7</f>
        <v>1387150</v>
      </c>
      <c r="D5" s="9">
        <f>Ingresos_Resumen!D7</f>
        <v>506875</v>
      </c>
      <c r="E5" s="9">
        <f>Ingresos_Resumen!E7</f>
        <v>326867</v>
      </c>
      <c r="F5" s="9">
        <f>Ingresos_Resumen!F7</f>
        <v>1238442</v>
      </c>
      <c r="G5" s="9">
        <f>Ingresos_Resumen!G7</f>
        <v>0</v>
      </c>
      <c r="H5" s="9">
        <f>Ingresos_Resumen!H7</f>
        <v>0</v>
      </c>
      <c r="I5" s="9">
        <f>Ingresos_Resumen!I7</f>
        <v>0</v>
      </c>
      <c r="J5" s="9">
        <f>Ingresos_Resumen!J7</f>
        <v>0</v>
      </c>
      <c r="K5" s="9">
        <f>Ingresos_Resumen!K7</f>
        <v>0</v>
      </c>
      <c r="L5" s="9">
        <f>Ingresos_Resumen!L7</f>
        <v>0</v>
      </c>
      <c r="M5" s="9">
        <f>Ingresos_Resumen!M7</f>
        <v>0</v>
      </c>
      <c r="N5" s="9">
        <f>Ingresos_Resumen!N7</f>
        <v>0</v>
      </c>
      <c r="O5" s="23">
        <f>SUM(C5:N5)</f>
        <v>3459334</v>
      </c>
    </row>
    <row r="6" spans="2:15" x14ac:dyDescent="0.3">
      <c r="C6" s="9"/>
      <c r="D6" s="9"/>
      <c r="E6" s="9"/>
      <c r="F6" s="9"/>
      <c r="G6" s="9"/>
      <c r="H6" s="9"/>
      <c r="I6" s="9"/>
      <c r="J6" s="9"/>
      <c r="K6" s="9"/>
      <c r="L6" s="9"/>
      <c r="M6" s="9"/>
      <c r="N6" s="9"/>
      <c r="O6" s="23">
        <f>SUM(C6:N6)</f>
        <v>0</v>
      </c>
    </row>
    <row r="7" spans="2:15" x14ac:dyDescent="0.3">
      <c r="B7" s="28" t="s">
        <v>74</v>
      </c>
      <c r="C7" s="12">
        <f t="shared" ref="C7:N7" si="0">SUM(C5:C6)</f>
        <v>1387150</v>
      </c>
      <c r="D7" s="12">
        <f t="shared" si="0"/>
        <v>506875</v>
      </c>
      <c r="E7" s="12">
        <f t="shared" si="0"/>
        <v>326867</v>
      </c>
      <c r="F7" s="12">
        <f t="shared" si="0"/>
        <v>1238442</v>
      </c>
      <c r="G7" s="12">
        <f t="shared" si="0"/>
        <v>0</v>
      </c>
      <c r="H7" s="12">
        <f t="shared" si="0"/>
        <v>0</v>
      </c>
      <c r="I7" s="12">
        <f t="shared" si="0"/>
        <v>0</v>
      </c>
      <c r="J7" s="12">
        <f t="shared" si="0"/>
        <v>0</v>
      </c>
      <c r="K7" s="12">
        <f t="shared" si="0"/>
        <v>0</v>
      </c>
      <c r="L7" s="12">
        <f t="shared" si="0"/>
        <v>0</v>
      </c>
      <c r="M7" s="12">
        <f t="shared" si="0"/>
        <v>0</v>
      </c>
      <c r="N7" s="12">
        <f t="shared" si="0"/>
        <v>0</v>
      </c>
      <c r="O7" s="29">
        <f>SUM(C7:N7)</f>
        <v>3459334</v>
      </c>
    </row>
    <row r="8" spans="2:15" x14ac:dyDescent="0.3">
      <c r="C8" s="9"/>
      <c r="D8" s="9"/>
      <c r="E8" s="9"/>
      <c r="F8" s="9"/>
      <c r="G8" s="9"/>
      <c r="H8" s="9"/>
      <c r="I8" s="9"/>
      <c r="J8" s="9"/>
      <c r="K8" s="9"/>
      <c r="L8" s="9"/>
      <c r="M8" s="9"/>
      <c r="N8" s="9"/>
    </row>
    <row r="9" spans="2:15" x14ac:dyDescent="0.3">
      <c r="C9" s="9"/>
      <c r="D9" s="9"/>
      <c r="E9" s="9"/>
      <c r="F9" s="9"/>
      <c r="G9" s="9"/>
      <c r="H9" s="9"/>
      <c r="I9" s="9"/>
      <c r="J9" s="9"/>
      <c r="K9" s="9"/>
      <c r="L9" s="9"/>
      <c r="M9" s="9"/>
      <c r="N9" s="9"/>
    </row>
    <row r="10" spans="2:15" x14ac:dyDescent="0.3">
      <c r="B10" s="27" t="s">
        <v>75</v>
      </c>
      <c r="C10" s="9"/>
      <c r="D10" s="9"/>
      <c r="E10" s="9"/>
      <c r="F10" s="9"/>
      <c r="G10" s="9"/>
      <c r="H10" s="9"/>
      <c r="I10" s="9"/>
      <c r="J10" s="9"/>
      <c r="K10" s="9"/>
      <c r="L10" s="9"/>
      <c r="M10" s="9"/>
      <c r="N10" s="9"/>
    </row>
    <row r="11" spans="2:15" x14ac:dyDescent="0.3">
      <c r="B11" t="s">
        <v>76</v>
      </c>
      <c r="C11" s="9">
        <f>GastA_Resumen!C9</f>
        <v>1</v>
      </c>
      <c r="D11" s="9">
        <f>GastA_Resumen!D9</f>
        <v>0</v>
      </c>
      <c r="E11" s="9">
        <f>GastA_Resumen!E9</f>
        <v>0</v>
      </c>
      <c r="F11" s="9">
        <f>GastA_Resumen!F9</f>
        <v>0</v>
      </c>
      <c r="G11" s="9">
        <f>GastA_Resumen!G9</f>
        <v>0</v>
      </c>
      <c r="H11" s="9">
        <f>GastA_Resumen!H9</f>
        <v>0</v>
      </c>
      <c r="I11" s="9">
        <f>GastA_Resumen!I9</f>
        <v>0</v>
      </c>
      <c r="J11" s="9">
        <f>GastA_Resumen!J9</f>
        <v>0</v>
      </c>
      <c r="K11" s="9">
        <f>GastA_Resumen!K9</f>
        <v>0</v>
      </c>
      <c r="L11" s="9">
        <f>GastA_Resumen!L9</f>
        <v>0</v>
      </c>
      <c r="M11" s="9">
        <f>GastA_Resumen!M9</f>
        <v>0</v>
      </c>
      <c r="N11" s="9">
        <f>GastA_Resumen!N9</f>
        <v>0</v>
      </c>
      <c r="O11" s="23">
        <f>SUM(C11:N11)</f>
        <v>1</v>
      </c>
    </row>
    <row r="12" spans="2:15" x14ac:dyDescent="0.3">
      <c r="B12" t="s">
        <v>77</v>
      </c>
      <c r="C12" s="9">
        <f>Gast_Resumen!C15</f>
        <v>351707</v>
      </c>
      <c r="D12" s="9">
        <f>Gast_Resumen!D15</f>
        <v>297083</v>
      </c>
      <c r="E12" s="9">
        <f>Gast_Resumen!E15</f>
        <v>135611</v>
      </c>
      <c r="F12" s="9">
        <f>Gast_Resumen!F15</f>
        <v>198370</v>
      </c>
      <c r="G12" s="9">
        <f>Gast_Resumen!G15</f>
        <v>391770</v>
      </c>
      <c r="H12" s="9">
        <f>Gast_Resumen!H15</f>
        <v>0</v>
      </c>
      <c r="I12" s="9">
        <f>Gast_Resumen!I15</f>
        <v>0</v>
      </c>
      <c r="J12" s="9">
        <f>Gast_Resumen!J15</f>
        <v>0</v>
      </c>
      <c r="K12" s="9">
        <f>Gast_Resumen!K15</f>
        <v>0</v>
      </c>
      <c r="L12" s="9">
        <f>Gast_Resumen!L15</f>
        <v>0</v>
      </c>
      <c r="M12" s="9">
        <f>Gast_Resumen!M15</f>
        <v>0</v>
      </c>
      <c r="N12" s="9">
        <f>Gast_Resumen!N15</f>
        <v>0</v>
      </c>
      <c r="O12" s="23">
        <f t="shared" ref="O12:O16" si="1">SUM(C12:N12)</f>
        <v>1374541</v>
      </c>
    </row>
    <row r="13" spans="2:15" x14ac:dyDescent="0.3">
      <c r="C13" s="9"/>
      <c r="D13" s="9"/>
      <c r="E13" s="9"/>
      <c r="F13" s="9"/>
      <c r="G13" s="9"/>
      <c r="H13" s="9"/>
      <c r="I13" s="9"/>
      <c r="J13" s="9"/>
      <c r="K13" s="9"/>
      <c r="L13" s="9"/>
      <c r="M13" s="9"/>
      <c r="N13" s="9"/>
      <c r="O13" s="23">
        <f t="shared" si="1"/>
        <v>0</v>
      </c>
    </row>
    <row r="14" spans="2:15" x14ac:dyDescent="0.3">
      <c r="B14" s="28" t="s">
        <v>78</v>
      </c>
      <c r="C14" s="12">
        <f t="shared" ref="C14:N14" si="2">SUM(C11:C12)</f>
        <v>351708</v>
      </c>
      <c r="D14" s="12">
        <f t="shared" si="2"/>
        <v>297083</v>
      </c>
      <c r="E14" s="12">
        <f t="shared" si="2"/>
        <v>135611</v>
      </c>
      <c r="F14" s="12">
        <f t="shared" si="2"/>
        <v>198370</v>
      </c>
      <c r="G14" s="12">
        <f t="shared" si="2"/>
        <v>391770</v>
      </c>
      <c r="H14" s="12">
        <f t="shared" si="2"/>
        <v>0</v>
      </c>
      <c r="I14" s="12">
        <f t="shared" si="2"/>
        <v>0</v>
      </c>
      <c r="J14" s="12">
        <f t="shared" si="2"/>
        <v>0</v>
      </c>
      <c r="K14" s="12">
        <f t="shared" si="2"/>
        <v>0</v>
      </c>
      <c r="L14" s="12">
        <f t="shared" si="2"/>
        <v>0</v>
      </c>
      <c r="M14" s="12">
        <f t="shared" si="2"/>
        <v>0</v>
      </c>
      <c r="N14" s="12">
        <f t="shared" si="2"/>
        <v>0</v>
      </c>
      <c r="O14" s="29">
        <f t="shared" si="1"/>
        <v>1374542</v>
      </c>
    </row>
    <row r="15" spans="2:15" x14ac:dyDescent="0.3">
      <c r="C15" s="9"/>
      <c r="D15" s="9"/>
      <c r="E15" s="9"/>
      <c r="F15" s="9"/>
      <c r="G15" s="9"/>
      <c r="H15" s="9"/>
      <c r="I15" s="9"/>
      <c r="J15" s="9"/>
      <c r="K15" s="9"/>
      <c r="L15" s="9"/>
      <c r="M15" s="9"/>
      <c r="N15" s="9"/>
    </row>
    <row r="16" spans="2:15" x14ac:dyDescent="0.3">
      <c r="B16" s="28" t="s">
        <v>79</v>
      </c>
      <c r="C16" s="12">
        <f t="shared" ref="C16:N16" si="3">+C7-C14</f>
        <v>1035442</v>
      </c>
      <c r="D16" s="12">
        <f t="shared" si="3"/>
        <v>209792</v>
      </c>
      <c r="E16" s="12">
        <f t="shared" si="3"/>
        <v>191256</v>
      </c>
      <c r="F16" s="12">
        <f t="shared" si="3"/>
        <v>1040072</v>
      </c>
      <c r="G16" s="12">
        <f t="shared" si="3"/>
        <v>-391770</v>
      </c>
      <c r="H16" s="12">
        <f t="shared" si="3"/>
        <v>0</v>
      </c>
      <c r="I16" s="12">
        <f t="shared" si="3"/>
        <v>0</v>
      </c>
      <c r="J16" s="12">
        <f>+J7-J14</f>
        <v>0</v>
      </c>
      <c r="K16" s="12">
        <f t="shared" si="3"/>
        <v>0</v>
      </c>
      <c r="L16" s="12">
        <f t="shared" si="3"/>
        <v>0</v>
      </c>
      <c r="M16" s="12">
        <f t="shared" si="3"/>
        <v>0</v>
      </c>
      <c r="N16" s="12">
        <f t="shared" si="3"/>
        <v>0</v>
      </c>
      <c r="O16" s="29">
        <f t="shared" si="1"/>
        <v>2084792</v>
      </c>
    </row>
    <row r="17" spans="2:15" x14ac:dyDescent="0.3">
      <c r="C17" s="9"/>
      <c r="D17" s="9"/>
      <c r="E17" s="9"/>
      <c r="F17" s="9"/>
      <c r="G17" s="9"/>
      <c r="H17" s="9"/>
      <c r="I17" s="9"/>
      <c r="J17" s="9"/>
      <c r="K17" s="9"/>
      <c r="L17" s="9"/>
      <c r="M17" s="9"/>
      <c r="N17" s="9"/>
    </row>
    <row r="18" spans="2:15" x14ac:dyDescent="0.3">
      <c r="B18" s="28" t="s">
        <v>80</v>
      </c>
      <c r="C18" s="12">
        <f>$B$3+C16</f>
        <v>1035442</v>
      </c>
      <c r="D18" s="12">
        <f>+C18+D16</f>
        <v>1245234</v>
      </c>
      <c r="E18" s="12">
        <f>+D18+E16</f>
        <v>1436490</v>
      </c>
      <c r="F18" s="12">
        <f>+E18+F16</f>
        <v>2476562</v>
      </c>
      <c r="G18" s="12">
        <f t="shared" ref="G18:N18" si="4">+F18+G16</f>
        <v>2084792</v>
      </c>
      <c r="H18" s="12">
        <f t="shared" si="4"/>
        <v>2084792</v>
      </c>
      <c r="I18" s="12">
        <f t="shared" si="4"/>
        <v>2084792</v>
      </c>
      <c r="J18" s="12">
        <f t="shared" si="4"/>
        <v>2084792</v>
      </c>
      <c r="K18" s="12">
        <f t="shared" si="4"/>
        <v>2084792</v>
      </c>
      <c r="L18" s="12">
        <f t="shared" si="4"/>
        <v>2084792</v>
      </c>
      <c r="M18" s="12">
        <f t="shared" si="4"/>
        <v>2084792</v>
      </c>
      <c r="N18" s="12">
        <f t="shared" si="4"/>
        <v>2084792</v>
      </c>
      <c r="O18" s="30"/>
    </row>
    <row r="20" spans="2:15" x14ac:dyDescent="0.3">
      <c r="B20" s="28" t="s">
        <v>81</v>
      </c>
      <c r="C20" t="s">
        <v>12</v>
      </c>
      <c r="F20" s="23" t="s">
        <v>12</v>
      </c>
      <c r="J20" s="23"/>
    </row>
  </sheetData>
  <conditionalFormatting sqref="C18:N18">
    <cfRule type="cellIs" dxfId="0" priority="1" operator="less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62C2-E4FA-4778-A1A5-5A1C8024A662}">
  <dimension ref="B3:K12"/>
  <sheetViews>
    <sheetView workbookViewId="0">
      <selection activeCell="O16" sqref="O16"/>
    </sheetView>
  </sheetViews>
  <sheetFormatPr defaultRowHeight="14.4" x14ac:dyDescent="0.3"/>
  <cols>
    <col min="2" max="2" width="10.33203125" bestFit="1" customWidth="1"/>
    <col min="3" max="3" width="14.44140625" bestFit="1" customWidth="1"/>
    <col min="4" max="4" width="12.77734375" bestFit="1" customWidth="1"/>
    <col min="5" max="5" width="15.44140625" bestFit="1" customWidth="1"/>
    <col min="6" max="6" width="14.44140625" bestFit="1" customWidth="1"/>
    <col min="7" max="7" width="13.88671875" customWidth="1"/>
    <col min="8" max="8" width="14.44140625" bestFit="1" customWidth="1"/>
    <col min="9" max="9" width="15.44140625" bestFit="1" customWidth="1"/>
    <col min="10" max="10" width="12.77734375" bestFit="1" customWidth="1"/>
    <col min="11" max="12" width="12.77734375" customWidth="1"/>
    <col min="14" max="14" width="14.44140625" bestFit="1" customWidth="1"/>
    <col min="15" max="15" width="12.77734375" bestFit="1" customWidth="1"/>
    <col min="16" max="16" width="14.44140625" bestFit="1" customWidth="1"/>
    <col min="17" max="18" width="14.44140625" customWidth="1"/>
    <col min="21" max="21" width="14.44140625" bestFit="1" customWidth="1"/>
  </cols>
  <sheetData>
    <row r="3" spans="2:11" x14ac:dyDescent="0.3">
      <c r="B3" t="s">
        <v>98</v>
      </c>
      <c r="C3" t="s">
        <v>43</v>
      </c>
      <c r="D3" t="s">
        <v>59</v>
      </c>
      <c r="E3" t="s">
        <v>12</v>
      </c>
      <c r="F3" t="s">
        <v>99</v>
      </c>
      <c r="G3" t="s">
        <v>96</v>
      </c>
      <c r="H3" t="s">
        <v>97</v>
      </c>
      <c r="I3" t="s">
        <v>132</v>
      </c>
      <c r="J3" t="s">
        <v>16</v>
      </c>
    </row>
    <row r="4" spans="2:11" x14ac:dyDescent="0.3">
      <c r="B4" s="4">
        <v>45538</v>
      </c>
      <c r="C4" s="5">
        <v>7870163</v>
      </c>
      <c r="D4" s="5">
        <v>125000</v>
      </c>
      <c r="E4" s="5">
        <v>20000000</v>
      </c>
      <c r="F4" s="5">
        <f>1260291*(1-4%)</f>
        <v>1209879.3599999999</v>
      </c>
      <c r="G4" s="5">
        <v>204</v>
      </c>
      <c r="H4" s="5">
        <v>1788262</v>
      </c>
      <c r="I4" s="5"/>
      <c r="J4" s="5">
        <f t="shared" ref="J4:J9" si="0">SUM(C4:I4)</f>
        <v>30993508.359999999</v>
      </c>
      <c r="K4" s="5"/>
    </row>
    <row r="5" spans="2:11" x14ac:dyDescent="0.3">
      <c r="B5" s="4">
        <v>45543</v>
      </c>
      <c r="C5" s="5">
        <v>949682</v>
      </c>
      <c r="D5" s="5">
        <v>120000</v>
      </c>
      <c r="E5" s="5">
        <v>28800000</v>
      </c>
      <c r="F5" s="5">
        <f t="shared" ref="F5:F11" si="1">916391.65</f>
        <v>916391.65</v>
      </c>
      <c r="G5" s="5">
        <v>204</v>
      </c>
      <c r="H5" s="5">
        <v>1041762</v>
      </c>
      <c r="I5" s="5"/>
      <c r="J5" s="5">
        <f t="shared" si="0"/>
        <v>31828039.649999999</v>
      </c>
      <c r="K5" s="5"/>
    </row>
    <row r="6" spans="2:11" x14ac:dyDescent="0.3">
      <c r="B6" s="4">
        <v>45567</v>
      </c>
      <c r="C6" s="5">
        <v>1751964</v>
      </c>
      <c r="D6" s="5">
        <v>120000</v>
      </c>
      <c r="E6" s="5">
        <v>28800000</v>
      </c>
      <c r="F6" s="5">
        <f t="shared" si="1"/>
        <v>916391.65</v>
      </c>
      <c r="G6" s="5">
        <f>1269168+46780</f>
        <v>1315948</v>
      </c>
      <c r="H6" s="5">
        <v>100000</v>
      </c>
      <c r="I6" s="5"/>
      <c r="J6" s="5">
        <f t="shared" si="0"/>
        <v>33004303.649999999</v>
      </c>
      <c r="K6" s="5"/>
    </row>
    <row r="7" spans="2:11" x14ac:dyDescent="0.3">
      <c r="B7" s="4">
        <v>45590</v>
      </c>
      <c r="C7" s="5">
        <v>1761964</v>
      </c>
      <c r="D7" s="5">
        <v>82000</v>
      </c>
      <c r="E7" s="5">
        <v>28800000</v>
      </c>
      <c r="F7" s="5">
        <f t="shared" si="1"/>
        <v>916391.65</v>
      </c>
      <c r="G7" s="5">
        <v>582621</v>
      </c>
      <c r="H7" s="5">
        <v>212681</v>
      </c>
      <c r="I7" s="5"/>
      <c r="J7" s="5">
        <f t="shared" si="0"/>
        <v>32355657.649999999</v>
      </c>
      <c r="K7" s="5"/>
    </row>
    <row r="8" spans="2:11" x14ac:dyDescent="0.3">
      <c r="B8" s="4">
        <v>45602</v>
      </c>
      <c r="C8" s="5">
        <v>2759062</v>
      </c>
      <c r="D8" s="5">
        <v>82000</v>
      </c>
      <c r="E8" s="5">
        <v>28800000</v>
      </c>
      <c r="F8" s="5">
        <f t="shared" si="1"/>
        <v>916391.65</v>
      </c>
      <c r="G8" s="5">
        <v>1030888</v>
      </c>
      <c r="H8" s="5">
        <v>191195</v>
      </c>
      <c r="I8" s="5"/>
      <c r="J8" s="5">
        <f t="shared" si="0"/>
        <v>33779536.649999999</v>
      </c>
      <c r="K8" s="5"/>
    </row>
    <row r="9" spans="2:11" x14ac:dyDescent="0.3">
      <c r="B9" s="4">
        <v>45624</v>
      </c>
      <c r="C9" s="5">
        <v>3059062</v>
      </c>
      <c r="D9" s="5">
        <v>217000</v>
      </c>
      <c r="E9" s="5">
        <v>28800000</v>
      </c>
      <c r="F9" s="5">
        <f t="shared" si="1"/>
        <v>916391.65</v>
      </c>
      <c r="G9" s="5">
        <v>259268</v>
      </c>
      <c r="H9" s="5">
        <v>0</v>
      </c>
      <c r="I9" s="5"/>
      <c r="J9" s="5">
        <f t="shared" si="0"/>
        <v>33251721.649999999</v>
      </c>
      <c r="K9" s="5"/>
    </row>
    <row r="10" spans="2:11" x14ac:dyDescent="0.3">
      <c r="B10" s="4">
        <v>45628</v>
      </c>
      <c r="C10" s="5">
        <v>3059062</v>
      </c>
      <c r="D10" s="5">
        <v>127000</v>
      </c>
      <c r="E10" s="5">
        <v>28800000</v>
      </c>
      <c r="F10" s="5">
        <f t="shared" si="1"/>
        <v>916391.65</v>
      </c>
      <c r="G10" s="5">
        <v>1000000</v>
      </c>
      <c r="H10" s="5">
        <v>0</v>
      </c>
      <c r="I10" s="5">
        <v>472510</v>
      </c>
      <c r="J10" s="5">
        <f>SUM(C10:I10)</f>
        <v>34374963.649999999</v>
      </c>
      <c r="K10" s="5"/>
    </row>
    <row r="11" spans="2:11" x14ac:dyDescent="0.3">
      <c r="B11" s="4">
        <v>45640</v>
      </c>
      <c r="C11" s="5">
        <v>3069841</v>
      </c>
      <c r="D11" s="5">
        <v>75000</v>
      </c>
      <c r="E11" s="5">
        <v>28800000</v>
      </c>
      <c r="F11" s="5">
        <f t="shared" si="1"/>
        <v>916391.65</v>
      </c>
      <c r="G11" s="5">
        <v>893099</v>
      </c>
      <c r="H11" s="5">
        <v>0</v>
      </c>
      <c r="I11" s="5">
        <v>473284</v>
      </c>
      <c r="J11" s="5">
        <f>SUM(C11:I11)</f>
        <v>34227615.649999999</v>
      </c>
      <c r="K11" s="5"/>
    </row>
    <row r="12" spans="2:11" x14ac:dyDescent="0.3">
      <c r="B12" s="4">
        <v>45695</v>
      </c>
      <c r="C12" s="5">
        <v>2808946</v>
      </c>
      <c r="D12" s="5">
        <v>70000</v>
      </c>
      <c r="E12" s="5">
        <v>30000000</v>
      </c>
      <c r="F12" s="5">
        <v>685320</v>
      </c>
      <c r="G12" s="5">
        <f>1271702</f>
        <v>1271702</v>
      </c>
      <c r="H12" s="5">
        <v>152483</v>
      </c>
      <c r="I12" s="5">
        <v>468932</v>
      </c>
      <c r="J12" s="5">
        <f>SUM(C12:I12)</f>
        <v>35457383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0EFD-43DC-4163-B1F8-AB93A3B0D835}">
  <dimension ref="C4:L34"/>
  <sheetViews>
    <sheetView tabSelected="1" topLeftCell="A10" workbookViewId="0">
      <selection activeCell="K26" sqref="K26"/>
    </sheetView>
  </sheetViews>
  <sheetFormatPr defaultRowHeight="14.4" x14ac:dyDescent="0.3"/>
  <cols>
    <col min="3" max="3" width="10.21875" bestFit="1" customWidth="1"/>
    <col min="4" max="5" width="12.77734375" bestFit="1" customWidth="1"/>
    <col min="6" max="7" width="12.77734375" customWidth="1"/>
    <col min="8" max="8" width="12.77734375" bestFit="1" customWidth="1"/>
    <col min="9" max="9" width="10.21875" bestFit="1" customWidth="1"/>
    <col min="11" max="11" width="14.44140625" bestFit="1" customWidth="1"/>
    <col min="12" max="12" width="12.77734375" bestFit="1" customWidth="1"/>
  </cols>
  <sheetData>
    <row r="4" spans="3:12" x14ac:dyDescent="0.3">
      <c r="D4" s="57" t="s">
        <v>100</v>
      </c>
      <c r="E4" s="57" t="s">
        <v>95</v>
      </c>
      <c r="F4" s="57" t="s">
        <v>2</v>
      </c>
      <c r="G4" s="57" t="s">
        <v>69</v>
      </c>
      <c r="H4" s="57" t="s">
        <v>115</v>
      </c>
      <c r="K4" s="57" t="s">
        <v>116</v>
      </c>
      <c r="L4" s="59">
        <f>SUM(Table11[[#All],[Tabla vacaciones]])</f>
        <v>1000000</v>
      </c>
    </row>
    <row r="5" spans="3:12" x14ac:dyDescent="0.3">
      <c r="C5" s="58" t="s">
        <v>101</v>
      </c>
      <c r="D5" s="59"/>
      <c r="E5" s="59"/>
      <c r="F5" s="59"/>
      <c r="G5" s="59"/>
      <c r="H5" s="59">
        <f t="shared" ref="H5:H15" si="0">D5-E5-F5-G5</f>
        <v>0</v>
      </c>
    </row>
    <row r="6" spans="3:12" x14ac:dyDescent="0.3">
      <c r="C6" s="58" t="s">
        <v>102</v>
      </c>
      <c r="D6" s="59"/>
      <c r="E6" s="59"/>
      <c r="F6" s="59"/>
      <c r="G6" s="59"/>
      <c r="H6" s="59">
        <f t="shared" si="0"/>
        <v>0</v>
      </c>
      <c r="K6" s="57" t="s">
        <v>117</v>
      </c>
      <c r="L6" s="59">
        <f>SUM(Table12[[#All],[Tabla ahorro]])</f>
        <v>2118372</v>
      </c>
    </row>
    <row r="7" spans="3:12" x14ac:dyDescent="0.3">
      <c r="C7" s="58" t="s">
        <v>103</v>
      </c>
      <c r="D7" s="59"/>
      <c r="E7" s="59"/>
      <c r="F7" s="59"/>
      <c r="G7" s="59"/>
      <c r="H7" s="59">
        <f t="shared" si="0"/>
        <v>0</v>
      </c>
    </row>
    <row r="8" spans="3:12" x14ac:dyDescent="0.3">
      <c r="C8" s="58" t="s">
        <v>104</v>
      </c>
      <c r="D8" s="59"/>
      <c r="E8" s="59"/>
      <c r="F8" s="59"/>
      <c r="G8" s="59"/>
      <c r="H8" s="59">
        <f t="shared" si="0"/>
        <v>0</v>
      </c>
      <c r="K8" s="57" t="s">
        <v>129</v>
      </c>
      <c r="L8" s="59">
        <f>F17</f>
        <v>150000</v>
      </c>
    </row>
    <row r="9" spans="3:12" x14ac:dyDescent="0.3">
      <c r="C9" s="58" t="s">
        <v>105</v>
      </c>
      <c r="D9" s="59"/>
      <c r="E9" s="59"/>
      <c r="F9" s="59"/>
      <c r="G9" s="59"/>
      <c r="H9" s="59">
        <f t="shared" si="0"/>
        <v>0</v>
      </c>
    </row>
    <row r="10" spans="3:12" x14ac:dyDescent="0.3">
      <c r="C10" s="58" t="s">
        <v>106</v>
      </c>
      <c r="D10" s="59"/>
      <c r="E10" s="59"/>
      <c r="F10" s="59"/>
      <c r="G10" s="59"/>
      <c r="H10" s="59">
        <f t="shared" si="0"/>
        <v>0</v>
      </c>
    </row>
    <row r="11" spans="3:12" x14ac:dyDescent="0.3">
      <c r="C11" s="58" t="s">
        <v>107</v>
      </c>
      <c r="D11" s="59"/>
      <c r="E11" s="59"/>
      <c r="F11" s="59"/>
      <c r="G11" s="59"/>
      <c r="H11" s="59">
        <f t="shared" si="0"/>
        <v>0</v>
      </c>
    </row>
    <row r="12" spans="3:12" x14ac:dyDescent="0.3">
      <c r="C12" s="58" t="s">
        <v>108</v>
      </c>
      <c r="D12" s="59">
        <v>700000</v>
      </c>
      <c r="E12" s="59">
        <v>200000</v>
      </c>
      <c r="F12" s="59"/>
      <c r="G12" s="59"/>
      <c r="H12" s="59">
        <f t="shared" si="0"/>
        <v>500000</v>
      </c>
    </row>
    <row r="13" spans="3:12" x14ac:dyDescent="0.3">
      <c r="C13" s="58" t="s">
        <v>109</v>
      </c>
      <c r="D13" s="59">
        <v>795862</v>
      </c>
      <c r="E13" s="59">
        <v>200000</v>
      </c>
      <c r="F13" s="59"/>
      <c r="G13" s="59"/>
      <c r="H13" s="59">
        <f t="shared" si="0"/>
        <v>595862</v>
      </c>
    </row>
    <row r="14" spans="3:12" x14ac:dyDescent="0.3">
      <c r="C14" s="58" t="s">
        <v>110</v>
      </c>
      <c r="D14" s="59"/>
      <c r="E14" s="59"/>
      <c r="F14" s="59"/>
      <c r="G14" s="59"/>
      <c r="H14" s="59">
        <f t="shared" si="0"/>
        <v>0</v>
      </c>
    </row>
    <row r="15" spans="3:12" x14ac:dyDescent="0.3">
      <c r="C15" s="58" t="s">
        <v>111</v>
      </c>
      <c r="D15" s="59">
        <f>1000000+150000+150000</f>
        <v>1300000</v>
      </c>
      <c r="E15" s="59">
        <v>400000</v>
      </c>
      <c r="F15" s="59">
        <v>150000</v>
      </c>
      <c r="G15" s="59"/>
      <c r="H15" s="59">
        <f t="shared" si="0"/>
        <v>750000</v>
      </c>
    </row>
    <row r="16" spans="3:12" x14ac:dyDescent="0.3">
      <c r="C16" s="58" t="s">
        <v>112</v>
      </c>
      <c r="D16" s="59">
        <v>472510</v>
      </c>
      <c r="E16" s="59">
        <v>200000</v>
      </c>
      <c r="F16" s="59"/>
      <c r="G16" s="59"/>
      <c r="H16" s="59">
        <f>D16-E16-F16-G16</f>
        <v>272510</v>
      </c>
    </row>
    <row r="17" spans="3:9" x14ac:dyDescent="0.3">
      <c r="C17" s="60" t="s">
        <v>16</v>
      </c>
      <c r="D17" s="61">
        <f>SUM(D5:D16)</f>
        <v>3268372</v>
      </c>
      <c r="E17" s="61">
        <f t="shared" ref="E17:F17" si="1">SUM(E5:E16)</f>
        <v>1000000</v>
      </c>
      <c r="F17" s="61">
        <f t="shared" si="1"/>
        <v>150000</v>
      </c>
      <c r="G17" s="61">
        <f>SUM(G5:G16)</f>
        <v>0</v>
      </c>
      <c r="H17" s="61">
        <f>SUM(H5:H16)</f>
        <v>2118372</v>
      </c>
    </row>
    <row r="20" spans="3:9" x14ac:dyDescent="0.3">
      <c r="D20" s="86" t="s">
        <v>132</v>
      </c>
      <c r="E20" s="86"/>
      <c r="F20" s="86"/>
      <c r="G20" s="86"/>
      <c r="H20" s="86"/>
      <c r="I20" s="86"/>
    </row>
    <row r="21" spans="3:9" x14ac:dyDescent="0.3">
      <c r="D21" s="57" t="s">
        <v>133</v>
      </c>
      <c r="E21" s="57" t="s">
        <v>134</v>
      </c>
      <c r="F21" s="57" t="s">
        <v>135</v>
      </c>
      <c r="G21" s="57" t="s">
        <v>136</v>
      </c>
      <c r="H21" s="57" t="s">
        <v>137</v>
      </c>
      <c r="I21" s="57" t="s">
        <v>16</v>
      </c>
    </row>
    <row r="22" spans="3:9" x14ac:dyDescent="0.3">
      <c r="C22" s="58" t="s">
        <v>101</v>
      </c>
      <c r="D22" s="59">
        <v>474710</v>
      </c>
      <c r="E22" s="59">
        <v>477973</v>
      </c>
      <c r="F22" s="73">
        <f t="shared" ref="F22:F32" si="2">(E22-D22)/D22</f>
        <v>6.8736702407785804E-3</v>
      </c>
      <c r="G22" s="72">
        <v>45659</v>
      </c>
      <c r="H22" s="72">
        <v>45690</v>
      </c>
      <c r="I22" s="59">
        <f t="shared" ref="I22:I32" si="3">E22-D22</f>
        <v>3263</v>
      </c>
    </row>
    <row r="23" spans="3:9" x14ac:dyDescent="0.3">
      <c r="C23" s="58" t="s">
        <v>102</v>
      </c>
      <c r="D23" s="59">
        <v>477973</v>
      </c>
      <c r="E23" s="59">
        <v>480833</v>
      </c>
      <c r="F23" s="73">
        <f t="shared" si="2"/>
        <v>5.983601584189902E-3</v>
      </c>
      <c r="G23" s="72">
        <v>45690</v>
      </c>
      <c r="H23" s="72">
        <v>45718</v>
      </c>
      <c r="I23" s="59">
        <f t="shared" si="3"/>
        <v>2860</v>
      </c>
    </row>
    <row r="24" spans="3:9" x14ac:dyDescent="0.3">
      <c r="C24" s="58" t="s">
        <v>103</v>
      </c>
      <c r="D24" s="59">
        <v>480833</v>
      </c>
      <c r="E24" s="59">
        <v>484334</v>
      </c>
      <c r="F24" s="73">
        <f t="shared" si="2"/>
        <v>7.2811142330081336E-3</v>
      </c>
      <c r="G24" s="72">
        <v>45718</v>
      </c>
      <c r="H24" s="72">
        <v>45750</v>
      </c>
      <c r="I24" s="59">
        <f t="shared" si="3"/>
        <v>3501</v>
      </c>
    </row>
    <row r="25" spans="3:9" x14ac:dyDescent="0.3">
      <c r="C25" s="58" t="s">
        <v>104</v>
      </c>
      <c r="D25" s="59">
        <v>484334</v>
      </c>
      <c r="E25" s="59">
        <v>487547</v>
      </c>
      <c r="F25" s="73">
        <f t="shared" si="2"/>
        <v>6.6338518460401291E-3</v>
      </c>
      <c r="G25" s="72">
        <v>45750</v>
      </c>
      <c r="H25" s="72">
        <v>45779</v>
      </c>
      <c r="I25" s="59">
        <f t="shared" si="3"/>
        <v>3213</v>
      </c>
    </row>
    <row r="26" spans="3:9" x14ac:dyDescent="0.3">
      <c r="C26" s="58" t="s">
        <v>105</v>
      </c>
      <c r="D26" s="59">
        <v>487547</v>
      </c>
      <c r="E26" s="59"/>
      <c r="F26" s="73">
        <f t="shared" si="2"/>
        <v>-1</v>
      </c>
      <c r="G26" s="72">
        <v>45779</v>
      </c>
      <c r="H26" s="72"/>
      <c r="I26" s="59">
        <f t="shared" si="3"/>
        <v>-487547</v>
      </c>
    </row>
    <row r="27" spans="3:9" x14ac:dyDescent="0.3">
      <c r="C27" s="58" t="s">
        <v>106</v>
      </c>
      <c r="D27" s="59"/>
      <c r="E27" s="59"/>
      <c r="F27" s="73" t="e">
        <f t="shared" si="2"/>
        <v>#DIV/0!</v>
      </c>
      <c r="G27" s="72"/>
      <c r="H27" s="72"/>
      <c r="I27" s="59">
        <f t="shared" si="3"/>
        <v>0</v>
      </c>
    </row>
    <row r="28" spans="3:9" x14ac:dyDescent="0.3">
      <c r="C28" s="58" t="s">
        <v>107</v>
      </c>
      <c r="D28" s="59"/>
      <c r="E28" s="59"/>
      <c r="F28" s="73" t="e">
        <f t="shared" si="2"/>
        <v>#DIV/0!</v>
      </c>
      <c r="G28" s="72"/>
      <c r="H28" s="72"/>
      <c r="I28" s="59">
        <f t="shared" si="3"/>
        <v>0</v>
      </c>
    </row>
    <row r="29" spans="3:9" x14ac:dyDescent="0.3">
      <c r="C29" s="58" t="s">
        <v>108</v>
      </c>
      <c r="D29" s="59"/>
      <c r="E29" s="59"/>
      <c r="F29" s="73" t="e">
        <f t="shared" si="2"/>
        <v>#DIV/0!</v>
      </c>
      <c r="G29" s="72"/>
      <c r="H29" s="72"/>
      <c r="I29" s="59">
        <f t="shared" si="3"/>
        <v>0</v>
      </c>
    </row>
    <row r="30" spans="3:9" x14ac:dyDescent="0.3">
      <c r="C30" s="58" t="s">
        <v>109</v>
      </c>
      <c r="D30" s="59"/>
      <c r="E30" s="59"/>
      <c r="F30" s="73" t="e">
        <f t="shared" si="2"/>
        <v>#DIV/0!</v>
      </c>
      <c r="G30" s="72"/>
      <c r="H30" s="72"/>
      <c r="I30" s="59">
        <f t="shared" si="3"/>
        <v>0</v>
      </c>
    </row>
    <row r="31" spans="3:9" x14ac:dyDescent="0.3">
      <c r="C31" s="58" t="s">
        <v>110</v>
      </c>
      <c r="D31" s="59"/>
      <c r="E31" s="59"/>
      <c r="F31" s="73" t="e">
        <f t="shared" si="2"/>
        <v>#DIV/0!</v>
      </c>
      <c r="G31" s="72"/>
      <c r="H31" s="72"/>
      <c r="I31" s="59">
        <f t="shared" si="3"/>
        <v>0</v>
      </c>
    </row>
    <row r="32" spans="3:9" x14ac:dyDescent="0.3">
      <c r="C32" s="58" t="s">
        <v>111</v>
      </c>
      <c r="D32" s="59"/>
      <c r="E32" s="59"/>
      <c r="F32" s="73" t="e">
        <f t="shared" si="2"/>
        <v>#DIV/0!</v>
      </c>
      <c r="G32" s="72"/>
      <c r="H32" s="72"/>
      <c r="I32" s="59">
        <f t="shared" si="3"/>
        <v>0</v>
      </c>
    </row>
    <row r="33" spans="3:9" x14ac:dyDescent="0.3">
      <c r="C33" s="58" t="s">
        <v>112</v>
      </c>
      <c r="D33" s="59">
        <f>472510.91</f>
        <v>472510.91</v>
      </c>
      <c r="E33" s="59">
        <v>474710</v>
      </c>
      <c r="F33" s="73">
        <f>(E33-D33)/D33</f>
        <v>4.654051268361244E-3</v>
      </c>
      <c r="G33" s="72">
        <v>45628</v>
      </c>
      <c r="H33" s="72">
        <v>45659</v>
      </c>
      <c r="I33" s="59">
        <f>E33-D33</f>
        <v>2199.0900000000256</v>
      </c>
    </row>
    <row r="34" spans="3:9" x14ac:dyDescent="0.3">
      <c r="C34" s="60" t="s">
        <v>16</v>
      </c>
      <c r="D34" s="61">
        <f>SUM(D22:D33)</f>
        <v>2877907.91</v>
      </c>
      <c r="E34" s="61">
        <f t="shared" ref="E34" si="4">SUM(E22:E33)</f>
        <v>2405397</v>
      </c>
      <c r="F34" s="61"/>
      <c r="G34" s="61"/>
      <c r="H34" s="61"/>
      <c r="I34" s="61"/>
    </row>
  </sheetData>
  <mergeCells count="1">
    <mergeCell ref="D20:I20"/>
  </mergeCells>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8740F-3207-4175-AF75-FBA5615DE175}">
  <dimension ref="E4:F8"/>
  <sheetViews>
    <sheetView workbookViewId="0">
      <selection activeCell="F9" sqref="F9"/>
    </sheetView>
  </sheetViews>
  <sheetFormatPr defaultRowHeight="14.4" x14ac:dyDescent="0.3"/>
  <cols>
    <col min="5" max="5" width="17.109375" customWidth="1"/>
    <col min="6" max="6" width="13.109375" customWidth="1"/>
  </cols>
  <sheetData>
    <row r="4" spans="5:6" x14ac:dyDescent="0.3">
      <c r="E4" t="s">
        <v>113</v>
      </c>
      <c r="F4" t="s">
        <v>114</v>
      </c>
    </row>
    <row r="5" spans="5:6" x14ac:dyDescent="0.3">
      <c r="E5" s="5">
        <v>200000</v>
      </c>
      <c r="F5" s="5">
        <v>500000</v>
      </c>
    </row>
    <row r="6" spans="5:6" x14ac:dyDescent="0.3">
      <c r="E6" s="5">
        <v>200000</v>
      </c>
      <c r="F6" s="5">
        <v>595862</v>
      </c>
    </row>
    <row r="7" spans="5:6" x14ac:dyDescent="0.3">
      <c r="E7" s="70">
        <v>400000</v>
      </c>
      <c r="F7" s="70">
        <v>750000</v>
      </c>
    </row>
    <row r="8" spans="5:6" x14ac:dyDescent="0.3">
      <c r="E8" s="5">
        <v>200000</v>
      </c>
      <c r="F8" s="5">
        <v>272510</v>
      </c>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6147-319A-4753-96D1-D1A71432CC74}">
  <dimension ref="D5:M79"/>
  <sheetViews>
    <sheetView topLeftCell="B1" workbookViewId="0">
      <selection activeCell="I12" sqref="I12"/>
    </sheetView>
  </sheetViews>
  <sheetFormatPr defaultRowHeight="14.4" x14ac:dyDescent="0.3"/>
  <cols>
    <col min="4" max="4" width="10.88671875" bestFit="1" customWidth="1"/>
    <col min="5" max="5" width="12.77734375" bestFit="1" customWidth="1"/>
    <col min="6" max="6" width="11.77734375" bestFit="1" customWidth="1"/>
    <col min="7" max="7" width="15.44140625" bestFit="1" customWidth="1"/>
    <col min="8" max="9" width="11.77734375" bestFit="1" customWidth="1"/>
    <col min="10" max="10" width="15.44140625" bestFit="1" customWidth="1"/>
    <col min="11" max="11" width="12.77734375" bestFit="1" customWidth="1"/>
    <col min="12" max="12" width="11.77734375" bestFit="1" customWidth="1"/>
    <col min="13" max="13" width="15.44140625" bestFit="1" customWidth="1"/>
  </cols>
  <sheetData>
    <row r="5" spans="4:13" x14ac:dyDescent="0.3">
      <c r="E5" s="87">
        <v>2025</v>
      </c>
      <c r="F5" s="87"/>
      <c r="G5" s="87"/>
      <c r="H5" s="87"/>
      <c r="I5" s="87"/>
      <c r="J5" s="87"/>
      <c r="K5" s="87"/>
      <c r="L5" s="87"/>
      <c r="M5" s="87"/>
    </row>
    <row r="6" spans="4:13" x14ac:dyDescent="0.3">
      <c r="E6" s="92" t="s">
        <v>96</v>
      </c>
      <c r="F6" s="93"/>
      <c r="G6" s="94"/>
      <c r="H6" s="95" t="s">
        <v>97</v>
      </c>
      <c r="I6" s="96"/>
      <c r="J6" s="97"/>
      <c r="K6" s="98" t="s">
        <v>43</v>
      </c>
      <c r="L6" s="99"/>
      <c r="M6" s="100"/>
    </row>
    <row r="7" spans="4:13" x14ac:dyDescent="0.3">
      <c r="E7" s="63" t="s">
        <v>120</v>
      </c>
      <c r="F7" s="63" t="s">
        <v>121</v>
      </c>
      <c r="G7" s="63"/>
      <c r="H7" s="64" t="s">
        <v>120</v>
      </c>
      <c r="I7" s="64" t="s">
        <v>121</v>
      </c>
      <c r="J7" s="64"/>
      <c r="K7" s="62" t="s">
        <v>120</v>
      </c>
      <c r="L7" s="62" t="s">
        <v>121</v>
      </c>
      <c r="M7" s="62"/>
    </row>
    <row r="8" spans="4:13" x14ac:dyDescent="0.3">
      <c r="D8" s="58" t="s">
        <v>101</v>
      </c>
      <c r="E8" s="61"/>
      <c r="F8" s="61"/>
      <c r="G8" s="61"/>
      <c r="H8" s="65">
        <v>148903</v>
      </c>
      <c r="I8" s="65">
        <v>104033</v>
      </c>
      <c r="J8" s="65"/>
      <c r="K8" s="59"/>
      <c r="L8" s="59"/>
      <c r="M8" s="59"/>
    </row>
    <row r="9" spans="4:13" x14ac:dyDescent="0.3">
      <c r="D9" s="58" t="s">
        <v>102</v>
      </c>
      <c r="E9" s="61"/>
      <c r="F9" s="61"/>
      <c r="G9" s="61"/>
      <c r="H9" s="65">
        <v>112403</v>
      </c>
      <c r="I9" s="65">
        <v>157733</v>
      </c>
      <c r="J9" s="65"/>
      <c r="K9" s="59"/>
      <c r="L9" s="59"/>
      <c r="M9" s="59"/>
    </row>
    <row r="10" spans="4:13" x14ac:dyDescent="0.3">
      <c r="D10" s="58" t="s">
        <v>119</v>
      </c>
      <c r="E10" s="61">
        <v>1210007</v>
      </c>
      <c r="F10" s="61">
        <v>692190</v>
      </c>
      <c r="G10" s="61"/>
      <c r="H10" s="65">
        <f>17000+10000</f>
        <v>27000</v>
      </c>
      <c r="I10" s="65">
        <f>12000+25000+11111</f>
        <v>48111</v>
      </c>
      <c r="J10" s="65"/>
      <c r="K10" s="59">
        <v>34834</v>
      </c>
      <c r="L10" s="59">
        <v>286141</v>
      </c>
      <c r="M10" s="59"/>
    </row>
    <row r="11" spans="4:13" x14ac:dyDescent="0.3">
      <c r="D11" s="58" t="s">
        <v>104</v>
      </c>
      <c r="E11" s="61"/>
      <c r="F11" s="61"/>
      <c r="G11" s="61"/>
      <c r="H11" s="65">
        <v>422018</v>
      </c>
      <c r="I11" s="65">
        <v>187000</v>
      </c>
      <c r="J11" s="65"/>
      <c r="K11" s="59"/>
      <c r="L11" s="59"/>
      <c r="M11" s="59"/>
    </row>
    <row r="12" spans="4:13" x14ac:dyDescent="0.3">
      <c r="D12" s="58" t="s">
        <v>105</v>
      </c>
      <c r="E12" s="61"/>
      <c r="F12" s="61"/>
      <c r="G12" s="61"/>
      <c r="H12" s="65"/>
      <c r="I12" s="65"/>
      <c r="J12" s="65"/>
      <c r="K12" s="59"/>
      <c r="L12" s="59"/>
      <c r="M12" s="59"/>
    </row>
    <row r="13" spans="4:13" x14ac:dyDescent="0.3">
      <c r="D13" s="58" t="s">
        <v>106</v>
      </c>
      <c r="E13" s="61"/>
      <c r="F13" s="61"/>
      <c r="G13" s="61"/>
      <c r="H13" s="65"/>
      <c r="I13" s="65"/>
      <c r="J13" s="65"/>
      <c r="K13" s="59"/>
      <c r="L13" s="59"/>
      <c r="M13" s="59"/>
    </row>
    <row r="14" spans="4:13" x14ac:dyDescent="0.3">
      <c r="D14" s="58" t="s">
        <v>107</v>
      </c>
      <c r="E14" s="61"/>
      <c r="F14" s="61"/>
      <c r="G14" s="61"/>
      <c r="H14" s="65"/>
      <c r="I14" s="65"/>
      <c r="J14" s="65"/>
      <c r="K14" s="59"/>
      <c r="L14" s="59"/>
      <c r="M14" s="59"/>
    </row>
    <row r="15" spans="4:13" x14ac:dyDescent="0.3">
      <c r="D15" s="58" t="s">
        <v>108</v>
      </c>
      <c r="E15" s="61"/>
      <c r="F15" s="61"/>
      <c r="G15" s="61"/>
      <c r="H15" s="65"/>
      <c r="I15" s="65"/>
      <c r="J15" s="65"/>
      <c r="K15" s="59"/>
      <c r="L15" s="59"/>
      <c r="M15" s="59"/>
    </row>
    <row r="16" spans="4:13" x14ac:dyDescent="0.3">
      <c r="D16" s="58" t="s">
        <v>109</v>
      </c>
      <c r="E16" s="61"/>
      <c r="F16" s="61"/>
      <c r="G16" s="61"/>
      <c r="H16" s="65"/>
      <c r="I16" s="65"/>
      <c r="J16" s="65"/>
      <c r="K16" s="59"/>
      <c r="L16" s="59"/>
      <c r="M16" s="59"/>
    </row>
    <row r="17" spans="4:13" x14ac:dyDescent="0.3">
      <c r="D17" s="58" t="s">
        <v>110</v>
      </c>
      <c r="E17" s="61"/>
      <c r="F17" s="61"/>
      <c r="G17" s="61"/>
      <c r="H17" s="65"/>
      <c r="I17" s="65"/>
      <c r="J17" s="65"/>
      <c r="K17" s="59"/>
      <c r="L17" s="59"/>
      <c r="M17" s="59"/>
    </row>
    <row r="18" spans="4:13" x14ac:dyDescent="0.3">
      <c r="D18" s="58" t="s">
        <v>111</v>
      </c>
      <c r="E18" s="61"/>
      <c r="F18" s="61"/>
      <c r="G18" s="61"/>
      <c r="H18" s="65"/>
      <c r="I18" s="65"/>
      <c r="J18" s="65"/>
      <c r="K18" s="59"/>
      <c r="L18" s="59"/>
      <c r="M18" s="59"/>
    </row>
    <row r="19" spans="4:13" x14ac:dyDescent="0.3">
      <c r="D19" s="58" t="s">
        <v>112</v>
      </c>
      <c r="E19" s="61"/>
      <c r="F19" s="61"/>
      <c r="G19" s="61"/>
      <c r="H19" s="65"/>
      <c r="I19" s="65"/>
      <c r="J19" s="65"/>
      <c r="K19" s="59"/>
      <c r="L19" s="59"/>
      <c r="M19" s="59"/>
    </row>
    <row r="23" spans="4:13" x14ac:dyDescent="0.3">
      <c r="D23" s="62" t="s">
        <v>120</v>
      </c>
      <c r="E23" s="66">
        <f>SUM(E8:E19)+SUM(H8:H19)+SUM(K8:K19)</f>
        <v>1955165</v>
      </c>
    </row>
    <row r="25" spans="4:13" x14ac:dyDescent="0.3">
      <c r="D25" s="62" t="s">
        <v>121</v>
      </c>
      <c r="E25" s="66">
        <f>SUM(F8:F20)+SUM(I8:I19)+SUM(L8:L19)</f>
        <v>1475208</v>
      </c>
    </row>
    <row r="32" spans="4:13" x14ac:dyDescent="0.3">
      <c r="E32" s="92" t="s">
        <v>96</v>
      </c>
      <c r="F32" s="93"/>
      <c r="G32" s="94"/>
      <c r="H32" s="95" t="s">
        <v>97</v>
      </c>
      <c r="I32" s="96"/>
      <c r="J32" s="97"/>
      <c r="K32" s="98" t="s">
        <v>43</v>
      </c>
      <c r="L32" s="99"/>
      <c r="M32" s="100"/>
    </row>
    <row r="33" spans="4:13" x14ac:dyDescent="0.3">
      <c r="E33" s="63" t="s">
        <v>120</v>
      </c>
      <c r="F33" s="63" t="s">
        <v>121</v>
      </c>
      <c r="G33" s="63"/>
      <c r="H33" s="64" t="s">
        <v>120</v>
      </c>
      <c r="I33" s="64" t="s">
        <v>121</v>
      </c>
      <c r="J33" s="64"/>
      <c r="K33" s="62" t="s">
        <v>120</v>
      </c>
      <c r="L33" s="62" t="s">
        <v>121</v>
      </c>
      <c r="M33" s="62"/>
    </row>
    <row r="34" spans="4:13" x14ac:dyDescent="0.3">
      <c r="D34" s="58" t="s">
        <v>101</v>
      </c>
      <c r="E34" s="61"/>
      <c r="F34" s="61"/>
      <c r="G34" s="61"/>
      <c r="H34" s="65">
        <v>1156570</v>
      </c>
      <c r="I34" s="65">
        <v>1156011</v>
      </c>
      <c r="J34" s="65"/>
      <c r="K34" s="59"/>
      <c r="L34" s="59"/>
      <c r="M34" s="59"/>
    </row>
    <row r="35" spans="4:13" x14ac:dyDescent="0.3">
      <c r="D35" s="58" t="s">
        <v>102</v>
      </c>
      <c r="E35" s="61"/>
      <c r="F35" s="61"/>
      <c r="G35" s="61"/>
      <c r="H35" s="65">
        <v>1072017</v>
      </c>
      <c r="I35" s="65">
        <v>771945</v>
      </c>
      <c r="J35" s="65"/>
      <c r="K35" s="59"/>
      <c r="L35" s="59"/>
      <c r="M35" s="59"/>
    </row>
    <row r="36" spans="4:13" x14ac:dyDescent="0.3">
      <c r="D36" s="58" t="s">
        <v>119</v>
      </c>
      <c r="E36" s="61">
        <v>984664.78</v>
      </c>
      <c r="F36" s="61">
        <v>2035000</v>
      </c>
      <c r="G36" s="61"/>
      <c r="H36" s="65">
        <v>50014</v>
      </c>
      <c r="I36" s="65">
        <v>51304</v>
      </c>
      <c r="J36" s="65"/>
      <c r="K36" s="59">
        <v>1232051</v>
      </c>
      <c r="L36" s="59">
        <v>2240285</v>
      </c>
      <c r="M36" s="59"/>
    </row>
    <row r="37" spans="4:13" x14ac:dyDescent="0.3">
      <c r="D37" s="58" t="s">
        <v>104</v>
      </c>
      <c r="E37" s="61"/>
      <c r="F37" s="61"/>
      <c r="G37" s="61"/>
      <c r="H37" s="65">
        <f>17000+1272000+9309+40.54+100</f>
        <v>1298449.54</v>
      </c>
      <c r="I37" s="65">
        <f>33900+1254000+90000+82465+6000</f>
        <v>1466365</v>
      </c>
      <c r="J37" s="65"/>
      <c r="K37" s="59"/>
      <c r="L37" s="59"/>
      <c r="M37" s="59"/>
    </row>
    <row r="38" spans="4:13" x14ac:dyDescent="0.3">
      <c r="D38" s="58" t="s">
        <v>105</v>
      </c>
      <c r="E38" s="61"/>
      <c r="F38" s="61"/>
      <c r="G38" s="61"/>
      <c r="H38" s="65">
        <v>2581953</v>
      </c>
      <c r="I38" s="65">
        <v>2656750</v>
      </c>
      <c r="J38" s="65"/>
      <c r="K38" s="59"/>
      <c r="L38" s="59"/>
      <c r="M38" s="59"/>
    </row>
    <row r="39" spans="4:13" x14ac:dyDescent="0.3">
      <c r="D39" s="58" t="s">
        <v>106</v>
      </c>
      <c r="E39" s="61">
        <v>7179023</v>
      </c>
      <c r="F39" s="61">
        <v>7676400</v>
      </c>
      <c r="G39" s="61"/>
      <c r="H39" s="65">
        <v>3163227</v>
      </c>
      <c r="I39" s="65">
        <v>2968365</v>
      </c>
      <c r="J39" s="65"/>
      <c r="K39" s="59">
        <v>5631323</v>
      </c>
      <c r="L39" s="59">
        <v>1913</v>
      </c>
      <c r="M39" s="59"/>
    </row>
    <row r="40" spans="4:13" x14ac:dyDescent="0.3">
      <c r="D40" s="58" t="s">
        <v>107</v>
      </c>
      <c r="E40" s="61"/>
      <c r="F40" s="61"/>
      <c r="G40" s="61"/>
      <c r="H40" s="65">
        <v>2298240</v>
      </c>
      <c r="I40" s="65">
        <v>2239418</v>
      </c>
      <c r="J40" s="65"/>
      <c r="K40" s="59"/>
      <c r="L40" s="59"/>
      <c r="M40" s="59"/>
    </row>
    <row r="41" spans="4:13" x14ac:dyDescent="0.3">
      <c r="D41" s="58" t="s">
        <v>108</v>
      </c>
      <c r="E41" s="61"/>
      <c r="F41" s="61"/>
      <c r="G41" s="61"/>
      <c r="H41" s="65">
        <v>1171034</v>
      </c>
      <c r="I41" s="65">
        <v>1312149</v>
      </c>
      <c r="J41" s="65"/>
      <c r="K41" s="59"/>
      <c r="L41" s="59"/>
      <c r="M41" s="59"/>
    </row>
    <row r="42" spans="4:13" x14ac:dyDescent="0.3">
      <c r="D42" s="58" t="s">
        <v>109</v>
      </c>
      <c r="E42" s="61">
        <v>5429577</v>
      </c>
      <c r="F42" s="61">
        <v>5610200</v>
      </c>
      <c r="G42" s="61"/>
      <c r="H42" s="65">
        <v>1886032</v>
      </c>
      <c r="I42" s="65">
        <v>2155177</v>
      </c>
      <c r="J42" s="65"/>
      <c r="K42" s="59">
        <v>3263829</v>
      </c>
      <c r="L42" s="59">
        <v>7623371</v>
      </c>
      <c r="M42" s="59"/>
    </row>
    <row r="43" spans="4:13" x14ac:dyDescent="0.3">
      <c r="D43" s="58" t="s">
        <v>110</v>
      </c>
      <c r="E43" s="61"/>
      <c r="F43" s="61"/>
      <c r="G43" s="61"/>
      <c r="H43" s="65">
        <v>155580</v>
      </c>
      <c r="I43" s="65">
        <v>42900</v>
      </c>
      <c r="J43" s="65"/>
      <c r="K43" s="59"/>
      <c r="L43" s="59"/>
      <c r="M43" s="59"/>
    </row>
    <row r="44" spans="4:13" x14ac:dyDescent="0.3">
      <c r="D44" s="58" t="s">
        <v>111</v>
      </c>
      <c r="E44" s="61"/>
      <c r="F44" s="61"/>
      <c r="G44" s="61"/>
      <c r="H44" s="65">
        <v>161404</v>
      </c>
      <c r="I44" s="65">
        <v>374085</v>
      </c>
      <c r="J44" s="65"/>
      <c r="K44" s="59"/>
      <c r="L44" s="59"/>
      <c r="M44" s="59"/>
    </row>
    <row r="45" spans="4:13" x14ac:dyDescent="0.3">
      <c r="D45" s="58" t="s">
        <v>112</v>
      </c>
      <c r="E45" s="61">
        <v>4175685</v>
      </c>
      <c r="F45" s="61"/>
      <c r="G45" s="61"/>
      <c r="H45" s="65"/>
      <c r="I45" s="65"/>
      <c r="J45" s="65"/>
      <c r="K45" s="59">
        <v>1331523</v>
      </c>
      <c r="L45" s="59">
        <v>1266</v>
      </c>
      <c r="M45" s="59"/>
    </row>
    <row r="49" spans="4:13" x14ac:dyDescent="0.3">
      <c r="D49" s="62" t="s">
        <v>120</v>
      </c>
      <c r="E49" s="66">
        <f>SUM(E34:E45)+SUM(H34:H45)+SUM(K34:K45)</f>
        <v>44222196.32</v>
      </c>
    </row>
    <row r="51" spans="4:13" x14ac:dyDescent="0.3">
      <c r="D51" s="62" t="s">
        <v>121</v>
      </c>
      <c r="E51" s="66">
        <f>SUM(F34:F46)+SUM(I34:I45)+SUM(L34:L45)</f>
        <v>40382904</v>
      </c>
    </row>
    <row r="53" spans="4:13" x14ac:dyDescent="0.3">
      <c r="D53" s="62" t="s">
        <v>121</v>
      </c>
      <c r="E53" s="66">
        <f>SUM(F36:F48)+SUM(I36:I47)+SUM(L36:L47)</f>
        <v>38454948</v>
      </c>
    </row>
    <row r="57" spans="4:13" x14ac:dyDescent="0.3">
      <c r="D57" s="67"/>
      <c r="E57" s="67"/>
      <c r="F57" s="67"/>
      <c r="G57" s="67"/>
      <c r="H57" s="67"/>
      <c r="I57" s="67"/>
      <c r="J57" s="67"/>
      <c r="K57" s="67"/>
      <c r="L57" s="67"/>
      <c r="M57" s="67"/>
    </row>
    <row r="58" spans="4:13" x14ac:dyDescent="0.3">
      <c r="E58" s="91">
        <v>2023</v>
      </c>
      <c r="F58" s="91"/>
      <c r="G58" s="91"/>
      <c r="H58" s="91"/>
      <c r="I58" s="91"/>
      <c r="J58" s="91"/>
      <c r="K58" s="91"/>
      <c r="L58" s="91"/>
      <c r="M58" s="91"/>
    </row>
    <row r="60" spans="4:13" x14ac:dyDescent="0.3">
      <c r="E60" s="88" t="s">
        <v>96</v>
      </c>
      <c r="F60" s="88"/>
      <c r="G60" s="88"/>
      <c r="H60" s="89" t="s">
        <v>97</v>
      </c>
      <c r="I60" s="89"/>
      <c r="J60" s="89"/>
      <c r="K60" s="90" t="s">
        <v>43</v>
      </c>
      <c r="L60" s="90"/>
      <c r="M60" s="90"/>
    </row>
    <row r="61" spans="4:13" x14ac:dyDescent="0.3">
      <c r="E61" s="63" t="s">
        <v>120</v>
      </c>
      <c r="F61" s="63" t="s">
        <v>121</v>
      </c>
      <c r="G61" s="63" t="s">
        <v>122</v>
      </c>
      <c r="H61" s="64" t="s">
        <v>120</v>
      </c>
      <c r="I61" s="64" t="s">
        <v>121</v>
      </c>
      <c r="J61" s="64" t="s">
        <v>122</v>
      </c>
      <c r="K61" s="62" t="s">
        <v>120</v>
      </c>
      <c r="L61" s="62" t="s">
        <v>121</v>
      </c>
      <c r="M61" s="62" t="s">
        <v>122</v>
      </c>
    </row>
    <row r="62" spans="4:13" x14ac:dyDescent="0.3">
      <c r="D62" s="58" t="s">
        <v>101</v>
      </c>
      <c r="E62" s="61"/>
      <c r="F62" s="61"/>
      <c r="G62" s="61">
        <f>SUM(E62+F62)</f>
        <v>0</v>
      </c>
      <c r="H62" s="65">
        <v>787460</v>
      </c>
      <c r="I62" s="65">
        <v>883743</v>
      </c>
      <c r="J62" s="65">
        <f>H62+I62</f>
        <v>1671203</v>
      </c>
      <c r="K62" s="59"/>
      <c r="L62" s="59"/>
      <c r="M62" s="59">
        <f>K62+L62</f>
        <v>0</v>
      </c>
    </row>
    <row r="63" spans="4:13" x14ac:dyDescent="0.3">
      <c r="D63" s="58" t="s">
        <v>102</v>
      </c>
      <c r="E63" s="61"/>
      <c r="F63" s="61"/>
      <c r="G63" s="61">
        <f t="shared" ref="G63:G73" si="0">SUM(E63+F63)</f>
        <v>0</v>
      </c>
      <c r="H63" s="65">
        <v>265100</v>
      </c>
      <c r="I63" s="65">
        <v>267250</v>
      </c>
      <c r="J63" s="65">
        <f t="shared" ref="J63:J73" si="1">H63+I63</f>
        <v>532350</v>
      </c>
      <c r="K63" s="59"/>
      <c r="L63" s="59"/>
      <c r="M63" s="59">
        <f t="shared" ref="M63:M73" si="2">K63+L63</f>
        <v>0</v>
      </c>
    </row>
    <row r="64" spans="4:13" x14ac:dyDescent="0.3">
      <c r="D64" s="58" t="s">
        <v>119</v>
      </c>
      <c r="E64" s="61">
        <v>1406676</v>
      </c>
      <c r="F64" s="61">
        <v>1020352</v>
      </c>
      <c r="G64" s="61">
        <f t="shared" si="0"/>
        <v>2427028</v>
      </c>
      <c r="H64" s="65">
        <v>229250</v>
      </c>
      <c r="I64" s="65">
        <v>258210</v>
      </c>
      <c r="J64" s="65">
        <f t="shared" si="1"/>
        <v>487460</v>
      </c>
      <c r="K64" s="59"/>
      <c r="L64" s="59"/>
      <c r="M64" s="59">
        <f t="shared" si="2"/>
        <v>0</v>
      </c>
    </row>
    <row r="65" spans="4:13" x14ac:dyDescent="0.3">
      <c r="D65" s="58" t="s">
        <v>104</v>
      </c>
      <c r="E65" s="61"/>
      <c r="F65" s="61"/>
      <c r="G65" s="61">
        <f t="shared" si="0"/>
        <v>0</v>
      </c>
      <c r="H65" s="65">
        <v>980469</v>
      </c>
      <c r="I65" s="65">
        <v>716400</v>
      </c>
      <c r="J65" s="65">
        <f t="shared" si="1"/>
        <v>1696869</v>
      </c>
      <c r="K65" s="59"/>
      <c r="L65" s="59"/>
      <c r="M65" s="59">
        <f t="shared" si="2"/>
        <v>0</v>
      </c>
    </row>
    <row r="66" spans="4:13" x14ac:dyDescent="0.3">
      <c r="D66" s="58" t="s">
        <v>105</v>
      </c>
      <c r="E66" s="61"/>
      <c r="F66" s="61"/>
      <c r="G66" s="61">
        <f t="shared" si="0"/>
        <v>0</v>
      </c>
      <c r="H66" s="65">
        <v>1017650</v>
      </c>
      <c r="I66" s="65">
        <v>1102178</v>
      </c>
      <c r="J66" s="65">
        <f t="shared" si="1"/>
        <v>2119828</v>
      </c>
      <c r="K66" s="59"/>
      <c r="L66" s="59"/>
      <c r="M66" s="59">
        <f t="shared" si="2"/>
        <v>0</v>
      </c>
    </row>
    <row r="67" spans="4:13" x14ac:dyDescent="0.3">
      <c r="D67" s="58" t="s">
        <v>106</v>
      </c>
      <c r="E67" s="61">
        <v>8910286</v>
      </c>
      <c r="F67" s="61">
        <v>8541798</v>
      </c>
      <c r="G67" s="61">
        <f t="shared" si="0"/>
        <v>17452084</v>
      </c>
      <c r="H67" s="65">
        <v>4558200</v>
      </c>
      <c r="I67" s="65">
        <v>2606287</v>
      </c>
      <c r="J67" s="65">
        <f t="shared" si="1"/>
        <v>7164487</v>
      </c>
      <c r="K67" s="61">
        <v>8910286</v>
      </c>
      <c r="L67" s="59"/>
      <c r="M67" s="59">
        <f t="shared" si="2"/>
        <v>8910286</v>
      </c>
    </row>
    <row r="68" spans="4:13" x14ac:dyDescent="0.3">
      <c r="D68" s="58" t="s">
        <v>107</v>
      </c>
      <c r="E68" s="61"/>
      <c r="F68" s="61"/>
      <c r="G68" s="61">
        <f t="shared" si="0"/>
        <v>0</v>
      </c>
      <c r="H68" s="65">
        <v>379413</v>
      </c>
      <c r="I68" s="65">
        <v>2505200</v>
      </c>
      <c r="J68" s="65">
        <f t="shared" si="1"/>
        <v>2884613</v>
      </c>
      <c r="K68" s="59"/>
      <c r="L68" s="59"/>
      <c r="M68" s="59">
        <f t="shared" si="2"/>
        <v>0</v>
      </c>
    </row>
    <row r="69" spans="4:13" x14ac:dyDescent="0.3">
      <c r="D69" s="58" t="s">
        <v>108</v>
      </c>
      <c r="E69" s="61"/>
      <c r="F69" s="61"/>
      <c r="G69" s="61">
        <f t="shared" si="0"/>
        <v>0</v>
      </c>
      <c r="H69" s="65">
        <v>1359138</v>
      </c>
      <c r="I69" s="65">
        <v>1296104</v>
      </c>
      <c r="J69" s="65">
        <f t="shared" si="1"/>
        <v>2655242</v>
      </c>
      <c r="K69" s="59"/>
      <c r="L69" s="59"/>
      <c r="M69" s="59">
        <f t="shared" si="2"/>
        <v>0</v>
      </c>
    </row>
    <row r="70" spans="4:13" x14ac:dyDescent="0.3">
      <c r="D70" s="58" t="s">
        <v>109</v>
      </c>
      <c r="E70" s="61">
        <v>5234440</v>
      </c>
      <c r="F70" s="61">
        <v>5516361</v>
      </c>
      <c r="G70" s="61">
        <f t="shared" si="0"/>
        <v>10750801</v>
      </c>
      <c r="H70" s="65">
        <v>2862017</v>
      </c>
      <c r="I70" s="65">
        <v>3096100</v>
      </c>
      <c r="J70" s="65">
        <f t="shared" si="1"/>
        <v>5958117</v>
      </c>
      <c r="K70" s="61">
        <v>5234440</v>
      </c>
      <c r="L70" s="59"/>
      <c r="M70" s="59">
        <f t="shared" si="2"/>
        <v>5234440</v>
      </c>
    </row>
    <row r="71" spans="4:13" x14ac:dyDescent="0.3">
      <c r="D71" s="58" t="s">
        <v>110</v>
      </c>
      <c r="E71" s="61"/>
      <c r="F71" s="61"/>
      <c r="G71" s="61">
        <f t="shared" si="0"/>
        <v>0</v>
      </c>
      <c r="H71" s="65">
        <v>321392</v>
      </c>
      <c r="I71" s="65">
        <v>128263</v>
      </c>
      <c r="J71" s="65">
        <f t="shared" si="1"/>
        <v>449655</v>
      </c>
      <c r="K71" s="59"/>
      <c r="L71" s="59"/>
      <c r="M71" s="59">
        <f t="shared" si="2"/>
        <v>0</v>
      </c>
    </row>
    <row r="72" spans="4:13" x14ac:dyDescent="0.3">
      <c r="D72" s="58" t="s">
        <v>111</v>
      </c>
      <c r="E72" s="61"/>
      <c r="F72" s="61"/>
      <c r="G72" s="61">
        <f t="shared" si="0"/>
        <v>0</v>
      </c>
      <c r="H72" s="65">
        <v>155442</v>
      </c>
      <c r="I72" s="65">
        <v>242906</v>
      </c>
      <c r="J72" s="65">
        <f t="shared" si="1"/>
        <v>398348</v>
      </c>
      <c r="K72" s="59"/>
      <c r="L72" s="59"/>
      <c r="M72" s="59">
        <f t="shared" si="2"/>
        <v>0</v>
      </c>
    </row>
    <row r="73" spans="4:13" x14ac:dyDescent="0.3">
      <c r="D73" s="58" t="s">
        <v>112</v>
      </c>
      <c r="E73" s="61">
        <v>1690273</v>
      </c>
      <c r="F73" s="61">
        <v>437249</v>
      </c>
      <c r="G73" s="61">
        <f t="shared" si="0"/>
        <v>2127522</v>
      </c>
      <c r="H73" s="65">
        <v>335510</v>
      </c>
      <c r="I73" s="65">
        <v>242460</v>
      </c>
      <c r="J73" s="65">
        <f t="shared" si="1"/>
        <v>577970</v>
      </c>
      <c r="K73" s="61">
        <v>5234440</v>
      </c>
      <c r="L73" s="59"/>
      <c r="M73" s="59">
        <f t="shared" si="2"/>
        <v>5234440</v>
      </c>
    </row>
    <row r="77" spans="4:13" x14ac:dyDescent="0.3">
      <c r="D77" s="62" t="s">
        <v>123</v>
      </c>
      <c r="E77" s="66">
        <f>SUM(E62:E73)+SUM(H62:H73)+SUM(K62:K73)</f>
        <v>49871882</v>
      </c>
    </row>
    <row r="79" spans="4:13" x14ac:dyDescent="0.3">
      <c r="D79" s="62" t="s">
        <v>121</v>
      </c>
      <c r="E79" s="66">
        <f>SUM(F62:F74)+SUM(I62:I73)+SUM(L62:L73)</f>
        <v>28860861</v>
      </c>
    </row>
  </sheetData>
  <mergeCells count="11">
    <mergeCell ref="E5:M5"/>
    <mergeCell ref="E60:G60"/>
    <mergeCell ref="H60:J60"/>
    <mergeCell ref="K60:M60"/>
    <mergeCell ref="E58:M58"/>
    <mergeCell ref="E32:G32"/>
    <mergeCell ref="H32:J32"/>
    <mergeCell ref="K32:M32"/>
    <mergeCell ref="E6:G6"/>
    <mergeCell ref="H6:J6"/>
    <mergeCell ref="K6:M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D134-5628-4C2B-BBC9-56426EB19710}">
  <sheetPr>
    <tabColor theme="9" tint="0.39997558519241921"/>
  </sheetPr>
  <dimension ref="B4:H18"/>
  <sheetViews>
    <sheetView workbookViewId="0">
      <selection activeCell="E18" sqref="E18"/>
    </sheetView>
  </sheetViews>
  <sheetFormatPr defaultColWidth="11.5546875" defaultRowHeight="14.4" x14ac:dyDescent="0.3"/>
  <cols>
    <col min="3" max="3" width="12.5546875" bestFit="1" customWidth="1"/>
    <col min="4" max="4" width="14.88671875" bestFit="1" customWidth="1"/>
    <col min="5" max="5" width="12.6640625" bestFit="1" customWidth="1"/>
    <col min="6" max="6" width="12.6640625" customWidth="1"/>
    <col min="8" max="8" width="13.5546875" bestFit="1" customWidth="1"/>
  </cols>
  <sheetData>
    <row r="4" spans="2:8" x14ac:dyDescent="0.3">
      <c r="B4" s="1" t="s">
        <v>4</v>
      </c>
      <c r="C4" s="2" t="s">
        <v>5</v>
      </c>
      <c r="D4" s="2" t="s">
        <v>6</v>
      </c>
      <c r="E4" s="3" t="s">
        <v>7</v>
      </c>
      <c r="F4" s="15" t="s">
        <v>8</v>
      </c>
      <c r="G4" s="2" t="s">
        <v>9</v>
      </c>
      <c r="H4" s="2" t="s">
        <v>10</v>
      </c>
    </row>
    <row r="5" spans="2:8" x14ac:dyDescent="0.3">
      <c r="B5" s="4">
        <v>45658</v>
      </c>
      <c r="C5" t="s">
        <v>151</v>
      </c>
      <c r="D5" t="s">
        <v>11</v>
      </c>
      <c r="E5" s="5">
        <v>189450</v>
      </c>
      <c r="F5" s="5" t="str">
        <f>PROPER(TEXT(Tbl_Ingresos[[#This Row],[FECHA]],"mmmm"))</f>
        <v>Enero</v>
      </c>
      <c r="G5">
        <f>YEAR(Tbl_Ingresos[[#This Row],[FECHA]])</f>
        <v>2025</v>
      </c>
      <c r="H5" t="str">
        <f>CONCATENATE(Tbl_Ingresos[[#This Row],[MES]],"_",Tbl_Ingresos[[#This Row],[AÑO]])</f>
        <v>Enero_2025</v>
      </c>
    </row>
    <row r="6" spans="2:8" x14ac:dyDescent="0.3">
      <c r="B6" s="4">
        <v>45658</v>
      </c>
      <c r="C6" t="s">
        <v>43</v>
      </c>
      <c r="D6" t="s">
        <v>152</v>
      </c>
      <c r="E6" s="51">
        <f>12898-516-2</f>
        <v>12380</v>
      </c>
      <c r="F6" s="51" t="str">
        <f>PROPER(TEXT(Tbl_Ingresos[[#This Row],[FECHA]],"mmmm"))</f>
        <v>Enero</v>
      </c>
      <c r="G6">
        <f>YEAR(Tbl_Ingresos[[#This Row],[FECHA]])</f>
        <v>2025</v>
      </c>
      <c r="H6" t="str">
        <f>CONCATENATE(Tbl_Ingresos[[#This Row],[MES]],"_",Tbl_Ingresos[[#This Row],[AÑO]])</f>
        <v>Enero_2025</v>
      </c>
    </row>
    <row r="7" spans="2:8" x14ac:dyDescent="0.3">
      <c r="B7" s="4">
        <v>45664</v>
      </c>
      <c r="C7" t="s">
        <v>43</v>
      </c>
      <c r="D7" t="s">
        <v>152</v>
      </c>
      <c r="E7" s="51">
        <v>685320</v>
      </c>
      <c r="F7" s="51" t="str">
        <f>PROPER(TEXT(Tbl_Ingresos[[#This Row],[FECHA]],"mmmm"))</f>
        <v>Enero</v>
      </c>
      <c r="G7">
        <f>YEAR(Tbl_Ingresos[[#This Row],[FECHA]])</f>
        <v>2025</v>
      </c>
      <c r="H7" t="str">
        <f>CONCATENATE(Tbl_Ingresos[[#This Row],[MES]],"_",Tbl_Ingresos[[#This Row],[AÑO]])</f>
        <v>Enero_2025</v>
      </c>
    </row>
    <row r="8" spans="2:8" x14ac:dyDescent="0.3">
      <c r="B8" s="4">
        <v>45667</v>
      </c>
      <c r="C8" t="s">
        <v>156</v>
      </c>
      <c r="D8" t="s">
        <v>11</v>
      </c>
      <c r="E8" s="51">
        <v>500000</v>
      </c>
      <c r="F8" s="51" t="str">
        <f>PROPER(TEXT(Tbl_Ingresos[[#This Row],[FECHA]],"mmmm"))</f>
        <v>Enero</v>
      </c>
      <c r="G8">
        <f>YEAR(Tbl_Ingresos[[#This Row],[FECHA]])</f>
        <v>2025</v>
      </c>
      <c r="H8" t="str">
        <f>CONCATENATE(Tbl_Ingresos[[#This Row],[MES]],"_",Tbl_Ingresos[[#This Row],[AÑO]])</f>
        <v>Enero_2025</v>
      </c>
    </row>
    <row r="9" spans="2:8" x14ac:dyDescent="0.3">
      <c r="B9" s="4">
        <v>45689</v>
      </c>
      <c r="C9" t="s">
        <v>169</v>
      </c>
      <c r="D9" t="s">
        <v>14</v>
      </c>
      <c r="E9" s="51">
        <v>245408</v>
      </c>
      <c r="F9" s="51" t="str">
        <f>PROPER(TEXT(Tbl_Ingresos[[#This Row],[FECHA]],"mmmm"))</f>
        <v>Febrero</v>
      </c>
      <c r="G9">
        <f>YEAR(Tbl_Ingresos[[#This Row],[FECHA]])</f>
        <v>2025</v>
      </c>
      <c r="H9" t="str">
        <f>CONCATENATE(Tbl_Ingresos[[#This Row],[MES]],"_",Tbl_Ingresos[[#This Row],[AÑO]])</f>
        <v>Febrero_2025</v>
      </c>
    </row>
    <row r="10" spans="2:8" x14ac:dyDescent="0.3">
      <c r="B10" s="4">
        <v>45689</v>
      </c>
      <c r="C10" t="s">
        <v>43</v>
      </c>
      <c r="D10" t="s">
        <v>152</v>
      </c>
      <c r="E10" s="51">
        <v>11467</v>
      </c>
      <c r="F10" s="51" t="str">
        <f>PROPER(TEXT(Tbl_Ingresos[[#This Row],[FECHA]],"mmmm"))</f>
        <v>Febrero</v>
      </c>
      <c r="G10">
        <f>YEAR(Tbl_Ingresos[[#This Row],[FECHA]])</f>
        <v>2025</v>
      </c>
      <c r="H10" t="str">
        <f>CONCATENATE(Tbl_Ingresos[[#This Row],[MES]],"_",Tbl_Ingresos[[#This Row],[AÑO]])</f>
        <v>Febrero_2025</v>
      </c>
    </row>
    <row r="11" spans="2:8" x14ac:dyDescent="0.3">
      <c r="B11" s="4">
        <v>45716</v>
      </c>
      <c r="C11" t="s">
        <v>156</v>
      </c>
      <c r="D11" t="s">
        <v>11</v>
      </c>
      <c r="E11" s="51">
        <v>250000</v>
      </c>
      <c r="F11" s="51" t="str">
        <f>PROPER(TEXT(Tbl_Ingresos[[#This Row],[FECHA]],"mmmm"))</f>
        <v>Febrero</v>
      </c>
      <c r="G11">
        <f>YEAR(Tbl_Ingresos[[#This Row],[FECHA]])</f>
        <v>2025</v>
      </c>
      <c r="H11" t="str">
        <f>CONCATENATE(Tbl_Ingresos[[#This Row],[MES]],"_",Tbl_Ingresos[[#This Row],[AÑO]])</f>
        <v>Febrero_2025</v>
      </c>
    </row>
    <row r="12" spans="2:8" x14ac:dyDescent="0.3">
      <c r="B12" s="4">
        <v>45717</v>
      </c>
      <c r="C12" t="s">
        <v>43</v>
      </c>
      <c r="D12" t="s">
        <v>152</v>
      </c>
      <c r="E12" s="51">
        <v>10231</v>
      </c>
      <c r="F12" s="51" t="str">
        <f>PROPER(TEXT(Tbl_Ingresos[[#This Row],[FECHA]],"mmmm"))</f>
        <v>Marzo</v>
      </c>
      <c r="G12">
        <f>YEAR(Tbl_Ingresos[[#This Row],[FECHA]])</f>
        <v>2025</v>
      </c>
      <c r="H12" t="str">
        <f>CONCATENATE(Tbl_Ingresos[[#This Row],[MES]],"_",Tbl_Ingresos[[#This Row],[AÑO]])</f>
        <v>Marzo_2025</v>
      </c>
    </row>
    <row r="13" spans="2:8" x14ac:dyDescent="0.3">
      <c r="B13" s="4">
        <v>45727</v>
      </c>
      <c r="C13" t="s">
        <v>156</v>
      </c>
      <c r="D13" t="s">
        <v>14</v>
      </c>
      <c r="E13" s="51">
        <v>5000</v>
      </c>
      <c r="F13" s="51" t="str">
        <f>PROPER(TEXT(Tbl_Ingresos[[#This Row],[FECHA]],"mmmm"))</f>
        <v>Marzo</v>
      </c>
      <c r="G13">
        <f>YEAR(Tbl_Ingresos[[#This Row],[FECHA]])</f>
        <v>2025</v>
      </c>
      <c r="H13" t="str">
        <f>CONCATENATE(Tbl_Ingresos[[#This Row],[MES]],"_",Tbl_Ingresos[[#This Row],[AÑO]])</f>
        <v>Marzo_2025</v>
      </c>
    </row>
    <row r="14" spans="2:8" x14ac:dyDescent="0.3">
      <c r="B14" s="4">
        <v>45747</v>
      </c>
      <c r="C14" t="s">
        <v>43</v>
      </c>
      <c r="D14" t="s">
        <v>152</v>
      </c>
      <c r="E14" s="51">
        <v>11636</v>
      </c>
      <c r="F14" s="51" t="str">
        <f>PROPER(TEXT(Tbl_Ingresos[[#This Row],[FECHA]],"mmmm"))</f>
        <v>Marzo</v>
      </c>
      <c r="G14">
        <f>YEAR(Tbl_Ingresos[[#This Row],[FECHA]])</f>
        <v>2025</v>
      </c>
      <c r="H14" t="str">
        <f>CONCATENATE(Tbl_Ingresos[[#This Row],[MES]],"_",Tbl_Ingresos[[#This Row],[AÑO]])</f>
        <v>Marzo_2025</v>
      </c>
    </row>
    <row r="15" spans="2:8" x14ac:dyDescent="0.3">
      <c r="B15" s="4">
        <v>45747</v>
      </c>
      <c r="C15" t="s">
        <v>156</v>
      </c>
      <c r="D15" t="s">
        <v>11</v>
      </c>
      <c r="E15" s="51">
        <v>300000</v>
      </c>
      <c r="F15" s="51" t="str">
        <f>PROPER(TEXT(Tbl_Ingresos[[#This Row],[FECHA]],"mmmm"))</f>
        <v>Marzo</v>
      </c>
      <c r="G15">
        <f>YEAR(Tbl_Ingresos[[#This Row],[FECHA]])</f>
        <v>2025</v>
      </c>
      <c r="H15" t="str">
        <f>CONCATENATE(Tbl_Ingresos[[#This Row],[MES]],"_",Tbl_Ingresos[[#This Row],[AÑO]])</f>
        <v>Marzo_2025</v>
      </c>
    </row>
    <row r="16" spans="2:8" x14ac:dyDescent="0.3">
      <c r="B16" s="4">
        <v>45771</v>
      </c>
      <c r="C16" t="s">
        <v>43</v>
      </c>
      <c r="D16" t="s">
        <v>152</v>
      </c>
      <c r="E16" s="51">
        <v>661184</v>
      </c>
      <c r="F16" s="51" t="str">
        <f>PROPER(TEXT(Tbl_Ingresos[[#This Row],[FECHA]],"mmmm"))</f>
        <v>Abril</v>
      </c>
      <c r="G16">
        <f>YEAR(Tbl_Ingresos[[#This Row],[FECHA]])</f>
        <v>2025</v>
      </c>
      <c r="H16" t="str">
        <f>CONCATENATE(Tbl_Ingresos[[#This Row],[MES]],"_",Tbl_Ingresos[[#This Row],[AÑO]])</f>
        <v>Abril_2025</v>
      </c>
    </row>
    <row r="17" spans="2:8" x14ac:dyDescent="0.3">
      <c r="B17" s="4">
        <v>45772</v>
      </c>
      <c r="C17" t="s">
        <v>156</v>
      </c>
      <c r="D17" t="s">
        <v>11</v>
      </c>
      <c r="E17" s="51">
        <v>500000</v>
      </c>
      <c r="F17" s="51" t="str">
        <f>PROPER(TEXT(Tbl_Ingresos[[#This Row],[FECHA]],"mmmm"))</f>
        <v>Abril</v>
      </c>
      <c r="G17">
        <f>YEAR(Tbl_Ingresos[[#This Row],[FECHA]])</f>
        <v>2025</v>
      </c>
      <c r="H17" t="str">
        <f>CONCATENATE(Tbl_Ingresos[[#This Row],[MES]],"_",Tbl_Ingresos[[#This Row],[AÑO]])</f>
        <v>Abril_2025</v>
      </c>
    </row>
    <row r="18" spans="2:8" x14ac:dyDescent="0.3">
      <c r="B18" s="4">
        <v>45777</v>
      </c>
      <c r="C18" t="s">
        <v>43</v>
      </c>
      <c r="D18" t="s">
        <v>152</v>
      </c>
      <c r="E18" s="51">
        <f>80491-3220-13</f>
        <v>77258</v>
      </c>
      <c r="F18" s="51" t="str">
        <f>PROPER(TEXT(Tbl_Ingresos[[#This Row],[FECHA]],"mmmm"))</f>
        <v>Abril</v>
      </c>
      <c r="G18">
        <f>YEAR(Tbl_Ingresos[[#This Row],[FECHA]])</f>
        <v>2025</v>
      </c>
      <c r="H18" t="str">
        <f>CONCATENATE(Tbl_Ingresos[[#This Row],[MES]],"_",Tbl_Ingresos[[#This Row],[AÑO]])</f>
        <v>Abril_2025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525E-A111-47BC-8F7E-EA3FDA0F71FD}">
  <dimension ref="B2:O7"/>
  <sheetViews>
    <sheetView workbookViewId="0">
      <selection activeCell="I16" sqref="I16"/>
    </sheetView>
  </sheetViews>
  <sheetFormatPr defaultColWidth="11.5546875" defaultRowHeight="14.4" x14ac:dyDescent="0.3"/>
  <cols>
    <col min="1" max="1" width="2.6640625" customWidth="1"/>
    <col min="2" max="2" width="14.109375" bestFit="1" customWidth="1"/>
  </cols>
  <sheetData>
    <row r="2" spans="2:15" x14ac:dyDescent="0.3">
      <c r="C2" s="13" t="s">
        <v>138</v>
      </c>
      <c r="D2" s="13" t="s">
        <v>139</v>
      </c>
      <c r="E2" s="13" t="s">
        <v>140</v>
      </c>
      <c r="F2" s="13" t="s">
        <v>141</v>
      </c>
      <c r="G2" s="13" t="s">
        <v>142</v>
      </c>
      <c r="H2" s="13" t="s">
        <v>143</v>
      </c>
      <c r="I2" s="13" t="s">
        <v>144</v>
      </c>
      <c r="J2" s="13" t="s">
        <v>145</v>
      </c>
      <c r="K2" s="13" t="s">
        <v>146</v>
      </c>
      <c r="L2" s="13" t="s">
        <v>147</v>
      </c>
      <c r="M2" s="13" t="s">
        <v>148</v>
      </c>
      <c r="N2" s="13" t="s">
        <v>149</v>
      </c>
    </row>
    <row r="3" spans="2:15" x14ac:dyDescent="0.3">
      <c r="B3" s="6" t="s">
        <v>5</v>
      </c>
      <c r="C3" s="7">
        <v>45658</v>
      </c>
      <c r="D3" s="7">
        <v>45689</v>
      </c>
      <c r="E3" s="7">
        <v>45717</v>
      </c>
      <c r="F3" s="7">
        <v>45748</v>
      </c>
      <c r="G3" s="7">
        <v>45778</v>
      </c>
      <c r="H3" s="7">
        <v>45809</v>
      </c>
      <c r="I3" s="7">
        <v>45839</v>
      </c>
      <c r="J3" s="7">
        <v>45870</v>
      </c>
      <c r="K3" s="7">
        <v>45901</v>
      </c>
      <c r="L3" s="7">
        <v>45931</v>
      </c>
      <c r="M3" s="7">
        <v>45962</v>
      </c>
      <c r="N3" s="7">
        <v>45992</v>
      </c>
    </row>
    <row r="4" spans="2:15" x14ac:dyDescent="0.3">
      <c r="B4" s="8" t="s">
        <v>11</v>
      </c>
      <c r="C4" s="9">
        <f>SUMIFS(Tbl_Ingresos[[#All],[VALOR]],Tbl_Ingresos[[#All],[CONCEPTO]],Ingresos_Resumen!B4,Tbl_Ingresos[[#All],[MES_AÑO]],Ingresos_Resumen!C2)</f>
        <v>689450</v>
      </c>
      <c r="D4" s="9">
        <f>SUMIFS(Tbl_Ingresos[[#All],[VALOR]],Tbl_Ingresos[[#All],[CONCEPTO]],Ingresos_Resumen!B4,Tbl_Ingresos[[#All],[MES_AÑO]],Ingresos_Resumen!D2)</f>
        <v>250000</v>
      </c>
      <c r="E4" s="9">
        <f>SUMIFS(Tbl_Ingresos[[#All],[VALOR]],Tbl_Ingresos[[#All],[CONCEPTO]],Ingresos_Resumen!B4,Tbl_Ingresos[[#All],[MES_AÑO]],Ingresos_Resumen!E2)</f>
        <v>300000</v>
      </c>
      <c r="F4" s="9">
        <f>SUMIFS(Tbl_Ingresos[[#All],[VALOR]],Tbl_Ingresos[[#All],[CONCEPTO]],Ingresos_Resumen!B4,Tbl_Ingresos[[#All],[MES_AÑO]],Ingresos_Resumen!F2)</f>
        <v>500000</v>
      </c>
      <c r="G4" s="9">
        <f>SUMIFS(Tbl_Ingresos[[#All],[VALOR]],Tbl_Ingresos[[#All],[CONCEPTO]],Ingresos_Resumen!B4,Tbl_Ingresos[[#All],[MES_AÑO]],Ingresos_Resumen!G2)</f>
        <v>0</v>
      </c>
      <c r="H4" s="9">
        <f>SUMIFS(Tbl_Ingresos[[#All],[VALOR]],Tbl_Ingresos[[#All],[CONCEPTO]],Ingresos_Resumen!B4,Tbl_Ingresos[[#All],[MES_AÑO]],Ingresos_Resumen!H2)</f>
        <v>0</v>
      </c>
      <c r="I4" s="9">
        <f>SUMIFS(Tbl_Ingresos[[#All],[VALOR]],Tbl_Ingresos[[#All],[CONCEPTO]],Ingresos_Resumen!B4,Tbl_Ingresos[[#All],[MES_AÑO]],Ingresos_Resumen!I2)</f>
        <v>0</v>
      </c>
      <c r="J4" s="9">
        <f>SUMIFS(Tbl_Ingresos[[#All],[VALOR]],Tbl_Ingresos[[#All],[CONCEPTO]],Ingresos_Resumen!B4,Tbl_Ingresos[[#All],[MES_AÑO]],Ingresos_Resumen!J2)</f>
        <v>0</v>
      </c>
      <c r="K4" s="9">
        <f>SUMIFS(Tbl_Ingresos[[#All],[VALOR]],Tbl_Ingresos[[#All],[CONCEPTO]],Ingresos_Resumen!B4,Tbl_Ingresos[[#All],[MES_AÑO]],Ingresos_Resumen!K2)</f>
        <v>0</v>
      </c>
      <c r="L4" s="9">
        <f>SUMIFS(Tbl_Ingresos[[#All],[VALOR]],Tbl_Ingresos[[#All],[CONCEPTO]],Ingresos_Resumen!B4,Tbl_Ingresos[[#All],[MES_AÑO]],Ingresos_Resumen!L2)</f>
        <v>0</v>
      </c>
      <c r="M4" s="9">
        <f>SUMIFS(Tbl_Ingresos[[#All],[VALOR]],Tbl_Ingresos[[#All],[CONCEPTO]],Ingresos_Resumen!B4,Tbl_Ingresos[[#All],[MES_AÑO]],Ingresos_Resumen!M2)</f>
        <v>0</v>
      </c>
      <c r="N4" s="9">
        <f>SUMIFS(Tbl_Ingresos[[#All],[VALOR]],Tbl_Ingresos[[#All],[CONCEPTO]],Ingresos_Resumen!B4,Tbl_Ingresos[[#All],[MES_AÑO]],Ingresos_Resumen!N2)</f>
        <v>0</v>
      </c>
    </row>
    <row r="5" spans="2:15" x14ac:dyDescent="0.3">
      <c r="B5" s="10" t="s">
        <v>13</v>
      </c>
      <c r="C5" s="9">
        <f>SUMIFS(Tbl_Ingresos[[#All],[VALOR]],Tbl_Ingresos[[#All],[CONCEPTO]],Ingresos_Resumen!B5,Tbl_Ingresos[[#All],[MES_AÑO]],Ingresos_Resumen!C2)</f>
        <v>697700</v>
      </c>
      <c r="D5" s="9">
        <f>SUMIFS(Tbl_Ingresos[[#All],[VALOR]],Tbl_Ingresos[[#All],[CONCEPTO]],Ingresos_Resumen!B5,Tbl_Ingresos[[#All],[MES_AÑO]],Ingresos_Resumen!D2)</f>
        <v>11467</v>
      </c>
      <c r="E5" s="9">
        <f>SUMIFS(Tbl_Ingresos[[#All],[VALOR]],Tbl_Ingresos[[#All],[CONCEPTO]],Ingresos_Resumen!B5,Tbl_Ingresos[[#All],[MES_AÑO]],Ingresos_Resumen!E2)</f>
        <v>21867</v>
      </c>
      <c r="F5" s="9">
        <f>SUMIFS(Tbl_Ingresos[[#All],[VALOR]],Tbl_Ingresos[[#All],[CONCEPTO]],Ingresos_Resumen!B5,Tbl_Ingresos[[#All],[MES_AÑO]],Ingresos_Resumen!F2)</f>
        <v>738442</v>
      </c>
      <c r="G5" s="9">
        <f>SUMIFS(Tbl_Ingresos[[#All],[VALOR]],Tbl_Ingresos[[#All],[CONCEPTO]],Ingresos_Resumen!B5,Tbl_Ingresos[[#All],[MES_AÑO]],Ingresos_Resumen!G2)</f>
        <v>0</v>
      </c>
      <c r="H5" s="9">
        <f>SUMIFS(Tbl_Ingresos[[#All],[VALOR]],Tbl_Ingresos[[#All],[CONCEPTO]],Ingresos_Resumen!B5,Tbl_Ingresos[[#All],[MES_AÑO]],Ingresos_Resumen!H2)</f>
        <v>0</v>
      </c>
      <c r="I5" s="9">
        <f>SUMIFS(Tbl_Ingresos[[#All],[VALOR]],Tbl_Ingresos[[#All],[CONCEPTO]],Ingresos_Resumen!B5,Tbl_Ingresos[[#All],[MES_AÑO]],Ingresos_Resumen!I2)</f>
        <v>0</v>
      </c>
      <c r="J5" s="9">
        <f>SUMIFS(Tbl_Ingresos[[#All],[VALOR]],Tbl_Ingresos[[#All],[CONCEPTO]],Ingresos_Resumen!B5,Tbl_Ingresos[[#All],[MES_AÑO]],Ingresos_Resumen!J2)</f>
        <v>0</v>
      </c>
      <c r="K5" s="9">
        <f>SUMIFS(Tbl_Ingresos[[#All],[VALOR]],Tbl_Ingresos[[#All],[CONCEPTO]],Ingresos_Resumen!B5,Tbl_Ingresos[[#All],[MES_AÑO]],Ingresos_Resumen!K2)</f>
        <v>0</v>
      </c>
      <c r="L5" s="9">
        <f>SUMIFS(Tbl_Ingresos[[#All],[VALOR]],Tbl_Ingresos[[#All],[CONCEPTO]],Ingresos_Resumen!B5,Tbl_Ingresos[[#All],[MES_AÑO]],Ingresos_Resumen!L2)</f>
        <v>0</v>
      </c>
      <c r="M5" s="9">
        <f>SUMIFS(Tbl_Ingresos[[#All],[VALOR]],Tbl_Ingresos[[#All],[CONCEPTO]],Ingresos_Resumen!B5,Tbl_Ingresos[[#All],[MES_AÑO]],Ingresos_Resumen!M2)</f>
        <v>0</v>
      </c>
      <c r="N5" s="9">
        <f>SUMIFS(Tbl_Ingresos[[#All],[VALOR]],Tbl_Ingresos[[#All],[CONCEPTO]],Ingresos_Resumen!B5,Tbl_Ingresos[[#All],[MES_AÑO]],Ingresos_Resumen!N2)</f>
        <v>0</v>
      </c>
    </row>
    <row r="6" spans="2:15" x14ac:dyDescent="0.3">
      <c r="B6" s="10" t="s">
        <v>14</v>
      </c>
      <c r="C6" s="9">
        <f>SUMIFS(Tbl_Ingresos[[#All],[VALOR]],Tbl_Ingresos[[#All],[CONCEPTO]],Ingresos_Resumen!B6,Tbl_Ingresos[[#All],[MES_AÑO]],Ingresos_Resumen!C2)</f>
        <v>0</v>
      </c>
      <c r="D6" s="9">
        <f>SUMIFS(Tbl_Ingresos[[#All],[VALOR]],Tbl_Ingresos[[#All],[CONCEPTO]],Ingresos_Resumen!B6,Tbl_Ingresos[[#All],[MES_AÑO]],Ingresos_Resumen!D2)</f>
        <v>245408</v>
      </c>
      <c r="E6" s="9">
        <f>SUMIFS(Tbl_Ingresos[[#All],[VALOR]],Tbl_Ingresos[[#All],[CONCEPTO]],Ingresos_Resumen!B6,Tbl_Ingresos[[#All],[MES_AÑO]],Ingresos_Resumen!E2)</f>
        <v>5000</v>
      </c>
      <c r="F6" s="9">
        <f>SUMIFS(Tbl_Ingresos[[#All],[VALOR]],Tbl_Ingresos[[#All],[CONCEPTO]],Ingresos_Resumen!B6,Tbl_Ingresos[[#All],[MES_AÑO]],Ingresos_Resumen!F2)</f>
        <v>0</v>
      </c>
      <c r="G6" s="9">
        <f>SUMIFS(Tbl_Ingresos[[#All],[VALOR]],Tbl_Ingresos[[#All],[CONCEPTO]],Ingresos_Resumen!B6,Tbl_Ingresos[[#All],[MES_AÑO]],Ingresos_Resumen!G2)</f>
        <v>0</v>
      </c>
      <c r="H6" s="9">
        <f>SUMIFS(Tbl_Ingresos[[#All],[VALOR]],Tbl_Ingresos[[#All],[CONCEPTO]],Ingresos_Resumen!B6,Tbl_Ingresos[[#All],[MES_AÑO]],Ingresos_Resumen!H2)</f>
        <v>0</v>
      </c>
      <c r="I6" s="9">
        <f>SUMIFS(Tbl_Ingresos[[#All],[VALOR]],Tbl_Ingresos[[#All],[CONCEPTO]],Ingresos_Resumen!B6,Tbl_Ingresos[[#All],[MES_AÑO]],Ingresos_Resumen!I2)</f>
        <v>0</v>
      </c>
      <c r="J6" s="9">
        <f>SUMIFS(Tbl_Ingresos[[#All],[VALOR]],Tbl_Ingresos[[#All],[CONCEPTO]],Ingresos_Resumen!B6,Tbl_Ingresos[[#All],[MES_AÑO]],Ingresos_Resumen!J2)</f>
        <v>0</v>
      </c>
      <c r="K6" s="9">
        <f>SUMIFS(Tbl_Ingresos[[#All],[VALOR]],Tbl_Ingresos[[#All],[CONCEPTO]],Ingresos_Resumen!B6,Tbl_Ingresos[[#All],[MES_AÑO]],Ingresos_Resumen!K2)</f>
        <v>0</v>
      </c>
      <c r="L6" s="9">
        <f>SUMIFS(Tbl_Ingresos[[#All],[VALOR]],Tbl_Ingresos[[#All],[CONCEPTO]],Ingresos_Resumen!B6,Tbl_Ingresos[[#All],[MES_AÑO]],Ingresos_Resumen!L2)</f>
        <v>0</v>
      </c>
      <c r="M6" s="9">
        <f>SUMIFS(Tbl_Ingresos[[#All],[VALOR]],Tbl_Ingresos[[#All],[CONCEPTO]],Ingresos_Resumen!B6,Tbl_Ingresos[[#All],[MES_AÑO]],Ingresos_Resumen!M2)</f>
        <v>0</v>
      </c>
      <c r="N6" s="9">
        <f>SUMIFS(Tbl_Ingresos[[#All],[VALOR]],Tbl_Ingresos[[#All],[CONCEPTO]],Ingresos_Resumen!B6,Tbl_Ingresos[[#All],[MES_AÑO]],Ingresos_Resumen!N2)</f>
        <v>0</v>
      </c>
    </row>
    <row r="7" spans="2:15" x14ac:dyDescent="0.3">
      <c r="B7" s="11" t="s">
        <v>16</v>
      </c>
      <c r="C7" s="12">
        <f t="shared" ref="C7:N7" si="0">SUM(C4:C6)</f>
        <v>1387150</v>
      </c>
      <c r="D7" s="12">
        <f t="shared" si="0"/>
        <v>506875</v>
      </c>
      <c r="E7" s="12">
        <f t="shared" si="0"/>
        <v>326867</v>
      </c>
      <c r="F7" s="12">
        <f t="shared" si="0"/>
        <v>1238442</v>
      </c>
      <c r="G7" s="12">
        <f t="shared" si="0"/>
        <v>0</v>
      </c>
      <c r="H7" s="12">
        <f t="shared" si="0"/>
        <v>0</v>
      </c>
      <c r="I7" s="12">
        <f t="shared" si="0"/>
        <v>0</v>
      </c>
      <c r="J7" s="12">
        <f t="shared" si="0"/>
        <v>0</v>
      </c>
      <c r="K7" s="12">
        <f t="shared" si="0"/>
        <v>0</v>
      </c>
      <c r="L7" s="12">
        <f t="shared" si="0"/>
        <v>0</v>
      </c>
      <c r="M7" s="12">
        <f t="shared" si="0"/>
        <v>0</v>
      </c>
      <c r="N7" s="12">
        <f t="shared" si="0"/>
        <v>0</v>
      </c>
      <c r="O7" s="12">
        <f>SUM(C7:N7)</f>
        <v>3459334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67F8-B886-4C20-AFBD-76AFF5C93DE4}">
  <dimension ref="B2:I25"/>
  <sheetViews>
    <sheetView workbookViewId="0">
      <selection activeCell="H24" sqref="H24"/>
    </sheetView>
  </sheetViews>
  <sheetFormatPr defaultColWidth="11.5546875" defaultRowHeight="14.4" x14ac:dyDescent="0.3"/>
  <cols>
    <col min="1" max="1" width="5.6640625" customWidth="1"/>
    <col min="2" max="2" width="13.33203125" bestFit="1" customWidth="1"/>
    <col min="3" max="3" width="19.44140625" bestFit="1" customWidth="1"/>
    <col min="5" max="5" width="14.33203125" bestFit="1" customWidth="1"/>
    <col min="6" max="6" width="14" bestFit="1" customWidth="1"/>
    <col min="8" max="8" width="15.109375" bestFit="1" customWidth="1"/>
    <col min="9" max="9" width="17.6640625" bestFit="1" customWidth="1"/>
  </cols>
  <sheetData>
    <row r="2" spans="2:9" x14ac:dyDescent="0.3">
      <c r="B2" s="1" t="s">
        <v>17</v>
      </c>
      <c r="C2" s="16" t="s">
        <v>18</v>
      </c>
      <c r="E2" s="1" t="s">
        <v>19</v>
      </c>
      <c r="F2" s="16" t="s">
        <v>20</v>
      </c>
      <c r="H2" s="1" t="s">
        <v>21</v>
      </c>
      <c r="I2" s="16" t="s">
        <v>22</v>
      </c>
    </row>
    <row r="3" spans="2:9" x14ac:dyDescent="0.3">
      <c r="B3">
        <v>1001</v>
      </c>
      <c r="C3" t="s">
        <v>23</v>
      </c>
      <c r="E3">
        <v>2001</v>
      </c>
      <c r="F3" t="s">
        <v>24</v>
      </c>
      <c r="H3">
        <v>3001</v>
      </c>
      <c r="I3" t="s">
        <v>24</v>
      </c>
    </row>
    <row r="4" spans="2:9" x14ac:dyDescent="0.3">
      <c r="B4">
        <v>1002</v>
      </c>
      <c r="C4" t="s">
        <v>25</v>
      </c>
      <c r="E4">
        <v>2002</v>
      </c>
      <c r="F4" t="s">
        <v>26</v>
      </c>
      <c r="H4">
        <v>3002</v>
      </c>
      <c r="I4" t="s">
        <v>26</v>
      </c>
    </row>
    <row r="5" spans="2:9" x14ac:dyDescent="0.3">
      <c r="B5">
        <v>1003</v>
      </c>
      <c r="C5" t="s">
        <v>27</v>
      </c>
      <c r="E5">
        <v>2003</v>
      </c>
      <c r="F5" t="s">
        <v>28</v>
      </c>
      <c r="H5">
        <v>3003</v>
      </c>
      <c r="I5" t="s">
        <v>28</v>
      </c>
    </row>
    <row r="6" spans="2:9" x14ac:dyDescent="0.3">
      <c r="B6">
        <v>1004</v>
      </c>
      <c r="C6" t="s">
        <v>29</v>
      </c>
      <c r="E6">
        <v>2004</v>
      </c>
      <c r="F6" t="s">
        <v>30</v>
      </c>
      <c r="H6">
        <v>3004</v>
      </c>
      <c r="I6" t="s">
        <v>30</v>
      </c>
    </row>
    <row r="7" spans="2:9" x14ac:dyDescent="0.3">
      <c r="B7">
        <v>1005</v>
      </c>
      <c r="C7" t="s">
        <v>31</v>
      </c>
      <c r="E7">
        <v>2005</v>
      </c>
      <c r="F7" t="s">
        <v>32</v>
      </c>
      <c r="H7">
        <v>3005</v>
      </c>
      <c r="I7" t="s">
        <v>32</v>
      </c>
    </row>
    <row r="8" spans="2:9" x14ac:dyDescent="0.3">
      <c r="B8">
        <v>1006</v>
      </c>
      <c r="C8" t="s">
        <v>33</v>
      </c>
      <c r="E8">
        <v>2006</v>
      </c>
      <c r="F8" t="s">
        <v>34</v>
      </c>
      <c r="H8">
        <v>3006</v>
      </c>
      <c r="I8" t="s">
        <v>35</v>
      </c>
    </row>
    <row r="9" spans="2:9" x14ac:dyDescent="0.3">
      <c r="B9">
        <v>1007</v>
      </c>
      <c r="C9" t="s">
        <v>36</v>
      </c>
      <c r="E9">
        <v>2007</v>
      </c>
      <c r="F9" t="s">
        <v>37</v>
      </c>
      <c r="H9">
        <v>3007</v>
      </c>
      <c r="I9" t="s">
        <v>38</v>
      </c>
    </row>
    <row r="10" spans="2:9" x14ac:dyDescent="0.3">
      <c r="B10">
        <v>1008</v>
      </c>
      <c r="C10" t="s">
        <v>39</v>
      </c>
      <c r="E10">
        <v>2008</v>
      </c>
      <c r="F10" t="s">
        <v>40</v>
      </c>
      <c r="H10">
        <v>3008</v>
      </c>
      <c r="I10" t="s">
        <v>41</v>
      </c>
    </row>
    <row r="11" spans="2:9" x14ac:dyDescent="0.3">
      <c r="B11">
        <v>1009</v>
      </c>
      <c r="C11" t="s">
        <v>42</v>
      </c>
      <c r="E11">
        <v>2009</v>
      </c>
      <c r="F11" t="s">
        <v>43</v>
      </c>
      <c r="H11">
        <v>3009</v>
      </c>
      <c r="I11" t="s">
        <v>44</v>
      </c>
    </row>
    <row r="12" spans="2:9" x14ac:dyDescent="0.3">
      <c r="B12">
        <v>1010</v>
      </c>
      <c r="C12" t="s">
        <v>45</v>
      </c>
      <c r="E12">
        <v>2010</v>
      </c>
      <c r="F12" t="s">
        <v>15</v>
      </c>
      <c r="H12">
        <v>3010</v>
      </c>
      <c r="I12" t="s">
        <v>46</v>
      </c>
    </row>
    <row r="13" spans="2:9" x14ac:dyDescent="0.3">
      <c r="B13">
        <v>1011</v>
      </c>
      <c r="C13" t="s">
        <v>47</v>
      </c>
      <c r="E13">
        <v>2011</v>
      </c>
      <c r="F13" t="s">
        <v>14</v>
      </c>
      <c r="H13">
        <v>3011</v>
      </c>
      <c r="I13" t="s">
        <v>48</v>
      </c>
    </row>
    <row r="14" spans="2:9" x14ac:dyDescent="0.3">
      <c r="E14">
        <v>2012</v>
      </c>
      <c r="F14" t="s">
        <v>82</v>
      </c>
      <c r="H14">
        <v>3012</v>
      </c>
      <c r="I14" t="s">
        <v>49</v>
      </c>
    </row>
    <row r="15" spans="2:9" x14ac:dyDescent="0.3">
      <c r="E15">
        <v>2013</v>
      </c>
      <c r="F15" t="s">
        <v>83</v>
      </c>
      <c r="H15">
        <v>3013</v>
      </c>
      <c r="I15" t="s">
        <v>91</v>
      </c>
    </row>
    <row r="16" spans="2:9" x14ac:dyDescent="0.3">
      <c r="E16">
        <v>2014</v>
      </c>
      <c r="F16" t="s">
        <v>154</v>
      </c>
      <c r="H16">
        <v>3014</v>
      </c>
      <c r="I16" t="s">
        <v>50</v>
      </c>
    </row>
    <row r="17" spans="5:9" x14ac:dyDescent="0.3">
      <c r="E17">
        <v>2015</v>
      </c>
      <c r="F17" t="s">
        <v>85</v>
      </c>
      <c r="H17">
        <v>3015</v>
      </c>
      <c r="I17" t="s">
        <v>14</v>
      </c>
    </row>
    <row r="18" spans="5:9" x14ac:dyDescent="0.3">
      <c r="E18">
        <v>2016</v>
      </c>
      <c r="F18" t="s">
        <v>86</v>
      </c>
      <c r="H18">
        <v>3016</v>
      </c>
      <c r="I18" t="s">
        <v>84</v>
      </c>
    </row>
    <row r="19" spans="5:9" x14ac:dyDescent="0.3">
      <c r="E19">
        <v>2017</v>
      </c>
      <c r="F19" t="s">
        <v>87</v>
      </c>
      <c r="H19">
        <v>3017</v>
      </c>
      <c r="I19" t="s">
        <v>88</v>
      </c>
    </row>
    <row r="20" spans="5:9" x14ac:dyDescent="0.3">
      <c r="E20">
        <v>2018</v>
      </c>
      <c r="F20" t="s">
        <v>89</v>
      </c>
      <c r="H20">
        <v>3018</v>
      </c>
      <c r="I20" t="s">
        <v>93</v>
      </c>
    </row>
    <row r="21" spans="5:9" x14ac:dyDescent="0.3">
      <c r="E21">
        <v>2019</v>
      </c>
      <c r="F21" t="s">
        <v>131</v>
      </c>
      <c r="H21">
        <v>3019</v>
      </c>
      <c r="I21" t="s">
        <v>118</v>
      </c>
    </row>
    <row r="22" spans="5:9" ht="12.6" customHeight="1" x14ac:dyDescent="0.3">
      <c r="E22">
        <v>2020</v>
      </c>
      <c r="F22" t="s">
        <v>92</v>
      </c>
      <c r="H22">
        <v>3020</v>
      </c>
      <c r="I22" t="s">
        <v>157</v>
      </c>
    </row>
    <row r="23" spans="5:9" x14ac:dyDescent="0.3">
      <c r="E23">
        <v>2021</v>
      </c>
      <c r="F23" t="s">
        <v>124</v>
      </c>
      <c r="H23">
        <v>3021</v>
      </c>
      <c r="I23" t="s">
        <v>173</v>
      </c>
    </row>
    <row r="24" spans="5:9" x14ac:dyDescent="0.3">
      <c r="E24">
        <v>2022</v>
      </c>
      <c r="F24" t="s">
        <v>125</v>
      </c>
    </row>
    <row r="25" spans="5:9" x14ac:dyDescent="0.3">
      <c r="E25">
        <v>2023</v>
      </c>
      <c r="F25" t="s">
        <v>130</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A607-8C35-40BF-A60E-70273D2D39F6}">
  <sheetPr>
    <tabColor theme="9" tint="0.39997558519241921"/>
  </sheetPr>
  <dimension ref="B1:M70"/>
  <sheetViews>
    <sheetView workbookViewId="0">
      <pane xSplit="1" ySplit="4" topLeftCell="B49" activePane="bottomRight" state="frozen"/>
      <selection pane="topRight" activeCell="B1" sqref="B1"/>
      <selection pane="bottomLeft" activeCell="A5" sqref="A5"/>
      <selection pane="bottomRight" activeCell="J71" sqref="J71"/>
    </sheetView>
  </sheetViews>
  <sheetFormatPr defaultColWidth="11.5546875" defaultRowHeight="14.4" x14ac:dyDescent="0.3"/>
  <cols>
    <col min="1" max="1" width="4.88671875" customWidth="1"/>
    <col min="3" max="3" width="12.33203125" bestFit="1" customWidth="1"/>
    <col min="4" max="4" width="18.109375" bestFit="1" customWidth="1"/>
    <col min="5" max="5" width="12.33203125" bestFit="1" customWidth="1"/>
    <col min="6" max="6" width="16" customWidth="1"/>
    <col min="7" max="7" width="12.5546875" bestFit="1" customWidth="1"/>
    <col min="8" max="8" width="17.6640625" bestFit="1" customWidth="1"/>
    <col min="9" max="9" width="15.44140625" bestFit="1" customWidth="1"/>
    <col min="10" max="10" width="11.6640625" bestFit="1" customWidth="1"/>
    <col min="11" max="11" width="9" bestFit="1" customWidth="1"/>
    <col min="12" max="12" width="9.33203125" bestFit="1" customWidth="1"/>
    <col min="13" max="13" width="13.5546875" bestFit="1" customWidth="1"/>
  </cols>
  <sheetData>
    <row r="1" spans="2:13" x14ac:dyDescent="0.3">
      <c r="B1" s="17" t="s">
        <v>16</v>
      </c>
      <c r="C1" s="17" t="s">
        <v>51</v>
      </c>
      <c r="D1" s="17" t="s">
        <v>52</v>
      </c>
      <c r="E1" s="18">
        <v>45658</v>
      </c>
      <c r="F1" s="18">
        <v>45689</v>
      </c>
      <c r="G1" s="18">
        <v>45717</v>
      </c>
      <c r="H1" s="18">
        <v>45748</v>
      </c>
      <c r="I1" s="18">
        <v>45778</v>
      </c>
      <c r="J1" s="18">
        <v>45809</v>
      </c>
      <c r="L1" s="82" t="s">
        <v>90</v>
      </c>
      <c r="M1" s="83"/>
    </row>
    <row r="2" spans="2:13" x14ac:dyDescent="0.3">
      <c r="B2" s="25">
        <f>SUBTOTAL(9,Tbl_Gastos[[#All],[VALOR]])</f>
        <v>1374541</v>
      </c>
      <c r="C2" s="25">
        <f>SUBTOTAL(2,Tbl_Gastos[[#All],[VALOR]])</f>
        <v>66</v>
      </c>
      <c r="D2" s="25">
        <f>SUBTOTAL(101,Tbl_Gastos[VALOR])</f>
        <v>20826.378787878788</v>
      </c>
      <c r="E2" s="25">
        <f>Gast_Resumen!C15</f>
        <v>351707</v>
      </c>
      <c r="F2" s="25">
        <f>Gast_Resumen!D15</f>
        <v>297083</v>
      </c>
      <c r="G2" s="25">
        <f>Gast_Resumen!E15</f>
        <v>135611</v>
      </c>
      <c r="H2" s="25">
        <f>Gast_Resumen!F15</f>
        <v>198370</v>
      </c>
      <c r="I2" s="25">
        <f>Gast_Resumen!G15</f>
        <v>391770</v>
      </c>
      <c r="J2" s="25">
        <f>Gast_Resumen!H15</f>
        <v>0</v>
      </c>
      <c r="L2" s="84">
        <f>'Gastos Presupuesto'!R6</f>
        <v>420867</v>
      </c>
      <c r="M2" s="85"/>
    </row>
    <row r="4" spans="2:13" x14ac:dyDescent="0.3">
      <c r="B4" s="1" t="s">
        <v>4</v>
      </c>
      <c r="C4" s="2" t="s">
        <v>53</v>
      </c>
      <c r="D4" s="2" t="s">
        <v>54</v>
      </c>
      <c r="E4" s="2" t="s">
        <v>55</v>
      </c>
      <c r="F4" s="2" t="s">
        <v>56</v>
      </c>
      <c r="G4" s="2" t="s">
        <v>57</v>
      </c>
      <c r="H4" s="2" t="s">
        <v>6</v>
      </c>
      <c r="I4" s="2" t="s">
        <v>58</v>
      </c>
      <c r="J4" s="16" t="s">
        <v>7</v>
      </c>
      <c r="K4" s="2" t="s">
        <v>8</v>
      </c>
      <c r="L4" s="2" t="s">
        <v>9</v>
      </c>
      <c r="M4" s="2" t="s">
        <v>10</v>
      </c>
    </row>
    <row r="5" spans="2:13" x14ac:dyDescent="0.3">
      <c r="B5" s="4">
        <v>45658</v>
      </c>
      <c r="C5">
        <v>1001</v>
      </c>
      <c r="D5" t="str">
        <f>VLOOKUP(Tbl_Gastos[[#This Row],[COD_CA]],Tbl_Cod_Cat[#All],2,FALSE)</f>
        <v>Salidas</v>
      </c>
      <c r="E5">
        <v>2023</v>
      </c>
      <c r="F5" t="str">
        <f>VLOOKUP(Tbl_Gastos[[#This Row],[COD_DE]],Tbl_Cod_Dest[#All],2,FALSE)</f>
        <v>restaurantes</v>
      </c>
      <c r="G5">
        <v>3015</v>
      </c>
      <c r="H5" t="str">
        <f>VLOOKUP(Tbl_Gastos[[#This Row],[COD_CO]],Tbl_Cod_Conc[#All],2,FALSE)</f>
        <v>Otros</v>
      </c>
      <c r="I5" t="s">
        <v>59</v>
      </c>
      <c r="J5" s="9">
        <v>50000</v>
      </c>
      <c r="K5" s="5" t="str">
        <f>PROPER(TEXT(Tbl_Gastos[[#This Row],[FECHA]],"mmmm"))</f>
        <v>Enero</v>
      </c>
      <c r="L5">
        <f>YEAR(Tbl_Gastos[[#This Row],[FECHA]])</f>
        <v>2025</v>
      </c>
      <c r="M5" t="str">
        <f>CONCATENATE(Tbl_Gastos[[#This Row],[MES]],"_",Tbl_Gastos[[#This Row],[AÑO]])</f>
        <v>Enero_2025</v>
      </c>
    </row>
    <row r="6" spans="2:13" x14ac:dyDescent="0.3">
      <c r="B6" s="4">
        <v>45658</v>
      </c>
      <c r="C6">
        <v>1011</v>
      </c>
      <c r="D6" t="str">
        <f>VLOOKUP(Tbl_Gastos[[#This Row],[COD_CA]],Tbl_Cod_Cat[#All],2,FALSE)</f>
        <v>Entretenimiento</v>
      </c>
      <c r="E6">
        <v>2008</v>
      </c>
      <c r="F6" t="str">
        <f>VLOOKUP(Tbl_Gastos[[#This Row],[COD_DE]],Tbl_Cod_Dest[#All],2,FALSE)</f>
        <v>Alexis (Cuentas)</v>
      </c>
      <c r="G6">
        <v>3013</v>
      </c>
      <c r="H6" t="str">
        <f>VLOOKUP(Tbl_Gastos[[#This Row],[COD_CO]],Tbl_Cod_Conc[#All],2,FALSE)</f>
        <v>Suscripción Disney</v>
      </c>
      <c r="I6" t="s">
        <v>150</v>
      </c>
      <c r="J6" s="23">
        <v>6000</v>
      </c>
      <c r="K6" s="51" t="str">
        <f>PROPER(TEXT(Tbl_Gastos[[#This Row],[FECHA]],"mmmm"))</f>
        <v>Enero</v>
      </c>
      <c r="L6">
        <f>YEAR(Tbl_Gastos[[#This Row],[FECHA]])</f>
        <v>2025</v>
      </c>
      <c r="M6" t="str">
        <f>CONCATENATE(Tbl_Gastos[[#This Row],[MES]],"_",Tbl_Gastos[[#This Row],[AÑO]])</f>
        <v>Enero_2025</v>
      </c>
    </row>
    <row r="7" spans="2:13" x14ac:dyDescent="0.3">
      <c r="B7" s="4">
        <v>45659</v>
      </c>
      <c r="C7">
        <v>1001</v>
      </c>
      <c r="D7" t="str">
        <f>VLOOKUP(Tbl_Gastos[[#This Row],[COD_CA]],Tbl_Cod_Cat[#All],2,FALSE)</f>
        <v>Salidas</v>
      </c>
      <c r="E7">
        <v>2022</v>
      </c>
      <c r="F7" t="str">
        <f>VLOOKUP(Tbl_Gastos[[#This Row],[COD_DE]],Tbl_Cod_Dest[#All],2,FALSE)</f>
        <v>Futbol</v>
      </c>
      <c r="G7">
        <v>3007</v>
      </c>
      <c r="H7" t="str">
        <f>VLOOKUP(Tbl_Gastos[[#This Row],[COD_CO]],Tbl_Cod_Conc[#All],2,FALSE)</f>
        <v>Casual</v>
      </c>
      <c r="I7" t="s">
        <v>150</v>
      </c>
      <c r="J7" s="23">
        <v>8333</v>
      </c>
      <c r="K7" s="51" t="str">
        <f>PROPER(TEXT(Tbl_Gastos[[#This Row],[FECHA]],"mmmm"))</f>
        <v>Enero</v>
      </c>
      <c r="L7">
        <f>YEAR(Tbl_Gastos[[#This Row],[FECHA]])</f>
        <v>2025</v>
      </c>
      <c r="M7" t="str">
        <f>CONCATENATE(Tbl_Gastos[[#This Row],[MES]],"_",Tbl_Gastos[[#This Row],[AÑO]])</f>
        <v>Enero_2025</v>
      </c>
    </row>
    <row r="8" spans="2:13" x14ac:dyDescent="0.3">
      <c r="B8" s="4">
        <v>45660</v>
      </c>
      <c r="C8">
        <v>1001</v>
      </c>
      <c r="D8" t="str">
        <f>VLOOKUP(Tbl_Gastos[[#This Row],[COD_CA]],Tbl_Cod_Cat[#All],2,FALSE)</f>
        <v>Salidas</v>
      </c>
      <c r="E8">
        <v>2023</v>
      </c>
      <c r="F8" t="str">
        <f>VLOOKUP(Tbl_Gastos[[#This Row],[COD_DE]],Tbl_Cod_Dest[#All],2,FALSE)</f>
        <v>restaurantes</v>
      </c>
      <c r="G8">
        <v>3011</v>
      </c>
      <c r="H8" t="str">
        <f>VLOOKUP(Tbl_Gastos[[#This Row],[COD_CO]],Tbl_Cod_Conc[#All],2,FALSE)</f>
        <v>Cena</v>
      </c>
      <c r="I8" t="s">
        <v>150</v>
      </c>
      <c r="J8" s="23">
        <v>20000</v>
      </c>
      <c r="K8" s="51" t="str">
        <f>PROPER(TEXT(Tbl_Gastos[[#This Row],[FECHA]],"mmmm"))</f>
        <v>Enero</v>
      </c>
      <c r="L8">
        <f>YEAR(Tbl_Gastos[[#This Row],[FECHA]])</f>
        <v>2025</v>
      </c>
      <c r="M8" t="str">
        <f>CONCATENATE(Tbl_Gastos[[#This Row],[MES]],"_",Tbl_Gastos[[#This Row],[AÑO]])</f>
        <v>Enero_2025</v>
      </c>
    </row>
    <row r="9" spans="2:13" x14ac:dyDescent="0.3">
      <c r="B9" s="4">
        <v>45661</v>
      </c>
      <c r="C9">
        <v>1011</v>
      </c>
      <c r="D9" t="str">
        <f>VLOOKUP(Tbl_Gastos[[#This Row],[COD_CA]],Tbl_Cod_Cat[#All],2,FALSE)</f>
        <v>Entretenimiento</v>
      </c>
      <c r="E9">
        <v>2007</v>
      </c>
      <c r="F9" t="str">
        <f>VLOOKUP(Tbl_Gastos[[#This Row],[COD_DE]],Tbl_Cod_Dest[#All],2,FALSE)</f>
        <v>Xbox</v>
      </c>
      <c r="G9">
        <v>3012</v>
      </c>
      <c r="H9" t="str">
        <f>VLOOKUP(Tbl_Gastos[[#This Row],[COD_CO]],Tbl_Cod_Conc[#All],2,FALSE)</f>
        <v>Game Pass</v>
      </c>
      <c r="I9" t="s">
        <v>150</v>
      </c>
      <c r="J9" s="23">
        <v>21500</v>
      </c>
      <c r="K9" s="51" t="str">
        <f>PROPER(TEXT(Tbl_Gastos[[#This Row],[FECHA]],"mmmm"))</f>
        <v>Enero</v>
      </c>
      <c r="L9">
        <f>YEAR(Tbl_Gastos[[#This Row],[FECHA]])</f>
        <v>2025</v>
      </c>
      <c r="M9" t="str">
        <f>CONCATENATE(Tbl_Gastos[[#This Row],[MES]],"_",Tbl_Gastos[[#This Row],[AÑO]])</f>
        <v>Enero_2025</v>
      </c>
    </row>
    <row r="10" spans="2:13" x14ac:dyDescent="0.3">
      <c r="B10" s="4">
        <v>45664</v>
      </c>
      <c r="C10">
        <v>1004</v>
      </c>
      <c r="D10" t="str">
        <f>VLOOKUP(Tbl_Gastos[[#This Row],[COD_CA]],Tbl_Cod_Cat[#All],2,FALSE)</f>
        <v>Servicios Financieros</v>
      </c>
      <c r="E10">
        <v>2009</v>
      </c>
      <c r="F10" t="str">
        <f>VLOOKUP(Tbl_Gastos[[#This Row],[COD_DE]],Tbl_Cod_Dest[#All],2,FALSE)</f>
        <v>Serfinanza</v>
      </c>
      <c r="G10">
        <v>3014</v>
      </c>
      <c r="H10" t="str">
        <f>VLOOKUP(Tbl_Gastos[[#This Row],[COD_CO]],Tbl_Cod_Conc[#All],2,FALSE)</f>
        <v>4 X 1000</v>
      </c>
      <c r="I10" t="s">
        <v>153</v>
      </c>
      <c r="J10" s="23">
        <v>1134</v>
      </c>
      <c r="K10" s="51" t="str">
        <f>PROPER(TEXT(Tbl_Gastos[[#This Row],[FECHA]],"mmmm"))</f>
        <v>Enero</v>
      </c>
      <c r="L10">
        <f>YEAR(Tbl_Gastos[[#This Row],[FECHA]])</f>
        <v>2025</v>
      </c>
      <c r="M10" t="str">
        <f>CONCATENATE(Tbl_Gastos[[#This Row],[MES]],"_",Tbl_Gastos[[#This Row],[AÑO]])</f>
        <v>Enero_2025</v>
      </c>
    </row>
    <row r="11" spans="2:13" x14ac:dyDescent="0.3">
      <c r="B11" s="4">
        <v>45664</v>
      </c>
      <c r="C11">
        <v>1011</v>
      </c>
      <c r="D11" t="str">
        <f>VLOOKUP(Tbl_Gastos[[#This Row],[COD_CA]],Tbl_Cod_Cat[#All],2,FALSE)</f>
        <v>Entretenimiento</v>
      </c>
      <c r="E11">
        <v>2007</v>
      </c>
      <c r="F11" t="str">
        <f>VLOOKUP(Tbl_Gastos[[#This Row],[COD_DE]],Tbl_Cod_Dest[#All],2,FALSE)</f>
        <v>Xbox</v>
      </c>
      <c r="G11">
        <v>3012</v>
      </c>
      <c r="H11" t="str">
        <f>VLOOKUP(Tbl_Gastos[[#This Row],[COD_CO]],Tbl_Cod_Conc[#All],2,FALSE)</f>
        <v>Game Pass</v>
      </c>
      <c r="I11" t="s">
        <v>71</v>
      </c>
      <c r="J11" s="23">
        <v>13000</v>
      </c>
      <c r="K11" s="51" t="str">
        <f>PROPER(TEXT(Tbl_Gastos[[#This Row],[FECHA]],"mmmm"))</f>
        <v>Enero</v>
      </c>
      <c r="L11">
        <f>YEAR(Tbl_Gastos[[#This Row],[FECHA]])</f>
        <v>2025</v>
      </c>
      <c r="M11" t="str">
        <f>CONCATENATE(Tbl_Gastos[[#This Row],[MES]],"_",Tbl_Gastos[[#This Row],[AÑO]])</f>
        <v>Enero_2025</v>
      </c>
    </row>
    <row r="12" spans="2:13" x14ac:dyDescent="0.3">
      <c r="B12" s="4">
        <v>45665</v>
      </c>
      <c r="C12">
        <v>1002</v>
      </c>
      <c r="D12" t="str">
        <f>VLOOKUP(Tbl_Gastos[[#This Row],[COD_CA]],Tbl_Cod_Cat[#All],2,FALSE)</f>
        <v>Alimentación y Aseo</v>
      </c>
      <c r="E12">
        <v>2014</v>
      </c>
      <c r="F12" t="str">
        <f>VLOOKUP(Tbl_Gastos[[#This Row],[COD_DE]],Tbl_Cod_Dest[#All],2,FALSE)</f>
        <v>Supermercados</v>
      </c>
      <c r="G12">
        <v>3007</v>
      </c>
      <c r="H12" t="str">
        <f>VLOOKUP(Tbl_Gastos[[#This Row],[COD_CO]],Tbl_Cod_Conc[#All],2,FALSE)</f>
        <v>Casual</v>
      </c>
      <c r="I12" t="s">
        <v>155</v>
      </c>
      <c r="J12" s="23">
        <v>12840</v>
      </c>
      <c r="K12" s="51" t="str">
        <f>PROPER(TEXT(Tbl_Gastos[[#This Row],[FECHA]],"mmmm"))</f>
        <v>Enero</v>
      </c>
      <c r="L12">
        <f>YEAR(Tbl_Gastos[[#This Row],[FECHA]])</f>
        <v>2025</v>
      </c>
      <c r="M12" t="str">
        <f>CONCATENATE(Tbl_Gastos[[#This Row],[MES]],"_",Tbl_Gastos[[#This Row],[AÑO]])</f>
        <v>Enero_2025</v>
      </c>
    </row>
    <row r="13" spans="2:13" x14ac:dyDescent="0.3">
      <c r="B13" s="4">
        <v>45666</v>
      </c>
      <c r="C13">
        <v>1007</v>
      </c>
      <c r="D13" t="str">
        <f>VLOOKUP(Tbl_Gastos[[#This Row],[COD_CA]],Tbl_Cod_Cat[#All],2,FALSE)</f>
        <v>Peluqueria</v>
      </c>
      <c r="E13">
        <v>2013</v>
      </c>
      <c r="F13" t="str">
        <f>VLOOKUP(Tbl_Gastos[[#This Row],[COD_DE]],Tbl_Cod_Dest[#All],2,FALSE)</f>
        <v>Barba fina</v>
      </c>
      <c r="G13">
        <v>3016</v>
      </c>
      <c r="H13" t="str">
        <f>VLOOKUP(Tbl_Gastos[[#This Row],[COD_CO]],Tbl_Cod_Conc[#All],2,FALSE)</f>
        <v>Motilada</v>
      </c>
      <c r="I13" t="s">
        <v>155</v>
      </c>
      <c r="J13" s="23">
        <v>25000</v>
      </c>
      <c r="K13" s="51" t="str">
        <f>PROPER(TEXT(Tbl_Gastos[[#This Row],[FECHA]],"mmmm"))</f>
        <v>Enero</v>
      </c>
      <c r="L13">
        <f>YEAR(Tbl_Gastos[[#This Row],[FECHA]])</f>
        <v>2025</v>
      </c>
      <c r="M13" t="str">
        <f>CONCATENATE(Tbl_Gastos[[#This Row],[MES]],"_",Tbl_Gastos[[#This Row],[AÑO]])</f>
        <v>Enero_2025</v>
      </c>
    </row>
    <row r="14" spans="2:13" x14ac:dyDescent="0.3">
      <c r="B14" s="4">
        <v>45666</v>
      </c>
      <c r="C14">
        <v>1001</v>
      </c>
      <c r="D14" t="str">
        <f>VLOOKUP(Tbl_Gastos[[#This Row],[COD_CA]],Tbl_Cod_Cat[#All],2,FALSE)</f>
        <v>Salidas</v>
      </c>
      <c r="E14">
        <v>2023</v>
      </c>
      <c r="F14" t="str">
        <f>VLOOKUP(Tbl_Gastos[[#This Row],[COD_DE]],Tbl_Cod_Dest[#All],2,FALSE)</f>
        <v>restaurantes</v>
      </c>
      <c r="G14">
        <v>3011</v>
      </c>
      <c r="H14" t="str">
        <f>VLOOKUP(Tbl_Gastos[[#This Row],[COD_CO]],Tbl_Cod_Conc[#All],2,FALSE)</f>
        <v>Cena</v>
      </c>
      <c r="I14" t="s">
        <v>155</v>
      </c>
      <c r="J14" s="23">
        <v>37000</v>
      </c>
      <c r="K14" s="51" t="str">
        <f>PROPER(TEXT(Tbl_Gastos[[#This Row],[FECHA]],"mmmm"))</f>
        <v>Enero</v>
      </c>
      <c r="L14">
        <f>YEAR(Tbl_Gastos[[#This Row],[FECHA]])</f>
        <v>2025</v>
      </c>
      <c r="M14" t="str">
        <f>CONCATENATE(Tbl_Gastos[[#This Row],[MES]],"_",Tbl_Gastos[[#This Row],[AÑO]])</f>
        <v>Enero_2025</v>
      </c>
    </row>
    <row r="15" spans="2:13" x14ac:dyDescent="0.3">
      <c r="B15" s="4">
        <v>45668</v>
      </c>
      <c r="C15">
        <v>1001</v>
      </c>
      <c r="D15" t="str">
        <f>VLOOKUP(Tbl_Gastos[[#This Row],[COD_CA]],Tbl_Cod_Cat[#All],2,FALSE)</f>
        <v>Salidas</v>
      </c>
      <c r="E15">
        <v>2023</v>
      </c>
      <c r="F15" t="str">
        <f>VLOOKUP(Tbl_Gastos[[#This Row],[COD_DE]],Tbl_Cod_Dest[#All],2,FALSE)</f>
        <v>restaurantes</v>
      </c>
      <c r="G15">
        <v>3011</v>
      </c>
      <c r="H15" t="str">
        <f>VLOOKUP(Tbl_Gastos[[#This Row],[COD_CO]],Tbl_Cod_Conc[#All],2,FALSE)</f>
        <v>Cena</v>
      </c>
      <c r="I15" t="s">
        <v>59</v>
      </c>
      <c r="J15" s="23">
        <v>55000</v>
      </c>
      <c r="K15" s="51" t="str">
        <f>PROPER(TEXT(Tbl_Gastos[[#This Row],[FECHA]],"mmmm"))</f>
        <v>Enero</v>
      </c>
      <c r="L15">
        <f>YEAR(Tbl_Gastos[[#This Row],[FECHA]])</f>
        <v>2025</v>
      </c>
      <c r="M15" t="str">
        <f>CONCATENATE(Tbl_Gastos[[#This Row],[MES]],"_",Tbl_Gastos[[#This Row],[AÑO]])</f>
        <v>Enero_2025</v>
      </c>
    </row>
    <row r="16" spans="2:13" x14ac:dyDescent="0.3">
      <c r="B16" s="4">
        <v>45669</v>
      </c>
      <c r="C16">
        <v>1001</v>
      </c>
      <c r="D16" t="str">
        <f>VLOOKUP(Tbl_Gastos[[#This Row],[COD_CA]],Tbl_Cod_Cat[#All],2,FALSE)</f>
        <v>Salidas</v>
      </c>
      <c r="E16">
        <v>2023</v>
      </c>
      <c r="F16" t="str">
        <f>VLOOKUP(Tbl_Gastos[[#This Row],[COD_DE]],Tbl_Cod_Dest[#All],2,FALSE)</f>
        <v>restaurantes</v>
      </c>
      <c r="G16">
        <v>3007</v>
      </c>
      <c r="H16" t="str">
        <f>VLOOKUP(Tbl_Gastos[[#This Row],[COD_CO]],Tbl_Cod_Conc[#All],2,FALSE)</f>
        <v>Casual</v>
      </c>
      <c r="I16" t="s">
        <v>59</v>
      </c>
      <c r="J16" s="23">
        <v>13000</v>
      </c>
      <c r="K16" s="51" t="str">
        <f>PROPER(TEXT(Tbl_Gastos[[#This Row],[FECHA]],"mmmm"))</f>
        <v>Enero</v>
      </c>
      <c r="L16">
        <f>YEAR(Tbl_Gastos[[#This Row],[FECHA]])</f>
        <v>2025</v>
      </c>
      <c r="M16" t="str">
        <f>CONCATENATE(Tbl_Gastos[[#This Row],[MES]],"_",Tbl_Gastos[[#This Row],[AÑO]])</f>
        <v>Enero_2025</v>
      </c>
    </row>
    <row r="17" spans="2:13" x14ac:dyDescent="0.3">
      <c r="B17" s="4">
        <v>45673</v>
      </c>
      <c r="C17">
        <v>1001</v>
      </c>
      <c r="D17" t="str">
        <f>VLOOKUP(Tbl_Gastos[[#This Row],[COD_CA]],Tbl_Cod_Cat[#All],2,FALSE)</f>
        <v>Salidas</v>
      </c>
      <c r="E17">
        <v>2022</v>
      </c>
      <c r="F17" t="str">
        <f>VLOOKUP(Tbl_Gastos[[#This Row],[COD_DE]],Tbl_Cod_Dest[#All],2,FALSE)</f>
        <v>Futbol</v>
      </c>
      <c r="G17">
        <v>3007</v>
      </c>
      <c r="H17" t="str">
        <f>VLOOKUP(Tbl_Gastos[[#This Row],[COD_CO]],Tbl_Cod_Conc[#All],2,FALSE)</f>
        <v>Casual</v>
      </c>
      <c r="I17" t="s">
        <v>150</v>
      </c>
      <c r="J17" s="23">
        <v>7200</v>
      </c>
      <c r="K17" s="51" t="str">
        <f>PROPER(TEXT(Tbl_Gastos[[#This Row],[FECHA]],"mmmm"))</f>
        <v>Enero</v>
      </c>
      <c r="L17">
        <f>YEAR(Tbl_Gastos[[#This Row],[FECHA]])</f>
        <v>2025</v>
      </c>
      <c r="M17" t="str">
        <f>CONCATENATE(Tbl_Gastos[[#This Row],[MES]],"_",Tbl_Gastos[[#This Row],[AÑO]])</f>
        <v>Enero_2025</v>
      </c>
    </row>
    <row r="18" spans="2:13" x14ac:dyDescent="0.3">
      <c r="B18" s="4">
        <v>45673</v>
      </c>
      <c r="C18">
        <v>1001</v>
      </c>
      <c r="D18" t="str">
        <f>VLOOKUP(Tbl_Gastos[[#This Row],[COD_CA]],Tbl_Cod_Cat[#All],2,FALSE)</f>
        <v>Salidas</v>
      </c>
      <c r="E18">
        <v>2023</v>
      </c>
      <c r="F18" t="str">
        <f>VLOOKUP(Tbl_Gastos[[#This Row],[COD_DE]],Tbl_Cod_Dest[#All],2,FALSE)</f>
        <v>restaurantes</v>
      </c>
      <c r="G18">
        <v>3011</v>
      </c>
      <c r="H18" t="str">
        <f>VLOOKUP(Tbl_Gastos[[#This Row],[COD_CO]],Tbl_Cod_Conc[#All],2,FALSE)</f>
        <v>Cena</v>
      </c>
      <c r="I18" t="s">
        <v>155</v>
      </c>
      <c r="J18" s="23">
        <v>32100</v>
      </c>
      <c r="K18" s="51" t="str">
        <f>PROPER(TEXT(Tbl_Gastos[[#This Row],[FECHA]],"mmmm"))</f>
        <v>Enero</v>
      </c>
      <c r="L18">
        <f>YEAR(Tbl_Gastos[[#This Row],[FECHA]])</f>
        <v>2025</v>
      </c>
      <c r="M18" t="str">
        <f>CONCATENATE(Tbl_Gastos[[#This Row],[MES]],"_",Tbl_Gastos[[#This Row],[AÑO]])</f>
        <v>Enero_2025</v>
      </c>
    </row>
    <row r="19" spans="2:13" x14ac:dyDescent="0.3">
      <c r="B19" s="4">
        <v>45673</v>
      </c>
      <c r="C19">
        <v>1001</v>
      </c>
      <c r="D19" t="str">
        <f>VLOOKUP(Tbl_Gastos[[#This Row],[COD_CA]],Tbl_Cod_Cat[#All],2,FALSE)</f>
        <v>Salidas</v>
      </c>
      <c r="E19">
        <v>2011</v>
      </c>
      <c r="F19" t="str">
        <f>VLOOKUP(Tbl_Gastos[[#This Row],[COD_DE]],Tbl_Cod_Dest[#All],2,FALSE)</f>
        <v>Otros</v>
      </c>
      <c r="G19">
        <v>3020</v>
      </c>
      <c r="H19" t="str">
        <f>VLOOKUP(Tbl_Gastos[[#This Row],[COD_CO]],Tbl_Cod_Conc[#All],2,FALSE)</f>
        <v>Taxi</v>
      </c>
      <c r="I19" t="s">
        <v>150</v>
      </c>
      <c r="J19" s="23">
        <v>10000</v>
      </c>
      <c r="K19" s="51" t="str">
        <f>PROPER(TEXT(Tbl_Gastos[[#This Row],[FECHA]],"mmmm"))</f>
        <v>Enero</v>
      </c>
      <c r="L19">
        <f>YEAR(Tbl_Gastos[[#This Row],[FECHA]])</f>
        <v>2025</v>
      </c>
      <c r="M19" t="str">
        <f>CONCATENATE(Tbl_Gastos[[#This Row],[MES]],"_",Tbl_Gastos[[#This Row],[AÑO]])</f>
        <v>Enero_2025</v>
      </c>
    </row>
    <row r="20" spans="2:13" x14ac:dyDescent="0.3">
      <c r="B20" s="4">
        <v>45680</v>
      </c>
      <c r="C20">
        <v>1001</v>
      </c>
      <c r="D20" t="str">
        <f>VLOOKUP(Tbl_Gastos[[#This Row],[COD_CA]],Tbl_Cod_Cat[#All],2,FALSE)</f>
        <v>Salidas</v>
      </c>
      <c r="E20">
        <v>2022</v>
      </c>
      <c r="F20" t="str">
        <f>VLOOKUP(Tbl_Gastos[[#This Row],[COD_DE]],Tbl_Cod_Dest[#All],2,FALSE)</f>
        <v>Futbol</v>
      </c>
      <c r="G20">
        <v>3007</v>
      </c>
      <c r="H20" t="str">
        <f>VLOOKUP(Tbl_Gastos[[#This Row],[COD_CO]],Tbl_Cod_Conc[#All],2,FALSE)</f>
        <v>Casual</v>
      </c>
      <c r="I20" t="s">
        <v>155</v>
      </c>
      <c r="J20" s="23">
        <v>7600</v>
      </c>
      <c r="K20" s="51" t="str">
        <f>PROPER(TEXT(Tbl_Gastos[[#This Row],[FECHA]],"mmmm"))</f>
        <v>Enero</v>
      </c>
      <c r="L20">
        <f>YEAR(Tbl_Gastos[[#This Row],[FECHA]])</f>
        <v>2025</v>
      </c>
      <c r="M20" t="str">
        <f>CONCATENATE(Tbl_Gastos[[#This Row],[MES]],"_",Tbl_Gastos[[#This Row],[AÑO]])</f>
        <v>Enero_2025</v>
      </c>
    </row>
    <row r="21" spans="2:13" x14ac:dyDescent="0.3">
      <c r="B21" s="4">
        <v>45683</v>
      </c>
      <c r="C21">
        <v>1008</v>
      </c>
      <c r="D21" t="str">
        <f>VLOOKUP(Tbl_Gastos[[#This Row],[COD_CA]],Tbl_Cod_Cat[#All],2,FALSE)</f>
        <v>Varios</v>
      </c>
      <c r="E21">
        <v>2011</v>
      </c>
      <c r="F21" t="str">
        <f>VLOOKUP(Tbl_Gastos[[#This Row],[COD_DE]],Tbl_Cod_Dest[#All],2,FALSE)</f>
        <v>Otros</v>
      </c>
      <c r="G21">
        <v>3015</v>
      </c>
      <c r="H21" t="str">
        <f>VLOOKUP(Tbl_Gastos[[#This Row],[COD_CO]],Tbl_Cod_Conc[#All],2,FALSE)</f>
        <v>Otros</v>
      </c>
      <c r="I21" t="s">
        <v>59</v>
      </c>
      <c r="J21" s="23">
        <v>5000</v>
      </c>
      <c r="K21" s="51" t="str">
        <f>PROPER(TEXT(Tbl_Gastos[[#This Row],[FECHA]],"mmmm"))</f>
        <v>Enero</v>
      </c>
      <c r="L21">
        <f>YEAR(Tbl_Gastos[[#This Row],[FECHA]])</f>
        <v>2025</v>
      </c>
      <c r="M21" t="str">
        <f>CONCATENATE(Tbl_Gastos[[#This Row],[MES]],"_",Tbl_Gastos[[#This Row],[AÑO]])</f>
        <v>Enero_2025</v>
      </c>
    </row>
    <row r="22" spans="2:13" x14ac:dyDescent="0.3">
      <c r="B22" s="4">
        <v>45683</v>
      </c>
      <c r="C22">
        <v>1001</v>
      </c>
      <c r="D22" t="str">
        <f>VLOOKUP(Tbl_Gastos[[#This Row],[COD_CA]],Tbl_Cod_Cat[#All],2,FALSE)</f>
        <v>Salidas</v>
      </c>
      <c r="E22">
        <v>2011</v>
      </c>
      <c r="F22" t="str">
        <f>VLOOKUP(Tbl_Gastos[[#This Row],[COD_DE]],Tbl_Cod_Dest[#All],2,FALSE)</f>
        <v>Otros</v>
      </c>
      <c r="G22">
        <v>3015</v>
      </c>
      <c r="H22" t="str">
        <f>VLOOKUP(Tbl_Gastos[[#This Row],[COD_CO]],Tbl_Cod_Conc[#All],2,FALSE)</f>
        <v>Otros</v>
      </c>
      <c r="I22" t="s">
        <v>155</v>
      </c>
      <c r="J22" s="23">
        <v>20000</v>
      </c>
      <c r="K22" s="51" t="str">
        <f>PROPER(TEXT(Tbl_Gastos[[#This Row],[FECHA]],"mmmm"))</f>
        <v>Enero</v>
      </c>
      <c r="L22">
        <f>YEAR(Tbl_Gastos[[#This Row],[FECHA]])</f>
        <v>2025</v>
      </c>
      <c r="M22" t="str">
        <f>CONCATENATE(Tbl_Gastos[[#This Row],[MES]],"_",Tbl_Gastos[[#This Row],[AÑO]])</f>
        <v>Enero_2025</v>
      </c>
    </row>
    <row r="23" spans="2:13" x14ac:dyDescent="0.3">
      <c r="B23" s="4">
        <v>45688</v>
      </c>
      <c r="C23">
        <v>1001</v>
      </c>
      <c r="D23" t="str">
        <f>VLOOKUP(Tbl_Gastos[[#This Row],[COD_CA]],Tbl_Cod_Cat[#All],2,FALSE)</f>
        <v>Salidas</v>
      </c>
      <c r="E23">
        <v>2022</v>
      </c>
      <c r="F23" t="str">
        <f>VLOOKUP(Tbl_Gastos[[#This Row],[COD_DE]],Tbl_Cod_Dest[#All],2,FALSE)</f>
        <v>Futbol</v>
      </c>
      <c r="G23">
        <v>3007</v>
      </c>
      <c r="H23" t="str">
        <f>VLOOKUP(Tbl_Gastos[[#This Row],[COD_CO]],Tbl_Cod_Conc[#All],2,FALSE)</f>
        <v>Casual</v>
      </c>
      <c r="I23" t="s">
        <v>150</v>
      </c>
      <c r="J23" s="23">
        <v>7000</v>
      </c>
      <c r="K23" s="51" t="str">
        <f>PROPER(TEXT(Tbl_Gastos[[#This Row],[FECHA]],"mmmm"))</f>
        <v>Enero</v>
      </c>
      <c r="L23">
        <f>YEAR(Tbl_Gastos[[#This Row],[FECHA]])</f>
        <v>2025</v>
      </c>
      <c r="M23" t="str">
        <f>CONCATENATE(Tbl_Gastos[[#This Row],[MES]],"_",Tbl_Gastos[[#This Row],[AÑO]])</f>
        <v>Enero_2025</v>
      </c>
    </row>
    <row r="24" spans="2:13" x14ac:dyDescent="0.3">
      <c r="B24" s="4">
        <v>45689</v>
      </c>
      <c r="C24">
        <v>1011</v>
      </c>
      <c r="D24" t="str">
        <f>VLOOKUP(Tbl_Gastos[[#This Row],[COD_CA]],Tbl_Cod_Cat[#All],2,FALSE)</f>
        <v>Entretenimiento</v>
      </c>
      <c r="E24">
        <v>2008</v>
      </c>
      <c r="F24" t="str">
        <f>VLOOKUP(Tbl_Gastos[[#This Row],[COD_DE]],Tbl_Cod_Dest[#All],2,FALSE)</f>
        <v>Alexis (Cuentas)</v>
      </c>
      <c r="G24">
        <v>3013</v>
      </c>
      <c r="H24" t="str">
        <f>VLOOKUP(Tbl_Gastos[[#This Row],[COD_CO]],Tbl_Cod_Conc[#All],2,FALSE)</f>
        <v>Suscripción Disney</v>
      </c>
      <c r="I24" t="s">
        <v>155</v>
      </c>
      <c r="J24" s="23">
        <v>8000</v>
      </c>
      <c r="K24" s="51" t="str">
        <f>PROPER(TEXT(Tbl_Gastos[[#This Row],[FECHA]],"mmmm"))</f>
        <v>Febrero</v>
      </c>
      <c r="L24">
        <f>YEAR(Tbl_Gastos[[#This Row],[FECHA]])</f>
        <v>2025</v>
      </c>
      <c r="M24" t="str">
        <f>CONCATENATE(Tbl_Gastos[[#This Row],[MES]],"_",Tbl_Gastos[[#This Row],[AÑO]])</f>
        <v>Febrero_2025</v>
      </c>
    </row>
    <row r="25" spans="2:13" x14ac:dyDescent="0.3">
      <c r="B25" s="4">
        <v>45694</v>
      </c>
      <c r="C25">
        <v>1001</v>
      </c>
      <c r="D25" t="str">
        <f>VLOOKUP(Tbl_Gastos[[#This Row],[COD_CA]],Tbl_Cod_Cat[#All],2,FALSE)</f>
        <v>Salidas</v>
      </c>
      <c r="E25">
        <v>2022</v>
      </c>
      <c r="F25" t="str">
        <f>VLOOKUP(Tbl_Gastos[[#This Row],[COD_DE]],Tbl_Cod_Dest[#All],2,FALSE)</f>
        <v>Futbol</v>
      </c>
      <c r="G25">
        <v>3007</v>
      </c>
      <c r="H25" t="str">
        <f>VLOOKUP(Tbl_Gastos[[#This Row],[COD_CO]],Tbl_Cod_Conc[#All],2,FALSE)</f>
        <v>Casual</v>
      </c>
      <c r="I25" t="s">
        <v>150</v>
      </c>
      <c r="J25" s="23">
        <v>8900</v>
      </c>
      <c r="K25" s="51" t="str">
        <f>PROPER(TEXT(Tbl_Gastos[[#This Row],[FECHA]],"mmmm"))</f>
        <v>Febrero</v>
      </c>
      <c r="L25">
        <f>YEAR(Tbl_Gastos[[#This Row],[FECHA]])</f>
        <v>2025</v>
      </c>
      <c r="M25" t="str">
        <f>CONCATENATE(Tbl_Gastos[[#This Row],[MES]],"_",Tbl_Gastos[[#This Row],[AÑO]])</f>
        <v>Febrero_2025</v>
      </c>
    </row>
    <row r="26" spans="2:13" x14ac:dyDescent="0.3">
      <c r="B26" s="4">
        <v>45697</v>
      </c>
      <c r="C26">
        <v>1001</v>
      </c>
      <c r="D26" t="str">
        <f>VLOOKUP(Tbl_Gastos[[#This Row],[COD_CA]],Tbl_Cod_Cat[#All],2,FALSE)</f>
        <v>Salidas</v>
      </c>
      <c r="E26">
        <v>2023</v>
      </c>
      <c r="F26" t="str">
        <f>VLOOKUP(Tbl_Gastos[[#This Row],[COD_DE]],Tbl_Cod_Dest[#All],2,FALSE)</f>
        <v>restaurantes</v>
      </c>
      <c r="G26">
        <v>3011</v>
      </c>
      <c r="H26" t="str">
        <f>VLOOKUP(Tbl_Gastos[[#This Row],[COD_CO]],Tbl_Cod_Conc[#All],2,FALSE)</f>
        <v>Cena</v>
      </c>
      <c r="I26" t="s">
        <v>155</v>
      </c>
      <c r="J26" s="23">
        <v>25400</v>
      </c>
      <c r="K26" s="51" t="str">
        <f>PROPER(TEXT(Tbl_Gastos[[#This Row],[FECHA]],"mmmm"))</f>
        <v>Febrero</v>
      </c>
      <c r="L26">
        <f>YEAR(Tbl_Gastos[[#This Row],[FECHA]])</f>
        <v>2025</v>
      </c>
      <c r="M26" t="str">
        <f>CONCATENATE(Tbl_Gastos[[#This Row],[MES]],"_",Tbl_Gastos[[#This Row],[AÑO]])</f>
        <v>Febrero_2025</v>
      </c>
    </row>
    <row r="27" spans="2:13" x14ac:dyDescent="0.3">
      <c r="B27" s="4">
        <v>45701</v>
      </c>
      <c r="C27">
        <v>1001</v>
      </c>
      <c r="D27" t="str">
        <f>VLOOKUP(Tbl_Gastos[[#This Row],[COD_CA]],Tbl_Cod_Cat[#All],2,FALSE)</f>
        <v>Salidas</v>
      </c>
      <c r="E27">
        <v>2022</v>
      </c>
      <c r="F27" t="str">
        <f>VLOOKUP(Tbl_Gastos[[#This Row],[COD_DE]],Tbl_Cod_Dest[#All],2,FALSE)</f>
        <v>Futbol</v>
      </c>
      <c r="G27">
        <v>3007</v>
      </c>
      <c r="H27" t="str">
        <f>VLOOKUP(Tbl_Gastos[[#This Row],[COD_CO]],Tbl_Cod_Conc[#All],2,FALSE)</f>
        <v>Casual</v>
      </c>
      <c r="I27" t="s">
        <v>150</v>
      </c>
      <c r="J27" s="23">
        <v>6250</v>
      </c>
      <c r="K27" s="51" t="str">
        <f>PROPER(TEXT(Tbl_Gastos[[#This Row],[FECHA]],"mmmm"))</f>
        <v>Febrero</v>
      </c>
      <c r="L27">
        <f>YEAR(Tbl_Gastos[[#This Row],[FECHA]])</f>
        <v>2025</v>
      </c>
      <c r="M27" t="str">
        <f>CONCATENATE(Tbl_Gastos[[#This Row],[MES]],"_",Tbl_Gastos[[#This Row],[AÑO]])</f>
        <v>Febrero_2025</v>
      </c>
    </row>
    <row r="28" spans="2:13" x14ac:dyDescent="0.3">
      <c r="B28" s="4">
        <v>45701</v>
      </c>
      <c r="C28">
        <v>1001</v>
      </c>
      <c r="D28" t="str">
        <f>VLOOKUP(Tbl_Gastos[[#This Row],[COD_CA]],Tbl_Cod_Cat[#All],2,FALSE)</f>
        <v>Salidas</v>
      </c>
      <c r="E28">
        <v>2023</v>
      </c>
      <c r="F28" t="str">
        <f>VLOOKUP(Tbl_Gastos[[#This Row],[COD_DE]],Tbl_Cod_Dest[#All],2,FALSE)</f>
        <v>restaurantes</v>
      </c>
      <c r="G28">
        <v>3011</v>
      </c>
      <c r="H28" t="str">
        <f>VLOOKUP(Tbl_Gastos[[#This Row],[COD_CO]],Tbl_Cod_Conc[#All],2,FALSE)</f>
        <v>Cena</v>
      </c>
      <c r="I28" t="s">
        <v>155</v>
      </c>
      <c r="J28" s="23">
        <v>52300</v>
      </c>
      <c r="K28" s="51" t="str">
        <f>PROPER(TEXT(Tbl_Gastos[[#This Row],[FECHA]],"mmmm"))</f>
        <v>Febrero</v>
      </c>
      <c r="L28">
        <f>YEAR(Tbl_Gastos[[#This Row],[FECHA]])</f>
        <v>2025</v>
      </c>
      <c r="M28" t="str">
        <f>CONCATENATE(Tbl_Gastos[[#This Row],[MES]],"_",Tbl_Gastos[[#This Row],[AÑO]])</f>
        <v>Febrero_2025</v>
      </c>
    </row>
    <row r="29" spans="2:13" x14ac:dyDescent="0.3">
      <c r="B29" s="4">
        <v>45704</v>
      </c>
      <c r="C29">
        <v>1001</v>
      </c>
      <c r="D29" t="str">
        <f>VLOOKUP(Tbl_Gastos[[#This Row],[COD_CA]],Tbl_Cod_Cat[#All],2,FALSE)</f>
        <v>Salidas</v>
      </c>
      <c r="E29">
        <v>2019</v>
      </c>
      <c r="F29" t="str">
        <f>VLOOKUP(Tbl_Gastos[[#This Row],[COD_DE]],Tbl_Cod_Dest[#All],2,FALSE)</f>
        <v>Tradicion caribe</v>
      </c>
      <c r="G29">
        <v>3007</v>
      </c>
      <c r="H29" t="str">
        <f>VLOOKUP(Tbl_Gastos[[#This Row],[COD_CO]],Tbl_Cod_Conc[#All],2,FALSE)</f>
        <v>Casual</v>
      </c>
      <c r="I29" t="s">
        <v>155</v>
      </c>
      <c r="J29" s="23">
        <v>27000</v>
      </c>
      <c r="K29" s="51" t="str">
        <f>PROPER(TEXT(Tbl_Gastos[[#This Row],[FECHA]],"mmmm"))</f>
        <v>Febrero</v>
      </c>
      <c r="L29">
        <f>YEAR(Tbl_Gastos[[#This Row],[FECHA]])</f>
        <v>2025</v>
      </c>
      <c r="M29" t="str">
        <f>CONCATENATE(Tbl_Gastos[[#This Row],[MES]],"_",Tbl_Gastos[[#This Row],[AÑO]])</f>
        <v>Febrero_2025</v>
      </c>
    </row>
    <row r="30" spans="2:13" x14ac:dyDescent="0.3">
      <c r="B30" s="4">
        <v>45705</v>
      </c>
      <c r="C30">
        <v>1001</v>
      </c>
      <c r="D30" t="str">
        <f>VLOOKUP(Tbl_Gastos[[#This Row],[COD_CA]],Tbl_Cod_Cat[#All],2,FALSE)</f>
        <v>Salidas</v>
      </c>
      <c r="E30">
        <v>2006</v>
      </c>
      <c r="F30" t="str">
        <f>VLOOKUP(Tbl_Gastos[[#This Row],[COD_DE]],Tbl_Cod_Dest[#All],2,FALSE)</f>
        <v>Cine Colombia</v>
      </c>
      <c r="G30">
        <v>3006</v>
      </c>
      <c r="H30" t="str">
        <f>VLOOKUP(Tbl_Gastos[[#This Row],[COD_CO]],Tbl_Cod_Conc[#All],2,FALSE)</f>
        <v>Normal</v>
      </c>
      <c r="I30" t="s">
        <v>155</v>
      </c>
      <c r="J30" s="23">
        <v>10700</v>
      </c>
      <c r="K30" s="51" t="str">
        <f>PROPER(TEXT(Tbl_Gastos[[#This Row],[FECHA]],"mmmm"))</f>
        <v>Febrero</v>
      </c>
      <c r="L30">
        <f>YEAR(Tbl_Gastos[[#This Row],[FECHA]])</f>
        <v>2025</v>
      </c>
      <c r="M30" t="str">
        <f>CONCATENATE(Tbl_Gastos[[#This Row],[MES]],"_",Tbl_Gastos[[#This Row],[AÑO]])</f>
        <v>Febrero_2025</v>
      </c>
    </row>
    <row r="31" spans="2:13" x14ac:dyDescent="0.3">
      <c r="B31" s="4">
        <v>45705</v>
      </c>
      <c r="C31">
        <v>1001</v>
      </c>
      <c r="D31" t="str">
        <f>VLOOKUP(Tbl_Gastos[[#This Row],[COD_CA]],Tbl_Cod_Cat[#All],2,FALSE)</f>
        <v>Salidas</v>
      </c>
      <c r="E31">
        <v>2006</v>
      </c>
      <c r="F31" t="str">
        <f>VLOOKUP(Tbl_Gastos[[#This Row],[COD_DE]],Tbl_Cod_Dest[#All],2,FALSE)</f>
        <v>Cine Colombia</v>
      </c>
      <c r="G31">
        <v>3006</v>
      </c>
      <c r="H31" t="str">
        <f>VLOOKUP(Tbl_Gastos[[#This Row],[COD_CO]],Tbl_Cod_Conc[#All],2,FALSE)</f>
        <v>Normal</v>
      </c>
      <c r="I31" t="s">
        <v>155</v>
      </c>
      <c r="J31" s="23">
        <v>11000</v>
      </c>
      <c r="K31" s="51" t="str">
        <f>PROPER(TEXT(Tbl_Gastos[[#This Row],[FECHA]],"mmmm"))</f>
        <v>Febrero</v>
      </c>
      <c r="L31">
        <f>YEAR(Tbl_Gastos[[#This Row],[FECHA]])</f>
        <v>2025</v>
      </c>
      <c r="M31" t="str">
        <f>CONCATENATE(Tbl_Gastos[[#This Row],[MES]],"_",Tbl_Gastos[[#This Row],[AÑO]])</f>
        <v>Febrero_2025</v>
      </c>
    </row>
    <row r="32" spans="2:13" x14ac:dyDescent="0.3">
      <c r="B32" s="4">
        <v>45705</v>
      </c>
      <c r="C32">
        <v>1011</v>
      </c>
      <c r="D32" t="str">
        <f>VLOOKUP(Tbl_Gastos[[#This Row],[COD_CA]],Tbl_Cod_Cat[#All],2,FALSE)</f>
        <v>Entretenimiento</v>
      </c>
      <c r="E32">
        <v>2007</v>
      </c>
      <c r="F32" t="str">
        <f>VLOOKUP(Tbl_Gastos[[#This Row],[COD_DE]],Tbl_Cod_Dest[#All],2,FALSE)</f>
        <v>Xbox</v>
      </c>
      <c r="G32">
        <v>3012</v>
      </c>
      <c r="H32" t="str">
        <f>VLOOKUP(Tbl_Gastos[[#This Row],[COD_CO]],Tbl_Cod_Conc[#All],2,FALSE)</f>
        <v>Game Pass</v>
      </c>
      <c r="I32" t="s">
        <v>71</v>
      </c>
      <c r="J32" s="23">
        <v>17000</v>
      </c>
      <c r="K32" s="51" t="str">
        <f>PROPER(TEXT(Tbl_Gastos[[#This Row],[FECHA]],"mmmm"))</f>
        <v>Febrero</v>
      </c>
      <c r="L32">
        <f>YEAR(Tbl_Gastos[[#This Row],[FECHA]])</f>
        <v>2025</v>
      </c>
      <c r="M32" t="str">
        <f>CONCATENATE(Tbl_Gastos[[#This Row],[MES]],"_",Tbl_Gastos[[#This Row],[AÑO]])</f>
        <v>Febrero_2025</v>
      </c>
    </row>
    <row r="33" spans="2:13" x14ac:dyDescent="0.3">
      <c r="B33" s="4">
        <v>45706</v>
      </c>
      <c r="C33">
        <v>1001</v>
      </c>
      <c r="D33" t="str">
        <f>VLOOKUP(Tbl_Gastos[[#This Row],[COD_CA]],Tbl_Cod_Cat[#All],2,FALSE)</f>
        <v>Salidas</v>
      </c>
      <c r="E33">
        <v>2006</v>
      </c>
      <c r="F33" t="str">
        <f>VLOOKUP(Tbl_Gastos[[#This Row],[COD_DE]],Tbl_Cod_Dest[#All],2,FALSE)</f>
        <v>Cine Colombia</v>
      </c>
      <c r="G33">
        <v>3006</v>
      </c>
      <c r="H33" t="str">
        <f>VLOOKUP(Tbl_Gastos[[#This Row],[COD_CO]],Tbl_Cod_Conc[#All],2,FALSE)</f>
        <v>Normal</v>
      </c>
      <c r="I33" t="s">
        <v>155</v>
      </c>
      <c r="J33" s="23">
        <v>14000</v>
      </c>
      <c r="K33" s="51" t="str">
        <f>PROPER(TEXT(Tbl_Gastos[[#This Row],[FECHA]],"mmmm"))</f>
        <v>Febrero</v>
      </c>
      <c r="L33">
        <f>YEAR(Tbl_Gastos[[#This Row],[FECHA]])</f>
        <v>2025</v>
      </c>
      <c r="M33" t="str">
        <f>CONCATENATE(Tbl_Gastos[[#This Row],[MES]],"_",Tbl_Gastos[[#This Row],[AÑO]])</f>
        <v>Febrero_2025</v>
      </c>
    </row>
    <row r="34" spans="2:13" x14ac:dyDescent="0.3">
      <c r="B34" s="4">
        <v>45706</v>
      </c>
      <c r="C34">
        <v>1001</v>
      </c>
      <c r="D34" t="str">
        <f>VLOOKUP(Tbl_Gastos[[#This Row],[COD_CA]],Tbl_Cod_Cat[#All],2,FALSE)</f>
        <v>Salidas</v>
      </c>
      <c r="E34">
        <v>2006</v>
      </c>
      <c r="F34" t="str">
        <f>VLOOKUP(Tbl_Gastos[[#This Row],[COD_DE]],Tbl_Cod_Dest[#All],2,FALSE)</f>
        <v>Cine Colombia</v>
      </c>
      <c r="G34">
        <v>3021</v>
      </c>
      <c r="H34" t="str">
        <f>VLOOKUP(Tbl_Gastos[[#This Row],[COD_CO]],Tbl_Cod_Conc[#All],2,FALSE)</f>
        <v>Parqueo</v>
      </c>
      <c r="I34" t="s">
        <v>59</v>
      </c>
      <c r="J34" s="23">
        <v>3000</v>
      </c>
      <c r="K34" s="51" t="str">
        <f>PROPER(TEXT(Tbl_Gastos[[#This Row],[FECHA]],"mmmm"))</f>
        <v>Febrero</v>
      </c>
      <c r="L34">
        <f>YEAR(Tbl_Gastos[[#This Row],[FECHA]])</f>
        <v>2025</v>
      </c>
      <c r="M34" t="str">
        <f>CONCATENATE(Tbl_Gastos[[#This Row],[MES]],"_",Tbl_Gastos[[#This Row],[AÑO]])</f>
        <v>Febrero_2025</v>
      </c>
    </row>
    <row r="35" spans="2:13" x14ac:dyDescent="0.3">
      <c r="B35" s="4">
        <v>45707</v>
      </c>
      <c r="C35">
        <v>1001</v>
      </c>
      <c r="D35" t="str">
        <f>VLOOKUP(Tbl_Gastos[[#This Row],[COD_CA]],Tbl_Cod_Cat[#All],2,FALSE)</f>
        <v>Salidas</v>
      </c>
      <c r="E35">
        <v>2006</v>
      </c>
      <c r="F35" t="str">
        <f>VLOOKUP(Tbl_Gastos[[#This Row],[COD_DE]],Tbl_Cod_Dest[#All],2,FALSE)</f>
        <v>Cine Colombia</v>
      </c>
      <c r="G35">
        <v>3006</v>
      </c>
      <c r="H35" t="str">
        <f>VLOOKUP(Tbl_Gastos[[#This Row],[COD_CO]],Tbl_Cod_Conc[#All],2,FALSE)</f>
        <v>Normal</v>
      </c>
      <c r="I35" t="s">
        <v>155</v>
      </c>
      <c r="J35" s="23">
        <f>11000+11000</f>
        <v>22000</v>
      </c>
      <c r="K35" s="51" t="str">
        <f>PROPER(TEXT(Tbl_Gastos[[#This Row],[FECHA]],"mmmm"))</f>
        <v>Febrero</v>
      </c>
      <c r="L35">
        <f>YEAR(Tbl_Gastos[[#This Row],[FECHA]])</f>
        <v>2025</v>
      </c>
      <c r="M35" t="str">
        <f>CONCATENATE(Tbl_Gastos[[#This Row],[MES]],"_",Tbl_Gastos[[#This Row],[AÑO]])</f>
        <v>Febrero_2025</v>
      </c>
    </row>
    <row r="36" spans="2:13" x14ac:dyDescent="0.3">
      <c r="B36" s="4">
        <v>45708</v>
      </c>
      <c r="C36">
        <v>1008</v>
      </c>
      <c r="D36" t="str">
        <f>VLOOKUP(Tbl_Gastos[[#This Row],[COD_CA]],Tbl_Cod_Cat[#All],2,FALSE)</f>
        <v>Varios</v>
      </c>
      <c r="E36">
        <v>2011</v>
      </c>
      <c r="F36" t="str">
        <f>VLOOKUP(Tbl_Gastos[[#This Row],[COD_DE]],Tbl_Cod_Dest[#All],2,FALSE)</f>
        <v>Otros</v>
      </c>
      <c r="G36">
        <v>3015</v>
      </c>
      <c r="H36" t="str">
        <f>VLOOKUP(Tbl_Gastos[[#This Row],[COD_CO]],Tbl_Cod_Conc[#All],2,FALSE)</f>
        <v>Otros</v>
      </c>
      <c r="I36" t="s">
        <v>59</v>
      </c>
      <c r="J36" s="23">
        <v>2000</v>
      </c>
      <c r="K36" s="51" t="str">
        <f>PROPER(TEXT(Tbl_Gastos[[#This Row],[FECHA]],"mmmm"))</f>
        <v>Febrero</v>
      </c>
      <c r="L36">
        <f>YEAR(Tbl_Gastos[[#This Row],[FECHA]])</f>
        <v>2025</v>
      </c>
      <c r="M36" t="str">
        <f>CONCATENATE(Tbl_Gastos[[#This Row],[MES]],"_",Tbl_Gastos[[#This Row],[AÑO]])</f>
        <v>Febrero_2025</v>
      </c>
    </row>
    <row r="37" spans="2:13" x14ac:dyDescent="0.3">
      <c r="B37" s="4">
        <v>45708</v>
      </c>
      <c r="C37">
        <v>1001</v>
      </c>
      <c r="D37" t="str">
        <f>VLOOKUP(Tbl_Gastos[[#This Row],[COD_CA]],Tbl_Cod_Cat[#All],2,FALSE)</f>
        <v>Salidas</v>
      </c>
      <c r="E37">
        <v>2022</v>
      </c>
      <c r="F37" t="str">
        <f>VLOOKUP(Tbl_Gastos[[#This Row],[COD_DE]],Tbl_Cod_Dest[#All],2,FALSE)</f>
        <v>Futbol</v>
      </c>
      <c r="G37">
        <v>3007</v>
      </c>
      <c r="H37" t="str">
        <f>VLOOKUP(Tbl_Gastos[[#This Row],[COD_CO]],Tbl_Cod_Conc[#All],2,FALSE)</f>
        <v>Casual</v>
      </c>
      <c r="I37" t="s">
        <v>150</v>
      </c>
      <c r="J37" s="23">
        <v>6250</v>
      </c>
      <c r="K37" s="51" t="str">
        <f>PROPER(TEXT(Tbl_Gastos[[#This Row],[FECHA]],"mmmm"))</f>
        <v>Febrero</v>
      </c>
      <c r="L37">
        <f>YEAR(Tbl_Gastos[[#This Row],[FECHA]])</f>
        <v>2025</v>
      </c>
      <c r="M37" t="str">
        <f>CONCATENATE(Tbl_Gastos[[#This Row],[MES]],"_",Tbl_Gastos[[#This Row],[AÑO]])</f>
        <v>Febrero_2025</v>
      </c>
    </row>
    <row r="38" spans="2:13" x14ac:dyDescent="0.3">
      <c r="B38" s="4">
        <v>45708</v>
      </c>
      <c r="C38">
        <v>1001</v>
      </c>
      <c r="D38" t="str">
        <f>VLOOKUP(Tbl_Gastos[[#This Row],[COD_CA]],Tbl_Cod_Cat[#All],2,FALSE)</f>
        <v>Salidas</v>
      </c>
      <c r="E38">
        <v>2023</v>
      </c>
      <c r="F38" t="str">
        <f>VLOOKUP(Tbl_Gastos[[#This Row],[COD_DE]],Tbl_Cod_Dest[#All],2,FALSE)</f>
        <v>restaurantes</v>
      </c>
      <c r="G38">
        <v>3011</v>
      </c>
      <c r="H38" t="str">
        <f>VLOOKUP(Tbl_Gastos[[#This Row],[COD_CO]],Tbl_Cod_Conc[#All],2,FALSE)</f>
        <v>Cena</v>
      </c>
      <c r="I38" t="s">
        <v>150</v>
      </c>
      <c r="J38" s="23">
        <v>20500</v>
      </c>
      <c r="K38" s="51" t="str">
        <f>PROPER(TEXT(Tbl_Gastos[[#This Row],[FECHA]],"mmmm"))</f>
        <v>Febrero</v>
      </c>
      <c r="L38">
        <f>YEAR(Tbl_Gastos[[#This Row],[FECHA]])</f>
        <v>2025</v>
      </c>
      <c r="M38" t="str">
        <f>CONCATENATE(Tbl_Gastos[[#This Row],[MES]],"_",Tbl_Gastos[[#This Row],[AÑO]])</f>
        <v>Febrero_2025</v>
      </c>
    </row>
    <row r="39" spans="2:13" x14ac:dyDescent="0.3">
      <c r="B39" s="4">
        <v>45714</v>
      </c>
      <c r="C39">
        <v>1006</v>
      </c>
      <c r="D39" t="str">
        <f>VLOOKUP(Tbl_Gastos[[#This Row],[COD_CA]],Tbl_Cod_Cat[#All],2,FALSE)</f>
        <v>Ropa y Calzado</v>
      </c>
      <c r="E39">
        <v>2010</v>
      </c>
      <c r="F39" t="str">
        <f>VLOOKUP(Tbl_Gastos[[#This Row],[COD_DE]],Tbl_Cod_Dest[#All],2,FALSE)</f>
        <v>Mercadolibre</v>
      </c>
      <c r="G39">
        <v>3003</v>
      </c>
      <c r="H39" t="str">
        <f>VLOOKUP(Tbl_Gastos[[#This Row],[COD_CO]],Tbl_Cod_Conc[#All],2,FALSE)</f>
        <v>Juanfer</v>
      </c>
      <c r="I39" t="s">
        <v>155</v>
      </c>
      <c r="J39" s="23">
        <v>54950</v>
      </c>
      <c r="K39" s="51" t="str">
        <f>PROPER(TEXT(Tbl_Gastos[[#This Row],[FECHA]],"mmmm"))</f>
        <v>Febrero</v>
      </c>
      <c r="L39">
        <f>YEAR(Tbl_Gastos[[#This Row],[FECHA]])</f>
        <v>2025</v>
      </c>
      <c r="M39" t="str">
        <f>CONCATENATE(Tbl_Gastos[[#This Row],[MES]],"_",Tbl_Gastos[[#This Row],[AÑO]])</f>
        <v>Febrero_2025</v>
      </c>
    </row>
    <row r="40" spans="2:13" x14ac:dyDescent="0.3">
      <c r="B40" s="4">
        <v>45715</v>
      </c>
      <c r="C40">
        <v>1001</v>
      </c>
      <c r="D40" t="str">
        <f>VLOOKUP(Tbl_Gastos[[#This Row],[COD_CA]],Tbl_Cod_Cat[#All],2,FALSE)</f>
        <v>Salidas</v>
      </c>
      <c r="E40">
        <v>2022</v>
      </c>
      <c r="F40" t="str">
        <f>VLOOKUP(Tbl_Gastos[[#This Row],[COD_DE]],Tbl_Cod_Dest[#All],2,FALSE)</f>
        <v>Futbol</v>
      </c>
      <c r="G40">
        <v>3007</v>
      </c>
      <c r="H40" t="str">
        <f>VLOOKUP(Tbl_Gastos[[#This Row],[COD_CO]],Tbl_Cod_Conc[#All],2,FALSE)</f>
        <v>Casual</v>
      </c>
      <c r="I40" t="s">
        <v>150</v>
      </c>
      <c r="J40" s="23">
        <v>7833</v>
      </c>
      <c r="K40" s="51" t="str">
        <f>PROPER(TEXT(Tbl_Gastos[[#This Row],[FECHA]],"mmmm"))</f>
        <v>Febrero</v>
      </c>
      <c r="L40">
        <f>YEAR(Tbl_Gastos[[#This Row],[FECHA]])</f>
        <v>2025</v>
      </c>
      <c r="M40" t="str">
        <f>CONCATENATE(Tbl_Gastos[[#This Row],[MES]],"_",Tbl_Gastos[[#This Row],[AÑO]])</f>
        <v>Febrero_2025</v>
      </c>
    </row>
    <row r="41" spans="2:13" x14ac:dyDescent="0.3">
      <c r="B41" s="4">
        <v>45717</v>
      </c>
      <c r="C41">
        <v>1011</v>
      </c>
      <c r="D41" t="str">
        <f>VLOOKUP(Tbl_Gastos[[#This Row],[COD_CA]],Tbl_Cod_Cat[#All],2,FALSE)</f>
        <v>Entretenimiento</v>
      </c>
      <c r="E41">
        <v>2008</v>
      </c>
      <c r="F41" t="str">
        <f>VLOOKUP(Tbl_Gastos[[#This Row],[COD_DE]],Tbl_Cod_Dest[#All],2,FALSE)</f>
        <v>Alexis (Cuentas)</v>
      </c>
      <c r="G41">
        <v>3013</v>
      </c>
      <c r="H41" t="str">
        <f>VLOOKUP(Tbl_Gastos[[#This Row],[COD_CO]],Tbl_Cod_Conc[#All],2,FALSE)</f>
        <v>Suscripción Disney</v>
      </c>
      <c r="I41" t="s">
        <v>155</v>
      </c>
      <c r="J41" s="23">
        <v>8000</v>
      </c>
      <c r="K41" s="51" t="str">
        <f>PROPER(TEXT(Tbl_Gastos[[#This Row],[FECHA]],"mmmm"))</f>
        <v>Marzo</v>
      </c>
      <c r="L41">
        <f>YEAR(Tbl_Gastos[[#This Row],[FECHA]])</f>
        <v>2025</v>
      </c>
      <c r="M41" t="str">
        <f>CONCATENATE(Tbl_Gastos[[#This Row],[MES]],"_",Tbl_Gastos[[#This Row],[AÑO]])</f>
        <v>Marzo_2025</v>
      </c>
    </row>
    <row r="42" spans="2:13" x14ac:dyDescent="0.3">
      <c r="B42" s="4">
        <v>45718</v>
      </c>
      <c r="C42">
        <v>1001</v>
      </c>
      <c r="D42" t="str">
        <f>VLOOKUP(Tbl_Gastos[[#This Row],[COD_CA]],Tbl_Cod_Cat[#All],2,FALSE)</f>
        <v>Salidas</v>
      </c>
      <c r="E42">
        <v>2018</v>
      </c>
      <c r="F42" t="str">
        <f>VLOOKUP(Tbl_Gastos[[#This Row],[COD_DE]],Tbl_Cod_Dest[#All],2,FALSE)</f>
        <v>Crepes &amp; Waffles</v>
      </c>
      <c r="G42">
        <v>3007</v>
      </c>
      <c r="H42" t="str">
        <f>VLOOKUP(Tbl_Gastos[[#This Row],[COD_CO]],Tbl_Cod_Conc[#All],2,FALSE)</f>
        <v>Casual</v>
      </c>
      <c r="I42" t="s">
        <v>155</v>
      </c>
      <c r="J42" s="23">
        <v>19000</v>
      </c>
      <c r="K42" s="51" t="str">
        <f>PROPER(TEXT(Tbl_Gastos[[#This Row],[FECHA]],"mmmm"))</f>
        <v>Marzo</v>
      </c>
      <c r="L42">
        <f>YEAR(Tbl_Gastos[[#This Row],[FECHA]])</f>
        <v>2025</v>
      </c>
      <c r="M42" t="str">
        <f>CONCATENATE(Tbl_Gastos[[#This Row],[MES]],"_",Tbl_Gastos[[#This Row],[AÑO]])</f>
        <v>Marzo_2025</v>
      </c>
    </row>
    <row r="43" spans="2:13" x14ac:dyDescent="0.3">
      <c r="B43" s="4">
        <v>45718</v>
      </c>
      <c r="C43">
        <v>1001</v>
      </c>
      <c r="D43" t="str">
        <f>VLOOKUP(Tbl_Gastos[[#This Row],[COD_CA]],Tbl_Cod_Cat[#All],2,FALSE)</f>
        <v>Salidas</v>
      </c>
      <c r="E43">
        <v>2023</v>
      </c>
      <c r="F43" t="str">
        <f>VLOOKUP(Tbl_Gastos[[#This Row],[COD_DE]],Tbl_Cod_Dest[#All],2,FALSE)</f>
        <v>restaurantes</v>
      </c>
      <c r="G43">
        <v>3011</v>
      </c>
      <c r="H43" t="str">
        <f>VLOOKUP(Tbl_Gastos[[#This Row],[COD_CO]],Tbl_Cod_Conc[#All],2,FALSE)</f>
        <v>Cena</v>
      </c>
      <c r="I43" t="s">
        <v>150</v>
      </c>
      <c r="J43" s="23">
        <v>15000</v>
      </c>
      <c r="K43" s="51" t="str">
        <f>PROPER(TEXT(Tbl_Gastos[[#This Row],[FECHA]],"mmmm"))</f>
        <v>Marzo</v>
      </c>
      <c r="L43">
        <f>YEAR(Tbl_Gastos[[#This Row],[FECHA]])</f>
        <v>2025</v>
      </c>
      <c r="M43" t="str">
        <f>CONCATENATE(Tbl_Gastos[[#This Row],[MES]],"_",Tbl_Gastos[[#This Row],[AÑO]])</f>
        <v>Marzo_2025</v>
      </c>
    </row>
    <row r="44" spans="2:13" x14ac:dyDescent="0.3">
      <c r="B44" s="4">
        <v>45726</v>
      </c>
      <c r="C44">
        <v>1007</v>
      </c>
      <c r="D44" t="str">
        <f>VLOOKUP(Tbl_Gastos[[#This Row],[COD_CA]],Tbl_Cod_Cat[#All],2,FALSE)</f>
        <v>Peluqueria</v>
      </c>
      <c r="E44">
        <v>2013</v>
      </c>
      <c r="F44" t="str">
        <f>VLOOKUP(Tbl_Gastos[[#This Row],[COD_DE]],Tbl_Cod_Dest[#All],2,FALSE)</f>
        <v>Barba fina</v>
      </c>
      <c r="G44">
        <v>3016</v>
      </c>
      <c r="H44" t="str">
        <f>VLOOKUP(Tbl_Gastos[[#This Row],[COD_CO]],Tbl_Cod_Conc[#All],2,FALSE)</f>
        <v>Motilada</v>
      </c>
      <c r="I44" t="s">
        <v>150</v>
      </c>
      <c r="J44" s="23">
        <v>25000</v>
      </c>
      <c r="K44" s="51" t="str">
        <f>PROPER(TEXT(Tbl_Gastos[[#This Row],[FECHA]],"mmmm"))</f>
        <v>Marzo</v>
      </c>
      <c r="L44">
        <f>YEAR(Tbl_Gastos[[#This Row],[FECHA]])</f>
        <v>2025</v>
      </c>
      <c r="M44" t="str">
        <f>CONCATENATE(Tbl_Gastos[[#This Row],[MES]],"_",Tbl_Gastos[[#This Row],[AÑO]])</f>
        <v>Marzo_2025</v>
      </c>
    </row>
    <row r="45" spans="2:13" x14ac:dyDescent="0.3">
      <c r="B45" s="4">
        <v>45729</v>
      </c>
      <c r="C45">
        <v>1001</v>
      </c>
      <c r="D45" t="str">
        <f>VLOOKUP(Tbl_Gastos[[#This Row],[COD_CA]],Tbl_Cod_Cat[#All],2,FALSE)</f>
        <v>Salidas</v>
      </c>
      <c r="E45">
        <v>2022</v>
      </c>
      <c r="F45" t="str">
        <f>VLOOKUP(Tbl_Gastos[[#This Row],[COD_DE]],Tbl_Cod_Dest[#All],2,FALSE)</f>
        <v>Futbol</v>
      </c>
      <c r="G45">
        <v>3007</v>
      </c>
      <c r="H45" t="str">
        <f>VLOOKUP(Tbl_Gastos[[#This Row],[COD_CO]],Tbl_Cod_Conc[#All],2,FALSE)</f>
        <v>Casual</v>
      </c>
      <c r="I45" t="s">
        <v>150</v>
      </c>
      <c r="J45" s="23">
        <f>11111+12000</f>
        <v>23111</v>
      </c>
      <c r="K45" s="51" t="str">
        <f>PROPER(TEXT(Tbl_Gastos[[#This Row],[FECHA]],"mmmm"))</f>
        <v>Marzo</v>
      </c>
      <c r="L45">
        <f>YEAR(Tbl_Gastos[[#This Row],[FECHA]])</f>
        <v>2025</v>
      </c>
      <c r="M45" t="str">
        <f>CONCATENATE(Tbl_Gastos[[#This Row],[MES]],"_",Tbl_Gastos[[#This Row],[AÑO]])</f>
        <v>Marzo_2025</v>
      </c>
    </row>
    <row r="46" spans="2:13" x14ac:dyDescent="0.3">
      <c r="B46" s="4">
        <v>45736</v>
      </c>
      <c r="C46">
        <v>1001</v>
      </c>
      <c r="D46" t="str">
        <f>VLOOKUP(Tbl_Gastos[[#This Row],[COD_CA]],Tbl_Cod_Cat[#All],2,FALSE)</f>
        <v>Salidas</v>
      </c>
      <c r="E46">
        <v>2019</v>
      </c>
      <c r="F46" t="str">
        <f>VLOOKUP(Tbl_Gastos[[#This Row],[COD_DE]],Tbl_Cod_Dest[#All],2,FALSE)</f>
        <v>Tradicion caribe</v>
      </c>
      <c r="G46">
        <v>3011</v>
      </c>
      <c r="H46" t="str">
        <f>VLOOKUP(Tbl_Gastos[[#This Row],[COD_CO]],Tbl_Cod_Conc[#All],2,FALSE)</f>
        <v>Cena</v>
      </c>
      <c r="I46" t="s">
        <v>155</v>
      </c>
      <c r="J46" s="23">
        <v>45500</v>
      </c>
      <c r="K46" s="51" t="str">
        <f>PROPER(TEXT(Tbl_Gastos[[#This Row],[FECHA]],"mmmm"))</f>
        <v>Marzo</v>
      </c>
      <c r="L46">
        <f>YEAR(Tbl_Gastos[[#This Row],[FECHA]])</f>
        <v>2025</v>
      </c>
      <c r="M46" t="str">
        <f>CONCATENATE(Tbl_Gastos[[#This Row],[MES]],"_",Tbl_Gastos[[#This Row],[AÑO]])</f>
        <v>Marzo_2025</v>
      </c>
    </row>
    <row r="47" spans="2:13" x14ac:dyDescent="0.3">
      <c r="B47" s="4">
        <v>45750</v>
      </c>
      <c r="C47">
        <v>1001</v>
      </c>
      <c r="D47" t="str">
        <f>VLOOKUP(Tbl_Gastos[[#This Row],[COD_CA]],Tbl_Cod_Cat[#All],2,FALSE)</f>
        <v>Salidas</v>
      </c>
      <c r="E47">
        <v>2019</v>
      </c>
      <c r="F47" t="str">
        <f>VLOOKUP(Tbl_Gastos[[#This Row],[COD_DE]],Tbl_Cod_Dest[#All],2,FALSE)</f>
        <v>Tradicion caribe</v>
      </c>
      <c r="G47">
        <v>3007</v>
      </c>
      <c r="H47" t="str">
        <f>VLOOKUP(Tbl_Gastos[[#This Row],[COD_CO]],Tbl_Cod_Conc[#All],2,FALSE)</f>
        <v>Casual</v>
      </c>
      <c r="I47" t="s">
        <v>59</v>
      </c>
      <c r="J47" s="23">
        <v>5000</v>
      </c>
      <c r="K47" s="51" t="str">
        <f>PROPER(TEXT(Tbl_Gastos[[#This Row],[FECHA]],"mmmm"))</f>
        <v>Abril</v>
      </c>
      <c r="L47">
        <f>YEAR(Tbl_Gastos[[#This Row],[FECHA]])</f>
        <v>2025</v>
      </c>
      <c r="M47" t="str">
        <f>CONCATENATE(Tbl_Gastos[[#This Row],[MES]],"_",Tbl_Gastos[[#This Row],[AÑO]])</f>
        <v>Abril_2025</v>
      </c>
    </row>
    <row r="48" spans="2:13" x14ac:dyDescent="0.3">
      <c r="B48" s="4">
        <v>45750</v>
      </c>
      <c r="C48">
        <v>1001</v>
      </c>
      <c r="D48" t="str">
        <f>VLOOKUP(Tbl_Gastos[[#This Row],[COD_CA]],Tbl_Cod_Cat[#All],2,FALSE)</f>
        <v>Salidas</v>
      </c>
      <c r="E48">
        <v>2022</v>
      </c>
      <c r="F48" t="str">
        <f>VLOOKUP(Tbl_Gastos[[#This Row],[COD_DE]],Tbl_Cod_Dest[#All],2,FALSE)</f>
        <v>Futbol</v>
      </c>
      <c r="G48">
        <v>3007</v>
      </c>
      <c r="H48" t="str">
        <f>VLOOKUP(Tbl_Gastos[[#This Row],[COD_CO]],Tbl_Cod_Conc[#All],2,FALSE)</f>
        <v>Casual</v>
      </c>
      <c r="I48" t="s">
        <v>150</v>
      </c>
      <c r="J48" s="23">
        <v>10000</v>
      </c>
      <c r="K48" s="51" t="str">
        <f>PROPER(TEXT(Tbl_Gastos[[#This Row],[FECHA]],"mmmm"))</f>
        <v>Abril</v>
      </c>
      <c r="L48">
        <f>YEAR(Tbl_Gastos[[#This Row],[FECHA]])</f>
        <v>2025</v>
      </c>
      <c r="M48" t="str">
        <f>CONCATENATE(Tbl_Gastos[[#This Row],[MES]],"_",Tbl_Gastos[[#This Row],[AÑO]])</f>
        <v>Abril_2025</v>
      </c>
    </row>
    <row r="49" spans="2:13" x14ac:dyDescent="0.3">
      <c r="B49" s="4">
        <v>45750</v>
      </c>
      <c r="C49">
        <v>1011</v>
      </c>
      <c r="D49" t="str">
        <f>VLOOKUP(Tbl_Gastos[[#This Row],[COD_CA]],Tbl_Cod_Cat[#All],2,FALSE)</f>
        <v>Entretenimiento</v>
      </c>
      <c r="E49">
        <v>2007</v>
      </c>
      <c r="F49" t="str">
        <f>VLOOKUP(Tbl_Gastos[[#This Row],[COD_DE]],Tbl_Cod_Dest[#All],2,FALSE)</f>
        <v>Xbox</v>
      </c>
      <c r="G49">
        <v>3012</v>
      </c>
      <c r="H49" t="str">
        <f>VLOOKUP(Tbl_Gastos[[#This Row],[COD_CO]],Tbl_Cod_Conc[#All],2,FALSE)</f>
        <v>Game Pass</v>
      </c>
      <c r="I49" t="s">
        <v>71</v>
      </c>
      <c r="J49" s="23">
        <v>21500</v>
      </c>
      <c r="K49" s="51" t="str">
        <f>PROPER(TEXT(Tbl_Gastos[[#This Row],[FECHA]],"mmmm"))</f>
        <v>Abril</v>
      </c>
      <c r="L49">
        <f>YEAR(Tbl_Gastos[[#This Row],[FECHA]])</f>
        <v>2025</v>
      </c>
      <c r="M49" t="str">
        <f>CONCATENATE(Tbl_Gastos[[#This Row],[MES]],"_",Tbl_Gastos[[#This Row],[AÑO]])</f>
        <v>Abril_2025</v>
      </c>
    </row>
    <row r="50" spans="2:13" x14ac:dyDescent="0.3">
      <c r="B50" s="4">
        <v>45759</v>
      </c>
      <c r="C50">
        <v>1001</v>
      </c>
      <c r="D50" t="str">
        <f>VLOOKUP(Tbl_Gastos[[#This Row],[COD_CA]],Tbl_Cod_Cat[#All],2,FALSE)</f>
        <v>Salidas</v>
      </c>
      <c r="E50">
        <v>2023</v>
      </c>
      <c r="F50" t="str">
        <f>VLOOKUP(Tbl_Gastos[[#This Row],[COD_DE]],Tbl_Cod_Dest[#All],2,FALSE)</f>
        <v>restaurantes</v>
      </c>
      <c r="G50">
        <v>3011</v>
      </c>
      <c r="H50" t="str">
        <f>VLOOKUP(Tbl_Gastos[[#This Row],[COD_CO]],Tbl_Cod_Conc[#All],2,FALSE)</f>
        <v>Cena</v>
      </c>
      <c r="I50" t="s">
        <v>71</v>
      </c>
      <c r="J50" s="23">
        <v>41400</v>
      </c>
      <c r="K50" s="51" t="str">
        <f>PROPER(TEXT(Tbl_Gastos[[#This Row],[FECHA]],"mmmm"))</f>
        <v>Abril</v>
      </c>
      <c r="L50">
        <f>YEAR(Tbl_Gastos[[#This Row],[FECHA]])</f>
        <v>2025</v>
      </c>
      <c r="M50" t="str">
        <f>CONCATENATE(Tbl_Gastos[[#This Row],[MES]],"_",Tbl_Gastos[[#This Row],[AÑO]])</f>
        <v>Abril_2025</v>
      </c>
    </row>
    <row r="51" spans="2:13" x14ac:dyDescent="0.3">
      <c r="B51" s="4">
        <v>45760</v>
      </c>
      <c r="C51">
        <v>1001</v>
      </c>
      <c r="D51" t="str">
        <f>VLOOKUP(Tbl_Gastos[[#This Row],[COD_CA]],Tbl_Cod_Cat[#All],2,FALSE)</f>
        <v>Salidas</v>
      </c>
      <c r="E51">
        <v>2023</v>
      </c>
      <c r="F51" t="str">
        <f>VLOOKUP(Tbl_Gastos[[#This Row],[COD_DE]],Tbl_Cod_Dest[#All],2,FALSE)</f>
        <v>restaurantes</v>
      </c>
      <c r="G51">
        <v>3010</v>
      </c>
      <c r="H51" t="str">
        <f>VLOOKUP(Tbl_Gastos[[#This Row],[COD_CO]],Tbl_Cod_Conc[#All],2,FALSE)</f>
        <v>Almuerzo</v>
      </c>
      <c r="I51" t="s">
        <v>155</v>
      </c>
      <c r="J51" s="23">
        <v>26900</v>
      </c>
      <c r="K51" s="51" t="str">
        <f>PROPER(TEXT(Tbl_Gastos[[#This Row],[FECHA]],"mmmm"))</f>
        <v>Abril</v>
      </c>
      <c r="L51">
        <f>YEAR(Tbl_Gastos[[#This Row],[FECHA]])</f>
        <v>2025</v>
      </c>
      <c r="M51" t="str">
        <f>CONCATENATE(Tbl_Gastos[[#This Row],[MES]],"_",Tbl_Gastos[[#This Row],[AÑO]])</f>
        <v>Abril_2025</v>
      </c>
    </row>
    <row r="52" spans="2:13" x14ac:dyDescent="0.3">
      <c r="B52" s="4">
        <v>45765</v>
      </c>
      <c r="C52">
        <v>1011</v>
      </c>
      <c r="D52" t="str">
        <f>VLOOKUP(Tbl_Gastos[[#This Row],[COD_CA]],Tbl_Cod_Cat[#All],2,FALSE)</f>
        <v>Entretenimiento</v>
      </c>
      <c r="E52">
        <v>2015</v>
      </c>
      <c r="F52" t="str">
        <f>VLOOKUP(Tbl_Gastos[[#This Row],[COD_DE]],Tbl_Cod_Dest[#All],2,FALSE)</f>
        <v>Libros</v>
      </c>
      <c r="G52">
        <v>3006</v>
      </c>
      <c r="H52" t="str">
        <f>VLOOKUP(Tbl_Gastos[[#This Row],[COD_CO]],Tbl_Cod_Conc[#All],2,FALSE)</f>
        <v>Normal</v>
      </c>
      <c r="I52" t="s">
        <v>155</v>
      </c>
      <c r="J52" s="23">
        <v>8570</v>
      </c>
      <c r="K52" s="51" t="str">
        <f>PROPER(TEXT(Tbl_Gastos[[#This Row],[FECHA]],"mmmm"))</f>
        <v>Abril</v>
      </c>
      <c r="L52">
        <f>YEAR(Tbl_Gastos[[#This Row],[FECHA]])</f>
        <v>2025</v>
      </c>
      <c r="M52" t="str">
        <f>CONCATENATE(Tbl_Gastos[[#This Row],[MES]],"_",Tbl_Gastos[[#This Row],[AÑO]])</f>
        <v>Abril_2025</v>
      </c>
    </row>
    <row r="53" spans="2:13" x14ac:dyDescent="0.3">
      <c r="B53" s="4">
        <v>45771</v>
      </c>
      <c r="C53">
        <v>1001</v>
      </c>
      <c r="D53" t="str">
        <f>VLOOKUP(Tbl_Gastos[[#This Row],[COD_CA]],Tbl_Cod_Cat[#All],2,FALSE)</f>
        <v>Salidas</v>
      </c>
      <c r="E53">
        <v>2022</v>
      </c>
      <c r="F53" t="str">
        <f>VLOOKUP(Tbl_Gastos[[#This Row],[COD_DE]],Tbl_Cod_Dest[#All],2,FALSE)</f>
        <v>Futbol</v>
      </c>
      <c r="G53">
        <v>3007</v>
      </c>
      <c r="H53" t="str">
        <f>VLOOKUP(Tbl_Gastos[[#This Row],[COD_CO]],Tbl_Cod_Conc[#All],2,FALSE)</f>
        <v>Casual</v>
      </c>
      <c r="I53" t="s">
        <v>150</v>
      </c>
      <c r="J53" s="23">
        <v>10000</v>
      </c>
      <c r="K53" s="51" t="str">
        <f>PROPER(TEXT(Tbl_Gastos[[#This Row],[FECHA]],"mmmm"))</f>
        <v>Abril</v>
      </c>
      <c r="L53">
        <f>YEAR(Tbl_Gastos[[#This Row],[FECHA]])</f>
        <v>2025</v>
      </c>
      <c r="M53" t="str">
        <f>CONCATENATE(Tbl_Gastos[[#This Row],[MES]],"_",Tbl_Gastos[[#This Row],[AÑO]])</f>
        <v>Abril_2025</v>
      </c>
    </row>
    <row r="54" spans="2:13" x14ac:dyDescent="0.3">
      <c r="B54" s="4">
        <v>45773</v>
      </c>
      <c r="C54">
        <v>1001</v>
      </c>
      <c r="D54" t="str">
        <f>VLOOKUP(Tbl_Gastos[[#This Row],[COD_CA]],Tbl_Cod_Cat[#All],2,FALSE)</f>
        <v>Salidas</v>
      </c>
      <c r="E54">
        <v>2019</v>
      </c>
      <c r="F54" t="str">
        <f>VLOOKUP(Tbl_Gastos[[#This Row],[COD_DE]],Tbl_Cod_Dest[#All],2,FALSE)</f>
        <v>Tradicion caribe</v>
      </c>
      <c r="G54">
        <v>3011</v>
      </c>
      <c r="H54" t="str">
        <f>VLOOKUP(Tbl_Gastos[[#This Row],[COD_CO]],Tbl_Cod_Conc[#All],2,FALSE)</f>
        <v>Cena</v>
      </c>
      <c r="I54" t="s">
        <v>150</v>
      </c>
      <c r="J54" s="23">
        <f>38000+4000</f>
        <v>42000</v>
      </c>
      <c r="K54" s="51" t="str">
        <f>PROPER(TEXT(Tbl_Gastos[[#This Row],[FECHA]],"mmmm"))</f>
        <v>Abril</v>
      </c>
      <c r="L54">
        <f>YEAR(Tbl_Gastos[[#This Row],[FECHA]])</f>
        <v>2025</v>
      </c>
      <c r="M54" t="str">
        <f>CONCATENATE(Tbl_Gastos[[#This Row],[MES]],"_",Tbl_Gastos[[#This Row],[AÑO]])</f>
        <v>Abril_2025</v>
      </c>
    </row>
    <row r="55" spans="2:13" x14ac:dyDescent="0.3">
      <c r="B55" s="4">
        <v>45775</v>
      </c>
      <c r="C55">
        <v>1007</v>
      </c>
      <c r="D55" t="str">
        <f>VLOOKUP(Tbl_Gastos[[#This Row],[COD_CA]],Tbl_Cod_Cat[#All],2,FALSE)</f>
        <v>Peluqueria</v>
      </c>
      <c r="E55">
        <v>2013</v>
      </c>
      <c r="F55" t="str">
        <f>VLOOKUP(Tbl_Gastos[[#This Row],[COD_DE]],Tbl_Cod_Dest[#All],2,FALSE)</f>
        <v>Barba fina</v>
      </c>
      <c r="G55">
        <v>3016</v>
      </c>
      <c r="H55" t="str">
        <f>VLOOKUP(Tbl_Gastos[[#This Row],[COD_CO]],Tbl_Cod_Conc[#All],2,FALSE)</f>
        <v>Motilada</v>
      </c>
      <c r="I55" t="s">
        <v>150</v>
      </c>
      <c r="J55" s="23">
        <v>25000</v>
      </c>
      <c r="K55" s="51" t="str">
        <f>PROPER(TEXT(Tbl_Gastos[[#This Row],[FECHA]],"mmmm"))</f>
        <v>Abril</v>
      </c>
      <c r="L55">
        <f>YEAR(Tbl_Gastos[[#This Row],[FECHA]])</f>
        <v>2025</v>
      </c>
      <c r="M55" t="str">
        <f>CONCATENATE(Tbl_Gastos[[#This Row],[MES]],"_",Tbl_Gastos[[#This Row],[AÑO]])</f>
        <v>Abril_2025</v>
      </c>
    </row>
    <row r="56" spans="2:13" x14ac:dyDescent="0.3">
      <c r="B56" s="4">
        <v>45775</v>
      </c>
      <c r="C56">
        <v>1008</v>
      </c>
      <c r="D56" t="str">
        <f>VLOOKUP(Tbl_Gastos[[#This Row],[COD_CA]],Tbl_Cod_Cat[#All],2,FALSE)</f>
        <v>Varios</v>
      </c>
      <c r="E56">
        <v>2011</v>
      </c>
      <c r="F56" t="str">
        <f>VLOOKUP(Tbl_Gastos[[#This Row],[COD_DE]],Tbl_Cod_Dest[#All],2,FALSE)</f>
        <v>Otros</v>
      </c>
      <c r="G56">
        <v>3015</v>
      </c>
      <c r="H56" t="str">
        <f>VLOOKUP(Tbl_Gastos[[#This Row],[COD_CO]],Tbl_Cod_Conc[#All],2,FALSE)</f>
        <v>Otros</v>
      </c>
      <c r="I56" t="s">
        <v>59</v>
      </c>
      <c r="J56" s="23">
        <v>3000</v>
      </c>
      <c r="K56" s="51" t="str">
        <f>PROPER(TEXT(Tbl_Gastos[[#This Row],[FECHA]],"mmmm"))</f>
        <v>Abril</v>
      </c>
      <c r="L56">
        <f>YEAR(Tbl_Gastos[[#This Row],[FECHA]])</f>
        <v>2025</v>
      </c>
      <c r="M56" t="str">
        <f>CONCATENATE(Tbl_Gastos[[#This Row],[MES]],"_",Tbl_Gastos[[#This Row],[AÑO]])</f>
        <v>Abril_2025</v>
      </c>
    </row>
    <row r="57" spans="2:13" x14ac:dyDescent="0.3">
      <c r="B57" s="4">
        <v>45775</v>
      </c>
      <c r="C57">
        <v>1001</v>
      </c>
      <c r="D57" t="str">
        <f>VLOOKUP(Tbl_Gastos[[#This Row],[COD_CA]],Tbl_Cod_Cat[#All],2,FALSE)</f>
        <v>Salidas</v>
      </c>
      <c r="E57">
        <v>2019</v>
      </c>
      <c r="F57" t="str">
        <f>VLOOKUP(Tbl_Gastos[[#This Row],[COD_DE]],Tbl_Cod_Dest[#All],2,FALSE)</f>
        <v>Tradicion caribe</v>
      </c>
      <c r="G57">
        <v>3007</v>
      </c>
      <c r="H57" t="str">
        <f>VLOOKUP(Tbl_Gastos[[#This Row],[COD_CO]],Tbl_Cod_Conc[#All],2,FALSE)</f>
        <v>Casual</v>
      </c>
      <c r="I57" t="s">
        <v>59</v>
      </c>
      <c r="J57" s="23">
        <v>5000</v>
      </c>
      <c r="K57" s="51" t="str">
        <f>PROPER(TEXT(Tbl_Gastos[[#This Row],[FECHA]],"mmmm"))</f>
        <v>Abril</v>
      </c>
      <c r="L57">
        <f>YEAR(Tbl_Gastos[[#This Row],[FECHA]])</f>
        <v>2025</v>
      </c>
      <c r="M57" t="str">
        <f>CONCATENATE(Tbl_Gastos[[#This Row],[MES]],"_",Tbl_Gastos[[#This Row],[AÑO]])</f>
        <v>Abril_2025</v>
      </c>
    </row>
    <row r="58" spans="2:13" x14ac:dyDescent="0.3">
      <c r="B58" s="4">
        <v>45780</v>
      </c>
      <c r="C58">
        <v>1006</v>
      </c>
      <c r="D58" t="str">
        <f>VLOOKUP(Tbl_Gastos[[#This Row],[COD_CA]],Tbl_Cod_Cat[#All],2,FALSE)</f>
        <v>Ropa y Calzado</v>
      </c>
      <c r="E58">
        <v>2010</v>
      </c>
      <c r="F58" t="str">
        <f>VLOOKUP(Tbl_Gastos[[#This Row],[COD_DE]],Tbl_Cod_Dest[#All],2,FALSE)</f>
        <v>Mercadolibre</v>
      </c>
      <c r="G58">
        <v>3003</v>
      </c>
      <c r="H58" t="str">
        <f>VLOOKUP(Tbl_Gastos[[#This Row],[COD_CO]],Tbl_Cod_Conc[#All],2,FALSE)</f>
        <v>Juanfer</v>
      </c>
      <c r="I58" t="s">
        <v>155</v>
      </c>
      <c r="J58" s="23">
        <v>54900</v>
      </c>
      <c r="K58" s="51" t="str">
        <f>PROPER(TEXT(Tbl_Gastos[[#This Row],[FECHA]],"mmmm"))</f>
        <v>Mayo</v>
      </c>
      <c r="L58">
        <f>YEAR(Tbl_Gastos[[#This Row],[FECHA]])</f>
        <v>2025</v>
      </c>
      <c r="M58" t="str">
        <f>CONCATENATE(Tbl_Gastos[[#This Row],[MES]],"_",Tbl_Gastos[[#This Row],[AÑO]])</f>
        <v>Mayo_2025</v>
      </c>
    </row>
    <row r="59" spans="2:13" x14ac:dyDescent="0.3">
      <c r="B59" s="4">
        <v>45780</v>
      </c>
      <c r="C59">
        <v>1011</v>
      </c>
      <c r="D59" t="str">
        <f>VLOOKUP(Tbl_Gastos[[#This Row],[COD_CA]],Tbl_Cod_Cat[#All],2,FALSE)</f>
        <v>Entretenimiento</v>
      </c>
      <c r="E59">
        <v>2007</v>
      </c>
      <c r="F59" t="str">
        <f>VLOOKUP(Tbl_Gastos[[#This Row],[COD_DE]],Tbl_Cod_Dest[#All],2,FALSE)</f>
        <v>Xbox</v>
      </c>
      <c r="G59">
        <v>3012</v>
      </c>
      <c r="H59" t="str">
        <f>VLOOKUP(Tbl_Gastos[[#This Row],[COD_CO]],Tbl_Cod_Conc[#All],2,FALSE)</f>
        <v>Game Pass</v>
      </c>
      <c r="I59" t="s">
        <v>71</v>
      </c>
      <c r="J59" s="23">
        <v>21500</v>
      </c>
      <c r="K59" s="51" t="str">
        <f>PROPER(TEXT(Tbl_Gastos[[#This Row],[FECHA]],"mmmm"))</f>
        <v>Mayo</v>
      </c>
      <c r="L59">
        <f>YEAR(Tbl_Gastos[[#This Row],[FECHA]])</f>
        <v>2025</v>
      </c>
      <c r="M59" t="str">
        <f>CONCATENATE(Tbl_Gastos[[#This Row],[MES]],"_",Tbl_Gastos[[#This Row],[AÑO]])</f>
        <v>Mayo_2025</v>
      </c>
    </row>
    <row r="60" spans="2:13" x14ac:dyDescent="0.3">
      <c r="B60" s="4">
        <v>45781</v>
      </c>
      <c r="C60">
        <v>1001</v>
      </c>
      <c r="D60" t="str">
        <f>VLOOKUP(Tbl_Gastos[[#This Row],[COD_CA]],Tbl_Cod_Cat[#All],2,FALSE)</f>
        <v>Salidas</v>
      </c>
      <c r="E60">
        <v>2022</v>
      </c>
      <c r="F60" t="str">
        <f>VLOOKUP(Tbl_Gastos[[#This Row],[COD_DE]],Tbl_Cod_Dest[#All],2,FALSE)</f>
        <v>Futbol</v>
      </c>
      <c r="G60">
        <v>3007</v>
      </c>
      <c r="H60" t="str">
        <f>VLOOKUP(Tbl_Gastos[[#This Row],[COD_CO]],Tbl_Cod_Conc[#All],2,FALSE)</f>
        <v>Casual</v>
      </c>
      <c r="I60" t="s">
        <v>59</v>
      </c>
      <c r="J60" s="23">
        <v>18000</v>
      </c>
      <c r="K60" s="51" t="str">
        <f>PROPER(TEXT(Tbl_Gastos[[#This Row],[FECHA]],"mmmm"))</f>
        <v>Mayo</v>
      </c>
      <c r="L60">
        <f>YEAR(Tbl_Gastos[[#This Row],[FECHA]])</f>
        <v>2025</v>
      </c>
      <c r="M60" t="str">
        <f>CONCATENATE(Tbl_Gastos[[#This Row],[MES]],"_",Tbl_Gastos[[#This Row],[AÑO]])</f>
        <v>Mayo_2025</v>
      </c>
    </row>
    <row r="61" spans="2:13" x14ac:dyDescent="0.3">
      <c r="B61" s="4">
        <v>45785</v>
      </c>
      <c r="C61">
        <v>1001</v>
      </c>
      <c r="D61" t="str">
        <f>VLOOKUP(Tbl_Gastos[[#This Row],[COD_CA]],Tbl_Cod_Cat[#All],2,FALSE)</f>
        <v>Salidas</v>
      </c>
      <c r="E61">
        <v>2023</v>
      </c>
      <c r="F61" t="str">
        <f>VLOOKUP(Tbl_Gastos[[#This Row],[COD_DE]],Tbl_Cod_Dest[#All],2,FALSE)</f>
        <v>restaurantes</v>
      </c>
      <c r="G61">
        <v>3010</v>
      </c>
      <c r="H61" t="str">
        <f>VLOOKUP(Tbl_Gastos[[#This Row],[COD_CO]],Tbl_Cod_Conc[#All],2,FALSE)</f>
        <v>Almuerzo</v>
      </c>
      <c r="I61" t="s">
        <v>155</v>
      </c>
      <c r="J61" s="23">
        <v>39800</v>
      </c>
      <c r="K61" s="51" t="str">
        <f>PROPER(TEXT(Tbl_Gastos[[#This Row],[FECHA]],"mmmm"))</f>
        <v>Mayo</v>
      </c>
      <c r="L61">
        <f>YEAR(Tbl_Gastos[[#This Row],[FECHA]])</f>
        <v>2025</v>
      </c>
      <c r="M61" t="str">
        <f>CONCATENATE(Tbl_Gastos[[#This Row],[MES]],"_",Tbl_Gastos[[#This Row],[AÑO]])</f>
        <v>Mayo_2025</v>
      </c>
    </row>
    <row r="62" spans="2:13" x14ac:dyDescent="0.3">
      <c r="B62" s="4">
        <v>45785</v>
      </c>
      <c r="C62">
        <v>1001</v>
      </c>
      <c r="D62" t="str">
        <f>VLOOKUP(Tbl_Gastos[[#This Row],[COD_CA]],Tbl_Cod_Cat[#All],2,FALSE)</f>
        <v>Salidas</v>
      </c>
      <c r="E62">
        <v>2022</v>
      </c>
      <c r="F62" t="str">
        <f>VLOOKUP(Tbl_Gastos[[#This Row],[COD_DE]],Tbl_Cod_Dest[#All],2,FALSE)</f>
        <v>Futbol</v>
      </c>
      <c r="G62">
        <v>3007</v>
      </c>
      <c r="H62" t="str">
        <f>VLOOKUP(Tbl_Gastos[[#This Row],[COD_CO]],Tbl_Cod_Conc[#All],2,FALSE)</f>
        <v>Casual</v>
      </c>
      <c r="I62" t="s">
        <v>150</v>
      </c>
      <c r="J62" s="23">
        <f>7200+3000</f>
        <v>10200</v>
      </c>
      <c r="K62" s="51" t="str">
        <f>PROPER(TEXT(Tbl_Gastos[[#This Row],[FECHA]],"mmmm"))</f>
        <v>Mayo</v>
      </c>
      <c r="L62">
        <f>YEAR(Tbl_Gastos[[#This Row],[FECHA]])</f>
        <v>2025</v>
      </c>
      <c r="M62" t="str">
        <f>CONCATENATE(Tbl_Gastos[[#This Row],[MES]],"_",Tbl_Gastos[[#This Row],[AÑO]])</f>
        <v>Mayo_2025</v>
      </c>
    </row>
    <row r="63" spans="2:13" x14ac:dyDescent="0.3">
      <c r="B63" s="4">
        <v>45786</v>
      </c>
      <c r="C63">
        <v>1008</v>
      </c>
      <c r="D63" t="str">
        <f>VLOOKUP(Tbl_Gastos[[#This Row],[COD_CA]],Tbl_Cod_Cat[#All],2,FALSE)</f>
        <v>Varios</v>
      </c>
      <c r="E63">
        <v>2011</v>
      </c>
      <c r="F63" t="str">
        <f>VLOOKUP(Tbl_Gastos[[#This Row],[COD_DE]],Tbl_Cod_Dest[#All],2,FALSE)</f>
        <v>Otros</v>
      </c>
      <c r="G63">
        <v>3015</v>
      </c>
      <c r="H63" t="str">
        <f>VLOOKUP(Tbl_Gastos[[#This Row],[COD_CO]],Tbl_Cod_Conc[#All],2,FALSE)</f>
        <v>Otros</v>
      </c>
      <c r="I63" t="s">
        <v>59</v>
      </c>
      <c r="J63" s="23">
        <v>11000</v>
      </c>
      <c r="K63" s="51" t="str">
        <f>PROPER(TEXT(Tbl_Gastos[[#This Row],[FECHA]],"mmmm"))</f>
        <v>Mayo</v>
      </c>
      <c r="L63">
        <f>YEAR(Tbl_Gastos[[#This Row],[FECHA]])</f>
        <v>2025</v>
      </c>
      <c r="M63" t="str">
        <f>CONCATENATE(Tbl_Gastos[[#This Row],[MES]],"_",Tbl_Gastos[[#This Row],[AÑO]])</f>
        <v>Mayo_2025</v>
      </c>
    </row>
    <row r="64" spans="2:13" x14ac:dyDescent="0.3">
      <c r="B64" s="4">
        <v>45786</v>
      </c>
      <c r="C64">
        <v>1001</v>
      </c>
      <c r="D64" t="str">
        <f>VLOOKUP(Tbl_Gastos[[#This Row],[COD_CA]],Tbl_Cod_Cat[#All],2,FALSE)</f>
        <v>Salidas</v>
      </c>
      <c r="E64">
        <v>2019</v>
      </c>
      <c r="F64" t="str">
        <f>VLOOKUP(Tbl_Gastos[[#This Row],[COD_DE]],Tbl_Cod_Dest[#All],2,FALSE)</f>
        <v>Tradicion caribe</v>
      </c>
      <c r="G64">
        <v>3011</v>
      </c>
      <c r="H64" t="str">
        <f>VLOOKUP(Tbl_Gastos[[#This Row],[COD_CO]],Tbl_Cod_Conc[#All],2,FALSE)</f>
        <v>Cena</v>
      </c>
      <c r="I64" t="s">
        <v>155</v>
      </c>
      <c r="J64" s="23">
        <v>16000</v>
      </c>
      <c r="K64" s="51" t="str">
        <f>PROPER(TEXT(Tbl_Gastos[[#This Row],[FECHA]],"mmmm"))</f>
        <v>Mayo</v>
      </c>
      <c r="L64">
        <f>YEAR(Tbl_Gastos[[#This Row],[FECHA]])</f>
        <v>2025</v>
      </c>
      <c r="M64" t="str">
        <f>CONCATENATE(Tbl_Gastos[[#This Row],[MES]],"_",Tbl_Gastos[[#This Row],[AÑO]])</f>
        <v>Mayo_2025</v>
      </c>
    </row>
    <row r="65" spans="2:13" x14ac:dyDescent="0.3">
      <c r="B65" s="4">
        <v>45786</v>
      </c>
      <c r="C65">
        <v>1008</v>
      </c>
      <c r="D65" t="str">
        <f>VLOOKUP(Tbl_Gastos[[#This Row],[COD_CA]],Tbl_Cod_Cat[#All],2,FALSE)</f>
        <v>Varios</v>
      </c>
      <c r="E65">
        <v>2002</v>
      </c>
      <c r="F65" t="str">
        <f>VLOOKUP(Tbl_Gastos[[#This Row],[COD_DE]],Tbl_Cod_Dest[#All],2,FALSE)</f>
        <v>Marisol</v>
      </c>
      <c r="G65">
        <v>3018</v>
      </c>
      <c r="H65" t="str">
        <f>VLOOKUP(Tbl_Gastos[[#This Row],[COD_CO]],Tbl_Cod_Conc[#All],2,FALSE)</f>
        <v>Regalos</v>
      </c>
      <c r="I65" t="s">
        <v>59</v>
      </c>
      <c r="J65" s="23">
        <v>4000</v>
      </c>
      <c r="K65" s="51" t="str">
        <f>PROPER(TEXT(Tbl_Gastos[[#This Row],[FECHA]],"mmmm"))</f>
        <v>Mayo</v>
      </c>
      <c r="L65">
        <f>YEAR(Tbl_Gastos[[#This Row],[FECHA]])</f>
        <v>2025</v>
      </c>
      <c r="M65" t="str">
        <f>CONCATENATE(Tbl_Gastos[[#This Row],[MES]],"_",Tbl_Gastos[[#This Row],[AÑO]])</f>
        <v>Mayo_2025</v>
      </c>
    </row>
    <row r="66" spans="2:13" x14ac:dyDescent="0.3">
      <c r="B66" s="4">
        <v>45791</v>
      </c>
      <c r="C66">
        <v>1008</v>
      </c>
      <c r="D66" t="str">
        <f>VLOOKUP(Tbl_Gastos[[#This Row],[COD_CA]],Tbl_Cod_Cat[#All],2,FALSE)</f>
        <v>Varios</v>
      </c>
      <c r="E66">
        <v>2011</v>
      </c>
      <c r="F66" t="str">
        <f>VLOOKUP(Tbl_Gastos[[#This Row],[COD_DE]],Tbl_Cod_Dest[#All],2,FALSE)</f>
        <v>Otros</v>
      </c>
      <c r="G66">
        <v>3015</v>
      </c>
      <c r="H66" t="str">
        <f>VLOOKUP(Tbl_Gastos[[#This Row],[COD_CO]],Tbl_Cod_Conc[#All],2,FALSE)</f>
        <v>Otros</v>
      </c>
      <c r="I66" t="s">
        <v>59</v>
      </c>
      <c r="J66" s="23">
        <v>5000</v>
      </c>
      <c r="K66" s="51" t="str">
        <f>PROPER(TEXT(Tbl_Gastos[[#This Row],[FECHA]],"mmmm"))</f>
        <v>Mayo</v>
      </c>
      <c r="L66">
        <f>YEAR(Tbl_Gastos[[#This Row],[FECHA]])</f>
        <v>2025</v>
      </c>
      <c r="M66" t="str">
        <f>CONCATENATE(Tbl_Gastos[[#This Row],[MES]],"_",Tbl_Gastos[[#This Row],[AÑO]])</f>
        <v>Mayo_2025</v>
      </c>
    </row>
    <row r="67" spans="2:13" x14ac:dyDescent="0.3">
      <c r="B67" s="4">
        <v>45792</v>
      </c>
      <c r="C67">
        <v>1008</v>
      </c>
      <c r="D67" t="str">
        <f>VLOOKUP(Tbl_Gastos[[#This Row],[COD_CA]],Tbl_Cod_Cat[#All],2,FALSE)</f>
        <v>Varios</v>
      </c>
      <c r="E67">
        <v>2011</v>
      </c>
      <c r="F67" t="str">
        <f>VLOOKUP(Tbl_Gastos[[#This Row],[COD_DE]],Tbl_Cod_Dest[#All],2,FALSE)</f>
        <v>Otros</v>
      </c>
      <c r="G67">
        <v>3018</v>
      </c>
      <c r="H67" t="str">
        <f>VLOOKUP(Tbl_Gastos[[#This Row],[COD_CO]],Tbl_Cod_Conc[#All],2,FALSE)</f>
        <v>Regalos</v>
      </c>
      <c r="I67" t="s">
        <v>155</v>
      </c>
      <c r="J67" s="23">
        <v>13000</v>
      </c>
      <c r="K67" s="51" t="str">
        <f>PROPER(TEXT(Tbl_Gastos[[#This Row],[FECHA]],"mmmm"))</f>
        <v>Mayo</v>
      </c>
      <c r="L67">
        <f>YEAR(Tbl_Gastos[[#This Row],[FECHA]])</f>
        <v>2025</v>
      </c>
      <c r="M67" t="str">
        <f>CONCATENATE(Tbl_Gastos[[#This Row],[MES]],"_",Tbl_Gastos[[#This Row],[AÑO]])</f>
        <v>Mayo_2025</v>
      </c>
    </row>
    <row r="68" spans="2:13" x14ac:dyDescent="0.3">
      <c r="B68" s="4">
        <v>45792</v>
      </c>
      <c r="C68">
        <v>1008</v>
      </c>
      <c r="D68" t="str">
        <f>VLOOKUP(Tbl_Gastos[[#This Row],[COD_CA]],Tbl_Cod_Cat[#All],2,FALSE)</f>
        <v>Varios</v>
      </c>
      <c r="E68">
        <v>2011</v>
      </c>
      <c r="F68" t="str">
        <f>VLOOKUP(Tbl_Gastos[[#This Row],[COD_DE]],Tbl_Cod_Dest[#All],2,FALSE)</f>
        <v>Otros</v>
      </c>
      <c r="G68">
        <v>3018</v>
      </c>
      <c r="H68" t="str">
        <f>VLOOKUP(Tbl_Gastos[[#This Row],[COD_CO]],Tbl_Cod_Conc[#All],2,FALSE)</f>
        <v>Regalos</v>
      </c>
      <c r="I68" t="s">
        <v>155</v>
      </c>
      <c r="J68" s="23">
        <v>181370</v>
      </c>
      <c r="K68" s="51" t="str">
        <f>PROPER(TEXT(Tbl_Gastos[[#This Row],[FECHA]],"mmmm"))</f>
        <v>Mayo</v>
      </c>
      <c r="L68">
        <f>YEAR(Tbl_Gastos[[#This Row],[FECHA]])</f>
        <v>2025</v>
      </c>
      <c r="M68" t="str">
        <f>CONCATENATE(Tbl_Gastos[[#This Row],[MES]],"_",Tbl_Gastos[[#This Row],[AÑO]])</f>
        <v>Mayo_2025</v>
      </c>
    </row>
    <row r="69" spans="2:13" x14ac:dyDescent="0.3">
      <c r="B69" s="4">
        <v>45792</v>
      </c>
      <c r="C69">
        <v>1001</v>
      </c>
      <c r="D69" t="str">
        <f>VLOOKUP(Tbl_Gastos[[#This Row],[COD_CA]],Tbl_Cod_Cat[#All],2,FALSE)</f>
        <v>Salidas</v>
      </c>
      <c r="E69">
        <v>2022</v>
      </c>
      <c r="F69" t="str">
        <f>VLOOKUP(Tbl_Gastos[[#This Row],[COD_DE]],Tbl_Cod_Dest[#All],2,FALSE)</f>
        <v>Futbol</v>
      </c>
      <c r="G69">
        <v>3007</v>
      </c>
      <c r="H69" t="str">
        <f>VLOOKUP(Tbl_Gastos[[#This Row],[COD_CO]],Tbl_Cod_Conc[#All],2,FALSE)</f>
        <v>Casual</v>
      </c>
      <c r="I69" t="s">
        <v>155</v>
      </c>
      <c r="J69" s="23">
        <v>12000</v>
      </c>
      <c r="K69" s="51" t="str">
        <f>PROPER(TEXT(Tbl_Gastos[[#This Row],[FECHA]],"mmmm"))</f>
        <v>Mayo</v>
      </c>
      <c r="L69">
        <f>YEAR(Tbl_Gastos[[#This Row],[FECHA]])</f>
        <v>2025</v>
      </c>
      <c r="M69" t="str">
        <f>CONCATENATE(Tbl_Gastos[[#This Row],[MES]],"_",Tbl_Gastos[[#This Row],[AÑO]])</f>
        <v>Mayo_2025</v>
      </c>
    </row>
    <row r="70" spans="2:13" x14ac:dyDescent="0.3">
      <c r="B70" s="4">
        <v>45797</v>
      </c>
      <c r="C70">
        <v>1008</v>
      </c>
      <c r="D70" t="str">
        <f>VLOOKUP(Tbl_Gastos[[#This Row],[COD_CA]],Tbl_Cod_Cat[#All],2,FALSE)</f>
        <v>Varios</v>
      </c>
      <c r="E70">
        <v>2019</v>
      </c>
      <c r="F70" t="str">
        <f>VLOOKUP(Tbl_Gastos[[#This Row],[COD_DE]],Tbl_Cod_Dest[#All],2,FALSE)</f>
        <v>Tradicion caribe</v>
      </c>
      <c r="G70">
        <v>3018</v>
      </c>
      <c r="H70" t="str">
        <f>VLOOKUP(Tbl_Gastos[[#This Row],[COD_CO]],Tbl_Cod_Conc[#All],2,FALSE)</f>
        <v>Regalos</v>
      </c>
      <c r="I70" t="s">
        <v>59</v>
      </c>
      <c r="J70" s="23">
        <v>5000</v>
      </c>
      <c r="K70" s="101" t="str">
        <f>PROPER(TEXT(Tbl_Gastos[[#This Row],[FECHA]],"mmmm"))</f>
        <v>Mayo</v>
      </c>
      <c r="L70" s="102">
        <f>YEAR(Tbl_Gastos[[#This Row],[FECHA]])</f>
        <v>2025</v>
      </c>
      <c r="M70" s="102" t="str">
        <f>CONCATENATE(Tbl_Gastos[[#This Row],[MES]],"_",Tbl_Gastos[[#This Row],[AÑO]])</f>
        <v>Mayo_2025</v>
      </c>
    </row>
  </sheetData>
  <mergeCells count="2">
    <mergeCell ref="L1:M1"/>
    <mergeCell ref="L2:M2"/>
  </mergeCells>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94CF5-E6A1-4715-AA77-4211CE6B1936}">
  <dimension ref="A1:B5"/>
  <sheetViews>
    <sheetView workbookViewId="0">
      <selection activeCell="A3" sqref="A3"/>
    </sheetView>
  </sheetViews>
  <sheetFormatPr defaultRowHeight="14.4" x14ac:dyDescent="0.3"/>
  <cols>
    <col min="1" max="1" width="14.109375" bestFit="1" customWidth="1"/>
    <col min="2" max="2" width="12.5546875" bestFit="1" customWidth="1"/>
  </cols>
  <sheetData>
    <row r="1" spans="1:2" x14ac:dyDescent="0.3">
      <c r="A1" s="68" t="s">
        <v>172</v>
      </c>
      <c r="B1" t="s">
        <v>171</v>
      </c>
    </row>
    <row r="3" spans="1:2" x14ac:dyDescent="0.3">
      <c r="A3" s="68" t="s">
        <v>126</v>
      </c>
      <c r="B3" t="s">
        <v>128</v>
      </c>
    </row>
    <row r="4" spans="1:2" x14ac:dyDescent="0.3">
      <c r="A4" s="69" t="s">
        <v>47</v>
      </c>
      <c r="B4" s="51">
        <v>17000</v>
      </c>
    </row>
    <row r="5" spans="1:2" x14ac:dyDescent="0.3">
      <c r="A5" s="69" t="s">
        <v>127</v>
      </c>
      <c r="B5" s="51">
        <v>17000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A8A6-EBD1-4B7C-8401-4FB03E45CED6}">
  <dimension ref="B1:O15"/>
  <sheetViews>
    <sheetView workbookViewId="0">
      <selection activeCell="E14" sqref="E14"/>
    </sheetView>
  </sheetViews>
  <sheetFormatPr defaultColWidth="11.5546875" defaultRowHeight="14.4" x14ac:dyDescent="0.3"/>
  <cols>
    <col min="1" max="1" width="4.6640625" customWidth="1"/>
    <col min="2" max="2" width="19.44140625" bestFit="1" customWidth="1"/>
    <col min="3" max="3" width="11.6640625" bestFit="1" customWidth="1"/>
    <col min="5" max="5" width="11.6640625" bestFit="1" customWidth="1"/>
  </cols>
  <sheetData>
    <row r="1" spans="2:15" ht="8.4" customHeight="1" x14ac:dyDescent="0.3"/>
    <row r="2" spans="2:15" ht="7.2" customHeight="1" x14ac:dyDescent="0.3">
      <c r="C2" s="75" t="s">
        <v>138</v>
      </c>
      <c r="D2" s="75" t="s">
        <v>139</v>
      </c>
      <c r="E2" s="75" t="s">
        <v>140</v>
      </c>
      <c r="F2" s="75" t="s">
        <v>141</v>
      </c>
      <c r="G2" s="75" t="s">
        <v>142</v>
      </c>
      <c r="H2" s="75" t="s">
        <v>143</v>
      </c>
      <c r="I2" s="75" t="s">
        <v>144</v>
      </c>
      <c r="J2" s="75" t="s">
        <v>145</v>
      </c>
      <c r="K2" s="75" t="s">
        <v>146</v>
      </c>
      <c r="L2" s="75" t="s">
        <v>147</v>
      </c>
      <c r="M2" s="75" t="s">
        <v>148</v>
      </c>
      <c r="N2" s="75" t="s">
        <v>149</v>
      </c>
    </row>
    <row r="3" spans="2:15" x14ac:dyDescent="0.3">
      <c r="B3" s="19" t="s">
        <v>54</v>
      </c>
      <c r="C3" s="20">
        <v>45658</v>
      </c>
      <c r="D3" s="20">
        <v>45689</v>
      </c>
      <c r="E3" s="20">
        <v>45717</v>
      </c>
      <c r="F3" s="20">
        <v>45748</v>
      </c>
      <c r="G3" s="20">
        <v>45778</v>
      </c>
      <c r="H3" s="20">
        <v>45809</v>
      </c>
      <c r="I3" s="20">
        <v>45839</v>
      </c>
      <c r="J3" s="20">
        <v>45870</v>
      </c>
      <c r="K3" s="20">
        <v>45901</v>
      </c>
      <c r="L3" s="20">
        <v>45931</v>
      </c>
      <c r="M3" s="20">
        <v>45962</v>
      </c>
      <c r="N3" s="20">
        <v>45992</v>
      </c>
      <c r="O3" s="19" t="s">
        <v>16</v>
      </c>
    </row>
    <row r="4" spans="2:15" x14ac:dyDescent="0.3">
      <c r="B4" s="21" t="s">
        <v>23</v>
      </c>
      <c r="C4" s="9">
        <f>SUMIFS(Tbl_Gastos[[#All],[VALOR]],Tbl_Gastos[[#All],[CATEGORIA]],$B4,Tbl_Gastos[[#All],[MES_AÑO]],$C$2)</f>
        <v>267233</v>
      </c>
      <c r="D4" s="9">
        <f>SUMIFS(Tbl_Gastos[[#All],[VALOR]],Tbl_Gastos[[#All],[CATEGORIA]],$B4,Tbl_Gastos[[#All],[MES_AÑO]],$D$2)</f>
        <v>215133</v>
      </c>
      <c r="E4" s="9">
        <f>SUMIFS(Tbl_Gastos[[#All],[VALOR]],Tbl_Gastos[[#All],[CATEGORIA]],$B4,Tbl_Gastos[[#All],[MES_AÑO]],$E$2)</f>
        <v>102611</v>
      </c>
      <c r="F4" s="9">
        <f>SUMIFS(Tbl_Gastos[[#All],[VALOR]],Tbl_Gastos[[#All],[CATEGORIA]],$B4,Tbl_Gastos[[#All],[MES_AÑO]],F$2)</f>
        <v>140300</v>
      </c>
      <c r="G4" s="9">
        <f>SUMIFS(Tbl_Gastos[[#All],[VALOR]],Tbl_Gastos[[#All],[CATEGORIA]],$B4,Tbl_Gastos[[#All],[MES_AÑO]],G$2)</f>
        <v>96000</v>
      </c>
      <c r="H4" s="9">
        <f>SUMIFS(Tbl_Gastos[[#All],[VALOR]],Tbl_Gastos[[#All],[CATEGORIA]],$B4,Tbl_Gastos[[#All],[MES_AÑO]],H$2)</f>
        <v>0</v>
      </c>
      <c r="I4" s="9">
        <f>SUMIFS(Tbl_Gastos[[#All],[VALOR]],Tbl_Gastos[[#All],[CATEGORIA]],$B4,Tbl_Gastos[[#All],[MES_AÑO]],I$2)</f>
        <v>0</v>
      </c>
      <c r="J4" s="9">
        <f>SUMIFS(Tbl_Gastos[[#All],[VALOR]],Tbl_Gastos[[#All],[CATEGORIA]],$B4,Tbl_Gastos[[#All],[MES_AÑO]],J$2)</f>
        <v>0</v>
      </c>
      <c r="K4" s="9">
        <f>SUMIFS(Tbl_Gastos[[#All],[VALOR]],Tbl_Gastos[[#All],[CATEGORIA]],$B4,Tbl_Gastos[[#All],[MES_AÑO]],K$2)</f>
        <v>0</v>
      </c>
      <c r="L4" s="9">
        <f>SUMIFS(Tbl_Gastos[[#All],[VALOR]],Tbl_Gastos[[#All],[CATEGORIA]],$B4,Tbl_Gastos[[#All],[MES_AÑO]],L$2)</f>
        <v>0</v>
      </c>
      <c r="M4" s="9">
        <f>SUMIFS(Tbl_Gastos[[#All],[VALOR]],Tbl_Gastos[[#All],[CATEGORIA]],$B4,Tbl_Gastos[[#All],[MES_AÑO]],M$2)</f>
        <v>0</v>
      </c>
      <c r="N4" s="9">
        <f>SUMIFS(Tbl_Gastos[[#All],[VALOR]],Tbl_Gastos[[#All],[CATEGORIA]],$B4,Tbl_Gastos[[#All],[MES_AÑO]],N$2)</f>
        <v>0</v>
      </c>
      <c r="O4" s="23">
        <f>SUM(C4:N4)</f>
        <v>821277</v>
      </c>
    </row>
    <row r="5" spans="2:15" x14ac:dyDescent="0.3">
      <c r="B5" s="21" t="s">
        <v>25</v>
      </c>
      <c r="C5" s="9">
        <f>SUMIFS(Tbl_Gastos[[#All],[VALOR]],Tbl_Gastos[[#All],[CATEGORIA]],$B5,Tbl_Gastos[[#All],[MES_AÑO]],$C$2)</f>
        <v>12840</v>
      </c>
      <c r="D5" s="9">
        <f>SUMIFS(Tbl_Gastos[[#All],[VALOR]],Tbl_Gastos[[#All],[CATEGORIA]],$B5,Tbl_Gastos[[#All],[MES_AÑO]],$D$2)</f>
        <v>0</v>
      </c>
      <c r="E5" s="9">
        <f>SUMIFS(Tbl_Gastos[[#All],[VALOR]],Tbl_Gastos[[#All],[CATEGORIA]],$B5,Tbl_Gastos[[#All],[MES_AÑO]],$E$2)</f>
        <v>0</v>
      </c>
      <c r="F5" s="9">
        <f>SUMIFS(Tbl_Gastos[[#All],[VALOR]],Tbl_Gastos[[#All],[CATEGORIA]],$B5,Tbl_Gastos[[#All],[MES_AÑO]],F$2)</f>
        <v>0</v>
      </c>
      <c r="G5" s="9">
        <f>SUMIFS(Tbl_Gastos[[#All],[VALOR]],Tbl_Gastos[[#All],[CATEGORIA]],$B5,Tbl_Gastos[[#All],[MES_AÑO]],G$2)</f>
        <v>0</v>
      </c>
      <c r="H5" s="9">
        <f>SUMIFS(Tbl_Gastos[[#All],[VALOR]],Tbl_Gastos[[#All],[CATEGORIA]],$B5,Tbl_Gastos[[#All],[MES_AÑO]],H$2)</f>
        <v>0</v>
      </c>
      <c r="I5" s="9">
        <f>SUMIFS(Tbl_Gastos[[#All],[VALOR]],Tbl_Gastos[[#All],[CATEGORIA]],$B5,Tbl_Gastos[[#All],[MES_AÑO]],I$2)</f>
        <v>0</v>
      </c>
      <c r="J5" s="9">
        <f>SUMIFS(Tbl_Gastos[[#All],[VALOR]],Tbl_Gastos[[#All],[CATEGORIA]],$B5,Tbl_Gastos[[#All],[MES_AÑO]],J$2)</f>
        <v>0</v>
      </c>
      <c r="K5" s="9">
        <f>SUMIFS(Tbl_Gastos[[#All],[VALOR]],Tbl_Gastos[[#All],[CATEGORIA]],$B5,Tbl_Gastos[[#All],[MES_AÑO]],K$2)</f>
        <v>0</v>
      </c>
      <c r="L5" s="9">
        <f>SUMIFS(Tbl_Gastos[[#All],[VALOR]],Tbl_Gastos[[#All],[CATEGORIA]],$B5,Tbl_Gastos[[#All],[MES_AÑO]],L$2)</f>
        <v>0</v>
      </c>
      <c r="M5" s="9">
        <f>SUMIFS(Tbl_Gastos[[#All],[VALOR]],Tbl_Gastos[[#All],[CATEGORIA]],$B5,Tbl_Gastos[[#All],[MES_AÑO]],M$2)</f>
        <v>0</v>
      </c>
      <c r="N5" s="9">
        <f>SUMIFS(Tbl_Gastos[[#All],[VALOR]],Tbl_Gastos[[#All],[CATEGORIA]],$B5,Tbl_Gastos[[#All],[MES_AÑO]],N$2)</f>
        <v>0</v>
      </c>
      <c r="O5" s="23">
        <f t="shared" ref="O5:O14" si="0">SUM(C5:N5)</f>
        <v>12840</v>
      </c>
    </row>
    <row r="6" spans="2:15" x14ac:dyDescent="0.3">
      <c r="B6" s="21" t="s">
        <v>27</v>
      </c>
      <c r="C6" s="9">
        <f>SUMIFS(Tbl_Gastos[[#All],[VALOR]],Tbl_Gastos[[#All],[CATEGORIA]],$B6,Tbl_Gastos[[#All],[MES_AÑO]],$C$2)</f>
        <v>0</v>
      </c>
      <c r="D6" s="9">
        <f>SUMIFS(Tbl_Gastos[[#All],[VALOR]],Tbl_Gastos[[#All],[CATEGORIA]],$B6,Tbl_Gastos[[#All],[MES_AÑO]],$D$2)</f>
        <v>0</v>
      </c>
      <c r="E6" s="9">
        <f>SUMIFS(Tbl_Gastos[[#All],[VALOR]],Tbl_Gastos[[#All],[CATEGORIA]],$B6,Tbl_Gastos[[#All],[MES_AÑO]],$E$2)</f>
        <v>0</v>
      </c>
      <c r="F6" s="9">
        <f>SUMIFS(Tbl_Gastos[[#All],[VALOR]],Tbl_Gastos[[#All],[CATEGORIA]],$B6,Tbl_Gastos[[#All],[MES_AÑO]],F$2)</f>
        <v>0</v>
      </c>
      <c r="G6" s="9">
        <f>SUMIFS(Tbl_Gastos[[#All],[VALOR]],Tbl_Gastos[[#All],[CATEGORIA]],$B6,Tbl_Gastos[[#All],[MES_AÑO]],G$2)</f>
        <v>0</v>
      </c>
      <c r="H6" s="9">
        <f>SUMIFS(Tbl_Gastos[[#All],[VALOR]],Tbl_Gastos[[#All],[CATEGORIA]],$B6,Tbl_Gastos[[#All],[MES_AÑO]],H$2)</f>
        <v>0</v>
      </c>
      <c r="I6" s="9">
        <f>SUMIFS(Tbl_Gastos[[#All],[VALOR]],Tbl_Gastos[[#All],[CATEGORIA]],$B6,Tbl_Gastos[[#All],[MES_AÑO]],I$2)</f>
        <v>0</v>
      </c>
      <c r="J6" s="9">
        <f>SUMIFS(Tbl_Gastos[[#All],[VALOR]],Tbl_Gastos[[#All],[CATEGORIA]],$B6,Tbl_Gastos[[#All],[MES_AÑO]],J$2)</f>
        <v>0</v>
      </c>
      <c r="K6" s="9">
        <f>SUMIFS(Tbl_Gastos[[#All],[VALOR]],Tbl_Gastos[[#All],[CATEGORIA]],$B6,Tbl_Gastos[[#All],[MES_AÑO]],K$2)</f>
        <v>0</v>
      </c>
      <c r="L6" s="9">
        <f>SUMIFS(Tbl_Gastos[[#All],[VALOR]],Tbl_Gastos[[#All],[CATEGORIA]],$B6,Tbl_Gastos[[#All],[MES_AÑO]],L$2)</f>
        <v>0</v>
      </c>
      <c r="M6" s="9">
        <f>SUMIFS(Tbl_Gastos[[#All],[VALOR]],Tbl_Gastos[[#All],[CATEGORIA]],$B6,Tbl_Gastos[[#All],[MES_AÑO]],M$2)</f>
        <v>0</v>
      </c>
      <c r="N6" s="9">
        <f>SUMIFS(Tbl_Gastos[[#All],[VALOR]],Tbl_Gastos[[#All],[CATEGORIA]],$B6,Tbl_Gastos[[#All],[MES_AÑO]],N$2)</f>
        <v>0</v>
      </c>
      <c r="O6" s="23">
        <f t="shared" si="0"/>
        <v>0</v>
      </c>
    </row>
    <row r="7" spans="2:15" x14ac:dyDescent="0.3">
      <c r="B7" s="21" t="s">
        <v>29</v>
      </c>
      <c r="C7" s="9">
        <f>SUMIFS(Tbl_Gastos[[#All],[VALOR]],Tbl_Gastos[[#All],[CATEGORIA]],$B7,Tbl_Gastos[[#All],[MES_AÑO]],$C$2)</f>
        <v>1134</v>
      </c>
      <c r="D7" s="9">
        <f>SUMIFS(Tbl_Gastos[[#All],[VALOR]],Tbl_Gastos[[#All],[CATEGORIA]],$B7,Tbl_Gastos[[#All],[MES_AÑO]],$D$2)</f>
        <v>0</v>
      </c>
      <c r="E7" s="9">
        <f>SUMIFS(Tbl_Gastos[[#All],[VALOR]],Tbl_Gastos[[#All],[CATEGORIA]],$B7,Tbl_Gastos[[#All],[MES_AÑO]],$E$2)</f>
        <v>0</v>
      </c>
      <c r="F7" s="9">
        <f>SUMIFS(Tbl_Gastos[[#All],[VALOR]],Tbl_Gastos[[#All],[CATEGORIA]],$B7,Tbl_Gastos[[#All],[MES_AÑO]],F$2)</f>
        <v>0</v>
      </c>
      <c r="G7" s="9">
        <f>SUMIFS(Tbl_Gastos[[#All],[VALOR]],Tbl_Gastos[[#All],[CATEGORIA]],$B7,Tbl_Gastos[[#All],[MES_AÑO]],G$2)</f>
        <v>0</v>
      </c>
      <c r="H7" s="9">
        <f>SUMIFS(Tbl_Gastos[[#All],[VALOR]],Tbl_Gastos[[#All],[CATEGORIA]],$B7,Tbl_Gastos[[#All],[MES_AÑO]],H$2)</f>
        <v>0</v>
      </c>
      <c r="I7" s="9">
        <f>SUMIFS(Tbl_Gastos[[#All],[VALOR]],Tbl_Gastos[[#All],[CATEGORIA]],$B7,Tbl_Gastos[[#All],[MES_AÑO]],I$2)</f>
        <v>0</v>
      </c>
      <c r="J7" s="9">
        <f>SUMIFS(Tbl_Gastos[[#All],[VALOR]],Tbl_Gastos[[#All],[CATEGORIA]],$B7,Tbl_Gastos[[#All],[MES_AÑO]],J$2)</f>
        <v>0</v>
      </c>
      <c r="K7" s="9">
        <f>SUMIFS(Tbl_Gastos[[#All],[VALOR]],Tbl_Gastos[[#All],[CATEGORIA]],$B7,Tbl_Gastos[[#All],[MES_AÑO]],K$2)</f>
        <v>0</v>
      </c>
      <c r="L7" s="9">
        <f>SUMIFS(Tbl_Gastos[[#All],[VALOR]],Tbl_Gastos[[#All],[CATEGORIA]],$B7,Tbl_Gastos[[#All],[MES_AÑO]],L$2)</f>
        <v>0</v>
      </c>
      <c r="M7" s="9">
        <f>SUMIFS(Tbl_Gastos[[#All],[VALOR]],Tbl_Gastos[[#All],[CATEGORIA]],$B7,Tbl_Gastos[[#All],[MES_AÑO]],M$2)</f>
        <v>0</v>
      </c>
      <c r="N7" s="9">
        <f>SUMIFS(Tbl_Gastos[[#All],[VALOR]],Tbl_Gastos[[#All],[CATEGORIA]],$B7,Tbl_Gastos[[#All],[MES_AÑO]],N$2)</f>
        <v>0</v>
      </c>
      <c r="O7" s="23">
        <f t="shared" si="0"/>
        <v>1134</v>
      </c>
    </row>
    <row r="8" spans="2:15" x14ac:dyDescent="0.3">
      <c r="B8" s="21" t="s">
        <v>31</v>
      </c>
      <c r="C8" s="9">
        <f>SUMIFS(Tbl_Gastos[[#All],[VALOR]],Tbl_Gastos[[#All],[CATEGORIA]],$B8,Tbl_Gastos[[#All],[MES_AÑO]],$C$2)</f>
        <v>0</v>
      </c>
      <c r="D8" s="9">
        <f>SUMIFS(Tbl_Gastos[[#All],[VALOR]],Tbl_Gastos[[#All],[CATEGORIA]],$B8,Tbl_Gastos[[#All],[MES_AÑO]],$D$2)</f>
        <v>0</v>
      </c>
      <c r="E8" s="9">
        <f>SUMIFS(Tbl_Gastos[[#All],[VALOR]],Tbl_Gastos[[#All],[CATEGORIA]],$B8,Tbl_Gastos[[#All],[MES_AÑO]],$E$2)</f>
        <v>0</v>
      </c>
      <c r="F8" s="9">
        <f>SUMIFS(Tbl_Gastos[[#All],[VALOR]],Tbl_Gastos[[#All],[CATEGORIA]],$B8,Tbl_Gastos[[#All],[MES_AÑO]],F$2)</f>
        <v>0</v>
      </c>
      <c r="G8" s="9">
        <f>SUMIFS(Tbl_Gastos[[#All],[VALOR]],Tbl_Gastos[[#All],[CATEGORIA]],$B8,Tbl_Gastos[[#All],[MES_AÑO]],G$2)</f>
        <v>0</v>
      </c>
      <c r="H8" s="9">
        <f>SUMIFS(Tbl_Gastos[[#All],[VALOR]],Tbl_Gastos[[#All],[CATEGORIA]],$B8,Tbl_Gastos[[#All],[MES_AÑO]],H$2)</f>
        <v>0</v>
      </c>
      <c r="I8" s="9">
        <f>SUMIFS(Tbl_Gastos[[#All],[VALOR]],Tbl_Gastos[[#All],[CATEGORIA]],$B8,Tbl_Gastos[[#All],[MES_AÑO]],I$2)</f>
        <v>0</v>
      </c>
      <c r="J8" s="9">
        <f>SUMIFS(Tbl_Gastos[[#All],[VALOR]],Tbl_Gastos[[#All],[CATEGORIA]],$B8,Tbl_Gastos[[#All],[MES_AÑO]],J$2)</f>
        <v>0</v>
      </c>
      <c r="K8" s="9">
        <f>SUMIFS(Tbl_Gastos[[#All],[VALOR]],Tbl_Gastos[[#All],[CATEGORIA]],$B8,Tbl_Gastos[[#All],[MES_AÑO]],K$2)</f>
        <v>0</v>
      </c>
      <c r="L8" s="9">
        <f>SUMIFS(Tbl_Gastos[[#All],[VALOR]],Tbl_Gastos[[#All],[CATEGORIA]],$B8,Tbl_Gastos[[#All],[MES_AÑO]],L$2)</f>
        <v>0</v>
      </c>
      <c r="M8" s="9">
        <f>SUMIFS(Tbl_Gastos[[#All],[VALOR]],Tbl_Gastos[[#All],[CATEGORIA]],$B8,Tbl_Gastos[[#All],[MES_AÑO]],M$2)</f>
        <v>0</v>
      </c>
      <c r="N8" s="9">
        <f>SUMIFS(Tbl_Gastos[[#All],[VALOR]],Tbl_Gastos[[#All],[CATEGORIA]],$B8,Tbl_Gastos[[#All],[MES_AÑO]],N$2)</f>
        <v>0</v>
      </c>
      <c r="O8" s="23">
        <f t="shared" si="0"/>
        <v>0</v>
      </c>
    </row>
    <row r="9" spans="2:15" x14ac:dyDescent="0.3">
      <c r="B9" s="21" t="s">
        <v>33</v>
      </c>
      <c r="C9" s="9">
        <f>SUMIFS(Tbl_Gastos[[#All],[VALOR]],Tbl_Gastos[[#All],[CATEGORIA]],$B9,Tbl_Gastos[[#All],[MES_AÑO]],$C$2)</f>
        <v>0</v>
      </c>
      <c r="D9" s="9">
        <f>SUMIFS(Tbl_Gastos[[#All],[VALOR]],Tbl_Gastos[[#All],[CATEGORIA]],$B9,Tbl_Gastos[[#All],[MES_AÑO]],$D$2)</f>
        <v>54950</v>
      </c>
      <c r="E9" s="9">
        <f>SUMIFS(Tbl_Gastos[[#All],[VALOR]],Tbl_Gastos[[#All],[CATEGORIA]],$B9,Tbl_Gastos[[#All],[MES_AÑO]],$E$2)</f>
        <v>0</v>
      </c>
      <c r="F9" s="9">
        <f>SUMIFS(Tbl_Gastos[[#All],[VALOR]],Tbl_Gastos[[#All],[CATEGORIA]],$B9,Tbl_Gastos[[#All],[MES_AÑO]],F$2)</f>
        <v>0</v>
      </c>
      <c r="G9" s="9">
        <f>SUMIFS(Tbl_Gastos[[#All],[VALOR]],Tbl_Gastos[[#All],[CATEGORIA]],$B9,Tbl_Gastos[[#All],[MES_AÑO]],G$2)</f>
        <v>54900</v>
      </c>
      <c r="H9" s="9">
        <f>SUMIFS(Tbl_Gastos[[#All],[VALOR]],Tbl_Gastos[[#All],[CATEGORIA]],$B9,Tbl_Gastos[[#All],[MES_AÑO]],H$2)</f>
        <v>0</v>
      </c>
      <c r="I9" s="9">
        <f>SUMIFS(Tbl_Gastos[[#All],[VALOR]],Tbl_Gastos[[#All],[CATEGORIA]],$B9,Tbl_Gastos[[#All],[MES_AÑO]],I$2)</f>
        <v>0</v>
      </c>
      <c r="J9" s="9">
        <f>SUMIFS(Tbl_Gastos[[#All],[VALOR]],Tbl_Gastos[[#All],[CATEGORIA]],$B9,Tbl_Gastos[[#All],[MES_AÑO]],J$2)</f>
        <v>0</v>
      </c>
      <c r="K9" s="9">
        <f>SUMIFS(Tbl_Gastos[[#All],[VALOR]],Tbl_Gastos[[#All],[CATEGORIA]],$B9,Tbl_Gastos[[#All],[MES_AÑO]],K$2)</f>
        <v>0</v>
      </c>
      <c r="L9" s="9">
        <f>SUMIFS(Tbl_Gastos[[#All],[VALOR]],Tbl_Gastos[[#All],[CATEGORIA]],$B9,Tbl_Gastos[[#All],[MES_AÑO]],L$2)</f>
        <v>0</v>
      </c>
      <c r="M9" s="9">
        <f>SUMIFS(Tbl_Gastos[[#All],[VALOR]],Tbl_Gastos[[#All],[CATEGORIA]],$B9,Tbl_Gastos[[#All],[MES_AÑO]],M$2)</f>
        <v>0</v>
      </c>
      <c r="N9" s="9">
        <f>SUMIFS(Tbl_Gastos[[#All],[VALOR]],Tbl_Gastos[[#All],[CATEGORIA]],$B9,Tbl_Gastos[[#All],[MES_AÑO]],N$2)</f>
        <v>0</v>
      </c>
      <c r="O9" s="23">
        <f t="shared" si="0"/>
        <v>109850</v>
      </c>
    </row>
    <row r="10" spans="2:15" x14ac:dyDescent="0.3">
      <c r="B10" s="21" t="s">
        <v>36</v>
      </c>
      <c r="C10" s="9">
        <f>SUMIFS(Tbl_Gastos[[#All],[VALOR]],Tbl_Gastos[[#All],[CATEGORIA]],$B10,Tbl_Gastos[[#All],[MES_AÑO]],$C$2)</f>
        <v>25000</v>
      </c>
      <c r="D10" s="9">
        <f>SUMIFS(Tbl_Gastos[[#All],[VALOR]],Tbl_Gastos[[#All],[CATEGORIA]],$B10,Tbl_Gastos[[#All],[MES_AÑO]],$D$2)</f>
        <v>0</v>
      </c>
      <c r="E10" s="9">
        <f>SUMIFS(Tbl_Gastos[[#All],[VALOR]],Tbl_Gastos[[#All],[CATEGORIA]],$B10,Tbl_Gastos[[#All],[MES_AÑO]],$E$2)</f>
        <v>25000</v>
      </c>
      <c r="F10" s="9">
        <f>SUMIFS(Tbl_Gastos[[#All],[VALOR]],Tbl_Gastos[[#All],[CATEGORIA]],$B10,Tbl_Gastos[[#All],[MES_AÑO]],F$2)</f>
        <v>25000</v>
      </c>
      <c r="G10" s="9">
        <f>SUMIFS(Tbl_Gastos[[#All],[VALOR]],Tbl_Gastos[[#All],[CATEGORIA]],$B10,Tbl_Gastos[[#All],[MES_AÑO]],G$2)</f>
        <v>0</v>
      </c>
      <c r="H10" s="9">
        <f>SUMIFS(Tbl_Gastos[[#All],[VALOR]],Tbl_Gastos[[#All],[CATEGORIA]],$B10,Tbl_Gastos[[#All],[MES_AÑO]],H$2)</f>
        <v>0</v>
      </c>
      <c r="I10" s="9">
        <f>SUMIFS(Tbl_Gastos[[#All],[VALOR]],Tbl_Gastos[[#All],[CATEGORIA]],$B10,Tbl_Gastos[[#All],[MES_AÑO]],I$2)</f>
        <v>0</v>
      </c>
      <c r="J10" s="9">
        <f>SUMIFS(Tbl_Gastos[[#All],[VALOR]],Tbl_Gastos[[#All],[CATEGORIA]],$B10,Tbl_Gastos[[#All],[MES_AÑO]],J$2)</f>
        <v>0</v>
      </c>
      <c r="K10" s="9">
        <f>SUMIFS(Tbl_Gastos[[#All],[VALOR]],Tbl_Gastos[[#All],[CATEGORIA]],$B10,Tbl_Gastos[[#All],[MES_AÑO]],K$2)</f>
        <v>0</v>
      </c>
      <c r="L10" s="9">
        <f>SUMIFS(Tbl_Gastos[[#All],[VALOR]],Tbl_Gastos[[#All],[CATEGORIA]],$B10,Tbl_Gastos[[#All],[MES_AÑO]],L$2)</f>
        <v>0</v>
      </c>
      <c r="M10" s="9">
        <f>SUMIFS(Tbl_Gastos[[#All],[VALOR]],Tbl_Gastos[[#All],[CATEGORIA]],$B10,Tbl_Gastos[[#All],[MES_AÑO]],M$2)</f>
        <v>0</v>
      </c>
      <c r="N10" s="9">
        <f>SUMIFS(Tbl_Gastos[[#All],[VALOR]],Tbl_Gastos[[#All],[CATEGORIA]],$B10,Tbl_Gastos[[#All],[MES_AÑO]],N$2)</f>
        <v>0</v>
      </c>
      <c r="O10" s="23">
        <f t="shared" si="0"/>
        <v>75000</v>
      </c>
    </row>
    <row r="11" spans="2:15" x14ac:dyDescent="0.3">
      <c r="B11" s="21" t="s">
        <v>39</v>
      </c>
      <c r="C11" s="9">
        <f>SUMIFS(Tbl_Gastos[[#All],[VALOR]],Tbl_Gastos[[#All],[CATEGORIA]],$B11,Tbl_Gastos[[#All],[MES_AÑO]],$C$2)</f>
        <v>5000</v>
      </c>
      <c r="D11" s="9">
        <f>SUMIFS(Tbl_Gastos[[#All],[VALOR]],Tbl_Gastos[[#All],[CATEGORIA]],$B11,Tbl_Gastos[[#All],[MES_AÑO]],$D$2)</f>
        <v>2000</v>
      </c>
      <c r="E11" s="9">
        <f>SUMIFS(Tbl_Gastos[[#All],[VALOR]],Tbl_Gastos[[#All],[CATEGORIA]],$B11,Tbl_Gastos[[#All],[MES_AÑO]],$E$2)</f>
        <v>0</v>
      </c>
      <c r="F11" s="9">
        <f>SUMIFS(Tbl_Gastos[[#All],[VALOR]],Tbl_Gastos[[#All],[CATEGORIA]],$B11,Tbl_Gastos[[#All],[MES_AÑO]],F$2)</f>
        <v>3000</v>
      </c>
      <c r="G11" s="9">
        <f>SUMIFS(Tbl_Gastos[[#All],[VALOR]],Tbl_Gastos[[#All],[CATEGORIA]],$B11,Tbl_Gastos[[#All],[MES_AÑO]],G$2)</f>
        <v>219370</v>
      </c>
      <c r="H11" s="9">
        <f>SUMIFS(Tbl_Gastos[[#All],[VALOR]],Tbl_Gastos[[#All],[CATEGORIA]],$B11,Tbl_Gastos[[#All],[MES_AÑO]],H$2)</f>
        <v>0</v>
      </c>
      <c r="I11" s="9">
        <f>SUMIFS(Tbl_Gastos[[#All],[VALOR]],Tbl_Gastos[[#All],[CATEGORIA]],$B11,Tbl_Gastos[[#All],[MES_AÑO]],I$2)</f>
        <v>0</v>
      </c>
      <c r="J11" s="9">
        <f>SUMIFS(Tbl_Gastos[[#All],[VALOR]],Tbl_Gastos[[#All],[CATEGORIA]],$B11,Tbl_Gastos[[#All],[MES_AÑO]],J$2)</f>
        <v>0</v>
      </c>
      <c r="K11" s="9">
        <f>SUMIFS(Tbl_Gastos[[#All],[VALOR]],Tbl_Gastos[[#All],[CATEGORIA]],$B11,Tbl_Gastos[[#All],[MES_AÑO]],K$2)</f>
        <v>0</v>
      </c>
      <c r="L11" s="9">
        <f>SUMIFS(Tbl_Gastos[[#All],[VALOR]],Tbl_Gastos[[#All],[CATEGORIA]],$B11,Tbl_Gastos[[#All],[MES_AÑO]],L$2)</f>
        <v>0</v>
      </c>
      <c r="M11" s="9">
        <f>SUMIFS(Tbl_Gastos[[#All],[VALOR]],Tbl_Gastos[[#All],[CATEGORIA]],$B11,Tbl_Gastos[[#All],[MES_AÑO]],M$2)</f>
        <v>0</v>
      </c>
      <c r="N11" s="9">
        <f>SUMIFS(Tbl_Gastos[[#All],[VALOR]],Tbl_Gastos[[#All],[CATEGORIA]],$B11,Tbl_Gastos[[#All],[MES_AÑO]],N$2)</f>
        <v>0</v>
      </c>
      <c r="O11" s="23">
        <f t="shared" si="0"/>
        <v>229370</v>
      </c>
    </row>
    <row r="12" spans="2:15" x14ac:dyDescent="0.3">
      <c r="B12" s="21" t="s">
        <v>42</v>
      </c>
      <c r="C12" s="9">
        <f>SUMIFS(Tbl_Gastos[[#All],[VALOR]],Tbl_Gastos[[#All],[CATEGORIA]],$B12,Tbl_Gastos[[#All],[MES_AÑO]],$C$2)</f>
        <v>0</v>
      </c>
      <c r="D12" s="9">
        <f>SUMIFS(Tbl_Gastos[[#All],[VALOR]],Tbl_Gastos[[#All],[CATEGORIA]],$B12,Tbl_Gastos[[#All],[MES_AÑO]],$D$2)</f>
        <v>0</v>
      </c>
      <c r="E12" s="9">
        <f>SUMIFS(Tbl_Gastos[[#All],[VALOR]],Tbl_Gastos[[#All],[CATEGORIA]],$B12,Tbl_Gastos[[#All],[MES_AÑO]],$E$2)</f>
        <v>0</v>
      </c>
      <c r="F12" s="9">
        <f>SUMIFS(Tbl_Gastos[[#All],[VALOR]],Tbl_Gastos[[#All],[CATEGORIA]],$B12,Tbl_Gastos[[#All],[MES_AÑO]],F$2)</f>
        <v>0</v>
      </c>
      <c r="G12" s="9">
        <f>SUMIFS(Tbl_Gastos[[#All],[VALOR]],Tbl_Gastos[[#All],[CATEGORIA]],$B12,Tbl_Gastos[[#All],[MES_AÑO]],G$2)</f>
        <v>0</v>
      </c>
      <c r="H12" s="9">
        <f>SUMIFS(Tbl_Gastos[[#All],[VALOR]],Tbl_Gastos[[#All],[CATEGORIA]],$B12,Tbl_Gastos[[#All],[MES_AÑO]],H$2)</f>
        <v>0</v>
      </c>
      <c r="I12" s="9">
        <f>SUMIFS(Tbl_Gastos[[#All],[VALOR]],Tbl_Gastos[[#All],[CATEGORIA]],$B12,Tbl_Gastos[[#All],[MES_AÑO]],I$2)</f>
        <v>0</v>
      </c>
      <c r="J12" s="9">
        <f>SUMIFS(Tbl_Gastos[[#All],[VALOR]],Tbl_Gastos[[#All],[CATEGORIA]],$B12,Tbl_Gastos[[#All],[MES_AÑO]],J$2)</f>
        <v>0</v>
      </c>
      <c r="K12" s="9">
        <f>SUMIFS(Tbl_Gastos[[#All],[VALOR]],Tbl_Gastos[[#All],[CATEGORIA]],$B12,Tbl_Gastos[[#All],[MES_AÑO]],K$2)</f>
        <v>0</v>
      </c>
      <c r="L12" s="9">
        <f>SUMIFS(Tbl_Gastos[[#All],[VALOR]],Tbl_Gastos[[#All],[CATEGORIA]],$B12,Tbl_Gastos[[#All],[MES_AÑO]],L$2)</f>
        <v>0</v>
      </c>
      <c r="M12" s="9">
        <f>SUMIFS(Tbl_Gastos[[#All],[VALOR]],Tbl_Gastos[[#All],[CATEGORIA]],$B12,Tbl_Gastos[[#All],[MES_AÑO]],M$2)</f>
        <v>0</v>
      </c>
      <c r="N12" s="9">
        <f>SUMIFS(Tbl_Gastos[[#All],[VALOR]],Tbl_Gastos[[#All],[CATEGORIA]],$B12,Tbl_Gastos[[#All],[MES_AÑO]],N$2)</f>
        <v>0</v>
      </c>
      <c r="O12" s="23">
        <f t="shared" si="0"/>
        <v>0</v>
      </c>
    </row>
    <row r="13" spans="2:15" x14ac:dyDescent="0.3">
      <c r="B13" s="21" t="s">
        <v>45</v>
      </c>
      <c r="C13" s="9">
        <f>SUMIFS(Tbl_Gastos[[#All],[VALOR]],Tbl_Gastos[[#All],[CATEGORIA]],$B13,Tbl_Gastos[[#All],[MES_AÑO]],$C$2)</f>
        <v>0</v>
      </c>
      <c r="D13" s="9">
        <f>SUMIFS(Tbl_Gastos[[#All],[VALOR]],Tbl_Gastos[[#All],[CATEGORIA]],$B13,Tbl_Gastos[[#All],[MES_AÑO]],$D$2)</f>
        <v>0</v>
      </c>
      <c r="E13" s="9">
        <f>SUMIFS(Tbl_Gastos[[#All],[VALOR]],Tbl_Gastos[[#All],[CATEGORIA]],$B13,Tbl_Gastos[[#All],[MES_AÑO]],$E$2)</f>
        <v>0</v>
      </c>
      <c r="F13" s="9">
        <f>SUMIFS(Tbl_Gastos[[#All],[VALOR]],Tbl_Gastos[[#All],[CATEGORIA]],$B13,Tbl_Gastos[[#All],[MES_AÑO]],F$2)</f>
        <v>0</v>
      </c>
      <c r="G13" s="9">
        <f>SUMIFS(Tbl_Gastos[[#All],[VALOR]],Tbl_Gastos[[#All],[CATEGORIA]],$B13,Tbl_Gastos[[#All],[MES_AÑO]],G$2)</f>
        <v>0</v>
      </c>
      <c r="H13" s="9">
        <f>SUMIFS(Tbl_Gastos[[#All],[VALOR]],Tbl_Gastos[[#All],[CATEGORIA]],$B13,Tbl_Gastos[[#All],[MES_AÑO]],H$2)</f>
        <v>0</v>
      </c>
      <c r="I13" s="9">
        <f>SUMIFS(Tbl_Gastos[[#All],[VALOR]],Tbl_Gastos[[#All],[CATEGORIA]],$B13,Tbl_Gastos[[#All],[MES_AÑO]],I$2)</f>
        <v>0</v>
      </c>
      <c r="J13" s="9">
        <f>SUMIFS(Tbl_Gastos[[#All],[VALOR]],Tbl_Gastos[[#All],[CATEGORIA]],$B13,Tbl_Gastos[[#All],[MES_AÑO]],J$2)</f>
        <v>0</v>
      </c>
      <c r="K13" s="9">
        <f>SUMIFS(Tbl_Gastos[[#All],[VALOR]],Tbl_Gastos[[#All],[CATEGORIA]],$B13,Tbl_Gastos[[#All],[MES_AÑO]],K$2)</f>
        <v>0</v>
      </c>
      <c r="L13" s="9">
        <f>SUMIFS(Tbl_Gastos[[#All],[VALOR]],Tbl_Gastos[[#All],[CATEGORIA]],$B13,Tbl_Gastos[[#All],[MES_AÑO]],L$2)</f>
        <v>0</v>
      </c>
      <c r="M13" s="9">
        <f>SUMIFS(Tbl_Gastos[[#All],[VALOR]],Tbl_Gastos[[#All],[CATEGORIA]],$B13,Tbl_Gastos[[#All],[MES_AÑO]],M$2)</f>
        <v>0</v>
      </c>
      <c r="N13" s="9">
        <f>SUMIFS(Tbl_Gastos[[#All],[VALOR]],Tbl_Gastos[[#All],[CATEGORIA]],$B13,Tbl_Gastos[[#All],[MES_AÑO]],N$2)</f>
        <v>0</v>
      </c>
      <c r="O13" s="23">
        <f t="shared" si="0"/>
        <v>0</v>
      </c>
    </row>
    <row r="14" spans="2:15" x14ac:dyDescent="0.3">
      <c r="B14" s="21" t="s">
        <v>47</v>
      </c>
      <c r="C14" s="9">
        <f>SUMIFS(Tbl_Gastos[[#All],[VALOR]],Tbl_Gastos[[#All],[CATEGORIA]],$B14,Tbl_Gastos[[#All],[MES_AÑO]],$C$2)</f>
        <v>40500</v>
      </c>
      <c r="D14" s="9">
        <f>SUMIFS(Tbl_Gastos[[#All],[VALOR]],Tbl_Gastos[[#All],[CATEGORIA]],$B14,Tbl_Gastos[[#All],[MES_AÑO]],$D$2)</f>
        <v>25000</v>
      </c>
      <c r="E14" s="9">
        <f>SUMIFS(Tbl_Gastos[[#All],[VALOR]],Tbl_Gastos[[#All],[CATEGORIA]],$B14,Tbl_Gastos[[#All],[MES_AÑO]],$E$2)</f>
        <v>8000</v>
      </c>
      <c r="F14" s="9">
        <f>SUMIFS(Tbl_Gastos[[#All],[VALOR]],Tbl_Gastos[[#All],[CATEGORIA]],$B14,Tbl_Gastos[[#All],[MES_AÑO]],F$2)</f>
        <v>30070</v>
      </c>
      <c r="G14" s="9">
        <f>SUMIFS(Tbl_Gastos[[#All],[VALOR]],Tbl_Gastos[[#All],[CATEGORIA]],$B14,Tbl_Gastos[[#All],[MES_AÑO]],G$2)</f>
        <v>21500</v>
      </c>
      <c r="H14" s="9">
        <f>SUMIFS(Tbl_Gastos[[#All],[VALOR]],Tbl_Gastos[[#All],[CATEGORIA]],$B14,Tbl_Gastos[[#All],[MES_AÑO]],H$2)</f>
        <v>0</v>
      </c>
      <c r="I14" s="9">
        <f>SUMIFS(Tbl_Gastos[[#All],[VALOR]],Tbl_Gastos[[#All],[CATEGORIA]],$B14,Tbl_Gastos[[#All],[MES_AÑO]],I$2)</f>
        <v>0</v>
      </c>
      <c r="J14" s="9">
        <f>SUMIFS(Tbl_Gastos[[#All],[VALOR]],Tbl_Gastos[[#All],[CATEGORIA]],$B14,Tbl_Gastos[[#All],[MES_AÑO]],J$2)</f>
        <v>0</v>
      </c>
      <c r="K14" s="9">
        <f>SUMIFS(Tbl_Gastos[[#All],[VALOR]],Tbl_Gastos[[#All],[CATEGORIA]],$B14,Tbl_Gastos[[#All],[MES_AÑO]],K$2)</f>
        <v>0</v>
      </c>
      <c r="L14" s="9">
        <f>SUMIFS(Tbl_Gastos[[#All],[VALOR]],Tbl_Gastos[[#All],[CATEGORIA]],$B14,Tbl_Gastos[[#All],[MES_AÑO]],L$2)</f>
        <v>0</v>
      </c>
      <c r="M14" s="9">
        <f>SUMIFS(Tbl_Gastos[[#All],[VALOR]],Tbl_Gastos[[#All],[CATEGORIA]],$B14,Tbl_Gastos[[#All],[MES_AÑO]],M$2)</f>
        <v>0</v>
      </c>
      <c r="N14" s="9">
        <f>SUMIFS(Tbl_Gastos[[#All],[VALOR]],Tbl_Gastos[[#All],[CATEGORIA]],$B14,Tbl_Gastos[[#All],[MES_AÑO]],N$2)</f>
        <v>0</v>
      </c>
      <c r="O14" s="23">
        <f t="shared" si="0"/>
        <v>125070</v>
      </c>
    </row>
    <row r="15" spans="2:15" x14ac:dyDescent="0.3">
      <c r="B15" s="21" t="s">
        <v>16</v>
      </c>
      <c r="C15" s="22">
        <f>SUM(C4:C14)</f>
        <v>351707</v>
      </c>
      <c r="D15" s="22">
        <f t="shared" ref="D15:N15" si="1">SUM(D4:D14)</f>
        <v>297083</v>
      </c>
      <c r="E15" s="22">
        <f t="shared" si="1"/>
        <v>135611</v>
      </c>
      <c r="F15" s="22">
        <f t="shared" si="1"/>
        <v>198370</v>
      </c>
      <c r="G15" s="22">
        <f t="shared" si="1"/>
        <v>391770</v>
      </c>
      <c r="H15" s="22">
        <f t="shared" si="1"/>
        <v>0</v>
      </c>
      <c r="I15" s="22">
        <f t="shared" si="1"/>
        <v>0</v>
      </c>
      <c r="J15" s="22">
        <f t="shared" si="1"/>
        <v>0</v>
      </c>
      <c r="K15" s="22">
        <f t="shared" si="1"/>
        <v>0</v>
      </c>
      <c r="L15" s="22">
        <f t="shared" si="1"/>
        <v>0</v>
      </c>
      <c r="M15" s="22">
        <f t="shared" si="1"/>
        <v>0</v>
      </c>
      <c r="N15" s="22">
        <f t="shared" si="1"/>
        <v>0</v>
      </c>
      <c r="O15" s="24">
        <f>SUM(O4:O14)</f>
        <v>1374541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E15C-C3FC-40D5-A5BD-EE20B518B435}">
  <sheetPr>
    <tabColor theme="9" tint="0.39997558519241921"/>
  </sheetPr>
  <dimension ref="B2:AP21"/>
  <sheetViews>
    <sheetView workbookViewId="0">
      <pane xSplit="2" ySplit="3" topLeftCell="C4" activePane="bottomRight" state="frozen"/>
      <selection pane="topRight" activeCell="C1" sqref="C1"/>
      <selection pane="bottomLeft" activeCell="A4" sqref="A4"/>
      <selection pane="bottomRight" activeCell="F14" sqref="F14"/>
    </sheetView>
  </sheetViews>
  <sheetFormatPr defaultColWidth="11.5546875" defaultRowHeight="14.4" x14ac:dyDescent="0.3"/>
  <cols>
    <col min="2" max="2" width="19.44140625" bestFit="1" customWidth="1"/>
    <col min="3" max="3" width="12.77734375" bestFit="1" customWidth="1"/>
    <col min="4" max="4" width="10.6640625" customWidth="1"/>
    <col min="6" max="7" width="11.5546875" customWidth="1"/>
    <col min="8" max="8" width="15.21875" bestFit="1" customWidth="1"/>
    <col min="9" max="12" width="11.5546875" customWidth="1"/>
    <col min="24" max="24" width="12.77734375" bestFit="1" customWidth="1"/>
    <col min="25" max="25" width="12.5546875" bestFit="1" customWidth="1"/>
    <col min="26" max="26" width="12.77734375" bestFit="1" customWidth="1"/>
  </cols>
  <sheetData>
    <row r="2" spans="2:42" x14ac:dyDescent="0.3">
      <c r="B2" s="31" t="s">
        <v>60</v>
      </c>
      <c r="C2" s="32">
        <v>0.1</v>
      </c>
    </row>
    <row r="3" spans="2:42" x14ac:dyDescent="0.3">
      <c r="C3" s="13" t="s">
        <v>138</v>
      </c>
      <c r="D3" s="13"/>
      <c r="E3" s="13"/>
      <c r="F3" s="13"/>
      <c r="G3" s="13" t="s">
        <v>139</v>
      </c>
      <c r="H3" s="13"/>
      <c r="I3" s="13"/>
      <c r="J3" s="13" t="s">
        <v>140</v>
      </c>
      <c r="K3" s="13"/>
      <c r="L3" s="13"/>
      <c r="M3" s="13" t="s">
        <v>141</v>
      </c>
      <c r="N3" s="13"/>
      <c r="O3" s="13"/>
      <c r="P3" s="13" t="s">
        <v>142</v>
      </c>
      <c r="Q3" s="13"/>
      <c r="R3" s="13"/>
      <c r="S3" s="13" t="s">
        <v>143</v>
      </c>
      <c r="T3" s="13"/>
      <c r="U3" s="13"/>
      <c r="V3" s="13" t="s">
        <v>144</v>
      </c>
      <c r="W3" s="13"/>
      <c r="X3" s="13"/>
      <c r="Y3" s="13" t="s">
        <v>145</v>
      </c>
      <c r="Z3" s="13"/>
      <c r="AA3" s="13"/>
      <c r="AB3" s="13" t="s">
        <v>146</v>
      </c>
      <c r="AC3" s="13"/>
      <c r="AD3" s="13"/>
      <c r="AE3" s="13" t="s">
        <v>147</v>
      </c>
      <c r="AF3" s="13"/>
      <c r="AG3" s="13"/>
      <c r="AH3" s="13" t="s">
        <v>148</v>
      </c>
      <c r="AI3" s="13"/>
      <c r="AJ3" s="13"/>
      <c r="AK3" s="13" t="s">
        <v>149</v>
      </c>
      <c r="AL3" s="13"/>
      <c r="AM3" s="13"/>
    </row>
    <row r="4" spans="2:42" x14ac:dyDescent="0.3">
      <c r="B4" s="45" t="s">
        <v>54</v>
      </c>
      <c r="C4" s="46">
        <v>45658</v>
      </c>
      <c r="D4" s="47" t="s">
        <v>61</v>
      </c>
      <c r="E4" s="47" t="s">
        <v>62</v>
      </c>
      <c r="F4" s="47" t="s">
        <v>63</v>
      </c>
      <c r="G4" s="47">
        <v>45689</v>
      </c>
      <c r="H4" s="47" t="s">
        <v>61</v>
      </c>
      <c r="I4" s="47" t="s">
        <v>63</v>
      </c>
      <c r="J4" s="47">
        <v>45717</v>
      </c>
      <c r="K4" s="47" t="s">
        <v>61</v>
      </c>
      <c r="L4" s="47" t="s">
        <v>63</v>
      </c>
      <c r="M4" s="47">
        <v>45748</v>
      </c>
      <c r="N4" s="47" t="s">
        <v>61</v>
      </c>
      <c r="O4" s="47" t="s">
        <v>63</v>
      </c>
      <c r="P4" s="47">
        <v>45778</v>
      </c>
      <c r="Q4" s="47" t="s">
        <v>61</v>
      </c>
      <c r="R4" s="47" t="s">
        <v>63</v>
      </c>
      <c r="S4" s="47">
        <v>45809</v>
      </c>
      <c r="T4" s="47" t="s">
        <v>61</v>
      </c>
      <c r="U4" s="47" t="s">
        <v>63</v>
      </c>
      <c r="V4" s="47">
        <v>45839</v>
      </c>
      <c r="W4" s="47" t="s">
        <v>61</v>
      </c>
      <c r="X4" s="47" t="s">
        <v>63</v>
      </c>
      <c r="Y4" s="47">
        <v>45870</v>
      </c>
      <c r="Z4" s="47" t="s">
        <v>61</v>
      </c>
      <c r="AA4" s="47" t="s">
        <v>63</v>
      </c>
      <c r="AB4" s="47">
        <v>45901</v>
      </c>
      <c r="AC4" s="47" t="s">
        <v>61</v>
      </c>
      <c r="AD4" s="47" t="s">
        <v>63</v>
      </c>
      <c r="AE4" s="47">
        <v>45931</v>
      </c>
      <c r="AF4" s="47" t="s">
        <v>61</v>
      </c>
      <c r="AG4" s="47" t="s">
        <v>63</v>
      </c>
      <c r="AH4" s="47">
        <v>45962</v>
      </c>
      <c r="AI4" s="47" t="s">
        <v>61</v>
      </c>
      <c r="AJ4" s="47" t="s">
        <v>63</v>
      </c>
      <c r="AK4" s="47">
        <v>45992</v>
      </c>
      <c r="AL4" s="47" t="s">
        <v>61</v>
      </c>
      <c r="AM4" s="47" t="s">
        <v>63</v>
      </c>
      <c r="AN4" s="33" t="s">
        <v>64</v>
      </c>
      <c r="AO4" s="34" t="s">
        <v>65</v>
      </c>
      <c r="AP4" s="18" t="s">
        <v>63</v>
      </c>
    </row>
    <row r="5" spans="2:42" x14ac:dyDescent="0.3">
      <c r="B5" s="44" t="s">
        <v>66</v>
      </c>
      <c r="C5" s="35">
        <f>Gast_Resumen!C15</f>
        <v>351707</v>
      </c>
      <c r="D5" s="36">
        <v>450000</v>
      </c>
      <c r="E5" s="36">
        <f>D5+ (D5*$C$2)+5000</f>
        <v>500000</v>
      </c>
      <c r="F5" s="37">
        <f>+E5-C5-C8-450000</f>
        <v>-556299</v>
      </c>
      <c r="G5" s="35">
        <f>Gast_Resumen!D15</f>
        <v>297083</v>
      </c>
      <c r="H5" s="36">
        <f>E5+F5</f>
        <v>-56299</v>
      </c>
      <c r="I5" s="37">
        <f>+H5-G5</f>
        <v>-353382</v>
      </c>
      <c r="J5" s="35">
        <f>Gast_Resumen!E15</f>
        <v>135611</v>
      </c>
      <c r="K5" s="36">
        <f>E5+I5</f>
        <v>146618</v>
      </c>
      <c r="L5" s="37">
        <f>+K5-J5</f>
        <v>11007</v>
      </c>
      <c r="M5" s="35">
        <f>Gast_Resumen!F15</f>
        <v>198370</v>
      </c>
      <c r="N5" s="36">
        <f>L5+E5</f>
        <v>511007</v>
      </c>
      <c r="O5" s="37">
        <f>N5-M5</f>
        <v>312637</v>
      </c>
      <c r="P5" s="35">
        <f>Gast_Resumen!G15</f>
        <v>391770</v>
      </c>
      <c r="Q5" s="36">
        <f>O5+E5</f>
        <v>812637</v>
      </c>
      <c r="R5" s="37">
        <f>+Q5-P5</f>
        <v>420867</v>
      </c>
      <c r="S5" s="35">
        <f>Gast_Resumen!H15</f>
        <v>0</v>
      </c>
      <c r="T5" s="36">
        <f>R5+E5</f>
        <v>920867</v>
      </c>
      <c r="U5" s="37">
        <f>+T5-S5</f>
        <v>920867</v>
      </c>
      <c r="V5" s="35">
        <f>Gast_Resumen!I15</f>
        <v>0</v>
      </c>
      <c r="W5" s="36">
        <f>U5+E5</f>
        <v>1420867</v>
      </c>
      <c r="X5" s="37">
        <f>+W5-V5</f>
        <v>1420867</v>
      </c>
      <c r="Y5" s="35">
        <f>Gast_Resumen!J15</f>
        <v>0</v>
      </c>
      <c r="Z5" s="36">
        <f>X5+E5</f>
        <v>1920867</v>
      </c>
      <c r="AA5" s="37">
        <f>+Z5-Y5</f>
        <v>1920867</v>
      </c>
      <c r="AB5" s="35">
        <f>Gast_Resumen!K15</f>
        <v>0</v>
      </c>
      <c r="AC5" s="36">
        <f>AA5+E5</f>
        <v>2420867</v>
      </c>
      <c r="AD5" s="37">
        <f>+AC5-AB5</f>
        <v>2420867</v>
      </c>
      <c r="AE5" s="35">
        <f>Gast_Resumen!L15</f>
        <v>0</v>
      </c>
      <c r="AF5" s="36">
        <f>AD5+E5</f>
        <v>2920867</v>
      </c>
      <c r="AG5" s="37">
        <f>+AF5-AE5</f>
        <v>2920867</v>
      </c>
      <c r="AH5" s="35">
        <f>Gast_Resumen!M15</f>
        <v>0</v>
      </c>
      <c r="AI5" s="36">
        <f>AG5+E5</f>
        <v>3420867</v>
      </c>
      <c r="AJ5" s="37">
        <f>+AI5-AH5</f>
        <v>3420867</v>
      </c>
      <c r="AK5" s="35">
        <f>Gast_Resumen!N15</f>
        <v>0</v>
      </c>
      <c r="AL5" s="36">
        <f>AJ5+E5</f>
        <v>3920867</v>
      </c>
      <c r="AM5" s="37">
        <f>+AL5-AK5</f>
        <v>3920867</v>
      </c>
      <c r="AN5" s="38">
        <f>+J5+M5+P5+S5+V5+Y5+AB5+AE5+AH5+AK5</f>
        <v>725751</v>
      </c>
      <c r="AO5" s="39">
        <f>+E5+H5+K5+N5+Q5+T5+W5+Z5+AC5+AF5+AI5+AL5</f>
        <v>18860032</v>
      </c>
      <c r="AP5" s="40">
        <f t="shared" ref="AP5" si="0">+F5+I5+L5+O5+R5+U5+X5+AA5+AD5+AG5+AJ5+AM5</f>
        <v>16780899</v>
      </c>
    </row>
    <row r="6" spans="2:42" x14ac:dyDescent="0.3">
      <c r="B6" s="48" t="s">
        <v>16</v>
      </c>
      <c r="C6" s="50">
        <f t="shared" ref="C6:AP6" si="1">SUM(C5:C5)</f>
        <v>351707</v>
      </c>
      <c r="D6" s="49">
        <f t="shared" si="1"/>
        <v>450000</v>
      </c>
      <c r="E6" s="49">
        <f t="shared" si="1"/>
        <v>500000</v>
      </c>
      <c r="F6" s="50">
        <f t="shared" si="1"/>
        <v>-556299</v>
      </c>
      <c r="G6" s="49">
        <f t="shared" si="1"/>
        <v>297083</v>
      </c>
      <c r="H6" s="49">
        <f t="shared" si="1"/>
        <v>-56299</v>
      </c>
      <c r="I6" s="49">
        <f t="shared" si="1"/>
        <v>-353382</v>
      </c>
      <c r="J6" s="50">
        <f t="shared" si="1"/>
        <v>135611</v>
      </c>
      <c r="K6" s="49">
        <f t="shared" si="1"/>
        <v>146618</v>
      </c>
      <c r="L6" s="49">
        <f t="shared" si="1"/>
        <v>11007</v>
      </c>
      <c r="M6" s="50">
        <f t="shared" si="1"/>
        <v>198370</v>
      </c>
      <c r="N6" s="49">
        <f t="shared" si="1"/>
        <v>511007</v>
      </c>
      <c r="O6" s="49">
        <f t="shared" si="1"/>
        <v>312637</v>
      </c>
      <c r="P6" s="50">
        <f t="shared" si="1"/>
        <v>391770</v>
      </c>
      <c r="Q6" s="49">
        <f t="shared" si="1"/>
        <v>812637</v>
      </c>
      <c r="R6" s="49">
        <f t="shared" si="1"/>
        <v>420867</v>
      </c>
      <c r="S6" s="50">
        <f t="shared" si="1"/>
        <v>0</v>
      </c>
      <c r="T6" s="49">
        <f t="shared" si="1"/>
        <v>920867</v>
      </c>
      <c r="U6" s="49">
        <f t="shared" si="1"/>
        <v>920867</v>
      </c>
      <c r="V6" s="50">
        <f t="shared" si="1"/>
        <v>0</v>
      </c>
      <c r="W6" s="49">
        <f t="shared" si="1"/>
        <v>1420867</v>
      </c>
      <c r="X6" s="49">
        <f t="shared" si="1"/>
        <v>1420867</v>
      </c>
      <c r="Y6" s="50">
        <f t="shared" si="1"/>
        <v>0</v>
      </c>
      <c r="Z6" s="49">
        <f t="shared" si="1"/>
        <v>1920867</v>
      </c>
      <c r="AA6" s="49">
        <f t="shared" si="1"/>
        <v>1920867</v>
      </c>
      <c r="AB6" s="50">
        <f t="shared" si="1"/>
        <v>0</v>
      </c>
      <c r="AC6" s="49">
        <f t="shared" si="1"/>
        <v>2420867</v>
      </c>
      <c r="AD6" s="49">
        <f t="shared" si="1"/>
        <v>2420867</v>
      </c>
      <c r="AE6" s="50">
        <f t="shared" si="1"/>
        <v>0</v>
      </c>
      <c r="AF6" s="49">
        <f>SUM(AF5:AF5)</f>
        <v>2920867</v>
      </c>
      <c r="AG6" s="49">
        <f t="shared" si="1"/>
        <v>2920867</v>
      </c>
      <c r="AH6" s="50">
        <f t="shared" si="1"/>
        <v>0</v>
      </c>
      <c r="AI6" s="49">
        <f t="shared" si="1"/>
        <v>3420867</v>
      </c>
      <c r="AJ6" s="49">
        <f t="shared" si="1"/>
        <v>3420867</v>
      </c>
      <c r="AK6" s="50">
        <f t="shared" si="1"/>
        <v>0</v>
      </c>
      <c r="AL6" s="49">
        <f t="shared" si="1"/>
        <v>3920867</v>
      </c>
      <c r="AM6" s="49">
        <f t="shared" si="1"/>
        <v>3920867</v>
      </c>
      <c r="AN6" s="41">
        <f t="shared" si="1"/>
        <v>725751</v>
      </c>
      <c r="AO6" s="42">
        <f t="shared" si="1"/>
        <v>18860032</v>
      </c>
      <c r="AP6" s="43">
        <f t="shared" si="1"/>
        <v>16780899</v>
      </c>
    </row>
    <row r="8" spans="2:42" x14ac:dyDescent="0.3">
      <c r="B8" s="58" t="s">
        <v>158</v>
      </c>
      <c r="C8" s="59">
        <f>SUM(Table14[Valor])</f>
        <v>254592</v>
      </c>
    </row>
    <row r="9" spans="2:42" x14ac:dyDescent="0.3">
      <c r="B9" s="58" t="s">
        <v>159</v>
      </c>
      <c r="C9" s="59">
        <f>245408</f>
        <v>245408</v>
      </c>
      <c r="H9" s="77" t="s">
        <v>164</v>
      </c>
      <c r="I9" s="59">
        <v>100000</v>
      </c>
    </row>
    <row r="10" spans="2:42" x14ac:dyDescent="0.3">
      <c r="H10" s="77" t="s">
        <v>165</v>
      </c>
      <c r="I10" s="59">
        <v>100000</v>
      </c>
    </row>
    <row r="11" spans="2:42" x14ac:dyDescent="0.3">
      <c r="B11" s="76" t="s">
        <v>160</v>
      </c>
      <c r="C11" s="74">
        <f>SUM(C8:C10)</f>
        <v>500000</v>
      </c>
      <c r="H11" s="77" t="s">
        <v>166</v>
      </c>
      <c r="I11" s="59">
        <v>50000</v>
      </c>
    </row>
    <row r="12" spans="2:42" x14ac:dyDescent="0.3">
      <c r="H12" s="77" t="s">
        <v>167</v>
      </c>
      <c r="I12" s="78">
        <v>50000</v>
      </c>
    </row>
    <row r="13" spans="2:42" x14ac:dyDescent="0.3">
      <c r="H13" s="77" t="s">
        <v>168</v>
      </c>
      <c r="I13" s="61">
        <v>100000</v>
      </c>
    </row>
    <row r="14" spans="2:42" x14ac:dyDescent="0.3">
      <c r="H14" s="77" t="s">
        <v>174</v>
      </c>
      <c r="I14" s="78">
        <v>100000</v>
      </c>
    </row>
    <row r="15" spans="2:42" x14ac:dyDescent="0.3">
      <c r="I15" s="79">
        <f>SUM(I9:I14)</f>
        <v>500000</v>
      </c>
    </row>
    <row r="18" spans="2:3" x14ac:dyDescent="0.3">
      <c r="B18" t="s">
        <v>161</v>
      </c>
      <c r="C18" t="s">
        <v>162</v>
      </c>
    </row>
    <row r="19" spans="2:3" x14ac:dyDescent="0.3">
      <c r="B19" t="s">
        <v>163</v>
      </c>
      <c r="C19" s="5">
        <v>100000</v>
      </c>
    </row>
    <row r="20" spans="2:3" x14ac:dyDescent="0.3">
      <c r="B20" t="s">
        <v>170</v>
      </c>
      <c r="C20" s="5">
        <v>54592</v>
      </c>
    </row>
    <row r="21" spans="2:3" x14ac:dyDescent="0.3">
      <c r="B21" t="s">
        <v>175</v>
      </c>
      <c r="C21" s="5">
        <v>100000</v>
      </c>
    </row>
  </sheetData>
  <conditionalFormatting sqref="D6:E6 G6:H6">
    <cfRule type="cellIs" dxfId="5" priority="3" operator="lessThan">
      <formula>0</formula>
    </cfRule>
  </conditionalFormatting>
  <conditionalFormatting sqref="F5 I5:I6 L5:L6 O5:O6 R5:R6 U5:U6 X5:X6 AA5:AA6 AD5:AD6 AG5:AG6 AJ5:AJ6 AM5:AM6 AP5:AP6">
    <cfRule type="cellIs" dxfId="4" priority="7" operator="lessThan">
      <formula>0</formula>
    </cfRule>
  </conditionalFormatting>
  <conditionalFormatting sqref="K6">
    <cfRule type="cellIs" dxfId="3" priority="6" operator="lessThan">
      <formula>0</formula>
    </cfRule>
  </conditionalFormatting>
  <conditionalFormatting sqref="N6">
    <cfRule type="cellIs" dxfId="2" priority="5" operator="lessThan">
      <formula>0</formula>
    </cfRule>
  </conditionalFormatting>
  <conditionalFormatting sqref="Q6 T6 W6 Z6 AC6 AF6 AI6 AL6">
    <cfRule type="cellIs" dxfId="1" priority="2" operator="lessThan">
      <formula>0</formula>
    </cfRule>
  </conditionalFormatting>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1ABE-4A3E-41EB-B38D-6224ECD95F9B}">
  <dimension ref="B2:I13"/>
  <sheetViews>
    <sheetView workbookViewId="0">
      <selection activeCell="F6" sqref="F6"/>
    </sheetView>
  </sheetViews>
  <sheetFormatPr defaultColWidth="11.5546875" defaultRowHeight="14.4" x14ac:dyDescent="0.3"/>
  <cols>
    <col min="1" max="1" width="3.5546875" customWidth="1"/>
    <col min="2" max="2" width="13.33203125" bestFit="1" customWidth="1"/>
    <col min="3" max="3" width="16.33203125" bestFit="1" customWidth="1"/>
    <col min="5" max="5" width="14.33203125" bestFit="1" customWidth="1"/>
    <col min="6" max="6" width="14" bestFit="1" customWidth="1"/>
    <col min="8" max="8" width="15.109375" bestFit="1" customWidth="1"/>
    <col min="9" max="9" width="13.44140625" customWidth="1"/>
  </cols>
  <sheetData>
    <row r="2" spans="2:9" x14ac:dyDescent="0.3">
      <c r="B2" s="14" t="s">
        <v>17</v>
      </c>
      <c r="C2" s="14" t="s">
        <v>18</v>
      </c>
      <c r="E2" s="14" t="s">
        <v>19</v>
      </c>
      <c r="F2" s="14" t="s">
        <v>20</v>
      </c>
      <c r="H2" s="14" t="s">
        <v>21</v>
      </c>
      <c r="I2" s="14" t="s">
        <v>22</v>
      </c>
    </row>
    <row r="3" spans="2:9" x14ac:dyDescent="0.3">
      <c r="B3">
        <v>101</v>
      </c>
      <c r="C3" t="s">
        <v>67</v>
      </c>
      <c r="E3">
        <v>201</v>
      </c>
      <c r="F3" t="s">
        <v>24</v>
      </c>
      <c r="H3">
        <v>301</v>
      </c>
      <c r="I3" t="s">
        <v>24</v>
      </c>
    </row>
    <row r="4" spans="2:9" x14ac:dyDescent="0.3">
      <c r="B4">
        <v>102</v>
      </c>
      <c r="C4" t="s">
        <v>45</v>
      </c>
      <c r="E4">
        <v>202</v>
      </c>
      <c r="F4" t="s">
        <v>26</v>
      </c>
      <c r="H4">
        <v>302</v>
      </c>
      <c r="I4" t="s">
        <v>26</v>
      </c>
    </row>
    <row r="5" spans="2:9" x14ac:dyDescent="0.3">
      <c r="B5">
        <v>103</v>
      </c>
      <c r="C5" t="s">
        <v>27</v>
      </c>
      <c r="E5">
        <v>203</v>
      </c>
      <c r="F5" t="s">
        <v>28</v>
      </c>
      <c r="H5">
        <v>303</v>
      </c>
      <c r="I5" t="s">
        <v>28</v>
      </c>
    </row>
    <row r="6" spans="2:9" x14ac:dyDescent="0.3">
      <c r="B6">
        <v>104</v>
      </c>
      <c r="C6" t="s">
        <v>68</v>
      </c>
      <c r="E6">
        <v>204</v>
      </c>
      <c r="F6" t="s">
        <v>30</v>
      </c>
      <c r="H6">
        <v>304</v>
      </c>
      <c r="I6" t="s">
        <v>30</v>
      </c>
    </row>
    <row r="7" spans="2:9" x14ac:dyDescent="0.3">
      <c r="B7">
        <v>105</v>
      </c>
      <c r="C7" t="s">
        <v>95</v>
      </c>
      <c r="E7">
        <v>205</v>
      </c>
      <c r="F7" t="s">
        <v>32</v>
      </c>
      <c r="H7">
        <v>305</v>
      </c>
      <c r="I7" t="s">
        <v>32</v>
      </c>
    </row>
    <row r="8" spans="2:9" x14ac:dyDescent="0.3">
      <c r="E8">
        <v>206</v>
      </c>
      <c r="F8" t="s">
        <v>94</v>
      </c>
      <c r="H8">
        <v>306</v>
      </c>
      <c r="I8" t="s">
        <v>35</v>
      </c>
    </row>
    <row r="9" spans="2:9" x14ac:dyDescent="0.3">
      <c r="E9">
        <v>207</v>
      </c>
      <c r="F9" t="s">
        <v>95</v>
      </c>
      <c r="H9">
        <v>307</v>
      </c>
      <c r="I9" t="s">
        <v>38</v>
      </c>
    </row>
    <row r="10" spans="2:9" x14ac:dyDescent="0.3">
      <c r="H10">
        <v>308</v>
      </c>
      <c r="I10" t="s">
        <v>69</v>
      </c>
    </row>
    <row r="11" spans="2:9" x14ac:dyDescent="0.3">
      <c r="H11">
        <v>309</v>
      </c>
      <c r="I11" t="s">
        <v>70</v>
      </c>
    </row>
    <row r="12" spans="2:9" x14ac:dyDescent="0.3">
      <c r="H12">
        <v>310</v>
      </c>
      <c r="I12" t="s">
        <v>37</v>
      </c>
    </row>
    <row r="13" spans="2:9" x14ac:dyDescent="0.3">
      <c r="H13">
        <v>311</v>
      </c>
      <c r="I13" t="s">
        <v>95</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Mantenimiento</vt:lpstr>
      <vt:lpstr>Ingresos</vt:lpstr>
      <vt:lpstr>Ingresos_Resumen</vt:lpstr>
      <vt:lpstr>Gast_Cod</vt:lpstr>
      <vt:lpstr>Gast_Entr</vt:lpstr>
      <vt:lpstr>TD_Gast_Entr</vt:lpstr>
      <vt:lpstr>Gast_Resumen</vt:lpstr>
      <vt:lpstr>Gastos Presupuesto</vt:lpstr>
      <vt:lpstr>GastA_Cod</vt:lpstr>
      <vt:lpstr>GastA_Entr</vt:lpstr>
      <vt:lpstr>GastA_Resumen</vt:lpstr>
      <vt:lpstr>FC</vt:lpstr>
      <vt:lpstr>Bancos</vt:lpstr>
      <vt:lpstr>Vacaciones</vt:lpstr>
      <vt:lpstr>Tabla vacaciones</vt:lpstr>
      <vt:lpstr>Declaracion de renta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Fernando Diaz paba</dc:creator>
  <cp:keywords/>
  <dc:description/>
  <cp:lastModifiedBy>Juan Fernando Diaz paba</cp:lastModifiedBy>
  <cp:revision/>
  <dcterms:created xsi:type="dcterms:W3CDTF">2024-03-16T00:45:40Z</dcterms:created>
  <dcterms:modified xsi:type="dcterms:W3CDTF">2025-05-21T01:40:10Z</dcterms:modified>
  <cp:category/>
  <cp:contentStatus/>
</cp:coreProperties>
</file>