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Gastos" sheetId="1" state="visible" r:id="rId1"/>
    <sheet xmlns:r="http://schemas.openxmlformats.org/officeDocument/2006/relationships" name="Plan de pago" sheetId="2" state="visible" r:id="rId2"/>
    <sheet xmlns:r="http://schemas.openxmlformats.org/officeDocument/2006/relationships" name="Gastos expandido" sheetId="3" state="visible" r:id="rId3"/>
    <sheet xmlns:r="http://schemas.openxmlformats.org/officeDocument/2006/relationships" name="Supuestos" sheetId="4" state="visible" r:id="rId4"/>
    <sheet xmlns:r="http://schemas.openxmlformats.org/officeDocument/2006/relationships" name="Observacione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&quot;US$ &quot;#,##0.00"/>
    <numFmt numFmtId="165" formatCode="&quot;$ &quot;#,##0"/>
    <numFmt numFmtId="166" formatCode="0\ %"/>
    <numFmt numFmtId="167" formatCode="0.0"/>
  </numFmts>
  <fonts count="3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8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1F1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2E75B6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548235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b val="1"/>
      <color theme="1"/>
      <sz val="10"/>
    </font>
    <font>
      <name val="Arial"/>
      <charset val="1"/>
      <family val="0"/>
      <b val="1"/>
      <i val="1"/>
      <color rgb="FFC00000"/>
      <sz val="10"/>
      <u val="single"/>
    </font>
    <font>
      <name val="Arial"/>
      <charset val="1"/>
      <family val="0"/>
      <color rgb="FF404040"/>
      <sz val="9"/>
    </font>
    <font>
      <name val="Arial"/>
      <charset val="1"/>
      <family val="0"/>
      <color rgb="FF0563C1"/>
      <sz val="9"/>
      <u val="single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1F4E79"/>
      <sz val="11"/>
      <u val="single"/>
    </font>
    <font>
      <name val="Arial"/>
      <charset val="1"/>
      <family val="0"/>
      <i val="1"/>
      <color rgb="FF404040"/>
      <sz val="10"/>
    </font>
    <font>
      <name val="Arial"/>
      <charset val="1"/>
      <family val="0"/>
      <b val="1"/>
      <color rgb="FFFFFFFF"/>
      <sz val="11"/>
    </font>
    <font>
      <name val="Arial"/>
      <b val="1"/>
      <color rgb="001F4E79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1F4E79"/>
      <sz val="12"/>
    </font>
    <font>
      <name val="Arial"/>
      <b val="1"/>
      <sz val="10"/>
    </font>
    <font>
      <name val="Arial"/>
      <color rgb="00595959"/>
      <sz val="10"/>
    </font>
    <font>
      <name val="Arial"/>
      <b val="1"/>
      <color rgb="001F4E79"/>
      <sz val="10"/>
    </font>
  </fonts>
  <fills count="11">
    <fill>
      <patternFill/>
    </fill>
    <fill>
      <patternFill patternType="gray125"/>
    </fill>
    <fill>
      <patternFill patternType="solid">
        <fgColor rgb="FF2E75B6"/>
        <bgColor rgb="FF0563C1"/>
      </patternFill>
    </fill>
    <fill>
      <patternFill patternType="solid">
        <fgColor rgb="FFFFF2CC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7F9FC"/>
        <bgColor rgb="FFFFFFFF"/>
      </patternFill>
    </fill>
    <fill>
      <patternFill patternType="solid">
        <fgColor rgb="FFE2EFDA"/>
        <bgColor rgb="FFDDEBF7"/>
      </patternFill>
    </fill>
    <fill>
      <patternFill patternType="solid">
        <fgColor rgb="001F4E79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7"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D0D7E2"/>
      </left>
      <right style="thin">
        <color rgb="FFD0D7E2"/>
      </right>
      <top style="medium">
        <color rgb="FFBF9000"/>
      </top>
      <bottom style="medium">
        <color rgb="FFBF9000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right" vertical="center" indent="1"/>
    </xf>
    <xf numFmtId="164" fontId="6" fillId="3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8" fillId="4" borderId="3" applyAlignment="1" pivotButton="0" quotePrefix="0" xfId="0">
      <alignment horizontal="center" vertical="center" wrapText="1"/>
    </xf>
    <xf numFmtId="0" fontId="9" fillId="5" borderId="4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center" vertical="center" wrapText="1"/>
    </xf>
    <xf numFmtId="164" fontId="11" fillId="5" borderId="4" applyAlignment="1" pivotButton="0" quotePrefix="0" xfId="0">
      <alignment horizontal="right" vertical="center" wrapText="1"/>
    </xf>
    <xf numFmtId="0" fontId="12" fillId="5" borderId="4" applyAlignment="1" pivotButton="0" quotePrefix="0" xfId="0">
      <alignment horizontal="center" vertical="center" wrapText="1"/>
    </xf>
    <xf numFmtId="0" fontId="7" fillId="5" borderId="4" applyAlignment="1" pivotButton="0" quotePrefix="0" xfId="0">
      <alignment horizontal="center" vertical="center" wrapText="1"/>
    </xf>
    <xf numFmtId="164" fontId="10" fillId="5" borderId="4" applyAlignment="1" pivotButton="0" quotePrefix="0" xfId="0">
      <alignment horizontal="right" vertical="center" wrapText="1"/>
    </xf>
    <xf numFmtId="164" fontId="13" fillId="5" borderId="4" applyAlignment="1" pivotButton="0" quotePrefix="0" xfId="0">
      <alignment horizontal="right" vertical="center" wrapText="1"/>
    </xf>
    <xf numFmtId="0" fontId="9" fillId="0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center" vertical="center" wrapText="1"/>
    </xf>
    <xf numFmtId="165" fontId="11" fillId="0" borderId="4" applyAlignment="1" pivotButton="0" quotePrefix="0" xfId="0">
      <alignment horizontal="right" vertical="center" wrapText="1"/>
    </xf>
    <xf numFmtId="0" fontId="14" fillId="0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center" vertical="center" wrapText="1"/>
    </xf>
    <xf numFmtId="165" fontId="10" fillId="0" borderId="4" applyAlignment="1" pivotButton="0" quotePrefix="0" xfId="0">
      <alignment horizontal="right" vertical="center" wrapText="1"/>
    </xf>
    <xf numFmtId="165" fontId="13" fillId="0" borderId="4" applyAlignment="1" pivotButton="0" quotePrefix="0" xfId="0">
      <alignment horizontal="right" vertical="center" wrapText="1"/>
    </xf>
    <xf numFmtId="0" fontId="15" fillId="3" borderId="5" applyAlignment="1" pivotButton="0" quotePrefix="0" xfId="0">
      <alignment horizontal="left" vertical="center" wrapText="1"/>
    </xf>
    <xf numFmtId="0" fontId="16" fillId="3" borderId="5" applyAlignment="1" pivotButton="0" quotePrefix="0" xfId="0">
      <alignment horizontal="left" vertical="center" wrapText="1"/>
    </xf>
    <xf numFmtId="0" fontId="16" fillId="3" borderId="5" applyAlignment="1" pivotButton="0" quotePrefix="0" xfId="0">
      <alignment horizontal="center" vertical="center" wrapText="1"/>
    </xf>
    <xf numFmtId="164" fontId="15" fillId="3" borderId="5" applyAlignment="1" pivotButton="0" quotePrefix="0" xfId="0">
      <alignment horizontal="right" vertical="center" wrapText="1"/>
    </xf>
    <xf numFmtId="165" fontId="15" fillId="3" borderId="5" applyAlignment="1" pivotButton="0" quotePrefix="0" xfId="0">
      <alignment horizontal="right" vertical="center" wrapText="1"/>
    </xf>
    <xf numFmtId="0" fontId="17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13" fillId="0" borderId="4" applyAlignment="1" pivotButton="0" quotePrefix="0" xfId="0">
      <alignment horizontal="left" vertical="center" wrapText="1"/>
    </xf>
    <xf numFmtId="164" fontId="10" fillId="0" borderId="4" applyAlignment="1" pivotButton="0" quotePrefix="0" xfId="0">
      <alignment horizontal="right" vertical="center" wrapText="1"/>
    </xf>
    <xf numFmtId="164" fontId="13" fillId="0" borderId="4" applyAlignment="1" pivotButton="0" quotePrefix="0" xfId="0">
      <alignment horizontal="right" vertical="center" wrapText="1"/>
    </xf>
    <xf numFmtId="0" fontId="18" fillId="0" borderId="4" applyAlignment="1" pivotButton="0" quotePrefix="0" xfId="0">
      <alignment horizontal="left" vertical="center" wrapText="1" indent="1"/>
    </xf>
    <xf numFmtId="0" fontId="19" fillId="0" borderId="4" applyAlignment="1" pivotButton="0" quotePrefix="0" xfId="0">
      <alignment horizontal="left" vertical="center" wrapText="1"/>
    </xf>
    <xf numFmtId="0" fontId="13" fillId="6" borderId="4" applyAlignment="1" pivotButton="0" quotePrefix="0" xfId="0">
      <alignment horizontal="left" vertical="center" wrapText="1"/>
    </xf>
    <xf numFmtId="0" fontId="10" fillId="6" borderId="4" applyAlignment="1" pivotButton="0" quotePrefix="0" xfId="0">
      <alignment horizontal="left" vertical="center" wrapText="1"/>
    </xf>
    <xf numFmtId="164" fontId="10" fillId="6" borderId="4" applyAlignment="1" pivotButton="0" quotePrefix="0" xfId="0">
      <alignment horizontal="right" vertical="center" wrapText="1"/>
    </xf>
    <xf numFmtId="0" fontId="7" fillId="6" borderId="4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center" vertical="center" wrapText="1"/>
    </xf>
    <xf numFmtId="164" fontId="13" fillId="6" borderId="4" applyAlignment="1" pivotButton="0" quotePrefix="0" xfId="0">
      <alignment horizontal="right" vertical="center" wrapText="1"/>
    </xf>
    <xf numFmtId="0" fontId="18" fillId="6" borderId="4" applyAlignment="1" pivotButton="0" quotePrefix="0" xfId="0">
      <alignment horizontal="left" vertical="center" wrapText="1" indent="1"/>
    </xf>
    <xf numFmtId="0" fontId="19" fillId="6" borderId="4" applyAlignment="1" pivotButton="0" quotePrefix="0" xfId="0">
      <alignment horizontal="left" vertical="center" wrapText="1"/>
    </xf>
    <xf numFmtId="165" fontId="10" fillId="6" borderId="4" applyAlignment="1" pivotButton="0" quotePrefix="0" xfId="0">
      <alignment horizontal="right" vertical="center" wrapText="1"/>
    </xf>
    <xf numFmtId="165" fontId="13" fillId="6" borderId="4" applyAlignment="1" pivotButton="0" quotePrefix="0" xfId="0">
      <alignment horizontal="right" vertical="center" wrapText="1"/>
    </xf>
    <xf numFmtId="0" fontId="10" fillId="0" borderId="0" applyAlignment="1" pivotButton="0" quotePrefix="0" xfId="0">
      <alignment horizontal="general" vertical="top" wrapText="1"/>
    </xf>
    <xf numFmtId="165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center" vertical="top" wrapText="1"/>
    </xf>
    <xf numFmtId="0" fontId="20" fillId="0" borderId="0" applyAlignment="1" pivotButton="0" quotePrefix="0" xfId="0">
      <alignment horizontal="general" vertical="top" wrapText="1"/>
    </xf>
    <xf numFmtId="164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6" fontId="21" fillId="7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left" vertical="center" wrapText="1"/>
    </xf>
    <xf numFmtId="0" fontId="21" fillId="7" borderId="4" applyAlignment="1" pivotButton="0" quotePrefix="0" xfId="0">
      <alignment horizontal="center" vertical="center" wrapText="1"/>
    </xf>
    <xf numFmtId="0" fontId="7" fillId="6" borderId="4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center" wrapText="1" indent="1"/>
    </xf>
    <xf numFmtId="0" fontId="24" fillId="4" borderId="0" applyAlignment="1" pivotButton="0" quotePrefix="0" xfId="0">
      <alignment horizontal="general" vertical="center" indent="1"/>
    </xf>
    <xf numFmtId="0" fontId="0" fillId="4" borderId="0" applyAlignment="1" pivotButton="0" quotePrefix="0" xfId="0">
      <alignment horizontal="general" vertical="bottom"/>
    </xf>
    <xf numFmtId="0" fontId="13" fillId="5" borderId="4" applyAlignment="1" pivotButton="0" quotePrefix="0" xfId="0">
      <alignment horizontal="general" vertical="center" wrapText="1" inden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right" vertical="center" indent="1"/>
    </xf>
    <xf numFmtId="164" fontId="6" fillId="3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8" fillId="4" borderId="3" applyAlignment="1" pivotButton="0" quotePrefix="0" xfId="0">
      <alignment horizontal="center" vertical="center" wrapText="1"/>
    </xf>
    <xf numFmtId="0" fontId="9" fillId="5" borderId="4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center" vertical="center" wrapText="1"/>
    </xf>
    <xf numFmtId="164" fontId="11" fillId="5" borderId="4" applyAlignment="1" pivotButton="0" quotePrefix="0" xfId="0">
      <alignment horizontal="right" vertical="center" wrapText="1"/>
    </xf>
    <xf numFmtId="0" fontId="12" fillId="5" borderId="4" applyAlignment="1" pivotButton="0" quotePrefix="0" xfId="0">
      <alignment horizontal="center" vertical="center" wrapText="1"/>
    </xf>
    <xf numFmtId="0" fontId="7" fillId="5" borderId="4" applyAlignment="1" pivotButton="0" quotePrefix="0" xfId="0">
      <alignment horizontal="center" vertical="center" wrapText="1"/>
    </xf>
    <xf numFmtId="164" fontId="10" fillId="5" borderId="4" applyAlignment="1" pivotButton="0" quotePrefix="0" xfId="0">
      <alignment horizontal="right" vertical="center" wrapText="1"/>
    </xf>
    <xf numFmtId="164" fontId="13" fillId="5" borderId="4" applyAlignment="1" pivotButton="0" quotePrefix="0" xfId="0">
      <alignment horizontal="right" vertical="center" wrapText="1"/>
    </xf>
    <xf numFmtId="0" fontId="9" fillId="0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center" vertical="center" wrapText="1"/>
    </xf>
    <xf numFmtId="165" fontId="11" fillId="0" borderId="4" applyAlignment="1" pivotButton="0" quotePrefix="0" xfId="0">
      <alignment horizontal="right" vertical="center" wrapText="1"/>
    </xf>
    <xf numFmtId="0" fontId="14" fillId="0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center" vertical="center" wrapText="1"/>
    </xf>
    <xf numFmtId="165" fontId="10" fillId="0" borderId="4" applyAlignment="1" pivotButton="0" quotePrefix="0" xfId="0">
      <alignment horizontal="right" vertical="center" wrapText="1"/>
    </xf>
    <xf numFmtId="165" fontId="13" fillId="0" borderId="4" applyAlignment="1" pivotButton="0" quotePrefix="0" xfId="0">
      <alignment horizontal="right" vertical="center" wrapText="1"/>
    </xf>
    <xf numFmtId="0" fontId="15" fillId="3" borderId="5" applyAlignment="1" pivotButton="0" quotePrefix="0" xfId="0">
      <alignment horizontal="left" vertical="center" wrapText="1"/>
    </xf>
    <xf numFmtId="0" fontId="16" fillId="3" borderId="5" applyAlignment="1" pivotButton="0" quotePrefix="0" xfId="0">
      <alignment horizontal="left" vertical="center" wrapText="1"/>
    </xf>
    <xf numFmtId="0" fontId="16" fillId="3" borderId="5" applyAlignment="1" pivotButton="0" quotePrefix="0" xfId="0">
      <alignment horizontal="center" vertical="center" wrapText="1"/>
    </xf>
    <xf numFmtId="164" fontId="15" fillId="3" borderId="5" applyAlignment="1" pivotButton="0" quotePrefix="0" xfId="0">
      <alignment horizontal="right" vertical="center" wrapText="1"/>
    </xf>
    <xf numFmtId="165" fontId="15" fillId="3" borderId="5" applyAlignment="1" pivotButton="0" quotePrefix="0" xfId="0">
      <alignment horizontal="right" vertical="center" wrapText="1"/>
    </xf>
    <xf numFmtId="0" fontId="17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25" fillId="0" borderId="0" pivotButton="0" quotePrefix="0" xfId="0"/>
    <xf numFmtId="0" fontId="26" fillId="0" borderId="0" pivotButton="0" quotePrefix="0" xfId="0"/>
    <xf numFmtId="0" fontId="33" fillId="0" borderId="0" pivotButton="0" quotePrefix="0" xfId="0"/>
    <xf numFmtId="0" fontId="27" fillId="8" borderId="6" applyAlignment="1" pivotButton="0" quotePrefix="0" xfId="0">
      <alignment horizontal="center" vertical="center" wrapText="1"/>
    </xf>
    <xf numFmtId="0" fontId="28" fillId="0" borderId="6" pivotButton="0" quotePrefix="0" xfId="0"/>
    <xf numFmtId="2" fontId="29" fillId="9" borderId="6" pivotButton="0" quotePrefix="0" xfId="0"/>
    <xf numFmtId="1" fontId="29" fillId="9" borderId="6" pivotButton="0" quotePrefix="0" xfId="0"/>
    <xf numFmtId="165" fontId="29" fillId="0" borderId="6" pivotButton="0" quotePrefix="0" xfId="0"/>
    <xf numFmtId="9" fontId="29" fillId="9" borderId="6" pivotButton="0" quotePrefix="0" xfId="0"/>
    <xf numFmtId="0" fontId="30" fillId="0" borderId="0" pivotButton="0" quotePrefix="0" xfId="0"/>
    <xf numFmtId="164" fontId="28" fillId="0" borderId="6" pivotButton="0" quotePrefix="0" xfId="0"/>
    <xf numFmtId="165" fontId="28" fillId="0" borderId="6" pivotButton="0" quotePrefix="0" xfId="0"/>
    <xf numFmtId="0" fontId="31" fillId="10" borderId="6" pivotButton="0" quotePrefix="0" xfId="0"/>
    <xf numFmtId="164" fontId="31" fillId="10" borderId="6" pivotButton="0" quotePrefix="0" xfId="0"/>
    <xf numFmtId="165" fontId="31" fillId="10" borderId="6" pivotButton="0" quotePrefix="0" xfId="0"/>
    <xf numFmtId="9" fontId="28" fillId="0" borderId="6" pivotButton="0" quotePrefix="0" xfId="0"/>
    <xf numFmtId="0" fontId="28" fillId="10" borderId="6" pivotButton="0" quotePrefix="0" xfId="0"/>
    <xf numFmtId="9" fontId="31" fillId="10" borderId="6" pivotButton="0" quotePrefix="0" xfId="0"/>
    <xf numFmtId="165" fontId="31" fillId="0" borderId="6" pivotButton="0" quotePrefix="0" xfId="0"/>
    <xf numFmtId="1" fontId="31" fillId="0" borderId="6" pivotButton="0" quotePrefix="0" xfId="0"/>
    <xf numFmtId="167" fontId="31" fillId="0" borderId="6" pivotButton="0" quotePrefix="0" xfId="0"/>
    <xf numFmtId="1" fontId="29" fillId="0" borderId="6" pivotButton="0" quotePrefix="0" xfId="0"/>
    <xf numFmtId="0" fontId="32" fillId="0" borderId="0" pivotButton="0" quotePrefix="0" xfId="0"/>
    <xf numFmtId="0" fontId="13" fillId="0" borderId="4" applyAlignment="1" pivotButton="0" quotePrefix="0" xfId="0">
      <alignment horizontal="left" vertical="center" wrapText="1"/>
    </xf>
    <xf numFmtId="164" fontId="10" fillId="0" borderId="4" applyAlignment="1" pivotButton="0" quotePrefix="0" xfId="0">
      <alignment horizontal="right" vertical="center" wrapText="1"/>
    </xf>
    <xf numFmtId="164" fontId="13" fillId="0" borderId="4" applyAlignment="1" pivotButton="0" quotePrefix="0" xfId="0">
      <alignment horizontal="right" vertical="center" wrapText="1"/>
    </xf>
    <xf numFmtId="0" fontId="18" fillId="0" borderId="4" applyAlignment="1" pivotButton="0" quotePrefix="0" xfId="0">
      <alignment horizontal="left" vertical="center" wrapText="1" indent="1"/>
    </xf>
    <xf numFmtId="0" fontId="19" fillId="0" borderId="4" applyAlignment="1" pivotButton="0" quotePrefix="0" xfId="0">
      <alignment horizontal="left" vertical="center" wrapText="1"/>
    </xf>
    <xf numFmtId="0" fontId="13" fillId="6" borderId="4" applyAlignment="1" pivotButton="0" quotePrefix="0" xfId="0">
      <alignment horizontal="left" vertical="center" wrapText="1"/>
    </xf>
    <xf numFmtId="0" fontId="10" fillId="6" borderId="4" applyAlignment="1" pivotButton="0" quotePrefix="0" xfId="0">
      <alignment horizontal="left" vertical="center" wrapText="1"/>
    </xf>
    <xf numFmtId="164" fontId="10" fillId="6" borderId="4" applyAlignment="1" pivotButton="0" quotePrefix="0" xfId="0">
      <alignment horizontal="right" vertical="center" wrapText="1"/>
    </xf>
    <xf numFmtId="0" fontId="7" fillId="6" borderId="4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center" vertical="center" wrapText="1"/>
    </xf>
    <xf numFmtId="164" fontId="13" fillId="6" borderId="4" applyAlignment="1" pivotButton="0" quotePrefix="0" xfId="0">
      <alignment horizontal="right" vertical="center" wrapText="1"/>
    </xf>
    <xf numFmtId="0" fontId="18" fillId="6" borderId="4" applyAlignment="1" pivotButton="0" quotePrefix="0" xfId="0">
      <alignment horizontal="left" vertical="center" wrapText="1" indent="1"/>
    </xf>
    <xf numFmtId="0" fontId="19" fillId="6" borderId="4" applyAlignment="1" pivotButton="0" quotePrefix="0" xfId="0">
      <alignment horizontal="left" vertical="center" wrapText="1"/>
    </xf>
    <xf numFmtId="165" fontId="10" fillId="6" borderId="4" applyAlignment="1" pivotButton="0" quotePrefix="0" xfId="0">
      <alignment horizontal="right" vertical="center" wrapText="1"/>
    </xf>
    <xf numFmtId="165" fontId="13" fillId="6" borderId="4" applyAlignment="1" pivotButton="0" quotePrefix="0" xfId="0">
      <alignment horizontal="right" vertical="center" wrapText="1"/>
    </xf>
    <xf numFmtId="0" fontId="10" fillId="0" borderId="0" applyAlignment="1" pivotButton="0" quotePrefix="0" xfId="0">
      <alignment horizontal="general" vertical="top" wrapText="1"/>
    </xf>
    <xf numFmtId="165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center" vertical="top" wrapText="1"/>
    </xf>
    <xf numFmtId="0" fontId="20" fillId="0" borderId="0" applyAlignment="1" pivotButton="0" quotePrefix="0" xfId="0">
      <alignment horizontal="general" vertical="top" wrapText="1"/>
    </xf>
    <xf numFmtId="164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166" fontId="21" fillId="7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left" vertical="center" wrapText="1"/>
    </xf>
    <xf numFmtId="0" fontId="21" fillId="7" borderId="4" applyAlignment="1" pivotButton="0" quotePrefix="0" xfId="0">
      <alignment horizontal="center" vertical="center" wrapText="1"/>
    </xf>
    <xf numFmtId="0" fontId="7" fillId="6" borderId="4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center" wrapText="1" indent="1"/>
    </xf>
    <xf numFmtId="0" fontId="24" fillId="4" borderId="0" applyAlignment="1" pivotButton="0" quotePrefix="0" xfId="0">
      <alignment horizontal="general" vertical="center" indent="1"/>
    </xf>
    <xf numFmtId="0" fontId="0" fillId="4" borderId="0" applyAlignment="1" pivotButton="0" quotePrefix="0" xfId="0">
      <alignment horizontal="general" vertical="bottom"/>
    </xf>
    <xf numFmtId="0" fontId="13" fillId="5" borderId="4" applyAlignment="1" pivotButton="0" quotePrefix="0" xfId="0">
      <alignment horizontal="general" vertical="center" wrapText="1" inden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9FC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9000"/>
      <rgbColor rgb="FFFF6600"/>
      <rgbColor rgb="FF595959"/>
      <rgbColor rgb="FF969696"/>
      <rgbColor rgb="FF003366"/>
      <rgbColor rgb="FF339966"/>
      <rgbColor rgb="FF003300"/>
      <rgbColor rgb="FF1F1F1F"/>
      <rgbColor rgb="FF9933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Carpa vs. malla: costo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'Plan de pago'!B36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'Plan de pago'!$A$37:$A$42</f>
            </numRef>
          </cat>
          <val>
            <numRef>
              <f>'Plan de pago'!$B$37:$B$42</f>
            </numRef>
          </val>
        </ser>
        <ser>
          <idx val="1"/>
          <order val="1"/>
          <tx>
            <strRef>
              <f>'Plan de pago'!C36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'Plan de pago'!$A$37:$A$42</f>
            </numRef>
          </cat>
          <val>
            <numRef>
              <f>'Plan de pago'!$C$37:$C$42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Pesos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21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</row>
      <rowOff>0</rowOff>
    </from>
    <ext cx="4953000" cy="27813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19</row>
      <rowOff>0</rowOff>
    </from>
    <to>
      <col>1</col>
      <colOff>5123160</colOff>
      <row>42</row>
      <rowOff>113040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362560"/>
          <a:ext cx="7237800" cy="44946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ldosromela.com.uy/" TargetMode="External" Id="rId1"/><Relationship Type="http://schemas.openxmlformats.org/officeDocument/2006/relationships/hyperlink" Target="https://www.appelsa.com.uy/product-page/6-x-3mm-11-97kg" TargetMode="External" Id="rId2"/><Relationship Type="http://schemas.openxmlformats.org/officeDocument/2006/relationships/hyperlink" Target="https://www.appelsa.com.uy/product-page/200-x-200-x-4-75mm-30-11kg" TargetMode="External" Id="rId3"/><Relationship Type="http://schemas.openxmlformats.org/officeDocument/2006/relationships/hyperlink" Target="https://www.appelsa.com.uy/product-page/5-x-3mm-9-500kg" TargetMode="External" Id="rId4"/><Relationship Type="http://schemas.openxmlformats.org/officeDocument/2006/relationships/hyperlink" Target="https://www.appelsa.com.uy/product-page/5-8-x-5-96-6kg" TargetMode="External" Id="rId5"/><Relationship Type="http://schemas.openxmlformats.org/officeDocument/2006/relationships/hyperlink" Target="https://www.bianchi.com.uy/cable-acero-16mmalma-canamo" TargetMode="External" Id="rId6"/><Relationship Type="http://schemas.openxmlformats.org/officeDocument/2006/relationships/hyperlink" Target="https://www.bianchi.com.uy/cable-acero-12mmalma-canamo" TargetMode="External" Id="rId7"/><Relationship Type="http://schemas.openxmlformats.org/officeDocument/2006/relationships/hyperlink" Target="https://www.bianchi.com.uy/grillete-alta-resistencia-78-pulga-65ton-certificados-able" TargetMode="External" Id="rId8"/><Relationship Type="http://schemas.openxmlformats.org/officeDocument/2006/relationships/hyperlink" Target="https://www.bianchi.com.uy/grillete-alta-resistencia-58-pulg-325ton-certificados-able" TargetMode="External" Id="rId9"/><Relationship Type="http://schemas.openxmlformats.org/officeDocument/2006/relationships/hyperlink" Target="https://www.bianchi.com.uy/tensor-ojo-y-gancho-22mm" TargetMode="External" Id="rId10"/><Relationship Type="http://schemas.openxmlformats.org/officeDocument/2006/relationships/hyperlink" Target="https://www.bianchi.com.uy/tensor-ojo-y-gancho-16mm" TargetMode="External" Id="rId11"/><Relationship Type="http://schemas.openxmlformats.org/officeDocument/2006/relationships/hyperlink" Target="https://www.bianchi.com.uy/apretacable-para-cable-de-acero-16-mm" TargetMode="External" Id="rId12"/><Relationship Type="http://schemas.openxmlformats.org/officeDocument/2006/relationships/hyperlink" Target="https://www.bianchi.com.uy/apretacable-para-cable-de-acero-12-mm" TargetMode="External" Id="rId13"/><Relationship Type="http://schemas.openxmlformats.org/officeDocument/2006/relationships/hyperlink" Target="https://www.sodimac.com.uy/sodimac-uy/product/1898396/" TargetMode="External" Id="rId14"/><Relationship Type="http://schemas.openxmlformats.org/officeDocument/2006/relationships/hyperlink" Target="https://www.sodimac.com.uy/sodimac-uy/product/3254011/" TargetMode="External" Id="rId15"/><Relationship Type="http://schemas.openxmlformats.org/officeDocument/2006/relationships/hyperlink" Target="https://www.sodimac.com.uy/sodimac-uy/product/1982427/" TargetMode="External" Id="rId16"/><Relationship Type="http://schemas.openxmlformats.org/officeDocument/2006/relationships/hyperlink" Target="https://www.nylon.com.uy/" TargetMode="External" Id="rId17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1"/>
  </sheetPr>
  <dimension ref="A1:I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J6" activeCellId="0" sqref="J6"/>
    </sheetView>
  </sheetViews>
  <sheetFormatPr baseColWidth="8" defaultColWidth="8.54296875" defaultRowHeight="15" customHeight="0" zeroHeight="0" outlineLevelRow="0"/>
  <cols>
    <col width="64.77" customWidth="1" style="64" min="1" max="1"/>
    <col width="22" customWidth="1" style="64" min="2" max="2"/>
    <col width="10" customWidth="1" style="64" min="3" max="3"/>
    <col width="9" customWidth="1" style="64" min="4" max="4"/>
    <col width="15" customWidth="1" style="64" min="5" max="5"/>
    <col width="9" customWidth="1" style="64" min="6" max="6"/>
    <col width="11.53" customWidth="1" style="64" min="7" max="7"/>
    <col width="16" customWidth="1" style="64" min="8" max="9"/>
  </cols>
  <sheetData>
    <row r="1" ht="30" customHeight="1" s="65">
      <c r="A1" s="66" t="inlineStr">
        <is>
          <t>Gastos de la idea final</t>
        </is>
      </c>
      <c r="G1" s="67" t="inlineStr">
        <is>
          <t>Total con IVA en dólares</t>
        </is>
      </c>
      <c r="I1" s="68">
        <f>I24</f>
        <v/>
      </c>
    </row>
    <row r="2" ht="21.75" customHeight="1" s="65">
      <c r="A2" s="69" t="inlineStr">
        <is>
          <t>Malla sobre cables. Solo la opción elegida de cada ítem. Precios al 1/10/2026.</t>
        </is>
      </c>
      <c r="G2" s="67" t="inlineStr">
        <is>
          <t>Total con IVA en pesos</t>
        </is>
      </c>
      <c r="I2" s="70">
        <f>I25</f>
        <v/>
      </c>
    </row>
    <row r="3" ht="7.5" customHeight="1" s="65">
      <c r="A3" s="71" t="n"/>
      <c r="B3" s="71" t="n"/>
      <c r="C3" s="71" t="n"/>
      <c r="D3" s="71" t="n"/>
      <c r="E3" s="71" t="n"/>
      <c r="F3" s="71" t="n"/>
      <c r="G3" s="71" t="n"/>
      <c r="H3" s="71" t="n"/>
      <c r="I3" s="71" t="n"/>
    </row>
    <row r="4" ht="30" customHeight="1" s="65">
      <c r="A4" s="72" t="inlineStr">
        <is>
          <t>Ítem</t>
        </is>
      </c>
      <c r="B4" s="72" t="inlineStr">
        <is>
          <t>Proveedor</t>
        </is>
      </c>
      <c r="C4" s="72" t="inlineStr">
        <is>
          <t>Cantidad</t>
        </is>
      </c>
      <c r="D4" s="72" t="inlineStr">
        <is>
          <t>Unidad</t>
        </is>
      </c>
      <c r="E4" s="72" t="inlineStr">
        <is>
          <t>Precio unitario</t>
        </is>
      </c>
      <c r="F4" s="72" t="inlineStr">
        <is>
          <t>Moneda</t>
        </is>
      </c>
      <c r="G4" s="72" t="inlineStr">
        <is>
          <t>¿Incluye IVA?</t>
        </is>
      </c>
      <c r="H4" s="72" t="inlineStr">
        <is>
          <t>Subtotal</t>
        </is>
      </c>
      <c r="I4" s="72" t="inlineStr">
        <is>
          <t>Total con IVA</t>
        </is>
      </c>
    </row>
    <row r="5" ht="21.75" customHeight="1" s="65">
      <c r="A5" s="73" t="inlineStr">
        <is>
          <t>Lona mesh 41 × 24,5 m, costura electrónica, ojales cada 50 cm</t>
        </is>
      </c>
      <c r="B5" s="74" t="inlineStr">
        <is>
          <t>Romela Toldos</t>
        </is>
      </c>
      <c r="C5" s="75">
        <f>1</f>
        <v/>
      </c>
      <c r="D5" s="75" t="inlineStr">
        <is>
          <t>lona</t>
        </is>
      </c>
      <c r="E5" s="76" t="n">
        <v>14650</v>
      </c>
      <c r="F5" s="77" t="inlineStr">
        <is>
          <t>USD</t>
        </is>
      </c>
      <c r="G5" s="78" t="inlineStr">
        <is>
          <t>No</t>
        </is>
      </c>
      <c r="H5" s="79">
        <f>C5*E5</f>
        <v/>
      </c>
      <c r="I5" s="80">
        <f>IF(G5="No",H5*(1+Supuestos!$B$5),H5)</f>
        <v/>
      </c>
    </row>
    <row r="6" ht="21.75" customHeight="1" s="65">
      <c r="A6" s="73" t="inlineStr">
        <is>
          <t>Postes: caño redondo 6" × 3 mm, barra de 6 m</t>
        </is>
      </c>
      <c r="B6" s="74" t="inlineStr">
        <is>
          <t>Appelsa</t>
        </is>
      </c>
      <c r="C6" s="75">
        <f>Supuestos!$B$6/3*Supuestos!$B$8+Supuestos!$B$9</f>
        <v/>
      </c>
      <c r="D6" s="75" t="inlineStr">
        <is>
          <t>barra</t>
        </is>
      </c>
      <c r="E6" s="76" t="n">
        <v>112.29</v>
      </c>
      <c r="F6" s="77" t="inlineStr">
        <is>
          <t>USD</t>
        </is>
      </c>
      <c r="G6" s="78" t="inlineStr">
        <is>
          <t>No</t>
        </is>
      </c>
      <c r="H6" s="79">
        <f>C6*E6</f>
        <v/>
      </c>
      <c r="I6" s="80">
        <f>IF(G6="No",H6*(1+Supuestos!$B$5),H6)</f>
        <v/>
      </c>
    </row>
    <row r="7" ht="21.75" customHeight="1" s="65">
      <c r="A7" s="73" t="inlineStr">
        <is>
          <t>Vainas: tubo cuadrado 200 × 200 × 4,75 mm, barra de 6 m</t>
        </is>
      </c>
      <c r="B7" s="74" t="inlineStr">
        <is>
          <t>Appelsa</t>
        </is>
      </c>
      <c r="C7" s="75">
        <f>ROUNDUP(Supuestos!$B$6/INT(6/Supuestos!$B$10),0)</f>
        <v/>
      </c>
      <c r="D7" s="75" t="inlineStr">
        <is>
          <t>barra</t>
        </is>
      </c>
      <c r="E7" s="76" t="n">
        <v>312.14</v>
      </c>
      <c r="F7" s="77" t="inlineStr">
        <is>
          <t>USD</t>
        </is>
      </c>
      <c r="G7" s="78" t="inlineStr">
        <is>
          <t>No</t>
        </is>
      </c>
      <c r="H7" s="79">
        <f>C7*E7</f>
        <v/>
      </c>
      <c r="I7" s="80">
        <f>IF(G7="No",H7*(1+Supuestos!$B$5),H7)</f>
        <v/>
      </c>
    </row>
    <row r="8" ht="31.5" customHeight="1" s="65">
      <c r="A8" s="73" t="inlineStr">
        <is>
          <t>Empalmes interiores de los postes: caño redondo 5" × 3 mm, barra de 6 m</t>
        </is>
      </c>
      <c r="B8" s="74" t="inlineStr">
        <is>
          <t>Appelsa</t>
        </is>
      </c>
      <c r="C8" s="75">
        <f>ROUNDUP(Supuestos!$B$6*Supuestos!$B$11/6,0)</f>
        <v/>
      </c>
      <c r="D8" s="75" t="inlineStr">
        <is>
          <t>barra</t>
        </is>
      </c>
      <c r="E8" s="76" t="n">
        <v>94.11</v>
      </c>
      <c r="F8" s="77" t="inlineStr">
        <is>
          <t>USD</t>
        </is>
      </c>
      <c r="G8" s="78" t="inlineStr">
        <is>
          <t>No</t>
        </is>
      </c>
      <c r="H8" s="79">
        <f>C8*E8</f>
        <v/>
      </c>
      <c r="I8" s="80">
        <f>IF(G8="No",H8*(1+Supuestos!$B$5),H8)</f>
        <v/>
      </c>
    </row>
    <row r="9" ht="21.75" customHeight="1" s="65">
      <c r="A9" s="73" t="inlineStr">
        <is>
          <t>Tapas de las vainas: chapa negra N.º 12, 1,50 × 3 m</t>
        </is>
      </c>
      <c r="B9" s="74" t="inlineStr">
        <is>
          <t>Appelsa</t>
        </is>
      </c>
      <c r="C9" s="75">
        <f>1</f>
        <v/>
      </c>
      <c r="D9" s="75" t="inlineStr">
        <is>
          <t>chapa</t>
        </is>
      </c>
      <c r="E9" s="76" t="n">
        <v>140.81</v>
      </c>
      <c r="F9" s="77" t="inlineStr">
        <is>
          <t>USD</t>
        </is>
      </c>
      <c r="G9" s="78" t="inlineStr">
        <is>
          <t>No</t>
        </is>
      </c>
      <c r="H9" s="79">
        <f>C9*E9</f>
        <v/>
      </c>
      <c r="I9" s="80">
        <f>IF(G9="No",H9*(1+Supuestos!$B$5),H9)</f>
        <v/>
      </c>
    </row>
    <row r="10" ht="31.5" customHeight="1" s="65">
      <c r="A10" s="73" t="inlineStr">
        <is>
          <t>Placas de anclaje en paredes y cabezales: planchuela 5/8" × 5", barra de 6 m</t>
        </is>
      </c>
      <c r="B10" s="74" t="inlineStr">
        <is>
          <t>Appelsa</t>
        </is>
      </c>
      <c r="C10" s="75">
        <f>ROUNDUP((Supuestos!$B$12*Supuestos!$B$13+Supuestos!$B$6*Supuestos!$B$14)/6,0)</f>
        <v/>
      </c>
      <c r="D10" s="75" t="inlineStr">
        <is>
          <t>barra</t>
        </is>
      </c>
      <c r="E10" s="76" t="n">
        <v>140.07</v>
      </c>
      <c r="F10" s="77" t="inlineStr">
        <is>
          <t>USD</t>
        </is>
      </c>
      <c r="G10" s="78" t="inlineStr">
        <is>
          <t>No</t>
        </is>
      </c>
      <c r="H10" s="79">
        <f>C10*E10</f>
        <v/>
      </c>
      <c r="I10" s="80">
        <f>IF(G10="No",H10*(1+Supuestos!$B$5),H10)</f>
        <v/>
      </c>
    </row>
    <row r="11" ht="21.75" customHeight="1" s="65">
      <c r="A11" s="81" t="inlineStr">
        <is>
          <t>Cable de acero galvanizado 16 mm (cables principales)</t>
        </is>
      </c>
      <c r="B11" s="82" t="inlineStr">
        <is>
          <t>Bianchi</t>
        </is>
      </c>
      <c r="C11" s="83">
        <f>Supuestos!$B$15*Supuestos!$B$16</f>
        <v/>
      </c>
      <c r="D11" s="83" t="inlineStr">
        <is>
          <t>m</t>
        </is>
      </c>
      <c r="E11" s="84" t="n">
        <v>495</v>
      </c>
      <c r="F11" s="85" t="inlineStr">
        <is>
          <t>UYU</t>
        </is>
      </c>
      <c r="G11" s="86" t="inlineStr">
        <is>
          <t>Sí</t>
        </is>
      </c>
      <c r="H11" s="87">
        <f>C11*E11</f>
        <v/>
      </c>
      <c r="I11" s="88">
        <f>IF(G11="No",H11*(1+Supuestos!$B$5),H11)</f>
        <v/>
      </c>
    </row>
    <row r="12" ht="21.75" customHeight="1" s="65">
      <c r="A12" s="81" t="inlineStr">
        <is>
          <t>Cable de acero galvanizado 12 mm (tensores del borde sur)</t>
        </is>
      </c>
      <c r="B12" s="82" t="inlineStr">
        <is>
          <t>Bianchi</t>
        </is>
      </c>
      <c r="C12" s="83">
        <f>Supuestos!$B$17*Supuestos!$B$18</f>
        <v/>
      </c>
      <c r="D12" s="83" t="inlineStr">
        <is>
          <t>m</t>
        </is>
      </c>
      <c r="E12" s="84" t="n">
        <v>285</v>
      </c>
      <c r="F12" s="85" t="inlineStr">
        <is>
          <t>UYU</t>
        </is>
      </c>
      <c r="G12" s="86" t="inlineStr">
        <is>
          <t>Sí</t>
        </is>
      </c>
      <c r="H12" s="87">
        <f>C12*E12</f>
        <v/>
      </c>
      <c r="I12" s="88">
        <f>IF(G12="No",H12*(1+Supuestos!$B$5),H12)</f>
        <v/>
      </c>
    </row>
    <row r="13" ht="21.75" customHeight="1" s="65">
      <c r="A13" s="73" t="inlineStr">
        <is>
          <t>Grillete certificado 7/8" (6,5 t)</t>
        </is>
      </c>
      <c r="B13" s="74" t="inlineStr">
        <is>
          <t>Bianchi</t>
        </is>
      </c>
      <c r="C13" s="75">
        <f>Supuestos!$B$15*2</f>
        <v/>
      </c>
      <c r="D13" s="75" t="inlineStr">
        <is>
          <t>u</t>
        </is>
      </c>
      <c r="E13" s="76" t="n">
        <v>40.43</v>
      </c>
      <c r="F13" s="77" t="inlineStr">
        <is>
          <t>USD</t>
        </is>
      </c>
      <c r="G13" s="78" t="inlineStr">
        <is>
          <t>Sí</t>
        </is>
      </c>
      <c r="H13" s="79">
        <f>C13*E13</f>
        <v/>
      </c>
      <c r="I13" s="80">
        <f>IF(G13="No",H13*(1+Supuestos!$B$5),H13)</f>
        <v/>
      </c>
    </row>
    <row r="14" ht="21.75" customHeight="1" s="65">
      <c r="A14" s="73" t="inlineStr">
        <is>
          <t>Grillete certificado 5/8" (3,25 t)</t>
        </is>
      </c>
      <c r="B14" s="74" t="inlineStr">
        <is>
          <t>Bianchi</t>
        </is>
      </c>
      <c r="C14" s="75">
        <f>Supuestos!$B$17*2</f>
        <v/>
      </c>
      <c r="D14" s="75" t="inlineStr">
        <is>
          <t>u</t>
        </is>
      </c>
      <c r="E14" s="76" t="n">
        <v>16.58</v>
      </c>
      <c r="F14" s="77" t="inlineStr">
        <is>
          <t>USD</t>
        </is>
      </c>
      <c r="G14" s="78" t="inlineStr">
        <is>
          <t>Sí</t>
        </is>
      </c>
      <c r="H14" s="79">
        <f>C14*E14</f>
        <v/>
      </c>
      <c r="I14" s="80">
        <f>IF(G14="No",H14*(1+Supuestos!$B$5),H14)</f>
        <v/>
      </c>
    </row>
    <row r="15" ht="21.75" customHeight="1" s="65">
      <c r="A15" s="81" t="inlineStr">
        <is>
          <t>Tensor ojo y gancho 22 mm (cables principales)</t>
        </is>
      </c>
      <c r="B15" s="82" t="inlineStr">
        <is>
          <t>Bianchi</t>
        </is>
      </c>
      <c r="C15" s="83">
        <f>Supuestos!$B$15</f>
        <v/>
      </c>
      <c r="D15" s="83" t="inlineStr">
        <is>
          <t>u</t>
        </is>
      </c>
      <c r="E15" s="84" t="n">
        <v>1165</v>
      </c>
      <c r="F15" s="85" t="inlineStr">
        <is>
          <t>UYU</t>
        </is>
      </c>
      <c r="G15" s="86" t="inlineStr">
        <is>
          <t>Sí</t>
        </is>
      </c>
      <c r="H15" s="87">
        <f>C15*E15</f>
        <v/>
      </c>
      <c r="I15" s="88">
        <f>IF(G15="No",H15*(1+Supuestos!$B$5),H15)</f>
        <v/>
      </c>
    </row>
    <row r="16" ht="21.75" customHeight="1" s="65">
      <c r="A16" s="81" t="inlineStr">
        <is>
          <t>Tensor ojo y gancho 16 mm (tensores sur)</t>
        </is>
      </c>
      <c r="B16" s="82" t="inlineStr">
        <is>
          <t>Bianchi</t>
        </is>
      </c>
      <c r="C16" s="83">
        <f>Supuestos!$B$17</f>
        <v/>
      </c>
      <c r="D16" s="83" t="inlineStr">
        <is>
          <t>u</t>
        </is>
      </c>
      <c r="E16" s="84" t="n">
        <v>506</v>
      </c>
      <c r="F16" s="85" t="inlineStr">
        <is>
          <t>UYU</t>
        </is>
      </c>
      <c r="G16" s="86" t="inlineStr">
        <is>
          <t>Sí</t>
        </is>
      </c>
      <c r="H16" s="87">
        <f>C16*E16</f>
        <v/>
      </c>
      <c r="I16" s="88">
        <f>IF(G16="No",H16*(1+Supuestos!$B$5),H16)</f>
        <v/>
      </c>
    </row>
    <row r="17" ht="21.75" customHeight="1" s="65">
      <c r="A17" s="81" t="inlineStr">
        <is>
          <t>Apretacable para cable de 16 mm</t>
        </is>
      </c>
      <c r="B17" s="82" t="inlineStr">
        <is>
          <t>Bianchi</t>
        </is>
      </c>
      <c r="C17" s="83">
        <f>Supuestos!$B$15*2*Supuestos!$B$19</f>
        <v/>
      </c>
      <c r="D17" s="83" t="inlineStr">
        <is>
          <t>u</t>
        </is>
      </c>
      <c r="E17" s="84" t="n">
        <v>137</v>
      </c>
      <c r="F17" s="85" t="inlineStr">
        <is>
          <t>UYU</t>
        </is>
      </c>
      <c r="G17" s="86" t="inlineStr">
        <is>
          <t>Sí</t>
        </is>
      </c>
      <c r="H17" s="87">
        <f>C17*E17</f>
        <v/>
      </c>
      <c r="I17" s="88">
        <f>IF(G17="No",H17*(1+Supuestos!$B$5),H17)</f>
        <v/>
      </c>
    </row>
    <row r="18" ht="21.75" customHeight="1" s="65">
      <c r="A18" s="81" t="inlineStr">
        <is>
          <t>Apretacable para cable de 12 mm</t>
        </is>
      </c>
      <c r="B18" s="82" t="inlineStr">
        <is>
          <t>Bianchi</t>
        </is>
      </c>
      <c r="C18" s="83">
        <f>Supuestos!$B$17*2*Supuestos!$B$19</f>
        <v/>
      </c>
      <c r="D18" s="83" t="inlineStr">
        <is>
          <t>u</t>
        </is>
      </c>
      <c r="E18" s="84" t="n">
        <v>96</v>
      </c>
      <c r="F18" s="85" t="inlineStr">
        <is>
          <t>UYU</t>
        </is>
      </c>
      <c r="G18" s="86" t="inlineStr">
        <is>
          <t>Sí</t>
        </is>
      </c>
      <c r="H18" s="87">
        <f>C18*E18</f>
        <v/>
      </c>
      <c r="I18" s="88">
        <f>IF(G18="No",H18*(1+Supuestos!$B$5),H18)</f>
        <v/>
      </c>
    </row>
    <row r="19" ht="21.75" customHeight="1" s="65">
      <c r="A19" s="81" t="inlineStr">
        <is>
          <t>Adhesivo para anclajes químicos Anchofrix 300 ml</t>
        </is>
      </c>
      <c r="B19" s="82" t="inlineStr">
        <is>
          <t>Sodimac</t>
        </is>
      </c>
      <c r="C19" s="83">
        <f>ROUNDUP(Supuestos!$B$12*Supuestos!$B$20/Supuestos!$B$21,0)</f>
        <v/>
      </c>
      <c r="D19" s="83" t="inlineStr">
        <is>
          <t>u</t>
        </is>
      </c>
      <c r="E19" s="84" t="n">
        <v>1696</v>
      </c>
      <c r="F19" s="85" t="inlineStr">
        <is>
          <t>UYU</t>
        </is>
      </c>
      <c r="G19" s="86" t="inlineStr">
        <is>
          <t>Sí</t>
        </is>
      </c>
      <c r="H19" s="87">
        <f>C19*E19</f>
        <v/>
      </c>
      <c r="I19" s="88">
        <f>IF(G19="No",H19*(1+Supuestos!$B$5),H19)</f>
        <v/>
      </c>
    </row>
    <row r="20" ht="21.75" customHeight="1" s="65">
      <c r="A20" s="81" t="inlineStr">
        <is>
          <t>Varilla roscada zincada 1/2" × 1 m</t>
        </is>
      </c>
      <c r="B20" s="82" t="inlineStr">
        <is>
          <t>Sodimac</t>
        </is>
      </c>
      <c r="C20" s="83">
        <f>ROUNDUP(Supuestos!$B$12*Supuestos!$B$20*Supuestos!$B$22,0)+ROUNDUP(Supuestos!$B$6/Supuestos!$B$23,0)</f>
        <v/>
      </c>
      <c r="D20" s="83" t="inlineStr">
        <is>
          <t>u</t>
        </is>
      </c>
      <c r="E20" s="84" t="n">
        <v>169</v>
      </c>
      <c r="F20" s="85" t="inlineStr">
        <is>
          <t>UYU</t>
        </is>
      </c>
      <c r="G20" s="86" t="inlineStr">
        <is>
          <t>Sí</t>
        </is>
      </c>
      <c r="H20" s="87">
        <f>C20*E20</f>
        <v/>
      </c>
      <c r="I20" s="88">
        <f>IF(G20="No",H20*(1+Supuestos!$B$5),H20)</f>
        <v/>
      </c>
    </row>
    <row r="21" ht="21.75" customHeight="1" s="65">
      <c r="A21" s="81" t="inlineStr">
        <is>
          <t>Arandela plana 1/2" (paquete de 20)</t>
        </is>
      </c>
      <c r="B21" s="82" t="inlineStr">
        <is>
          <t>Sodimac</t>
        </is>
      </c>
      <c r="C21" s="83">
        <f>ROUNDUP((Supuestos!$B$12*Supuestos!$B$20+Supuestos!$B$6*2)/20,0)</f>
        <v/>
      </c>
      <c r="D21" s="83" t="inlineStr">
        <is>
          <t>paquete</t>
        </is>
      </c>
      <c r="E21" s="84" t="n">
        <v>249</v>
      </c>
      <c r="F21" s="85" t="inlineStr">
        <is>
          <t>UYU</t>
        </is>
      </c>
      <c r="G21" s="86" t="inlineStr">
        <is>
          <t>Sí</t>
        </is>
      </c>
      <c r="H21" s="87">
        <f>C21*E21</f>
        <v/>
      </c>
      <c r="I21" s="88">
        <f>IF(G21="No",H21*(1+Supuestos!$B$5),H21)</f>
        <v/>
      </c>
    </row>
    <row r="22" ht="21.75" customHeight="1" s="65">
      <c r="A22" s="81" t="inlineStr">
        <is>
          <t>Cuerda náutica de poliéster 8 mm, 100 m</t>
        </is>
      </c>
      <c r="B22" s="82" t="inlineStr">
        <is>
          <t>Polietileno Obelisco</t>
        </is>
      </c>
      <c r="C22" s="83">
        <f>ROUNDUP(Supuestos!$B$24*Supuestos!$B$25/100,0)</f>
        <v/>
      </c>
      <c r="D22" s="83" t="inlineStr">
        <is>
          <t>rollo</t>
        </is>
      </c>
      <c r="E22" s="84" t="n">
        <v>2400</v>
      </c>
      <c r="F22" s="85" t="inlineStr">
        <is>
          <t>UYU</t>
        </is>
      </c>
      <c r="G22" s="86" t="inlineStr">
        <is>
          <t>Sí</t>
        </is>
      </c>
      <c r="H22" s="87">
        <f>C22*E22</f>
        <v/>
      </c>
      <c r="I22" s="88">
        <f>IF(G22="No",H22*(1+Supuestos!$B$5),H22)</f>
        <v/>
      </c>
    </row>
    <row r="24" ht="24" customHeight="1" s="65">
      <c r="A24" s="89" t="inlineStr">
        <is>
          <t>Total en dólares</t>
        </is>
      </c>
      <c r="B24" s="90" t="n"/>
      <c r="C24" s="90" t="n"/>
      <c r="D24" s="90" t="n"/>
      <c r="E24" s="90" t="n"/>
      <c r="F24" s="91" t="inlineStr">
        <is>
          <t>USD</t>
        </is>
      </c>
      <c r="G24" s="90" t="n"/>
      <c r="H24" s="92">
        <f>SUMIF($F$5:$F$22,"USD",H$5:H$22)</f>
        <v/>
      </c>
      <c r="I24" s="92">
        <f>SUMIF($F$5:$F$22,"USD",I$5:I$22)</f>
        <v/>
      </c>
    </row>
    <row r="25" ht="24" customHeight="1" s="65">
      <c r="A25" s="89" t="inlineStr">
        <is>
          <t>Total en pesos</t>
        </is>
      </c>
      <c r="B25" s="90" t="n"/>
      <c r="C25" s="90" t="n"/>
      <c r="D25" s="90" t="n"/>
      <c r="E25" s="90" t="n"/>
      <c r="F25" s="91" t="inlineStr">
        <is>
          <t>UYU</t>
        </is>
      </c>
      <c r="G25" s="90" t="n"/>
      <c r="H25" s="93">
        <f>SUMIF($F$5:$F$22,"UYU",H$5:H$22)</f>
        <v/>
      </c>
      <c r="I25" s="93">
        <f>SUMIF($F$5:$F$22,"UYU",I$5:I$22)</f>
        <v/>
      </c>
    </row>
    <row r="27" ht="30" customHeight="1" s="65">
      <c r="A27" s="94" t="inlineStr">
        <is>
          <t>No incluye mano de obra, hormigón (habría que perforar el piso del colegio), ingeniero estructural, galvanizado ni equipo de elevación. Ver la hoja Observaciones.</t>
        </is>
      </c>
    </row>
    <row r="28" ht="30" customHeight="1" s="65">
      <c r="A28" s="95" t="inlineStr">
        <is>
          <t>Las filas celestes están en dólares y las blancas en pesos. Los totales no se suman entre sí porque no se usa tipo de cambio.</t>
        </is>
      </c>
    </row>
    <row r="29" ht="30" customHeight="1" s="65">
      <c r="A29" s="95" t="inlineStr">
        <is>
          <t>Las cantidades salen de la hoja Supuestos: si se cambia un dato ahí, esta hoja se recalcula.</t>
        </is>
      </c>
    </row>
  </sheetData>
  <mergeCells count="5">
    <mergeCell ref="A29:I29"/>
    <mergeCell ref="G2:H2"/>
    <mergeCell ref="A28:I28"/>
    <mergeCell ref="G1:H1"/>
    <mergeCell ref="A27:I2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selection activeCell="A1" sqref="A1"/>
    </sheetView>
  </sheetViews>
  <sheetFormatPr baseColWidth="8" defaultRowHeight="15"/>
  <cols>
    <col width="52" customWidth="1" style="65" min="1" max="1"/>
    <col width="32" customWidth="1" style="65" min="2" max="2"/>
    <col width="24" customWidth="1" style="65" min="3" max="3"/>
    <col width="22" customWidth="1" style="65" min="4" max="4"/>
    <col width="18" customWidth="1" style="65" min="5" max="5"/>
  </cols>
  <sheetData>
    <row r="1">
      <c r="A1" s="96" t="inlineStr">
        <is>
          <t>Plan de pago y justificación del gasto</t>
        </is>
      </c>
    </row>
    <row r="2">
      <c r="A2" s="97" t="inlineStr">
        <is>
          <t>Malla sobre cables. Los totales salen de la hoja Gastos (con IVA). Valores en azul = supuestos que se pueden cambiar.</t>
        </is>
      </c>
    </row>
    <row r="3">
      <c r="H3" s="98" t="inlineStr">
        <is>
          <t>Idea final: malla sobre cables cubriendo el patio (render)</t>
        </is>
      </c>
    </row>
    <row r="4" ht="22" customHeight="1" s="65">
      <c r="A4" s="99" t="inlineStr">
        <is>
          <t>Supuesto</t>
        </is>
      </c>
      <c r="B4" s="99" t="inlineStr">
        <is>
          <t>Valor</t>
        </is>
      </c>
      <c r="C4" s="99" t="inlineStr">
        <is>
          <t>Unidad</t>
        </is>
      </c>
      <c r="D4" s="99" t="inlineStr">
        <is>
          <t>De dónde sale</t>
        </is>
      </c>
    </row>
    <row r="5">
      <c r="A5" s="100" t="inlineStr">
        <is>
          <t>Tipo de cambio</t>
        </is>
      </c>
      <c r="B5" s="101" t="n">
        <v>40</v>
      </c>
      <c r="C5" s="100" t="inlineStr">
        <is>
          <t>$ por US$</t>
        </is>
      </c>
      <c r="D5" s="100" t="inlineStr">
        <is>
          <t>SUPUESTO: confirmar el dólar del día de pago. Solo sirve para pasar todo a pesos.</t>
        </is>
      </c>
    </row>
    <row r="6">
      <c r="A6" s="100" t="inlineStr">
        <is>
          <t>Eventos multitudinarios por año en el patio</t>
        </is>
      </c>
      <c r="B6" s="102" t="n">
        <v>6</v>
      </c>
      <c r="C6" s="100" t="inlineStr">
        <is>
          <t>eventos</t>
        </is>
      </c>
      <c r="D6" s="100" t="inlineStr">
        <is>
          <t>SUPUESTO: reemplazar por el número real del colegio.</t>
        </is>
      </c>
    </row>
    <row r="7">
      <c r="A7" s="100" t="inlineStr">
        <is>
          <t>Costo de la carpa por uso</t>
        </is>
      </c>
      <c r="B7" s="103" t="n">
        <v>100000</v>
      </c>
      <c r="C7" s="100" t="inlineStr">
        <is>
          <t>$ por evento</t>
        </is>
      </c>
      <c r="D7" s="100" t="inlineStr">
        <is>
          <t>Dato del equipo: hoy se paga una carpa de $ 100.000 cada vez.</t>
        </is>
      </c>
    </row>
    <row r="8">
      <c r="A8" s="100" t="inlineStr">
        <is>
          <t>Anticipo de la lona (Romela)</t>
        </is>
      </c>
      <c r="B8" s="104" t="n">
        <v>0.5</v>
      </c>
      <c r="C8" s="100" t="inlineStr">
        <is>
          <t>% de la lona</t>
        </is>
      </c>
      <c r="D8" s="100" t="inlineStr">
        <is>
          <t>SUPUESTO: habitual en confección a medida; confirmar con Romela.</t>
        </is>
      </c>
    </row>
    <row r="10">
      <c r="A10" s="105" t="inlineStr">
        <is>
          <t>1. Cuánto cuesta (con IVA)</t>
        </is>
      </c>
    </row>
    <row r="11" ht="22" customHeight="1" s="65">
      <c r="A11" s="99" t="inlineStr">
        <is>
          <t>Proveedor</t>
        </is>
      </c>
      <c r="B11" s="99" t="inlineStr">
        <is>
          <t>En dólares</t>
        </is>
      </c>
      <c r="C11" s="99" t="inlineStr">
        <is>
          <t>En pesos</t>
        </is>
      </c>
      <c r="D11" s="99" t="inlineStr">
        <is>
          <t>Total en pesos</t>
        </is>
      </c>
    </row>
    <row r="12">
      <c r="A12" s="100" t="inlineStr">
        <is>
          <t>Romela Toldos</t>
        </is>
      </c>
      <c r="B12" s="106">
        <f>SUMIFS(Gastos!$I$5:$I$22,Gastos!$B$5:$B$22,$A12,Gastos!$F$5:$F$22,"USD")</f>
        <v/>
      </c>
      <c r="C12" s="107">
        <f>SUMIFS(Gastos!$I$5:$I$22,Gastos!$B$5:$B$22,$A12,Gastos!$F$5:$F$22,"UYU")</f>
        <v/>
      </c>
      <c r="D12" s="107">
        <f>B12*$B$5+C12</f>
        <v/>
      </c>
    </row>
    <row r="13">
      <c r="A13" s="100" t="inlineStr">
        <is>
          <t>Appelsa</t>
        </is>
      </c>
      <c r="B13" s="106">
        <f>SUMIFS(Gastos!$I$5:$I$22,Gastos!$B$5:$B$22,$A13,Gastos!$F$5:$F$22,"USD")</f>
        <v/>
      </c>
      <c r="C13" s="107">
        <f>SUMIFS(Gastos!$I$5:$I$22,Gastos!$B$5:$B$22,$A13,Gastos!$F$5:$F$22,"UYU")</f>
        <v/>
      </c>
      <c r="D13" s="107">
        <f>B13*$B$5+C13</f>
        <v/>
      </c>
    </row>
    <row r="14">
      <c r="A14" s="100" t="inlineStr">
        <is>
          <t>Bianchi</t>
        </is>
      </c>
      <c r="B14" s="106">
        <f>SUMIFS(Gastos!$I$5:$I$22,Gastos!$B$5:$B$22,$A14,Gastos!$F$5:$F$22,"USD")</f>
        <v/>
      </c>
      <c r="C14" s="107">
        <f>SUMIFS(Gastos!$I$5:$I$22,Gastos!$B$5:$B$22,$A14,Gastos!$F$5:$F$22,"UYU")</f>
        <v/>
      </c>
      <c r="D14" s="107">
        <f>B14*$B$5+C14</f>
        <v/>
      </c>
    </row>
    <row r="15">
      <c r="A15" s="100" t="inlineStr">
        <is>
          <t>Sodimac</t>
        </is>
      </c>
      <c r="B15" s="106">
        <f>SUMIFS(Gastos!$I$5:$I$22,Gastos!$B$5:$B$22,$A15,Gastos!$F$5:$F$22,"USD")</f>
        <v/>
      </c>
      <c r="C15" s="107">
        <f>SUMIFS(Gastos!$I$5:$I$22,Gastos!$B$5:$B$22,$A15,Gastos!$F$5:$F$22,"UYU")</f>
        <v/>
      </c>
      <c r="D15" s="107">
        <f>B15*$B$5+C15</f>
        <v/>
      </c>
    </row>
    <row r="16">
      <c r="A16" s="100" t="inlineStr">
        <is>
          <t>Polietileno Obelisco</t>
        </is>
      </c>
      <c r="B16" s="106">
        <f>SUMIFS(Gastos!$I$5:$I$22,Gastos!$B$5:$B$22,$A16,Gastos!$F$5:$F$22,"USD")</f>
        <v/>
      </c>
      <c r="C16" s="107">
        <f>SUMIFS(Gastos!$I$5:$I$22,Gastos!$B$5:$B$22,$A16,Gastos!$F$5:$F$22,"UYU")</f>
        <v/>
      </c>
      <c r="D16" s="107">
        <f>B16*$B$5+C16</f>
        <v/>
      </c>
    </row>
    <row r="17">
      <c r="A17" s="108" t="inlineStr">
        <is>
          <t>Total</t>
        </is>
      </c>
      <c r="B17" s="109">
        <f>SUM(B12:B16)</f>
        <v/>
      </c>
      <c r="C17" s="110">
        <f>SUM(C12:C16)</f>
        <v/>
      </c>
      <c r="D17" s="110">
        <f>SUM(D12:D16)</f>
        <v/>
      </c>
    </row>
    <row r="18">
      <c r="A18" s="100" t="inlineStr">
        <is>
          <t>Control: coincide con la hoja Gastos</t>
        </is>
      </c>
      <c r="D18" s="100">
        <f>IF(ABS(B17-Gastos!I24)+ABS(C17-Gastos!I25)&lt;0.01,"OK","REVISAR")</f>
        <v/>
      </c>
    </row>
    <row r="20">
      <c r="A20" s="105" t="inlineStr">
        <is>
          <t>2. Cómo se paga (3 cuotas)</t>
        </is>
      </c>
    </row>
    <row r="21" ht="22" customHeight="1" s="65">
      <c r="A21" s="99" t="inlineStr">
        <is>
          <t>Qué se paga</t>
        </is>
      </c>
      <c r="B21" s="99" t="inlineStr">
        <is>
          <t>Cuándo</t>
        </is>
      </c>
      <c r="C21" s="99" t="inlineStr">
        <is>
          <t>Monto en pesos</t>
        </is>
      </c>
      <c r="D21" s="99" t="inlineStr">
        <is>
          <t>% del total</t>
        </is>
      </c>
      <c r="E21" s="99" t="inlineStr">
        <is>
          <t>Acumulado</t>
        </is>
      </c>
    </row>
    <row r="22">
      <c r="A22" s="100" t="inlineStr">
        <is>
          <t>Estructura (Appelsa) + anticipo de la lona</t>
        </is>
      </c>
      <c r="B22" s="100" t="inlineStr">
        <is>
          <t>Mes 1: al hacer los pedidos</t>
        </is>
      </c>
      <c r="C22" s="107">
        <f>D13+D12*$B$8</f>
        <v/>
      </c>
      <c r="D22" s="111">
        <f>C22/$C$25</f>
        <v/>
      </c>
      <c r="E22" s="107">
        <f>SUM($C$22:C22)</f>
        <v/>
      </c>
    </row>
    <row r="23">
      <c r="A23" s="100" t="inlineStr">
        <is>
          <t>Cables y ferretería (Bianchi, Sodimac, Obelisco)</t>
        </is>
      </c>
      <c r="B23" s="100" t="inlineStr">
        <is>
          <t>Mes 2: al comprar los materiales</t>
        </is>
      </c>
      <c r="C23" s="107">
        <f>D14+D15+D16</f>
        <v/>
      </c>
      <c r="D23" s="111">
        <f>C23/$C$25</f>
        <v/>
      </c>
      <c r="E23" s="107">
        <f>SUM($C$22:C23)</f>
        <v/>
      </c>
    </row>
    <row r="24">
      <c r="A24" s="100" t="inlineStr">
        <is>
          <t>Saldo de la lona (Romela)</t>
        </is>
      </c>
      <c r="B24" s="100" t="inlineStr">
        <is>
          <t>Mes 3: al recibir la lona</t>
        </is>
      </c>
      <c r="C24" s="107">
        <f>D12*(1-$B$8)</f>
        <v/>
      </c>
      <c r="D24" s="111">
        <f>C24/$C$25</f>
        <v/>
      </c>
      <c r="E24" s="107">
        <f>SUM($C$22:C24)</f>
        <v/>
      </c>
    </row>
    <row r="25">
      <c r="A25" s="108" t="inlineStr">
        <is>
          <t>Total</t>
        </is>
      </c>
      <c r="B25" s="112" t="inlineStr"/>
      <c r="C25" s="110">
        <f>SUM(C22:C24)</f>
        <v/>
      </c>
      <c r="D25" s="113">
        <f>SUM(D22:D24)</f>
        <v/>
      </c>
      <c r="E25" s="110">
        <f>E24</f>
        <v/>
      </c>
    </row>
    <row r="27">
      <c r="A27" s="105" t="inlineStr">
        <is>
          <t>3. Por qué conviene: malla vs. carpa alquilada</t>
        </is>
      </c>
    </row>
    <row r="28" ht="22" customHeight="1" s="65">
      <c r="A28" s="99" t="inlineStr">
        <is>
          <t>Indicador</t>
        </is>
      </c>
      <c r="B28" s="99" t="inlineStr">
        <is>
          <t>Valor</t>
        </is>
      </c>
      <c r="C28" s="99" t="inlineStr">
        <is>
          <t>Cómo se calcula</t>
        </is>
      </c>
    </row>
    <row r="29">
      <c r="A29" s="100" t="inlineStr">
        <is>
          <t>Gasto anual en carpa</t>
        </is>
      </c>
      <c r="B29" s="114">
        <f>B6*B7</f>
        <v/>
      </c>
      <c r="C29" s="100" t="inlineStr">
        <is>
          <t>Eventos por año × $ 100.000</t>
        </is>
      </c>
    </row>
    <row r="30">
      <c r="A30" s="100" t="inlineStr">
        <is>
          <t>Inversión total en la malla</t>
        </is>
      </c>
      <c r="B30" s="114">
        <f>D17</f>
        <v/>
      </c>
      <c r="C30" s="100" t="inlineStr">
        <is>
          <t>Total de la sección 1</t>
        </is>
      </c>
    </row>
    <row r="31">
      <c r="A31" s="100" t="inlineStr">
        <is>
          <t>Eventos para igualar la inversión</t>
        </is>
      </c>
      <c r="B31" s="115">
        <f>ROUNDUP(B30/B7,0)</f>
        <v/>
      </c>
      <c r="C31" s="100" t="inlineStr">
        <is>
          <t>Inversión ÷ costo de una carpa</t>
        </is>
      </c>
    </row>
    <row r="32">
      <c r="A32" s="100" t="inlineStr">
        <is>
          <t>Años para recuperar la inversión</t>
        </is>
      </c>
      <c r="B32" s="116">
        <f>B30/B29</f>
        <v/>
      </c>
      <c r="C32" s="100" t="inlineStr">
        <is>
          <t>Inversión ÷ gasto anual en carpa</t>
        </is>
      </c>
    </row>
    <row r="33">
      <c r="A33" s="100" t="inlineStr">
        <is>
          <t>Ahorro neto a 5 años</t>
        </is>
      </c>
      <c r="B33" s="114">
        <f>B29*5-B30</f>
        <v/>
      </c>
      <c r="C33" s="100" t="inlineStr">
        <is>
          <t>5 años de carpa menos la inversión (negativo = aún no se recupera)</t>
        </is>
      </c>
    </row>
    <row r="35">
      <c r="A35" s="105" t="inlineStr">
        <is>
          <t>Carpa acumulada vs. malla (se dibuja en el gráfico)</t>
        </is>
      </c>
    </row>
    <row r="36" ht="22" customHeight="1" s="65">
      <c r="A36" s="99" t="inlineStr">
        <is>
          <t>Año</t>
        </is>
      </c>
      <c r="B36" s="99" t="inlineStr">
        <is>
          <t>Carpa acumulada</t>
        </is>
      </c>
      <c r="C36" s="99" t="inlineStr">
        <is>
          <t>Malla (inversión única)</t>
        </is>
      </c>
      <c r="D36" s="99" t="inlineStr">
        <is>
          <t>Diferencia</t>
        </is>
      </c>
    </row>
    <row r="37">
      <c r="A37" s="117" t="n">
        <v>0</v>
      </c>
      <c r="B37" s="107">
        <f>A37*$B$29</f>
        <v/>
      </c>
      <c r="C37" s="107">
        <f>$B$30</f>
        <v/>
      </c>
      <c r="D37" s="107">
        <f>B37-C37</f>
        <v/>
      </c>
    </row>
    <row r="38">
      <c r="A38" s="117" t="n">
        <v>1</v>
      </c>
      <c r="B38" s="107">
        <f>A38*$B$29</f>
        <v/>
      </c>
      <c r="C38" s="107">
        <f>$B$30</f>
        <v/>
      </c>
      <c r="D38" s="107">
        <f>B38-C38</f>
        <v/>
      </c>
    </row>
    <row r="39">
      <c r="A39" s="117" t="n">
        <v>2</v>
      </c>
      <c r="B39" s="107">
        <f>A39*$B$29</f>
        <v/>
      </c>
      <c r="C39" s="107">
        <f>$B$30</f>
        <v/>
      </c>
      <c r="D39" s="107">
        <f>B39-C39</f>
        <v/>
      </c>
    </row>
    <row r="40">
      <c r="A40" s="117" t="n">
        <v>3</v>
      </c>
      <c r="B40" s="107">
        <f>A40*$B$29</f>
        <v/>
      </c>
      <c r="C40" s="107">
        <f>$B$30</f>
        <v/>
      </c>
      <c r="D40" s="107">
        <f>B40-C40</f>
        <v/>
      </c>
    </row>
    <row r="41">
      <c r="A41" s="117" t="n">
        <v>4</v>
      </c>
      <c r="B41" s="107">
        <f>A41*$B$29</f>
        <v/>
      </c>
      <c r="C41" s="107">
        <f>$B$30</f>
        <v/>
      </c>
      <c r="D41" s="107">
        <f>B41-C41</f>
        <v/>
      </c>
    </row>
    <row r="42">
      <c r="A42" s="117" t="n">
        <v>5</v>
      </c>
      <c r="B42" s="107">
        <f>A42*$B$29</f>
        <v/>
      </c>
      <c r="C42" s="107">
        <f>$B$30</f>
        <v/>
      </c>
      <c r="D42" s="107">
        <f>B42-C42</f>
        <v/>
      </c>
    </row>
    <row r="44">
      <c r="A44" s="118" t="inlineStr">
        <is>
          <t>• No incluye mano de obra, hormigón, ingeniero estructural, galvanizado ni equipo de elevación (ver Observaciones): la recuperación real será algo más lenta.</t>
        </is>
      </c>
    </row>
    <row r="45">
      <c r="A45" s="118" t="inlineStr">
        <is>
          <t>• La malla se instala una sola vez; la carpa hay que contratarla y armarla para cada evento.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tabColor rgb="FF2E75B6"/>
    <outlinePr summaryBelow="1" summaryRight="1"/>
    <pageSetUpPr fitToPage="1"/>
  </sheetPr>
  <dimension ref="A1:H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7" activeCellId="0" sqref="A17"/>
    </sheetView>
  </sheetViews>
  <sheetFormatPr baseColWidth="8" defaultColWidth="8.54296875" defaultRowHeight="15" customHeight="0" zeroHeight="0" outlineLevelRow="0"/>
  <cols>
    <col width="52" customWidth="1" style="64" min="1" max="1"/>
    <col width="20" customWidth="1" style="64" min="2" max="2"/>
    <col width="14" customWidth="1" style="64" min="3" max="3"/>
    <col width="10" customWidth="1" style="64" min="4" max="5"/>
    <col width="16" customWidth="1" style="64" min="6" max="6"/>
    <col width="60" customWidth="1" style="64" min="7" max="7"/>
    <col width="54" customWidth="1" style="64" min="8" max="8"/>
  </cols>
  <sheetData>
    <row r="1" ht="30" customHeight="1" s="65">
      <c r="A1" s="66" t="inlineStr">
        <is>
          <t>Gastos expandido</t>
        </is>
      </c>
    </row>
    <row r="2" ht="18" customHeight="1" s="65">
      <c r="A2" s="69" t="inlineStr">
        <is>
          <t>Proveedor, precio, cantidad y link de cada ítem de la idea final. Precios al 1/10/2026.</t>
        </is>
      </c>
    </row>
    <row r="3" ht="7.5" customHeight="1" s="65">
      <c r="A3" s="71" t="n"/>
      <c r="B3" s="71" t="n"/>
      <c r="C3" s="71" t="n"/>
      <c r="D3" s="71" t="n"/>
      <c r="E3" s="71" t="n"/>
      <c r="F3" s="71" t="n"/>
      <c r="G3" s="71" t="n"/>
      <c r="H3" s="71" t="n"/>
    </row>
    <row r="4" ht="30" customHeight="1" s="65">
      <c r="A4" s="72" t="inlineStr">
        <is>
          <t>Item</t>
        </is>
      </c>
      <c r="B4" s="72" t="inlineStr">
        <is>
          <t>Proveedor</t>
        </is>
      </c>
      <c r="C4" s="72" t="inlineStr">
        <is>
          <t>Costo</t>
        </is>
      </c>
      <c r="D4" s="72" t="inlineStr">
        <is>
          <t>Con IVA?</t>
        </is>
      </c>
      <c r="E4" s="72" t="inlineStr">
        <is>
          <t>Cantidad</t>
        </is>
      </c>
      <c r="F4" s="72" t="inlineStr">
        <is>
          <t>Coste total</t>
        </is>
      </c>
      <c r="G4" s="72" t="inlineStr">
        <is>
          <t>Comentarios</t>
        </is>
      </c>
      <c r="H4" s="72" t="inlineStr">
        <is>
          <t>Link</t>
        </is>
      </c>
    </row>
    <row r="5" ht="31.5" customHeight="1" s="65">
      <c r="A5" s="119" t="inlineStr">
        <is>
          <t>Lona mesh 41 × 24,5 m, costura electrónica, ojales cada 50 cm</t>
        </is>
      </c>
      <c r="B5" s="82" t="inlineStr">
        <is>
          <t>Romela Toldos</t>
        </is>
      </c>
      <c r="C5" s="120" t="n">
        <v>14650</v>
      </c>
      <c r="D5" s="86" t="inlineStr">
        <is>
          <t>No</t>
        </is>
      </c>
      <c r="E5" s="83">
        <f>1</f>
        <v/>
      </c>
      <c r="F5" s="121">
        <f>C5*E5</f>
        <v/>
      </c>
      <c r="G5" s="122" t="inlineStr">
        <is>
          <t>Cotización por WhatsApp (099 664 452). Una sola pieza a medida.</t>
        </is>
      </c>
      <c r="H5" s="123" t="inlineStr">
        <is>
          <t>https://www.toldosromela.com.uy/</t>
        </is>
      </c>
    </row>
    <row r="6" ht="31.5" customHeight="1" s="65">
      <c r="A6" s="124" t="inlineStr">
        <is>
          <t>Postes: caño redondo 6" × 3 mm, barra de 6 m</t>
        </is>
      </c>
      <c r="B6" s="125" t="inlineStr">
        <is>
          <t>Appelsa</t>
        </is>
      </c>
      <c r="C6" s="126" t="n">
        <v>112.29</v>
      </c>
      <c r="D6" s="127" t="inlineStr">
        <is>
          <t>No</t>
        </is>
      </c>
      <c r="E6" s="128">
        <f>Supuestos!$B$6/3*Supuestos!$B$8+Supuestos!$B$9</f>
        <v/>
      </c>
      <c r="F6" s="129">
        <f>C6*E6</f>
        <v/>
      </c>
      <c r="G6" s="130" t="inlineStr">
        <is>
          <t>Precio por unidad, en dólares, más IVA. Unos 72 kg por barra. Consultar si viene galvanizado.</t>
        </is>
      </c>
      <c r="H6" s="131" t="inlineStr">
        <is>
          <t>https://www.appelsa.com.uy/product-page/6-x-3mm-11-97kg</t>
        </is>
      </c>
    </row>
    <row r="7" ht="31.5" customHeight="1" s="65">
      <c r="A7" s="119" t="inlineStr">
        <is>
          <t>Vainas: tubo cuadrado 200 × 200 × 4,75 mm, barra de 6 m</t>
        </is>
      </c>
      <c r="B7" s="82" t="inlineStr">
        <is>
          <t>Appelsa</t>
        </is>
      </c>
      <c r="C7" s="120" t="n">
        <v>312.14</v>
      </c>
      <c r="D7" s="86" t="inlineStr">
        <is>
          <t>No</t>
        </is>
      </c>
      <c r="E7" s="83">
        <f>ROUNDUP(Supuestos!$B$6/INT(6/Supuestos!$B$10),0)</f>
        <v/>
      </c>
      <c r="F7" s="121">
        <f>C7*E7</f>
        <v/>
      </c>
      <c r="G7" s="122" t="inlineStr">
        <is>
          <t>De cada barra salen 4 vainas de 1,3 m. Deja holgura alrededor del poste de 6".</t>
        </is>
      </c>
      <c r="H7" s="123" t="inlineStr">
        <is>
          <t>https://www.appelsa.com.uy/product-page/200-x-200-x-4-75mm-30-11kg</t>
        </is>
      </c>
    </row>
    <row r="8" ht="31.5" customHeight="1" s="65">
      <c r="A8" s="124" t="inlineStr">
        <is>
          <t>Empalmes interiores de los postes: caño redondo 5" × 3 mm, barra de 6 m</t>
        </is>
      </c>
      <c r="B8" s="125" t="inlineStr">
        <is>
          <t>Appelsa</t>
        </is>
      </c>
      <c r="C8" s="126" t="n">
        <v>94.11</v>
      </c>
      <c r="D8" s="127" t="inlineStr">
        <is>
          <t>No</t>
        </is>
      </c>
      <c r="E8" s="128">
        <f>ROUNDUP(Supuestos!$B$6*Supuestos!$B$11/6,0)</f>
        <v/>
      </c>
      <c r="F8" s="129">
        <f>C8*E8</f>
        <v/>
      </c>
      <c r="G8" s="130" t="inlineStr">
        <is>
          <t>Une el tramo de 6 m con el de 2 m de cada poste. El largo y la fijación los define el ingeniero.</t>
        </is>
      </c>
      <c r="H8" s="131" t="inlineStr">
        <is>
          <t>https://www.appelsa.com.uy/product-page/5-x-3mm-9-500kg</t>
        </is>
      </c>
    </row>
    <row r="9" ht="31.5" customHeight="1" s="65">
      <c r="A9" s="119" t="inlineStr">
        <is>
          <t>Placas de anclaje en paredes y cabezales: planchuela 5/8" × 5", barra de 6 m</t>
        </is>
      </c>
      <c r="B9" s="82" t="inlineStr">
        <is>
          <t>Appelsa</t>
        </is>
      </c>
      <c r="C9" s="120" t="n">
        <v>140.07</v>
      </c>
      <c r="D9" s="86" t="inlineStr">
        <is>
          <t>No</t>
        </is>
      </c>
      <c r="E9" s="83">
        <f>ROUNDUP((Supuestos!$B$12*Supuestos!$B$13+Supuestos!$B$6*Supuestos!$B$14)/6,0)</f>
        <v/>
      </c>
      <c r="F9" s="121">
        <f>C9*E9</f>
        <v/>
      </c>
      <c r="G9" s="122" t="inlineStr">
        <is>
          <t>10 placas de 0,3 m + 12 cabezales de 0,2 m = 5,4 m.</t>
        </is>
      </c>
      <c r="H9" s="123" t="inlineStr">
        <is>
          <t>https://www.appelsa.com.uy/product-page/5-8-x-5-96-6kg</t>
        </is>
      </c>
    </row>
    <row r="10" ht="31.5" customHeight="1" s="65">
      <c r="A10" s="124" t="inlineStr">
        <is>
          <t>Cable de acero galvanizado 16 mm (cables principales)</t>
        </is>
      </c>
      <c r="B10" s="125" t="inlineStr">
        <is>
          <t>Bianchi</t>
        </is>
      </c>
      <c r="C10" s="132" t="n">
        <v>495</v>
      </c>
      <c r="D10" s="127" t="inlineStr">
        <is>
          <t>Sí</t>
        </is>
      </c>
      <c r="E10" s="128">
        <f>Supuestos!$B$15*Supuestos!$B$16</f>
        <v/>
      </c>
      <c r="F10" s="133">
        <f>C10*E10</f>
        <v/>
      </c>
      <c r="G10" s="130" t="inlineStr">
        <is>
          <t>Alma de cáñamo. La página no publica la carga de rotura: el ingeniero puede pedir alma de acero o más diámetro.</t>
        </is>
      </c>
      <c r="H10" s="131" t="inlineStr">
        <is>
          <t>https://www.bianchi.com.uy/cable-acero-16mmalma-canamo</t>
        </is>
      </c>
    </row>
    <row r="11" ht="21.75" customHeight="1" s="65">
      <c r="A11" s="119" t="inlineStr">
        <is>
          <t>Cable de acero galvanizado 12 mm (tensores del borde sur)</t>
        </is>
      </c>
      <c r="B11" s="82" t="inlineStr">
        <is>
          <t>Bianchi</t>
        </is>
      </c>
      <c r="C11" s="87" t="n">
        <v>285</v>
      </c>
      <c r="D11" s="86" t="inlineStr">
        <is>
          <t>Sí</t>
        </is>
      </c>
      <c r="E11" s="83">
        <f>Supuestos!$B$17*Supuestos!$B$18</f>
        <v/>
      </c>
      <c r="F11" s="88">
        <f>C11*E11</f>
        <v/>
      </c>
      <c r="G11" s="122" t="inlineStr">
        <is>
          <t>Alma de cáñamo. Del tope de cada poste sur a un bloque en el piso.</t>
        </is>
      </c>
      <c r="H11" s="123" t="inlineStr">
        <is>
          <t>https://www.bianchi.com.uy/cable-acero-12mmalma-canamo</t>
        </is>
      </c>
    </row>
    <row r="12" ht="31.5" customHeight="1" s="65">
      <c r="A12" s="124" t="inlineStr">
        <is>
          <t>Grillete certificado 7/8" (6,5 t)</t>
        </is>
      </c>
      <c r="B12" s="125" t="inlineStr">
        <is>
          <t>Bianchi</t>
        </is>
      </c>
      <c r="C12" s="126" t="n">
        <v>40.43</v>
      </c>
      <c r="D12" s="127" t="inlineStr">
        <is>
          <t>Sí</t>
        </is>
      </c>
      <c r="E12" s="128">
        <f>Supuestos!$B$15*2</f>
        <v/>
      </c>
      <c r="F12" s="129">
        <f>C12*E12</f>
        <v/>
      </c>
      <c r="G12" s="130" t="inlineStr">
        <is>
          <t>Certificado ABLE, carga de trabajo 6,5 t (mayor que las 5,6 t por cable). 2 por cable.</t>
        </is>
      </c>
      <c r="H12" s="131" t="inlineStr">
        <is>
          <t>https://www.bianchi.com.uy/grillete-alta-resistencia-78-pulga-65ton-certificados-able</t>
        </is>
      </c>
    </row>
    <row r="13" ht="31.5" customHeight="1" s="65">
      <c r="A13" s="119" t="inlineStr">
        <is>
          <t>Grillete certificado 5/8" (3,25 t)</t>
        </is>
      </c>
      <c r="B13" s="82" t="inlineStr">
        <is>
          <t>Bianchi</t>
        </is>
      </c>
      <c r="C13" s="120" t="n">
        <v>16.58</v>
      </c>
      <c r="D13" s="86" t="inlineStr">
        <is>
          <t>Sí</t>
        </is>
      </c>
      <c r="E13" s="83">
        <f>Supuestos!$B$17*2</f>
        <v/>
      </c>
      <c r="F13" s="121">
        <f>C13*E13</f>
        <v/>
      </c>
      <c r="G13" s="122" t="inlineStr">
        <is>
          <t>Para los tensores del borde sur. 2 por tensor.</t>
        </is>
      </c>
      <c r="H13" s="123" t="inlineStr">
        <is>
          <t>https://www.bianchi.com.uy/grillete-alta-resistencia-58-pulg-325ton-certificados-able</t>
        </is>
      </c>
    </row>
    <row r="14" ht="31.5" customHeight="1" s="65">
      <c r="A14" s="124" t="inlineStr">
        <is>
          <t>Tensor ojo y gancho 22 mm (cables principales)</t>
        </is>
      </c>
      <c r="B14" s="125" t="inlineStr">
        <is>
          <t>Bianchi</t>
        </is>
      </c>
      <c r="C14" s="132" t="n">
        <v>1165</v>
      </c>
      <c r="D14" s="127" t="inlineStr">
        <is>
          <t>Sí</t>
        </is>
      </c>
      <c r="E14" s="128">
        <f>Supuestos!$B$15</f>
        <v/>
      </c>
      <c r="F14" s="133">
        <f>C14*E14</f>
        <v/>
      </c>
      <c r="G14" s="130" t="inlineStr">
        <is>
          <t>Para tensar cada cable. No publica carga de trabajo: el ingeniero puede pedir tensores certificados ojo-ojo.</t>
        </is>
      </c>
      <c r="H14" s="131" t="inlineStr">
        <is>
          <t>https://www.bianchi.com.uy/tensor-ojo-y-gancho-22mm</t>
        </is>
      </c>
    </row>
    <row r="15" ht="21.75" customHeight="1" s="65">
      <c r="A15" s="119" t="inlineStr">
        <is>
          <t>Tensor ojo y gancho 16 mm (tensores sur)</t>
        </is>
      </c>
      <c r="B15" s="82" t="inlineStr">
        <is>
          <t>Bianchi</t>
        </is>
      </c>
      <c r="C15" s="87" t="n">
        <v>506</v>
      </c>
      <c r="D15" s="86" t="inlineStr">
        <is>
          <t>Sí</t>
        </is>
      </c>
      <c r="E15" s="83">
        <f>Supuestos!$B$17</f>
        <v/>
      </c>
      <c r="F15" s="88">
        <f>C15*E15</f>
        <v/>
      </c>
      <c r="G15" s="122" t="inlineStr">
        <is>
          <t>Uno por tensor del borde sur. No publica carga de trabajo.</t>
        </is>
      </c>
      <c r="H15" s="123" t="inlineStr">
        <is>
          <t>https://www.bianchi.com.uy/tensor-ojo-y-gancho-16mm</t>
        </is>
      </c>
    </row>
    <row r="16" ht="21.75" customHeight="1" s="65">
      <c r="A16" s="124" t="inlineStr">
        <is>
          <t>Apretacable para cable de 16 mm</t>
        </is>
      </c>
      <c r="B16" s="125" t="inlineStr">
        <is>
          <t>Bianchi</t>
        </is>
      </c>
      <c r="C16" s="132" t="n">
        <v>137</v>
      </c>
      <c r="D16" s="127" t="inlineStr">
        <is>
          <t>Sí</t>
        </is>
      </c>
      <c r="E16" s="128">
        <f>Supuestos!$B$15*2*Supuestos!$B$19</f>
        <v/>
      </c>
      <c r="F16" s="133">
        <f>C16*E16</f>
        <v/>
      </c>
      <c r="G16" s="130" t="inlineStr">
        <is>
          <t>3 por extremo de cable, 2 extremos por cable.</t>
        </is>
      </c>
      <c r="H16" s="131" t="inlineStr">
        <is>
          <t>https://www.bianchi.com.uy/apretacable-para-cable-de-acero-16-mm</t>
        </is>
      </c>
    </row>
    <row r="17" ht="21.75" customHeight="1" s="65">
      <c r="A17" s="119" t="inlineStr">
        <is>
          <t>Apretacable para cable de 12 mm</t>
        </is>
      </c>
      <c r="B17" s="82" t="inlineStr">
        <is>
          <t>Bianchi</t>
        </is>
      </c>
      <c r="C17" s="87" t="n">
        <v>96</v>
      </c>
      <c r="D17" s="86" t="inlineStr">
        <is>
          <t>Sí</t>
        </is>
      </c>
      <c r="E17" s="83">
        <f>Supuestos!$B$17*2*Supuestos!$B$19</f>
        <v/>
      </c>
      <c r="F17" s="88">
        <f>C17*E17</f>
        <v/>
      </c>
      <c r="G17" s="122" t="inlineStr">
        <is>
          <t>3 por extremo, 2 extremos por tensor sur.</t>
        </is>
      </c>
      <c r="H17" s="123" t="inlineStr">
        <is>
          <t>https://www.bianchi.com.uy/apretacable-para-cable-de-acero-12-mm</t>
        </is>
      </c>
    </row>
    <row r="18" ht="21.75" customHeight="1" s="65">
      <c r="A18" s="124" t="inlineStr">
        <is>
          <t>Adhesivo para anclajes químicos Anchofrix 300 ml</t>
        </is>
      </c>
      <c r="B18" s="125" t="inlineStr">
        <is>
          <t>Sodimac</t>
        </is>
      </c>
      <c r="C18" s="132" t="n">
        <v>1696</v>
      </c>
      <c r="D18" s="127" t="inlineStr">
        <is>
          <t>Sí</t>
        </is>
      </c>
      <c r="E18" s="128">
        <f>ROUNDUP(Supuestos!$B$12*Supuestos!$B$20/Supuestos!$B$21,0)</f>
        <v/>
      </c>
      <c r="F18" s="133">
        <f>C18*E18</f>
        <v/>
      </c>
      <c r="G18" s="130" t="inlineStr">
        <is>
          <t>Para fijar las varillas de las placas en las paredes.</t>
        </is>
      </c>
      <c r="H18" s="131" t="inlineStr">
        <is>
          <t>https://www.sodimac.com.uy/sodimac-uy/product/1898396/</t>
        </is>
      </c>
    </row>
    <row r="19" ht="21.75" customHeight="1" s="65">
      <c r="A19" s="119" t="inlineStr">
        <is>
          <t>Varilla roscada zincada 1/2" × 1 m</t>
        </is>
      </c>
      <c r="B19" s="82" t="inlineStr">
        <is>
          <t>Sodimac</t>
        </is>
      </c>
      <c r="C19" s="87" t="n">
        <v>169</v>
      </c>
      <c r="D19" s="86" t="inlineStr">
        <is>
          <t>Sí</t>
        </is>
      </c>
      <c r="E19" s="83">
        <f>ROUNDUP(Supuestos!$B$12*Supuestos!$B$20*Supuestos!$B$22,0)+ROUNDUP(Supuestos!$B$6/Supuestos!$B$23,0)</f>
        <v/>
      </c>
      <c r="F19" s="88">
        <f>C19*E19</f>
        <v/>
      </c>
      <c r="G19" s="122" t="inlineStr">
        <is>
          <t>Anclajes de las placas (40 × 0,25 m) y pasadores de los postes (12).</t>
        </is>
      </c>
      <c r="H19" s="123" t="inlineStr">
        <is>
          <t>https://www.sodimac.com.uy/sodimac-uy/product/3254011/</t>
        </is>
      </c>
    </row>
    <row r="20" ht="21.75" customHeight="1" s="65">
      <c r="A20" s="124" t="inlineStr">
        <is>
          <t>Arandela plana 1/2" (paquete de 20)</t>
        </is>
      </c>
      <c r="B20" s="125" t="inlineStr">
        <is>
          <t>Sodimac</t>
        </is>
      </c>
      <c r="C20" s="132" t="n">
        <v>249</v>
      </c>
      <c r="D20" s="127" t="inlineStr">
        <is>
          <t>Sí</t>
        </is>
      </c>
      <c r="E20" s="128">
        <f>ROUNDUP((Supuestos!$B$12*Supuestos!$B$20+Supuestos!$B$6*2)/20,0)</f>
        <v/>
      </c>
      <c r="F20" s="133">
        <f>C20*E20</f>
        <v/>
      </c>
      <c r="G20" s="130" t="inlineStr">
        <is>
          <t>Para anclajes y pasadores.</t>
        </is>
      </c>
      <c r="H20" s="131" t="inlineStr">
        <is>
          <t>https://www.sodimac.com.uy/sodimac-uy/product/1982427/</t>
        </is>
      </c>
    </row>
    <row r="21" ht="31.5" customHeight="1" s="65">
      <c r="A21" s="119" t="inlineStr">
        <is>
          <t>Cuerda náutica de poliéster 8 mm, 100 m</t>
        </is>
      </c>
      <c r="B21" s="82" t="inlineStr">
        <is>
          <t>Polietileno Obelisco</t>
        </is>
      </c>
      <c r="C21" s="87" t="n">
        <v>2400</v>
      </c>
      <c r="D21" s="86" t="inlineStr">
        <is>
          <t>Sí</t>
        </is>
      </c>
      <c r="E21" s="83">
        <f>ROUNDUP(Supuestos!$B$24*Supuestos!$B$25/100,0)</f>
        <v/>
      </c>
      <c r="F21" s="88">
        <f>C21*E21</f>
        <v/>
      </c>
      <c r="G21" s="122" t="inlineStr">
        <is>
          <t>Para atar la lona a los cables, ojal por ojal. Lista de junio 2025; puede variar un 10 %.</t>
        </is>
      </c>
      <c r="H21" s="123" t="inlineStr">
        <is>
          <t>https://www.nylon.com.uy/</t>
        </is>
      </c>
    </row>
    <row r="22" ht="15" customHeight="1" s="65">
      <c r="A22" s="134" t="n"/>
      <c r="B22" s="134" t="n"/>
      <c r="C22" s="135" t="n"/>
      <c r="D22" s="136" t="n"/>
      <c r="E22" s="136" t="n"/>
      <c r="F22" s="135" t="n"/>
      <c r="G22" s="134" t="n"/>
      <c r="H22" s="134" t="n"/>
    </row>
    <row r="23" ht="15" customHeight="1" s="65">
      <c r="A23" s="137" t="inlineStr">
        <is>
          <t>Coste total = costo unitario × cantidad, con o sin IVA según la columna "Con IVA?". Excluye mano de obra.</t>
        </is>
      </c>
    </row>
    <row r="24" ht="15" customHeight="1" s="65">
      <c r="A24" s="134" t="n"/>
      <c r="B24" s="134" t="n"/>
      <c r="C24" s="138" t="n"/>
      <c r="D24" s="136" t="n"/>
      <c r="E24" s="136" t="n"/>
      <c r="F24" s="138" t="n"/>
      <c r="G24" s="134" t="n"/>
      <c r="H24" s="134" t="n"/>
    </row>
    <row r="25" ht="15" customHeight="1" s="65">
      <c r="A25" s="134" t="n"/>
      <c r="B25" s="134" t="n"/>
      <c r="C25" s="135" t="n"/>
      <c r="D25" s="136" t="n"/>
      <c r="E25" s="136" t="n"/>
      <c r="F25" s="135" t="n"/>
      <c r="G25" s="134" t="n"/>
      <c r="H25" s="134" t="n"/>
    </row>
    <row r="26" ht="15" customHeight="1" s="65">
      <c r="A26" s="134" t="n"/>
      <c r="B26" s="134" t="n"/>
      <c r="C26" s="135" t="n"/>
      <c r="D26" s="136" t="n"/>
      <c r="E26" s="136" t="n"/>
      <c r="F26" s="135" t="n"/>
      <c r="G26" s="134" t="n"/>
      <c r="H26" s="134" t="n"/>
    </row>
    <row r="27" ht="15" customHeight="1" s="65">
      <c r="A27" s="134" t="n"/>
      <c r="B27" s="134" t="n"/>
      <c r="C27" s="135" t="n"/>
      <c r="D27" s="136" t="n"/>
      <c r="E27" s="136" t="n"/>
      <c r="F27" s="135" t="n"/>
      <c r="G27" s="134" t="n"/>
      <c r="H27" s="134" t="n"/>
    </row>
    <row r="28" ht="15" customHeight="1" s="65">
      <c r="A28" s="134" t="n"/>
      <c r="B28" s="134" t="n"/>
      <c r="C28" s="135" t="n"/>
      <c r="D28" s="136" t="n"/>
      <c r="E28" s="136" t="n"/>
      <c r="F28" s="135" t="n"/>
      <c r="G28" s="134" t="n"/>
      <c r="H28" s="134" t="n"/>
    </row>
    <row r="29" ht="15" customHeight="1" s="65">
      <c r="A29" s="134" t="n"/>
      <c r="B29" s="134" t="n"/>
      <c r="C29" s="135" t="n"/>
      <c r="D29" s="136" t="n"/>
      <c r="E29" s="136" t="n"/>
      <c r="F29" s="135" t="n"/>
      <c r="G29" s="134" t="n"/>
      <c r="H29" s="134" t="n"/>
    </row>
    <row r="30" ht="15" customHeight="1" s="65">
      <c r="A30" s="139" t="n"/>
      <c r="B30" s="139" t="n"/>
      <c r="C30" s="139" t="n"/>
      <c r="D30" s="139" t="n"/>
      <c r="E30" s="139" t="n"/>
      <c r="F30" s="139" t="n"/>
      <c r="G30" s="139" t="n"/>
      <c r="H30" s="139" t="n"/>
    </row>
    <row r="31" ht="15" customHeight="1" s="65">
      <c r="A31" s="139" t="n"/>
      <c r="B31" s="139" t="n"/>
      <c r="C31" s="139" t="n"/>
      <c r="D31" s="139" t="n"/>
      <c r="E31" s="139" t="n"/>
      <c r="F31" s="139" t="n"/>
      <c r="G31" s="139" t="n"/>
      <c r="H31" s="139" t="n"/>
    </row>
  </sheetData>
  <mergeCells count="1">
    <mergeCell ref="A23:H23"/>
  </mergeCells>
  <hyperlinks>
    <hyperlink xmlns:r="http://schemas.openxmlformats.org/officeDocument/2006/relationships" ref="H5" display="https://www.toldosromela.com.uy/" r:id="rId1"/>
    <hyperlink xmlns:r="http://schemas.openxmlformats.org/officeDocument/2006/relationships" ref="H6" display="https://www.appelsa.com.uy/product-page/6-x-3mm-11-97kg" r:id="rId2"/>
    <hyperlink xmlns:r="http://schemas.openxmlformats.org/officeDocument/2006/relationships" ref="H7" display="https://www.appelsa.com.uy/product-page/200-x-200-x-4-75mm-30-11kg" r:id="rId3"/>
    <hyperlink xmlns:r="http://schemas.openxmlformats.org/officeDocument/2006/relationships" ref="H8" display="https://www.appelsa.com.uy/product-page/5-x-3mm-9-500kg" r:id="rId4"/>
    <hyperlink xmlns:r="http://schemas.openxmlformats.org/officeDocument/2006/relationships" ref="H9" display="https://www.appelsa.com.uy/product-page/5-8-x-5-96-6kg" r:id="rId5"/>
    <hyperlink xmlns:r="http://schemas.openxmlformats.org/officeDocument/2006/relationships" ref="H10" display="https://www.bianchi.com.uy/cable-acero-16mmalma-canamo" r:id="rId6"/>
    <hyperlink xmlns:r="http://schemas.openxmlformats.org/officeDocument/2006/relationships" ref="H11" display="https://www.bianchi.com.uy/cable-acero-12mmalma-canamo" r:id="rId7"/>
    <hyperlink xmlns:r="http://schemas.openxmlformats.org/officeDocument/2006/relationships" ref="H12" display="https://www.bianchi.com.uy/grillete-alta-resistencia-78-pulga-65ton-certificados-able" r:id="rId8"/>
    <hyperlink xmlns:r="http://schemas.openxmlformats.org/officeDocument/2006/relationships" ref="H13" display="https://www.bianchi.com.uy/grillete-alta-resistencia-58-pulg-325ton-certificados-able" r:id="rId9"/>
    <hyperlink xmlns:r="http://schemas.openxmlformats.org/officeDocument/2006/relationships" ref="H14" display="https://www.bianchi.com.uy/tensor-ojo-y-gancho-22mm" r:id="rId10"/>
    <hyperlink xmlns:r="http://schemas.openxmlformats.org/officeDocument/2006/relationships" ref="H15" display="https://www.bianchi.com.uy/tensor-ojo-y-gancho-16mm" r:id="rId11"/>
    <hyperlink xmlns:r="http://schemas.openxmlformats.org/officeDocument/2006/relationships" ref="H16" display="https://www.bianchi.com.uy/apretacable-para-cable-de-acero-16-mm" r:id="rId12"/>
    <hyperlink xmlns:r="http://schemas.openxmlformats.org/officeDocument/2006/relationships" ref="H17" display="https://www.bianchi.com.uy/apretacable-para-cable-de-acero-12-mm" r:id="rId13"/>
    <hyperlink xmlns:r="http://schemas.openxmlformats.org/officeDocument/2006/relationships" ref="H18" display="https://www.sodimac.com.uy/sodimac-uy/product/1898396/" r:id="rId14"/>
    <hyperlink xmlns:r="http://schemas.openxmlformats.org/officeDocument/2006/relationships" ref="H19" display="https://www.sodimac.com.uy/sodimac-uy/product/3254011/" r:id="rId15"/>
    <hyperlink xmlns:r="http://schemas.openxmlformats.org/officeDocument/2006/relationships" ref="H20" display="https://www.sodimac.com.uy/sodimac-uy/product/1982427/" r:id="rId16"/>
    <hyperlink xmlns:r="http://schemas.openxmlformats.org/officeDocument/2006/relationships" ref="H21" display="https://www.nylon.com.uy/" r:id="rId17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548235"/>
    <outlinePr summaryBelow="1" summaryRight="1"/>
    <pageSetUpPr fitToPage="1"/>
  </sheetPr>
  <dimension ref="A1:D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11" activePane="bottomLeft" state="frozen"/>
      <selection pane="topLeft" activeCell="A1" activeCellId="0" sqref="A1"/>
      <selection pane="bottomLeft" activeCell="A31" activeCellId="0" sqref="A31"/>
    </sheetView>
  </sheetViews>
  <sheetFormatPr baseColWidth="8" defaultColWidth="8.54296875" defaultRowHeight="15" customHeight="0" zeroHeight="0" outlineLevelRow="0"/>
  <cols>
    <col width="52" customWidth="1" style="64" min="1" max="1"/>
    <col width="12" customWidth="1" style="64" min="2" max="3"/>
    <col width="70" customWidth="1" style="64" min="4" max="4"/>
  </cols>
  <sheetData>
    <row r="1" ht="30" customHeight="1" s="65">
      <c r="A1" s="66" t="inlineStr">
        <is>
          <t>Supuestos</t>
        </is>
      </c>
    </row>
    <row r="2" ht="18" customHeight="1" s="65">
      <c r="A2" s="69" t="inlineStr">
        <is>
          <t>Datos que se usan para calcular las otras hojas. Los valores en azul se pueden cambiar y todo se recalcula.</t>
        </is>
      </c>
    </row>
    <row r="3" ht="7.5" customHeight="1" s="65">
      <c r="A3" s="71" t="n"/>
      <c r="B3" s="71" t="n"/>
      <c r="C3" s="71" t="n"/>
      <c r="D3" s="71" t="n"/>
    </row>
    <row r="4" ht="30" customHeight="1" s="65">
      <c r="A4" s="72" t="inlineStr">
        <is>
          <t>Concepto</t>
        </is>
      </c>
      <c r="B4" s="72" t="inlineStr">
        <is>
          <t>Valor</t>
        </is>
      </c>
      <c r="C4" s="72" t="inlineStr">
        <is>
          <t>Unidad</t>
        </is>
      </c>
      <c r="D4" s="72" t="inlineStr">
        <is>
          <t>De dónde sale</t>
        </is>
      </c>
    </row>
    <row r="5" ht="19.5" customHeight="1" s="65">
      <c r="A5" s="82" t="inlineStr">
        <is>
          <t>IVA básico de Uruguay</t>
        </is>
      </c>
      <c r="B5" s="140" t="n">
        <v>0.22</v>
      </c>
      <c r="C5" s="83" t="inlineStr">
        <is>
          <t>%</t>
        </is>
      </c>
      <c r="D5" s="141" t="inlineStr">
        <is>
          <t>Tasa básica de IVA en Uruguay.</t>
        </is>
      </c>
    </row>
    <row r="6" ht="19.5" customHeight="1" s="65">
      <c r="A6" s="125" t="inlineStr">
        <is>
          <t>Cantidad de postes</t>
        </is>
      </c>
      <c r="B6" s="142" t="n">
        <v>12</v>
      </c>
      <c r="C6" s="128" t="inlineStr">
        <is>
          <t>u</t>
        </is>
      </c>
      <c r="D6" s="143" t="inlineStr">
        <is>
          <t>Recomendacion_postes_Idea2.docx: 3 filas de 4 postes.</t>
        </is>
      </c>
    </row>
    <row r="7" ht="19.5" customHeight="1" s="65">
      <c r="A7" s="82" t="inlineStr">
        <is>
          <t>Largo de cada poste</t>
        </is>
      </c>
      <c r="B7" s="142" t="n">
        <v>8</v>
      </c>
      <c r="C7" s="83" t="inlineStr">
        <is>
          <t>m</t>
        </is>
      </c>
      <c r="D7" s="141" t="inlineStr">
        <is>
          <t>7 m sobre el piso + 1 m dentro de la vaina; se arma en tramos de 6 m + 2 m.</t>
        </is>
      </c>
    </row>
    <row r="8" ht="19.5" customHeight="1" s="65">
      <c r="A8" s="125" t="inlineStr">
        <is>
          <t>Barras de 6 m cada 3 postes</t>
        </is>
      </c>
      <c r="B8" s="142" t="n">
        <v>4</v>
      </c>
      <c r="C8" s="128" t="inlineStr">
        <is>
          <t>u</t>
        </is>
      </c>
      <c r="D8" s="143" t="inlineStr">
        <is>
          <t>3 barras enteras para los tramos de 6 m + 1 barra cortada en 3 tramos de 2 m.</t>
        </is>
      </c>
    </row>
    <row r="9" ht="19.5" customHeight="1" s="65">
      <c r="A9" s="82" t="inlineStr">
        <is>
          <t>Barras de reserva (cortes y errores)</t>
        </is>
      </c>
      <c r="B9" s="142" t="n">
        <v>2</v>
      </c>
      <c r="C9" s="83" t="inlineStr">
        <is>
          <t>u</t>
        </is>
      </c>
      <c r="D9" s="141" t="inlineStr">
        <is>
          <t>Margen propio.</t>
        </is>
      </c>
    </row>
    <row r="10" ht="19.5" customHeight="1" s="65">
      <c r="A10" s="125" t="inlineStr">
        <is>
          <t>Largo de cada vaina</t>
        </is>
      </c>
      <c r="B10" s="142" t="n">
        <v>1.3</v>
      </c>
      <c r="C10" s="128" t="inlineStr">
        <is>
          <t>m</t>
        </is>
      </c>
      <c r="D10" s="143" t="inlineStr">
        <is>
          <t>El poste entra 1 m; 0,3 m para el fondo con drenaje.</t>
        </is>
      </c>
    </row>
    <row r="11" ht="19.5" customHeight="1" s="65">
      <c r="A11" s="82" t="inlineStr">
        <is>
          <t>Largo de cada empalme interior</t>
        </is>
      </c>
      <c r="B11" s="142" t="n">
        <v>0.6</v>
      </c>
      <c r="C11" s="83" t="inlineStr">
        <is>
          <t>m</t>
        </is>
      </c>
      <c r="D11" s="141" t="inlineStr">
        <is>
          <t>0,3 m dentro de cada tramo del poste. Lo define el ingeniero.</t>
        </is>
      </c>
    </row>
    <row r="12" ht="19.5" customHeight="1" s="65">
      <c r="A12" s="125" t="inlineStr">
        <is>
          <t>Placas de anclaje en paredes</t>
        </is>
      </c>
      <c r="B12" s="142" t="n">
        <v>10</v>
      </c>
      <c r="C12" s="128" t="inlineStr">
        <is>
          <t>u</t>
        </is>
      </c>
      <c r="D12" s="143" t="inlineStr">
        <is>
          <t>5 cables × 2 paredes (este y oeste).</t>
        </is>
      </c>
    </row>
    <row r="13" ht="19.5" customHeight="1" s="65">
      <c r="A13" s="82" t="inlineStr">
        <is>
          <t>Largo de cada placa de anclaje</t>
        </is>
      </c>
      <c r="B13" s="142" t="n">
        <v>0.3</v>
      </c>
      <c r="C13" s="83" t="inlineStr">
        <is>
          <t>m</t>
        </is>
      </c>
      <c r="D13" s="141" t="inlineStr">
        <is>
          <t>Supuesto para 4 anclajes por placa.</t>
        </is>
      </c>
    </row>
    <row r="14" ht="19.5" customHeight="1" s="65">
      <c r="A14" s="125" t="inlineStr">
        <is>
          <t>Largo de cada cabezal (punta del poste)</t>
        </is>
      </c>
      <c r="B14" s="142" t="n">
        <v>0.2</v>
      </c>
      <c r="C14" s="128" t="inlineStr">
        <is>
          <t>m</t>
        </is>
      </c>
      <c r="D14" s="143" t="inlineStr">
        <is>
          <t>Pieza de apoyo del cable.</t>
        </is>
      </c>
    </row>
    <row r="15" ht="19.5" customHeight="1" s="65">
      <c r="A15" s="82" t="inlineStr">
        <is>
          <t>Cables principales este-oeste</t>
        </is>
      </c>
      <c r="B15" s="142" t="n">
        <v>5</v>
      </c>
      <c r="C15" s="83" t="inlineStr">
        <is>
          <t>u</t>
        </is>
      </c>
      <c r="D15" s="141" t="inlineStr">
        <is>
          <t>Recomendacion_postes_Idea2.docx.</t>
        </is>
      </c>
    </row>
    <row r="16" ht="19.5" customHeight="1" s="65">
      <c r="A16" s="125" t="inlineStr">
        <is>
          <t>Largo de cada cable principal</t>
        </is>
      </c>
      <c r="B16" s="142" t="n">
        <v>43</v>
      </c>
      <c r="C16" s="128" t="inlineStr">
        <is>
          <t>m</t>
        </is>
      </c>
      <c r="D16" s="143" t="inlineStr">
        <is>
          <t>40,9 m de pared a pared + unos 2 m para terminaciones.</t>
        </is>
      </c>
    </row>
    <row r="17" ht="19.5" customHeight="1" s="65">
      <c r="A17" s="82" t="inlineStr">
        <is>
          <t>Tensores de los postes del borde sur</t>
        </is>
      </c>
      <c r="B17" s="142" t="n">
        <v>3</v>
      </c>
      <c r="C17" s="83" t="inlineStr">
        <is>
          <t>u</t>
        </is>
      </c>
      <c r="D17" s="141" t="inlineStr">
        <is>
          <t>Un tensor por poste del borde sur.</t>
        </is>
      </c>
    </row>
    <row r="18" ht="19.5" customHeight="1" s="65">
      <c r="A18" s="125" t="inlineStr">
        <is>
          <t>Largo de cada tensor sur</t>
        </is>
      </c>
      <c r="B18" s="142" t="n">
        <v>9</v>
      </c>
      <c r="C18" s="128" t="inlineStr">
        <is>
          <t>m</t>
        </is>
      </c>
      <c r="D18" s="143" t="inlineStr">
        <is>
          <t>Del tope del poste (7 m) a un punto 3,5 m al sur: 7,8 m + terminaciones.</t>
        </is>
      </c>
    </row>
    <row r="19" ht="19.5" customHeight="1" s="65">
      <c r="A19" s="82" t="inlineStr">
        <is>
          <t>Apretacables por extremo de cable</t>
        </is>
      </c>
      <c r="B19" s="142" t="n">
        <v>3</v>
      </c>
      <c r="C19" s="83" t="inlineStr">
        <is>
          <t>u</t>
        </is>
      </c>
      <c r="D19" s="141" t="inlineStr">
        <is>
          <t>Práctica habitual para cables de este diámetro.</t>
        </is>
      </c>
    </row>
    <row r="20" ht="19.5" customHeight="1" s="65">
      <c r="A20" s="125" t="inlineStr">
        <is>
          <t>Anclajes químicos por placa</t>
        </is>
      </c>
      <c r="B20" s="142" t="n">
        <v>4</v>
      </c>
      <c r="C20" s="128" t="inlineStr">
        <is>
          <t>u</t>
        </is>
      </c>
      <c r="D20" s="143" t="inlineStr">
        <is>
          <t>Supuesto; lo define el ingeniero.</t>
        </is>
      </c>
    </row>
    <row r="21" ht="19.5" customHeight="1" s="65">
      <c r="A21" s="82" t="inlineStr">
        <is>
          <t>Anclajes por cartucho de adhesivo</t>
        </is>
      </c>
      <c r="B21" s="142" t="n">
        <v>10</v>
      </c>
      <c r="C21" s="83" t="inlineStr">
        <is>
          <t>u</t>
        </is>
      </c>
      <c r="D21" s="141" t="inlineStr">
        <is>
          <t>Estimación (cartucho de 300 ml).</t>
        </is>
      </c>
    </row>
    <row r="22" ht="19.5" customHeight="1" s="65">
      <c r="A22" s="125" t="inlineStr">
        <is>
          <t>Largo de varilla por anclaje</t>
        </is>
      </c>
      <c r="B22" s="142" t="n">
        <v>0.25</v>
      </c>
      <c r="C22" s="128" t="inlineStr">
        <is>
          <t>m</t>
        </is>
      </c>
      <c r="D22" s="143" t="inlineStr">
        <is>
          <t>Supuesto.</t>
        </is>
      </c>
    </row>
    <row r="23" ht="19.5" customHeight="1" s="65">
      <c r="A23" s="82" t="inlineStr">
        <is>
          <t>Pasadores por varilla de 1 m</t>
        </is>
      </c>
      <c r="B23" s="142" t="n">
        <v>3</v>
      </c>
      <c r="C23" s="83" t="inlineStr">
        <is>
          <t>u</t>
        </is>
      </c>
      <c r="D23" s="141" t="inlineStr">
        <is>
          <t>Cada pasador cruza la vaina de 200 mm: unos 0,33 m.</t>
        </is>
      </c>
    </row>
    <row r="24" ht="31.5" customHeight="1" s="65">
      <c r="A24" s="125" t="inlineStr">
        <is>
          <t>Ojales de la lona</t>
        </is>
      </c>
      <c r="B24" s="142" t="n">
        <v>508</v>
      </c>
      <c r="C24" s="128" t="inlineStr">
        <is>
          <t>u</t>
        </is>
      </c>
      <c r="D24" s="143" t="inlineStr">
        <is>
          <t>Perímetro de 131 m cada 0,5 m (262) + 3 líneas interiores de 41 m cada 0,5 m (246).</t>
        </is>
      </c>
    </row>
    <row r="25" ht="19.5" customHeight="1" s="65">
      <c r="A25" s="82" t="inlineStr">
        <is>
          <t>Cuerda por ojal</t>
        </is>
      </c>
      <c r="B25" s="142" t="n">
        <v>1</v>
      </c>
      <c r="C25" s="83" t="inlineStr">
        <is>
          <t>m</t>
        </is>
      </c>
      <c r="D25" s="141" t="inlineStr">
        <is>
          <t>Estimación propia.</t>
        </is>
      </c>
    </row>
    <row r="26" ht="19.5" customHeight="1" s="65">
      <c r="A26" s="125" t="inlineStr">
        <is>
          <t>Superficie de la lona</t>
        </is>
      </c>
      <c r="B26" s="142">
        <f>41*24.5</f>
        <v/>
      </c>
      <c r="C26" s="128" t="inlineStr">
        <is>
          <t>m²</t>
        </is>
      </c>
      <c r="D26" s="143" t="inlineStr">
        <is>
          <t>Lona de 41 × 24,5 m (cotización de Romela).</t>
        </is>
      </c>
    </row>
    <row r="27" ht="19.5" customHeight="1" s="65">
      <c r="A27" s="82" t="inlineStr">
        <is>
          <t>Superficie de un paño de Polientile</t>
        </is>
      </c>
      <c r="B27" s="142">
        <f>1*4.2</f>
        <v/>
      </c>
      <c r="C27" s="83" t="inlineStr">
        <is>
          <t>m²</t>
        </is>
      </c>
      <c r="D27" s="141" t="inlineStr">
        <is>
          <t>Cotización de Polientile: paño de 1 × 4,20 m (dato del equipo).</t>
        </is>
      </c>
    </row>
    <row r="29" ht="24" customHeight="1" s="65">
      <c r="A29" s="144" t="inlineStr">
        <is>
          <t>Otros supuestos (sin número)</t>
        </is>
      </c>
    </row>
    <row r="30" ht="18" customHeight="1" s="65">
      <c r="A30" s="145" t="inlineStr">
        <is>
          <t>• Precios leídos de las páginas de cada proveedor el 1/10/2026. Hay que confirmarlos al comprar.</t>
        </is>
      </c>
    </row>
    <row r="31" ht="18" customHeight="1" s="65">
      <c r="A31" s="145" t="inlineStr">
        <is>
          <t>• Appelsa publica en dólares, por unidad y SIN IVA (lo dice su página). Se le suma el IVA de la celda B5.</t>
        </is>
      </c>
    </row>
    <row r="32" ht="18" customHeight="1" s="65">
      <c r="A32" s="145" t="inlineStr">
        <is>
          <t>• Sodimac, Barraca Julia y Polietileno Obelisco: precios al público CON IVA incluido.</t>
        </is>
      </c>
    </row>
    <row r="33" ht="18" customHeight="1" s="65">
      <c r="A33" s="145" t="inlineStr">
        <is>
          <t>• Bianchi: la página no aclara el IVA; se toma como precio al público con IVA incluido. Confirmar.</t>
        </is>
      </c>
    </row>
    <row r="34" ht="30" customHeight="1" s="65">
      <c r="A34" s="145" t="inlineStr">
        <is>
          <t>• Cable de 16 mm y de 12 mm de Bianchi: la página no dice la unidad; se toma como precio por metro (el de 5 mm dice "por metro"). Confirmar.</t>
        </is>
      </c>
    </row>
    <row r="35" ht="30" customHeight="1" s="65">
      <c r="A35" s="145" t="inlineStr">
        <is>
          <t>• Diámetro exterior del caño de 6" de Appelsa: unos 165 mm (deducido de 11,97 kg/m con 3 mm de pared). Por eso la vaina es el tubo de 200 × 200 mm: el de 180 × 180 deja muy poca holgura.</t>
        </is>
      </c>
    </row>
    <row r="36" ht="18" customHeight="1" s="65">
      <c r="A36" s="145" t="inlineStr">
        <is>
          <t>• Cargas de diseño (de Recomendacion_postes_Idea2.docx): viento de 0,35 kN/m² y hasta 5,6 t por cable principal.</t>
        </is>
      </c>
    </row>
    <row r="37" ht="18" customHeight="1" s="65">
      <c r="A37" s="145" t="inlineStr">
        <is>
          <t>• Dólares y pesos se suman por separado: no se usa tipo de cambio.</t>
        </is>
      </c>
    </row>
  </sheetData>
  <mergeCells count="8">
    <mergeCell ref="A37:D37"/>
    <mergeCell ref="A31:D31"/>
    <mergeCell ref="A34:D34"/>
    <mergeCell ref="A35:D35"/>
    <mergeCell ref="A30:D30"/>
    <mergeCell ref="A33:D33"/>
    <mergeCell ref="A32:D32"/>
    <mergeCell ref="A36:D3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F9000"/>
    <outlinePr summaryBelow="1" summaryRight="1"/>
    <pageSetUpPr fitToPage="1"/>
  </sheetPr>
  <dimension ref="A1:B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10" activeCellId="0" sqref="B10"/>
    </sheetView>
  </sheetViews>
  <sheetFormatPr baseColWidth="8" defaultColWidth="8.54296875" defaultRowHeight="15" customHeight="0" zeroHeight="0" outlineLevelRow="0"/>
  <cols>
    <col width="30" customWidth="1" style="64" min="1" max="1"/>
    <col width="100" customWidth="1" style="64" min="2" max="2"/>
  </cols>
  <sheetData>
    <row r="1" ht="30" customHeight="1" s="65">
      <c r="A1" s="66" t="inlineStr">
        <is>
          <t>Observaciones</t>
        </is>
      </c>
    </row>
    <row r="2" ht="18" customHeight="1" s="65">
      <c r="A2" s="69" t="inlineStr">
        <is>
          <t>Datos relevantes que no entran en los totales.</t>
        </is>
      </c>
    </row>
    <row r="3" ht="7.5" customHeight="1" s="65">
      <c r="A3" s="71" t="n"/>
      <c r="B3" s="71" t="n"/>
    </row>
    <row r="4" ht="21.75" customHeight="1" s="65">
      <c r="A4" s="146" t="inlineStr">
        <is>
          <t>No incluido en los gastos</t>
        </is>
      </c>
      <c r="B4" s="147" t="n"/>
    </row>
    <row r="5" ht="21.75" customHeight="1" s="65">
      <c r="A5" s="148" t="inlineStr">
        <is>
          <t>Mano de obra</t>
        </is>
      </c>
      <c r="B5" s="82" t="inlineStr">
        <is>
          <t>No se incluye en ningún cálculo: armado, montaje, soldadura y cortes quedan fuera.</t>
        </is>
      </c>
    </row>
    <row r="6" ht="31.5" customHeight="1" s="65">
      <c r="A6" s="148" t="inlineStr">
        <is>
          <t>Hormigón</t>
        </is>
      </c>
      <c r="B6" s="82" t="inlineStr">
        <is>
          <t>No se incluye porque habría que perforar el piso del colegio y usar ese material. Serían 12 bases de unos 1,4 m³ (cerca de 17 m³) y 3 bloques para los tensores del borde sur.</t>
        </is>
      </c>
    </row>
    <row r="7" ht="21.75" customHeight="1" s="65">
      <c r="A7" s="148" t="inlineStr">
        <is>
          <t>Ingeniero estructural</t>
        </is>
      </c>
      <c r="B7" s="82" t="inlineStr">
        <is>
          <t>Tiene que verificar y firmar el cálculo: viento, cables, anclajes, vainas, empalmes y bases.</t>
        </is>
      </c>
    </row>
    <row r="8" ht="21.75" customHeight="1" s="65">
      <c r="A8" s="148" t="inlineStr">
        <is>
          <t>Galvanizado en caliente</t>
        </is>
      </c>
      <c r="B8" s="82" t="inlineStr">
        <is>
          <t>Tubacero lo hace a terceros (Coronel Raíz 949, tel. 2354 3300), pero no publica precio.</t>
        </is>
      </c>
    </row>
    <row r="9" ht="21.75" customHeight="1" s="65">
      <c r="A9" s="148" t="inlineStr">
        <is>
          <t>Plataforma elevadora o grúa</t>
        </is>
      </c>
      <c r="B9" s="82" t="inlineStr">
        <is>
          <t>Hace falta para trabajar a 7 m y parar postes de unos 96 kg. Sin precio publicado.</t>
        </is>
      </c>
    </row>
    <row r="10" ht="31.5" customHeight="1" s="65">
      <c r="A10" s="148" t="inlineStr">
        <is>
          <t>Guardacabos 16 mm y tuercas 1/2"</t>
        </is>
      </c>
      <c r="B10" s="82" t="inlineStr">
        <is>
          <t>No encontramos precio online. Comprarlos junto con el resto de la ferretería.</t>
        </is>
      </c>
    </row>
    <row r="12" ht="21.75" customHeight="1" s="65">
      <c r="A12" s="146" t="inlineStr">
        <is>
          <t>Avisos técnicos</t>
        </is>
      </c>
      <c r="B12" s="147" t="n"/>
    </row>
    <row r="13" ht="31.5" customHeight="1" s="65">
      <c r="A13" s="148" t="inlineStr">
        <is>
          <t>Cables y tensores</t>
        </is>
      </c>
      <c r="B13" s="82" t="inlineStr">
        <is>
          <t>El cable de 16 mm (alma de cáñamo) y los tensores con gancho no publican su carga de trabajo. El ingeniero puede pedir cable de alma de acero, más diámetro o tensores certificados ojo-ojo.</t>
        </is>
      </c>
    </row>
    <row r="14" ht="21.75" customHeight="1" s="65">
      <c r="A14" s="148" t="inlineStr">
        <is>
          <t>Caño de Appelsa</t>
        </is>
      </c>
      <c r="B14" s="82" t="inlineStr">
        <is>
          <t>La página no aclara si el caño es galvanizado o negro. Si es negro, hay que galvanizarlo o protegerlo.</t>
        </is>
      </c>
    </row>
    <row r="15" ht="21.75" customHeight="1" s="65">
      <c r="A15" s="148" t="inlineStr">
        <is>
          <t>Cotizaciones propias</t>
        </is>
      </c>
      <c r="B15" s="82" t="inlineStr">
        <is>
          <t>Romela Toldos, Polientile y Nico están en la carpeta Cotizaciones del proyecto.</t>
        </is>
      </c>
    </row>
    <row r="16" ht="31.5" customHeight="1" s="65">
      <c r="A16" s="148" t="inlineStr">
        <is>
          <t>Techo de Nico</t>
        </is>
      </c>
      <c r="B16" s="82" t="inlineStr">
        <is>
          <t>Su cotización ("muy por arriba de 50 dólares por m²") era para un techo de chapa con estructura metálica, no para esta idea; por eso no figura como proveedor.</t>
        </is>
      </c>
    </row>
    <row r="18" ht="21.75" customHeight="1" s="65">
      <c r="A18" s="146" t="inlineStr">
        <is>
          <t>Poste desmontable</t>
        </is>
      </c>
      <c r="B18" s="147" t="n"/>
    </row>
    <row r="19" ht="15" customHeight="1" s="65">
      <c r="A19" s="69" t="inlineStr">
        <is>
          <t>Vaina enterrada con tapa a ras del piso (izquierda) y poste montado con la malla (derecha). Esquema sin escala.</t>
        </is>
      </c>
    </row>
  </sheetData>
  <mergeCells count="1">
    <mergeCell ref="A19:B19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es-419</dc:language>
  <dcterms:created xmlns:dcterms="http://purl.org/dc/terms/" xmlns:xsi="http://www.w3.org/2001/XMLSchema-instance" xsi:type="dcterms:W3CDTF">2026-10-02T00:03:11Z</dcterms:created>
  <dcterms:modified xmlns:dcterms="http://purl.org/dc/terms/" xmlns:xsi="http://www.w3.org/2001/XMLSchema-instance" xsi:type="dcterms:W3CDTF">2026-10-02T20:34:34Z</dcterms:modified>
  <cp:revision>1</cp:revision>
</cp:coreProperties>
</file>