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go único" sheetId="2" state="visible" r:id="rId2"/>
    <sheet xmlns:r="http://schemas.openxmlformats.org/officeDocument/2006/relationships" name="Rentabilidad" sheetId="3" state="visible" r:id="rId3"/>
    <sheet xmlns:r="http://schemas.openxmlformats.org/officeDocument/2006/relationships" name="Supuestos" sheetId="4" state="visible" r:id="rId4"/>
  </sheets>
  <definedNames>
    <definedName name="_xlnm.Print_Area" localSheetId="0">'Resumen'!$A$1:$N$32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 &quot;#,##0"/>
    <numFmt numFmtId="165" formatCode="0.0"/>
    <numFmt numFmtId="166" formatCode="0.0%"/>
    <numFmt numFmtId="167" formatCode="&quot;US$ &quot;#,##0.00"/>
    <numFmt numFmtId="168" formatCode="0.0&quot; años&quot;"/>
    <numFmt numFmtId="169" formatCode="&quot;$ &quot;#,##0&quot; / año&quot;"/>
    <numFmt numFmtId="170" formatCode="0.0&quot; usos por año&quot;"/>
  </numFmts>
  <fonts count="2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color rgb="00595959"/>
      <sz val="10"/>
    </font>
    <font>
      <name val="Arial"/>
      <b val="1"/>
      <color rgb="001F4E79"/>
      <sz val="22"/>
    </font>
    <font>
      <name val="Arial"/>
      <color rgb="00595959"/>
      <sz val="11"/>
    </font>
    <font>
      <name val="Arial"/>
      <b val="1"/>
      <color rgb="00595959"/>
      <sz val="9"/>
    </font>
    <font>
      <name val="Arial"/>
      <b val="1"/>
      <color rgb="001F4E79"/>
      <sz val="24"/>
    </font>
    <font>
      <name val="Arial"/>
      <color rgb="00595959"/>
      <sz val="9"/>
    </font>
    <font>
      <name val="Arial"/>
      <b val="1"/>
      <color rgb="002E7D32"/>
      <sz val="24"/>
    </font>
    <font>
      <name val="Arial"/>
      <i val="1"/>
      <color rgb="00595959"/>
      <sz val="9"/>
    </font>
    <font>
      <name val="Arial"/>
      <b val="1"/>
      <color rgb="00C55A11"/>
      <sz val="18"/>
    </font>
    <font>
      <name val="Arial"/>
      <b val="1"/>
      <color rgb="002E7D32"/>
      <sz val="18"/>
    </font>
    <font>
      <name val="Arial"/>
      <b val="1"/>
      <color rgb="002E7D32"/>
      <sz val="10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6FA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top style="thick">
        <color rgb="001F4E79"/>
      </top>
    </border>
    <border>
      <top style="thick">
        <color rgb="002E7D32"/>
      </top>
    </border>
    <border>
      <top style="thick">
        <color rgb="00C55A11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11" fillId="5" borderId="3" applyAlignment="1" pivotButton="0" quotePrefix="0" xfId="0">
      <alignment horizontal="center" vertical="center"/>
    </xf>
    <xf numFmtId="0" fontId="0" fillId="5" borderId="3" pivotButton="0" quotePrefix="0" xfId="0"/>
    <xf numFmtId="164" fontId="12" fillId="5" borderId="0" applyAlignment="1" pivotButton="0" quotePrefix="0" xfId="0">
      <alignment horizontal="center" vertical="center"/>
    </xf>
    <xf numFmtId="0" fontId="0" fillId="5" borderId="0" pivotButton="0" quotePrefix="0" xfId="0"/>
    <xf numFmtId="168" fontId="12" fillId="5" borderId="0" applyAlignment="1" pivotButton="0" quotePrefix="0" xfId="0">
      <alignment horizontal="center" vertical="center"/>
    </xf>
    <xf numFmtId="164" fontId="14" fillId="5" borderId="0" applyAlignment="1" pivotButton="0" quotePrefix="0" xfId="0">
      <alignment horizontal="center" vertical="center"/>
    </xf>
    <xf numFmtId="166" fontId="14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5" fillId="0" borderId="0" pivotButton="0" quotePrefix="0" xfId="0"/>
    <xf numFmtId="0" fontId="6" fillId="0" borderId="0" pivotButton="0" quotePrefix="0" xfId="0"/>
    <xf numFmtId="0" fontId="11" fillId="5" borderId="4" applyAlignment="1" pivotButton="0" quotePrefix="0" xfId="0">
      <alignment horizontal="center" vertical="center"/>
    </xf>
    <xf numFmtId="0" fontId="0" fillId="5" borderId="4" pivotButton="0" quotePrefix="0" xfId="0"/>
    <xf numFmtId="169" fontId="16" fillId="5" borderId="0" applyAlignment="1" pivotButton="0" quotePrefix="0" xfId="0">
      <alignment horizontal="center" vertical="center"/>
    </xf>
    <xf numFmtId="164" fontId="1" fillId="5" borderId="0" applyAlignment="1" pivotButton="0" quotePrefix="0" xfId="0">
      <alignment horizontal="center" vertical="center"/>
    </xf>
    <xf numFmtId="170" fontId="17" fillId="5" borderId="0" applyAlignment="1" pivotButton="0" quotePrefix="0" xfId="0">
      <alignment horizontal="center" vertical="center"/>
    </xf>
    <xf numFmtId="0" fontId="1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5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9" fontId="4" fillId="0" borderId="1" applyAlignment="1" pivotButton="0" quotePrefix="0" xfId="0">
      <alignment horizontal="center" vertical="center"/>
    </xf>
    <xf numFmtId="0" fontId="7" fillId="4" borderId="1" pivotButton="0" quotePrefix="0" xfId="0"/>
    <xf numFmtId="167" fontId="7" fillId="4" borderId="1" pivotButton="0" quotePrefix="0" xfId="0"/>
    <xf numFmtId="164" fontId="7" fillId="4" borderId="1" pivotButton="0" quotePrefix="0" xfId="0"/>
    <xf numFmtId="9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19" fillId="0" borderId="0" pivotButton="0" quotePrefix="0" xfId="0"/>
    <xf numFmtId="0" fontId="7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2" fontId="18" fillId="4" borderId="1" applyAlignment="1" pivotButton="0" quotePrefix="0" xfId="0">
      <alignment horizontal="right" vertical="center"/>
    </xf>
    <xf numFmtId="0" fontId="4" fillId="4" borderId="1" pivotButton="0" quotePrefix="0" xfId="0"/>
    <xf numFmtId="1" fontId="5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5" fillId="3" borderId="1" pivotButton="0" quotePrefix="0" xfId="0"/>
    <xf numFmtId="1" fontId="5" fillId="3" borderId="1" pivotButton="0" quotePrefix="0" xfId="0"/>
    <xf numFmtId="1" fontId="5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165" fontId="7" fillId="0" borderId="1" pivotButton="0" quotePrefix="0" xfId="0"/>
    <xf numFmtId="9" fontId="7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acumulado: carpa vs. malla (pesos)</a:t>
            </a:r>
          </a:p>
        </rich>
      </tx>
    </title>
    <plotArea>
      <lineChart>
        <grouping val="standard"/>
        <ser>
          <idx val="0"/>
          <order val="0"/>
          <tx>
            <strRef>
              <f>'Supuestos'!B30</f>
            </strRef>
          </tx>
          <spPr>
            <a:ln xmlns:a="http://schemas.openxmlformats.org/drawingml/2006/main" w="3200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'Supuestos'!$A$31:$A$51</f>
            </numRef>
          </cat>
          <val>
            <numRef>
              <f>'Supuestos'!$B$31:$B$51</f>
            </numRef>
          </val>
          <smooth val="0"/>
        </ser>
        <ser>
          <idx val="1"/>
          <order val="1"/>
          <tx>
            <strRef>
              <f>'Supuestos'!C30</f>
            </strRef>
          </tx>
          <spPr>
            <a:ln xmlns:a="http://schemas.openxmlformats.org/drawingml/2006/main" w="3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'Supuestos'!$A$31:$A$51</f>
            </numRef>
          </cat>
          <val>
            <numRef>
              <f>'Supuestos'!$C$31:$C$51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Dónde va la plata (pesos)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'Pago único'!E4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'Pago único'!$B$5:$B$9</f>
            </numRef>
          </cat>
          <val>
            <numRef>
              <f>'Pago único'!$E$5:$E$9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Años para ser rentable según usos por año</a:t>
            </a:r>
          </a:p>
        </rich>
      </tx>
    </title>
    <plotArea>
      <scatterChart>
        <ser>
          <idx val="0"/>
          <order val="0"/>
          <tx>
            <v>Primer cruce</v>
          </tx>
          <spPr>
            <a:ln xmlns:a="http://schemas.openxmlformats.org/drawingml/2006/main" w="32000">
              <a:solidFill>
                <a:srgbClr val="1F4E79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xVal>
            <numRef>
              <f>'Rentabilidad'!$A$25:$A$35</f>
            </numRef>
          </xVal>
          <yVal>
            <numRef>
              <f>'Rentabilidad'!$E$25:$E$35</f>
            </numRef>
          </yVal>
        </ser>
        <ser>
          <idx val="1"/>
          <order val="1"/>
          <tx>
            <v>Sin recaídas</v>
          </tx>
          <spPr>
            <a:ln xmlns:a="http://schemas.openxmlformats.org/drawingml/2006/main" w="32000">
              <a:solidFill>
                <a:srgbClr val="C55A11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prstDash val="solid"/>
              </a:ln>
            </spPr>
          </marker>
          <xVal>
            <numRef>
              <f>'Rentabilidad'!$A$25:$A$35</f>
            </numRef>
          </xVal>
          <yVal>
            <numRef>
              <f>'Rentabilidad'!$F$25:$F$35</f>
            </numRef>
          </yVal>
        </ser>
        <axId val="10"/>
        <axId val="20"/>
      </scatterChart>
      <valAx>
        <axId val="10"/>
        <scaling>
          <orientation val="minMax"/>
          <max val="12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Usos (eventos) por año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Ahorro neto a 20 años según usos por año (pesos)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'Rentabilidad'!G23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'Rentabilidad'!$A$24:$A$35</f>
            </numRef>
          </cat>
          <val>
            <numRef>
              <f>'Rentabilidad'!$G$24:$G$35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Usos por 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076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7</row>
      <rowOff>0</rowOff>
    </from>
    <ext cx="50863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36" customHeight="1">
      <c r="B1" s="1">
        <f>IF(ISNUMBER(Supuestos!B17),"Con "&amp;Supuestos!B6&amp;" eventos al año, la malla se paga sola en "&amp;ROUND(Supuestos!B17,1)&amp;" años","Con "&amp;Supuestos!B6&amp;" eventos al año la malla no se recupera: hacen falta más de "&amp;ROUND(Rentabilidad!B20,1)&amp;" usos por año")</f>
        <v/>
      </c>
    </row>
    <row r="2" ht="20" customHeight="1">
      <c r="B2" s="2">
        <f>"Idea final: malla sobre cables que reemplaza la carpa de $ 100.000 por evento. Se paga todo el día 1 y se evalúa a "&amp;Supuestos!B15&amp;" años."</f>
        <v/>
      </c>
    </row>
    <row r="3" ht="10" customHeight="1"/>
    <row r="4" ht="22" customHeight="1">
      <c r="B4" s="3" t="inlineStr">
        <is>
          <t>INVERSIÓN, PAGO ÚNICO DÍA 1</t>
        </is>
      </c>
      <c r="C4" s="4" t="n"/>
      <c r="D4" s="4" t="n"/>
      <c r="E4" s="3" t="inlineStr">
        <is>
          <t>SE RECUPERA EN</t>
        </is>
      </c>
      <c r="F4" s="4" t="n"/>
      <c r="G4" s="4" t="n"/>
      <c r="H4" s="5">
        <f>"AHORRO NETO A "&amp;Supuestos!B15&amp;" AÑOS"</f>
        <v/>
      </c>
      <c r="I4" s="6" t="n"/>
      <c r="J4" s="6" t="n"/>
      <c r="K4" s="5" t="inlineStr">
        <is>
          <t>TIR ANUAL</t>
        </is>
      </c>
      <c r="L4" s="6" t="n"/>
      <c r="M4" s="6" t="n"/>
    </row>
    <row r="5" ht="42" customHeight="1">
      <c r="B5" s="7">
        <f>Supuestos!B13</f>
        <v/>
      </c>
      <c r="C5" s="8" t="n"/>
      <c r="D5" s="8" t="n"/>
      <c r="E5" s="9">
        <f>Supuestos!B17</f>
        <v/>
      </c>
      <c r="F5" s="8" t="n"/>
      <c r="G5" s="8" t="n"/>
      <c r="H5" s="10">
        <f>Supuestos!B19</f>
        <v/>
      </c>
      <c r="I5" s="8" t="n"/>
      <c r="J5" s="8" t="n"/>
      <c r="K5" s="11">
        <f>Supuestos!B21</f>
        <v/>
      </c>
      <c r="L5" s="8" t="n"/>
      <c r="M5" s="8" t="n"/>
    </row>
    <row r="6" ht="20" customHeight="1">
      <c r="B6" s="12" t="inlineStr">
        <is>
          <t>con IVA, todos los materiales</t>
        </is>
      </c>
      <c r="C6" s="8" t="n"/>
      <c r="D6" s="8" t="n"/>
      <c r="E6" s="12">
        <f>"equivale a "&amp;Supuestos!B18&amp;" usos de carpa"</f>
        <v/>
      </c>
      <c r="F6" s="8" t="n"/>
      <c r="G6" s="8" t="n"/>
      <c r="H6" s="12">
        <f>"con "&amp;Supuestos!B16&amp;" reposiciones de lona"</f>
        <v/>
      </c>
      <c r="I6" s="8" t="n"/>
      <c r="J6" s="8" t="n"/>
      <c r="K6" s="12" t="inlineStr">
        <is>
          <t>rendimiento de la inversión</t>
        </is>
      </c>
      <c r="L6" s="8" t="n"/>
      <c r="M6" s="8" t="n"/>
    </row>
    <row r="7" ht="12" customHeight="1"/>
    <row r="24">
      <c r="B24" s="13" t="inlineStr">
        <is>
          <t>Render de la idea final a las 12:30: la malla cubre la zona del público.</t>
        </is>
      </c>
    </row>
    <row r="26">
      <c r="B26" s="14" t="inlineStr">
        <is>
          <t>Lo que hay que saber a largo plazo</t>
        </is>
      </c>
    </row>
    <row r="27" ht="18" customHeight="1">
      <c r="B27" s="15" t="inlineStr">
        <is>
          <t>CARPA QUE SE DEJA DE PAGAR</t>
        </is>
      </c>
      <c r="C27" s="16" t="n"/>
      <c r="D27" s="16" t="n"/>
      <c r="E27" s="16" t="n"/>
      <c r="F27" s="3" t="inlineStr">
        <is>
          <t>REPOSICIÓN DE LA LONA</t>
        </is>
      </c>
      <c r="G27" s="4" t="n"/>
      <c r="H27" s="4" t="n"/>
      <c r="I27" s="4" t="n"/>
      <c r="J27" s="5" t="inlineStr">
        <is>
          <t>USOS MÍNIMOS PARA SER RENTABLE</t>
        </is>
      </c>
      <c r="K27" s="6" t="n"/>
      <c r="L27" s="6" t="n"/>
      <c r="M27" s="6" t="n"/>
    </row>
    <row r="28" ht="30" customHeight="1">
      <c r="B28" s="17">
        <f>Supuestos!B12</f>
        <v/>
      </c>
      <c r="C28" s="8" t="n"/>
      <c r="D28" s="8" t="n"/>
      <c r="E28" s="8" t="n"/>
      <c r="F28" s="18">
        <f>Supuestos!B14</f>
        <v/>
      </c>
      <c r="G28" s="8" t="n"/>
      <c r="H28" s="8" t="n"/>
      <c r="I28" s="8" t="n"/>
      <c r="J28" s="19">
        <f>Rentabilidad!B20</f>
        <v/>
      </c>
      <c r="K28" s="8" t="n"/>
      <c r="L28" s="8" t="n"/>
      <c r="M28" s="8" t="n"/>
    </row>
    <row r="29" ht="18" customHeight="1">
      <c r="B29" s="12">
        <f>"con "&amp;Supuestos!B6&amp;" eventos × $ 100.000"</f>
        <v/>
      </c>
      <c r="C29" s="8" t="n"/>
      <c r="D29" s="8" t="n"/>
      <c r="E29" s="8" t="n"/>
      <c r="F29" s="12">
        <f>"lona + cuerda, cada "&amp;Supuestos!B8&amp;" años"</f>
        <v/>
      </c>
      <c r="G29" s="8" t="n"/>
      <c r="H29" s="8" t="n"/>
      <c r="I29" s="8" t="n"/>
      <c r="J29" s="12" t="inlineStr">
        <is>
          <t>con menos, la malla nunca se recupera</t>
        </is>
      </c>
      <c r="K29" s="8" t="n"/>
      <c r="L29" s="8" t="n"/>
      <c r="M29" s="8" t="n"/>
    </row>
    <row r="30">
      <c r="B30" s="20">
        <f>IF(ISNUMBER(Supuestos!B22),"Cada reposición de la lona hace caer el ahorro acumulado: queda rentable sin recaídas desde el año "&amp;ROUND(Supuestos!B22,1)&amp;".","")</f>
        <v/>
      </c>
    </row>
    <row r="31">
      <c r="B31" s="13">
        <f>"A confirmar: "&amp;Supuestos!B6&amp;" eventos por año y dólar a $ "&amp;Supuestos!B5&amp;". Precios constantes. Reposición sin mano de obra ni plataforma."</f>
        <v/>
      </c>
    </row>
  </sheetData>
  <mergeCells count="21">
    <mergeCell ref="F27:I27"/>
    <mergeCell ref="E6:G6"/>
    <mergeCell ref="H6:J6"/>
    <mergeCell ref="F29:I29"/>
    <mergeCell ref="J29:M29"/>
    <mergeCell ref="B6:D6"/>
    <mergeCell ref="J28:M28"/>
    <mergeCell ref="B27:E27"/>
    <mergeCell ref="B5:D5"/>
    <mergeCell ref="K4:M4"/>
    <mergeCell ref="K6:M6"/>
    <mergeCell ref="H5:J5"/>
    <mergeCell ref="B4:D4"/>
    <mergeCell ref="J27:M27"/>
    <mergeCell ref="E5:G5"/>
    <mergeCell ref="K5:M5"/>
    <mergeCell ref="H4:J4"/>
    <mergeCell ref="B29:E29"/>
    <mergeCell ref="E4:G4"/>
    <mergeCell ref="B28:E28"/>
    <mergeCell ref="F28:I28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21" t="inlineStr">
        <is>
          <t>Pago único el día 1</t>
        </is>
      </c>
    </row>
    <row r="2">
      <c r="A2" s="22" t="inlineStr">
        <is>
          <t>Todo se paga junto al hacer los pedidos. Montos con IVA.</t>
        </is>
      </c>
    </row>
    <row r="4" ht="22" customHeight="1">
      <c r="B4" s="23" t="inlineStr">
        <is>
          <t>Proveedor</t>
        </is>
      </c>
      <c r="C4" s="23" t="inlineStr">
        <is>
          <t>En dólares</t>
        </is>
      </c>
      <c r="D4" s="23" t="inlineStr">
        <is>
          <t>En pesos</t>
        </is>
      </c>
      <c r="E4" s="23" t="inlineStr">
        <is>
          <t>Total en pesos</t>
        </is>
      </c>
      <c r="F4" s="23" t="inlineStr">
        <is>
          <t>% del total</t>
        </is>
      </c>
    </row>
    <row r="5">
      <c r="B5" s="24" t="inlineStr">
        <is>
          <t>Romela Toldos (lona)</t>
        </is>
      </c>
      <c r="C5" s="25" t="n">
        <v>17873</v>
      </c>
      <c r="D5" s="26" t="n">
        <v>0</v>
      </c>
      <c r="E5" s="27">
        <f>C5*Supuestos!$B$5+D5</f>
        <v/>
      </c>
      <c r="F5" s="28">
        <f>E5/$E$10</f>
        <v/>
      </c>
    </row>
    <row r="6">
      <c r="B6" s="24" t="inlineStr">
        <is>
          <t>Appelsa (postes y estructura)</t>
        </is>
      </c>
      <c r="C6" s="25" t="n">
        <v>4180.6228</v>
      </c>
      <c r="D6" s="26" t="n">
        <v>0</v>
      </c>
      <c r="E6" s="27">
        <f>C6*Supuestos!$B$5+D6</f>
        <v/>
      </c>
      <c r="F6" s="28">
        <f>E6/$E$10</f>
        <v/>
      </c>
    </row>
    <row r="7">
      <c r="B7" s="24" t="inlineStr">
        <is>
          <t>Bianchi (cables y accesorios)</t>
        </is>
      </c>
      <c r="C7" s="25" t="n">
        <v>503.78</v>
      </c>
      <c r="D7" s="26" t="n">
        <v>127301</v>
      </c>
      <c r="E7" s="27">
        <f>C7*Supuestos!$B$5+D7</f>
        <v/>
      </c>
      <c r="F7" s="28">
        <f>E7/$E$10</f>
        <v/>
      </c>
    </row>
    <row r="8">
      <c r="B8" s="24" t="inlineStr">
        <is>
          <t>Sodimac (anclajes)</t>
        </is>
      </c>
      <c r="C8" s="25" t="n">
        <v>0</v>
      </c>
      <c r="D8" s="26" t="n">
        <v>10146</v>
      </c>
      <c r="E8" s="27">
        <f>C8*Supuestos!$B$5+D8</f>
        <v/>
      </c>
      <c r="F8" s="28">
        <f>E8/$E$10</f>
        <v/>
      </c>
    </row>
    <row r="9">
      <c r="B9" s="24" t="inlineStr">
        <is>
          <t>Polietileno Obelisco (cuerda)</t>
        </is>
      </c>
      <c r="C9" s="25" t="n">
        <v>0</v>
      </c>
      <c r="D9" s="26" t="n">
        <v>14400</v>
      </c>
      <c r="E9" s="27">
        <f>C9*Supuestos!$B$5+D9</f>
        <v/>
      </c>
      <c r="F9" s="28">
        <f>E9/$E$10</f>
        <v/>
      </c>
    </row>
    <row r="10">
      <c r="B10" s="29" t="inlineStr">
        <is>
          <t>Total a pagar el día 1</t>
        </is>
      </c>
      <c r="C10" s="30">
        <f>SUM(C5:C9)</f>
        <v/>
      </c>
      <c r="D10" s="31">
        <f>SUM(D5:D9)</f>
        <v/>
      </c>
      <c r="E10" s="31">
        <f>SUM(E5:E9)</f>
        <v/>
      </c>
      <c r="F10" s="32">
        <f>SUM(F5:F9)</f>
        <v/>
      </c>
    </row>
    <row r="11">
      <c r="B11" s="22" t="inlineStr">
        <is>
          <t>Fuente: Gastos.xlsx (hoja Gastos), totales con IVA, precios al 1/10/2026. Si cambian allá, actualizar las celdas azules.</t>
        </is>
      </c>
    </row>
  </sheetData>
  <conditionalFormatting sqref="F5:F9">
    <cfRule type="dataBar" priority="1">
      <dataBar showValue="1">
        <cfvo type="num" val="0"/>
        <cfvo type="num" val="1"/>
        <color rgb="001F4E7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18" customWidth="1" min="4" max="4"/>
    <col width="24" customWidth="1" min="5" max="5"/>
    <col width="26" customWidth="1" min="6" max="6"/>
    <col width="26" customWidth="1" min="7" max="7"/>
    <col width="20" customWidth="1" min="8" max="8"/>
  </cols>
  <sheetData>
    <row r="1">
      <c r="A1" s="21" t="inlineStr">
        <is>
          <t>Rentabilidad según los usos por año</t>
        </is>
      </c>
    </row>
    <row r="2">
      <c r="A2" s="22" t="inlineStr">
        <is>
          <t>Todo incluye el desgaste de la lona: se repone entera cada L años. u = eventos por año.</t>
        </is>
      </c>
    </row>
    <row r="4">
      <c r="A4" s="14" t="inlineStr">
        <is>
          <t>La ecuación</t>
        </is>
      </c>
    </row>
    <row r="5">
      <c r="A5" s="33" t="inlineStr">
        <is>
          <t>Ahorro neto acumulado (exacto, con escalones):</t>
        </is>
      </c>
      <c r="B5" s="34" t="inlineStr">
        <is>
          <t>N(t) = u·c·t − I − R·(⌈t/L⌉ − 1)</t>
        </is>
      </c>
    </row>
    <row r="6">
      <c r="A6" s="33" t="inlineStr">
        <is>
          <t>Primer cruce: años hasta que N(t) llega a 0:</t>
        </is>
      </c>
      <c r="B6" s="34" t="inlineStr">
        <is>
          <t>k = ⌈(I − u·c·L) / (u·c·L − R)⌉ (mínimo 0),   t₁ = (I + k·R) / (u·c)</t>
        </is>
      </c>
    </row>
    <row r="7">
      <c r="A7" s="33" t="inlineStr">
        <is>
          <t>Queda rentable sin recaídas desde:</t>
        </is>
      </c>
      <c r="B7" s="34" t="inlineStr">
        <is>
          <t>k′ = ⌈I / (u·c·L − R)⌉,   t₂ = (I + (k′−1)·R) / (u·c)</t>
        </is>
      </c>
    </row>
    <row r="8">
      <c r="A8" s="33" t="inlineStr">
        <is>
          <t>Aproximación de largo plazo (lona repartida):</t>
        </is>
      </c>
      <c r="B8" s="34" t="inlineStr">
        <is>
          <t>t*(u) = I / (u·c − R/L),   válida solo si u·c &gt; R/L</t>
        </is>
      </c>
    </row>
    <row r="9">
      <c r="A9" s="33" t="inlineStr">
        <is>
          <t>Usos mínimos por año para que algún día sea rentable:</t>
        </is>
      </c>
      <c r="B9" s="34" t="inlineStr">
        <is>
          <t>u &gt; R / (L·c)</t>
        </is>
      </c>
    </row>
    <row r="10">
      <c r="A10" s="22" t="inlineStr">
        <is>
          <t>Cada vez que se repone la lona, el ahorro acumulado vuelve a caer: por eso hay "primer cruce" y "sin recaídas".</t>
        </is>
      </c>
    </row>
    <row r="12" ht="22" customHeight="1">
      <c r="A12" s="23" t="inlineStr">
        <is>
          <t>Símbolo</t>
        </is>
      </c>
      <c r="B12" s="23" t="inlineStr">
        <is>
          <t>Valor</t>
        </is>
      </c>
      <c r="C12" s="23" t="inlineStr">
        <is>
          <t>Qué es</t>
        </is>
      </c>
    </row>
    <row r="13">
      <c r="A13" s="35" t="inlineStr">
        <is>
          <t>u</t>
        </is>
      </c>
      <c r="B13" s="36" t="inlineStr">
        <is>
          <t>variable</t>
        </is>
      </c>
      <c r="C13" s="24" t="inlineStr">
        <is>
          <t>Usos (eventos) por año: la variable</t>
        </is>
      </c>
    </row>
    <row r="14">
      <c r="A14" s="35" t="inlineStr">
        <is>
          <t>c</t>
        </is>
      </c>
      <c r="B14" s="37">
        <f>Supuestos!B7</f>
        <v/>
      </c>
      <c r="C14" s="24" t="inlineStr">
        <is>
          <t>Costo de la carpa por uso</t>
        </is>
      </c>
    </row>
    <row r="15">
      <c r="A15" s="35" t="inlineStr">
        <is>
          <t>I</t>
        </is>
      </c>
      <c r="B15" s="37">
        <f>Supuestos!B13</f>
        <v/>
      </c>
      <c r="C15" s="24" t="inlineStr">
        <is>
          <t>Inversión inicial, pagada el día 1</t>
        </is>
      </c>
    </row>
    <row r="16">
      <c r="A16" s="35" t="inlineStr">
        <is>
          <t>R</t>
        </is>
      </c>
      <c r="B16" s="37">
        <f>Supuestos!B14</f>
        <v/>
      </c>
      <c r="C16" s="24" t="inlineStr">
        <is>
          <t>Costo de reponer la lona (lona + cuerda)</t>
        </is>
      </c>
    </row>
    <row r="17">
      <c r="A17" s="35" t="inlineStr">
        <is>
          <t>L</t>
        </is>
      </c>
      <c r="B17" s="36">
        <f>Supuestos!B8</f>
        <v/>
      </c>
      <c r="C17" s="24" t="inlineStr">
        <is>
          <t>Vida útil de la lona (años)</t>
        </is>
      </c>
    </row>
    <row r="19">
      <c r="A19" s="14" t="inlineStr">
        <is>
          <t>Resultado clave</t>
        </is>
      </c>
    </row>
    <row r="20">
      <c r="A20" s="29" t="inlineStr">
        <is>
          <t>Usos mínimos por año  R / (L·c)</t>
        </is>
      </c>
      <c r="B20" s="38">
        <f>B16/(B17*B14)</f>
        <v/>
      </c>
      <c r="C20" s="39">
        <f>"Con 1 uso al año se pierden $ "&amp;TEXT(B16/B17-B14,"#,##0")&amp;" por año por el desgaste de la lona: nunca se recupera. Con 2 o más, sí."</f>
        <v/>
      </c>
    </row>
    <row r="23" ht="48" customHeight="1">
      <c r="A23" s="23" t="inlineStr">
        <is>
          <t>Usos por año (u)</t>
        </is>
      </c>
      <c r="B23" s="23" t="inlineStr">
        <is>
          <t>Ahorro anual en carpa (u·c)</t>
        </is>
      </c>
      <c r="C23" s="23" t="inlineStr">
        <is>
          <t>Costo anual del desgaste de la lona (R/L)</t>
        </is>
      </c>
      <c r="D23" s="23" t="inlineStr">
        <is>
          <t>Neto por año</t>
        </is>
      </c>
      <c r="E23" s="23" t="inlineStr">
        <is>
          <t>Años para recuperar (primer cruce) t₁</t>
        </is>
      </c>
      <c r="F23" s="23" t="inlineStr">
        <is>
          <t>Queda rentable sin recaídas desde t₂</t>
        </is>
      </c>
      <c r="G23" s="23" t="inlineStr">
        <is>
          <t>Ahorro neto a 20 años (exacto)</t>
        </is>
      </c>
      <c r="H23" s="23" t="inlineStr">
        <is>
          <t>Aproximación t*(u)</t>
        </is>
      </c>
    </row>
    <row r="24">
      <c r="A24" s="40" t="n">
        <v>1</v>
      </c>
      <c r="B24" s="27">
        <f>A24*$B$14</f>
        <v/>
      </c>
      <c r="C24" s="27">
        <f>$B$16/$B$17</f>
        <v/>
      </c>
      <c r="D24" s="27">
        <f>B24-C24</f>
        <v/>
      </c>
      <c r="E24" s="41">
        <f>IF($B24*Supuestos!$B$8&gt;=Supuestos!$B$13,Supuestos!$B$13/$B24,IF($B24*Supuestos!$B$8&lt;=Supuestos!$B$14,"nunca",(Supuestos!$B$13+ROUNDUP((Supuestos!$B$13-$B24*Supuestos!$B$8)/($B24*Supuestos!$B$8-Supuestos!$B$14),0)*Supuestos!$B$14)/$B24))</f>
        <v/>
      </c>
      <c r="F24" s="41">
        <f>IF($B24*Supuestos!$B$8&lt;=Supuestos!$B$14,"nunca",IF(ROUNDUP(Supuestos!$B$13/($B24*Supuestos!$B$8-Supuestos!$B$14),0)&lt;=1,IF($B24*Supuestos!$B$8&gt;=Supuestos!$B$13,Supuestos!$B$13/$B24,IF($B24*Supuestos!$B$8&lt;=Supuestos!$B$14,"nunca",(Supuestos!$B$13+ROUNDUP((Supuestos!$B$13-$B24*Supuestos!$B$8)/($B24*Supuestos!$B$8-Supuestos!$B$14),0)*Supuestos!$B$14)/$B24)),(Supuestos!$B$13+(ROUNDUP(Supuestos!$B$13/($B24*Supuestos!$B$8-Supuestos!$B$14),0)-1)*Supuestos!$B$14)/$B24))</f>
        <v/>
      </c>
      <c r="G24" s="27">
        <f>B24*Supuestos!$B$15-$B$15-$B$16*Supuestos!$B$16</f>
        <v/>
      </c>
      <c r="H24" s="42">
        <f>IF(D24&gt;0,$B$15/D24,"nunca")</f>
        <v/>
      </c>
    </row>
    <row r="25">
      <c r="A25" s="40" t="n">
        <v>2</v>
      </c>
      <c r="B25" s="27">
        <f>A25*$B$14</f>
        <v/>
      </c>
      <c r="C25" s="27">
        <f>$B$16/$B$17</f>
        <v/>
      </c>
      <c r="D25" s="27">
        <f>B25-C25</f>
        <v/>
      </c>
      <c r="E25" s="41">
        <f>IF($B25*Supuestos!$B$8&gt;=Supuestos!$B$13,Supuestos!$B$13/$B25,IF($B25*Supuestos!$B$8&lt;=Supuestos!$B$14,"nunca",(Supuestos!$B$13+ROUNDUP((Supuestos!$B$13-$B25*Supuestos!$B$8)/($B25*Supuestos!$B$8-Supuestos!$B$14),0)*Supuestos!$B$14)/$B25))</f>
        <v/>
      </c>
      <c r="F25" s="41">
        <f>IF($B25*Supuestos!$B$8&lt;=Supuestos!$B$14,"nunca",IF(ROUNDUP(Supuestos!$B$13/($B25*Supuestos!$B$8-Supuestos!$B$14),0)&lt;=1,IF($B25*Supuestos!$B$8&gt;=Supuestos!$B$13,Supuestos!$B$13/$B25,IF($B25*Supuestos!$B$8&lt;=Supuestos!$B$14,"nunca",(Supuestos!$B$13+ROUNDUP((Supuestos!$B$13-$B25*Supuestos!$B$8)/($B25*Supuestos!$B$8-Supuestos!$B$14),0)*Supuestos!$B$14)/$B25)),(Supuestos!$B$13+(ROUNDUP(Supuestos!$B$13/($B25*Supuestos!$B$8-Supuestos!$B$14),0)-1)*Supuestos!$B$14)/$B25))</f>
        <v/>
      </c>
      <c r="G25" s="27">
        <f>B25*Supuestos!$B$15-$B$15-$B$16*Supuestos!$B$16</f>
        <v/>
      </c>
      <c r="H25" s="42">
        <f>IF(D25&gt;0,$B$15/D25,"nunca")</f>
        <v/>
      </c>
    </row>
    <row r="26">
      <c r="A26" s="40" t="n">
        <v>3</v>
      </c>
      <c r="B26" s="27">
        <f>A26*$B$14</f>
        <v/>
      </c>
      <c r="C26" s="27">
        <f>$B$16/$B$17</f>
        <v/>
      </c>
      <c r="D26" s="27">
        <f>B26-C26</f>
        <v/>
      </c>
      <c r="E26" s="41">
        <f>IF($B26*Supuestos!$B$8&gt;=Supuestos!$B$13,Supuestos!$B$13/$B26,IF($B26*Supuestos!$B$8&lt;=Supuestos!$B$14,"nunca",(Supuestos!$B$13+ROUNDUP((Supuestos!$B$13-$B26*Supuestos!$B$8)/($B26*Supuestos!$B$8-Supuestos!$B$14),0)*Supuestos!$B$14)/$B26))</f>
        <v/>
      </c>
      <c r="F26" s="41">
        <f>IF($B26*Supuestos!$B$8&lt;=Supuestos!$B$14,"nunca",IF(ROUNDUP(Supuestos!$B$13/($B26*Supuestos!$B$8-Supuestos!$B$14),0)&lt;=1,IF($B26*Supuestos!$B$8&gt;=Supuestos!$B$13,Supuestos!$B$13/$B26,IF($B26*Supuestos!$B$8&lt;=Supuestos!$B$14,"nunca",(Supuestos!$B$13+ROUNDUP((Supuestos!$B$13-$B26*Supuestos!$B$8)/($B26*Supuestos!$B$8-Supuestos!$B$14),0)*Supuestos!$B$14)/$B26)),(Supuestos!$B$13+(ROUNDUP(Supuestos!$B$13/($B26*Supuestos!$B$8-Supuestos!$B$14),0)-1)*Supuestos!$B$14)/$B26))</f>
        <v/>
      </c>
      <c r="G26" s="27">
        <f>B26*Supuestos!$B$15-$B$15-$B$16*Supuestos!$B$16</f>
        <v/>
      </c>
      <c r="H26" s="42">
        <f>IF(D26&gt;0,$B$15/D26,"nunca")</f>
        <v/>
      </c>
    </row>
    <row r="27">
      <c r="A27" s="40" t="n">
        <v>4</v>
      </c>
      <c r="B27" s="27">
        <f>A27*$B$14</f>
        <v/>
      </c>
      <c r="C27" s="27">
        <f>$B$16/$B$17</f>
        <v/>
      </c>
      <c r="D27" s="27">
        <f>B27-C27</f>
        <v/>
      </c>
      <c r="E27" s="41">
        <f>IF($B27*Supuestos!$B$8&gt;=Supuestos!$B$13,Supuestos!$B$13/$B27,IF($B27*Supuestos!$B$8&lt;=Supuestos!$B$14,"nunca",(Supuestos!$B$13+ROUNDUP((Supuestos!$B$13-$B27*Supuestos!$B$8)/($B27*Supuestos!$B$8-Supuestos!$B$14),0)*Supuestos!$B$14)/$B27))</f>
        <v/>
      </c>
      <c r="F27" s="41">
        <f>IF($B27*Supuestos!$B$8&lt;=Supuestos!$B$14,"nunca",IF(ROUNDUP(Supuestos!$B$13/($B27*Supuestos!$B$8-Supuestos!$B$14),0)&lt;=1,IF($B27*Supuestos!$B$8&gt;=Supuestos!$B$13,Supuestos!$B$13/$B27,IF($B27*Supuestos!$B$8&lt;=Supuestos!$B$14,"nunca",(Supuestos!$B$13+ROUNDUP((Supuestos!$B$13-$B27*Supuestos!$B$8)/($B27*Supuestos!$B$8-Supuestos!$B$14),0)*Supuestos!$B$14)/$B27)),(Supuestos!$B$13+(ROUNDUP(Supuestos!$B$13/($B27*Supuestos!$B$8-Supuestos!$B$14),0)-1)*Supuestos!$B$14)/$B27))</f>
        <v/>
      </c>
      <c r="G27" s="27">
        <f>B27*Supuestos!$B$15-$B$15-$B$16*Supuestos!$B$16</f>
        <v/>
      </c>
      <c r="H27" s="42">
        <f>IF(D27&gt;0,$B$15/D27,"nunca")</f>
        <v/>
      </c>
    </row>
    <row r="28">
      <c r="A28" s="40" t="n">
        <v>5</v>
      </c>
      <c r="B28" s="27">
        <f>A28*$B$14</f>
        <v/>
      </c>
      <c r="C28" s="27">
        <f>$B$16/$B$17</f>
        <v/>
      </c>
      <c r="D28" s="27">
        <f>B28-C28</f>
        <v/>
      </c>
      <c r="E28" s="41">
        <f>IF($B28*Supuestos!$B$8&gt;=Supuestos!$B$13,Supuestos!$B$13/$B28,IF($B28*Supuestos!$B$8&lt;=Supuestos!$B$14,"nunca",(Supuestos!$B$13+ROUNDUP((Supuestos!$B$13-$B28*Supuestos!$B$8)/($B28*Supuestos!$B$8-Supuestos!$B$14),0)*Supuestos!$B$14)/$B28))</f>
        <v/>
      </c>
      <c r="F28" s="41">
        <f>IF($B28*Supuestos!$B$8&lt;=Supuestos!$B$14,"nunca",IF(ROUNDUP(Supuestos!$B$13/($B28*Supuestos!$B$8-Supuestos!$B$14),0)&lt;=1,IF($B28*Supuestos!$B$8&gt;=Supuestos!$B$13,Supuestos!$B$13/$B28,IF($B28*Supuestos!$B$8&lt;=Supuestos!$B$14,"nunca",(Supuestos!$B$13+ROUNDUP((Supuestos!$B$13-$B28*Supuestos!$B$8)/($B28*Supuestos!$B$8-Supuestos!$B$14),0)*Supuestos!$B$14)/$B28)),(Supuestos!$B$13+(ROUNDUP(Supuestos!$B$13/($B28*Supuestos!$B$8-Supuestos!$B$14),0)-1)*Supuestos!$B$14)/$B28))</f>
        <v/>
      </c>
      <c r="G28" s="27">
        <f>B28*Supuestos!$B$15-$B$15-$B$16*Supuestos!$B$16</f>
        <v/>
      </c>
      <c r="H28" s="42">
        <f>IF(D28&gt;0,$B$15/D28,"nunca")</f>
        <v/>
      </c>
    </row>
    <row r="29">
      <c r="A29" s="40" t="n">
        <v>6</v>
      </c>
      <c r="B29" s="27">
        <f>A29*$B$14</f>
        <v/>
      </c>
      <c r="C29" s="27">
        <f>$B$16/$B$17</f>
        <v/>
      </c>
      <c r="D29" s="27">
        <f>B29-C29</f>
        <v/>
      </c>
      <c r="E29" s="41">
        <f>IF($B29*Supuestos!$B$8&gt;=Supuestos!$B$13,Supuestos!$B$13/$B29,IF($B29*Supuestos!$B$8&lt;=Supuestos!$B$14,"nunca",(Supuestos!$B$13+ROUNDUP((Supuestos!$B$13-$B29*Supuestos!$B$8)/($B29*Supuestos!$B$8-Supuestos!$B$14),0)*Supuestos!$B$14)/$B29))</f>
        <v/>
      </c>
      <c r="F29" s="41">
        <f>IF($B29*Supuestos!$B$8&lt;=Supuestos!$B$14,"nunca",IF(ROUNDUP(Supuestos!$B$13/($B29*Supuestos!$B$8-Supuestos!$B$14),0)&lt;=1,IF($B29*Supuestos!$B$8&gt;=Supuestos!$B$13,Supuestos!$B$13/$B29,IF($B29*Supuestos!$B$8&lt;=Supuestos!$B$14,"nunca",(Supuestos!$B$13+ROUNDUP((Supuestos!$B$13-$B29*Supuestos!$B$8)/($B29*Supuestos!$B$8-Supuestos!$B$14),0)*Supuestos!$B$14)/$B29)),(Supuestos!$B$13+(ROUNDUP(Supuestos!$B$13/($B29*Supuestos!$B$8-Supuestos!$B$14),0)-1)*Supuestos!$B$14)/$B29))</f>
        <v/>
      </c>
      <c r="G29" s="27">
        <f>B29*Supuestos!$B$15-$B$15-$B$16*Supuestos!$B$16</f>
        <v/>
      </c>
      <c r="H29" s="42">
        <f>IF(D29&gt;0,$B$15/D29,"nunca")</f>
        <v/>
      </c>
    </row>
    <row r="30">
      <c r="A30" s="40" t="n">
        <v>7</v>
      </c>
      <c r="B30" s="27">
        <f>A30*$B$14</f>
        <v/>
      </c>
      <c r="C30" s="27">
        <f>$B$16/$B$17</f>
        <v/>
      </c>
      <c r="D30" s="27">
        <f>B30-C30</f>
        <v/>
      </c>
      <c r="E30" s="41">
        <f>IF($B30*Supuestos!$B$8&gt;=Supuestos!$B$13,Supuestos!$B$13/$B30,IF($B30*Supuestos!$B$8&lt;=Supuestos!$B$14,"nunca",(Supuestos!$B$13+ROUNDUP((Supuestos!$B$13-$B30*Supuestos!$B$8)/($B30*Supuestos!$B$8-Supuestos!$B$14),0)*Supuestos!$B$14)/$B30))</f>
        <v/>
      </c>
      <c r="F30" s="41">
        <f>IF($B30*Supuestos!$B$8&lt;=Supuestos!$B$14,"nunca",IF(ROUNDUP(Supuestos!$B$13/($B30*Supuestos!$B$8-Supuestos!$B$14),0)&lt;=1,IF($B30*Supuestos!$B$8&gt;=Supuestos!$B$13,Supuestos!$B$13/$B30,IF($B30*Supuestos!$B$8&lt;=Supuestos!$B$14,"nunca",(Supuestos!$B$13+ROUNDUP((Supuestos!$B$13-$B30*Supuestos!$B$8)/($B30*Supuestos!$B$8-Supuestos!$B$14),0)*Supuestos!$B$14)/$B30)),(Supuestos!$B$13+(ROUNDUP(Supuestos!$B$13/($B30*Supuestos!$B$8-Supuestos!$B$14),0)-1)*Supuestos!$B$14)/$B30))</f>
        <v/>
      </c>
      <c r="G30" s="27">
        <f>B30*Supuestos!$B$15-$B$15-$B$16*Supuestos!$B$16</f>
        <v/>
      </c>
      <c r="H30" s="42">
        <f>IF(D30&gt;0,$B$15/D30,"nunca")</f>
        <v/>
      </c>
    </row>
    <row r="31">
      <c r="A31" s="40" t="n">
        <v>8</v>
      </c>
      <c r="B31" s="27">
        <f>A31*$B$14</f>
        <v/>
      </c>
      <c r="C31" s="27">
        <f>$B$16/$B$17</f>
        <v/>
      </c>
      <c r="D31" s="27">
        <f>B31-C31</f>
        <v/>
      </c>
      <c r="E31" s="41">
        <f>IF($B31*Supuestos!$B$8&gt;=Supuestos!$B$13,Supuestos!$B$13/$B31,IF($B31*Supuestos!$B$8&lt;=Supuestos!$B$14,"nunca",(Supuestos!$B$13+ROUNDUP((Supuestos!$B$13-$B31*Supuestos!$B$8)/($B31*Supuestos!$B$8-Supuestos!$B$14),0)*Supuestos!$B$14)/$B31))</f>
        <v/>
      </c>
      <c r="F31" s="41">
        <f>IF($B31*Supuestos!$B$8&lt;=Supuestos!$B$14,"nunca",IF(ROUNDUP(Supuestos!$B$13/($B31*Supuestos!$B$8-Supuestos!$B$14),0)&lt;=1,IF($B31*Supuestos!$B$8&gt;=Supuestos!$B$13,Supuestos!$B$13/$B31,IF($B31*Supuestos!$B$8&lt;=Supuestos!$B$14,"nunca",(Supuestos!$B$13+ROUNDUP((Supuestos!$B$13-$B31*Supuestos!$B$8)/($B31*Supuestos!$B$8-Supuestos!$B$14),0)*Supuestos!$B$14)/$B31)),(Supuestos!$B$13+(ROUNDUP(Supuestos!$B$13/($B31*Supuestos!$B$8-Supuestos!$B$14),0)-1)*Supuestos!$B$14)/$B31))</f>
        <v/>
      </c>
      <c r="G31" s="27">
        <f>B31*Supuestos!$B$15-$B$15-$B$16*Supuestos!$B$16</f>
        <v/>
      </c>
      <c r="H31" s="42">
        <f>IF(D31&gt;0,$B$15/D31,"nunca")</f>
        <v/>
      </c>
    </row>
    <row r="32">
      <c r="A32" s="40" t="n">
        <v>9</v>
      </c>
      <c r="B32" s="27">
        <f>A32*$B$14</f>
        <v/>
      </c>
      <c r="C32" s="27">
        <f>$B$16/$B$17</f>
        <v/>
      </c>
      <c r="D32" s="27">
        <f>B32-C32</f>
        <v/>
      </c>
      <c r="E32" s="41">
        <f>IF($B32*Supuestos!$B$8&gt;=Supuestos!$B$13,Supuestos!$B$13/$B32,IF($B32*Supuestos!$B$8&lt;=Supuestos!$B$14,"nunca",(Supuestos!$B$13+ROUNDUP((Supuestos!$B$13-$B32*Supuestos!$B$8)/($B32*Supuestos!$B$8-Supuestos!$B$14),0)*Supuestos!$B$14)/$B32))</f>
        <v/>
      </c>
      <c r="F32" s="41">
        <f>IF($B32*Supuestos!$B$8&lt;=Supuestos!$B$14,"nunca",IF(ROUNDUP(Supuestos!$B$13/($B32*Supuestos!$B$8-Supuestos!$B$14),0)&lt;=1,IF($B32*Supuestos!$B$8&gt;=Supuestos!$B$13,Supuestos!$B$13/$B32,IF($B32*Supuestos!$B$8&lt;=Supuestos!$B$14,"nunca",(Supuestos!$B$13+ROUNDUP((Supuestos!$B$13-$B32*Supuestos!$B$8)/($B32*Supuestos!$B$8-Supuestos!$B$14),0)*Supuestos!$B$14)/$B32)),(Supuestos!$B$13+(ROUNDUP(Supuestos!$B$13/($B32*Supuestos!$B$8-Supuestos!$B$14),0)-1)*Supuestos!$B$14)/$B32))</f>
        <v/>
      </c>
      <c r="G32" s="27">
        <f>B32*Supuestos!$B$15-$B$15-$B$16*Supuestos!$B$16</f>
        <v/>
      </c>
      <c r="H32" s="42">
        <f>IF(D32&gt;0,$B$15/D32,"nunca")</f>
        <v/>
      </c>
    </row>
    <row r="33">
      <c r="A33" s="40" t="n">
        <v>10</v>
      </c>
      <c r="B33" s="27">
        <f>A33*$B$14</f>
        <v/>
      </c>
      <c r="C33" s="27">
        <f>$B$16/$B$17</f>
        <v/>
      </c>
      <c r="D33" s="27">
        <f>B33-C33</f>
        <v/>
      </c>
      <c r="E33" s="41">
        <f>IF($B33*Supuestos!$B$8&gt;=Supuestos!$B$13,Supuestos!$B$13/$B33,IF($B33*Supuestos!$B$8&lt;=Supuestos!$B$14,"nunca",(Supuestos!$B$13+ROUNDUP((Supuestos!$B$13-$B33*Supuestos!$B$8)/($B33*Supuestos!$B$8-Supuestos!$B$14),0)*Supuestos!$B$14)/$B33))</f>
        <v/>
      </c>
      <c r="F33" s="41">
        <f>IF($B33*Supuestos!$B$8&lt;=Supuestos!$B$14,"nunca",IF(ROUNDUP(Supuestos!$B$13/($B33*Supuestos!$B$8-Supuestos!$B$14),0)&lt;=1,IF($B33*Supuestos!$B$8&gt;=Supuestos!$B$13,Supuestos!$B$13/$B33,IF($B33*Supuestos!$B$8&lt;=Supuestos!$B$14,"nunca",(Supuestos!$B$13+ROUNDUP((Supuestos!$B$13-$B33*Supuestos!$B$8)/($B33*Supuestos!$B$8-Supuestos!$B$14),0)*Supuestos!$B$14)/$B33)),(Supuestos!$B$13+(ROUNDUP(Supuestos!$B$13/($B33*Supuestos!$B$8-Supuestos!$B$14),0)-1)*Supuestos!$B$14)/$B33))</f>
        <v/>
      </c>
      <c r="G33" s="27">
        <f>B33*Supuestos!$B$15-$B$15-$B$16*Supuestos!$B$16</f>
        <v/>
      </c>
      <c r="H33" s="42">
        <f>IF(D33&gt;0,$B$15/D33,"nunca")</f>
        <v/>
      </c>
    </row>
    <row r="34">
      <c r="A34" s="40" t="n">
        <v>11</v>
      </c>
      <c r="B34" s="27">
        <f>A34*$B$14</f>
        <v/>
      </c>
      <c r="C34" s="27">
        <f>$B$16/$B$17</f>
        <v/>
      </c>
      <c r="D34" s="27">
        <f>B34-C34</f>
        <v/>
      </c>
      <c r="E34" s="41">
        <f>IF($B34*Supuestos!$B$8&gt;=Supuestos!$B$13,Supuestos!$B$13/$B34,IF($B34*Supuestos!$B$8&lt;=Supuestos!$B$14,"nunca",(Supuestos!$B$13+ROUNDUP((Supuestos!$B$13-$B34*Supuestos!$B$8)/($B34*Supuestos!$B$8-Supuestos!$B$14),0)*Supuestos!$B$14)/$B34))</f>
        <v/>
      </c>
      <c r="F34" s="41">
        <f>IF($B34*Supuestos!$B$8&lt;=Supuestos!$B$14,"nunca",IF(ROUNDUP(Supuestos!$B$13/($B34*Supuestos!$B$8-Supuestos!$B$14),0)&lt;=1,IF($B34*Supuestos!$B$8&gt;=Supuestos!$B$13,Supuestos!$B$13/$B34,IF($B34*Supuestos!$B$8&lt;=Supuestos!$B$14,"nunca",(Supuestos!$B$13+ROUNDUP((Supuestos!$B$13-$B34*Supuestos!$B$8)/($B34*Supuestos!$B$8-Supuestos!$B$14),0)*Supuestos!$B$14)/$B34)),(Supuestos!$B$13+(ROUNDUP(Supuestos!$B$13/($B34*Supuestos!$B$8-Supuestos!$B$14),0)-1)*Supuestos!$B$14)/$B34))</f>
        <v/>
      </c>
      <c r="G34" s="27">
        <f>B34*Supuestos!$B$15-$B$15-$B$16*Supuestos!$B$16</f>
        <v/>
      </c>
      <c r="H34" s="42">
        <f>IF(D34&gt;0,$B$15/D34,"nunca")</f>
        <v/>
      </c>
    </row>
    <row r="35">
      <c r="A35" s="40" t="n">
        <v>12</v>
      </c>
      <c r="B35" s="27">
        <f>A35*$B$14</f>
        <v/>
      </c>
      <c r="C35" s="27">
        <f>$B$16/$B$17</f>
        <v/>
      </c>
      <c r="D35" s="27">
        <f>B35-C35</f>
        <v/>
      </c>
      <c r="E35" s="41">
        <f>IF($B35*Supuestos!$B$8&gt;=Supuestos!$B$13,Supuestos!$B$13/$B35,IF($B35*Supuestos!$B$8&lt;=Supuestos!$B$14,"nunca",(Supuestos!$B$13+ROUNDUP((Supuestos!$B$13-$B35*Supuestos!$B$8)/($B35*Supuestos!$B$8-Supuestos!$B$14),0)*Supuestos!$B$14)/$B35))</f>
        <v/>
      </c>
      <c r="F35" s="41">
        <f>IF($B35*Supuestos!$B$8&lt;=Supuestos!$B$14,"nunca",IF(ROUNDUP(Supuestos!$B$13/($B35*Supuestos!$B$8-Supuestos!$B$14),0)&lt;=1,IF($B35*Supuestos!$B$8&gt;=Supuestos!$B$13,Supuestos!$B$13/$B35,IF($B35*Supuestos!$B$8&lt;=Supuestos!$B$14,"nunca",(Supuestos!$B$13+ROUNDUP((Supuestos!$B$13-$B35*Supuestos!$B$8)/($B35*Supuestos!$B$8-Supuestos!$B$14),0)*Supuestos!$B$14)/$B35)),(Supuestos!$B$13+(ROUNDUP(Supuestos!$B$13/($B35*Supuestos!$B$8-Supuestos!$B$14),0)-1)*Supuestos!$B$14)/$B35))</f>
        <v/>
      </c>
      <c r="G35" s="27">
        <f>B35*Supuestos!$B$15-$B$15-$B$16*Supuestos!$B$16</f>
        <v/>
      </c>
      <c r="H35" s="42">
        <f>IF(D35&gt;0,$B$15/D35,"nunca")</f>
        <v/>
      </c>
    </row>
    <row r="37">
      <c r="A37" s="33" t="inlineStr">
        <is>
          <t>• t₁ y t₂ salen del modelo exacto. La aproximación t*(u) reparte el costo de la lona en el tiempo.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30" customWidth="1" min="3" max="3"/>
    <col width="34" customWidth="1" min="4" max="4"/>
    <col width="20" customWidth="1" min="5" max="5"/>
  </cols>
  <sheetData>
    <row r="1">
      <c r="A1" s="21" t="inlineStr">
        <is>
          <t>Supuestos y cálculos a largo plazo</t>
        </is>
      </c>
    </row>
    <row r="2">
      <c r="A2" s="22" t="inlineStr">
        <is>
          <t>Los valores en azul se pueden cambiar; todo el libro se recalcula. Amarillo = supuesto propio a confirmar.</t>
        </is>
      </c>
    </row>
    <row r="4" ht="22" customHeight="1">
      <c r="A4" s="23" t="inlineStr">
        <is>
          <t>Supuesto</t>
        </is>
      </c>
      <c r="B4" s="23" t="inlineStr">
        <is>
          <t>Valor</t>
        </is>
      </c>
      <c r="C4" s="23" t="inlineStr">
        <is>
          <t>Unidad</t>
        </is>
      </c>
      <c r="D4" s="23" t="inlineStr">
        <is>
          <t>De dónde sale</t>
        </is>
      </c>
    </row>
    <row r="5">
      <c r="A5" s="24" t="inlineStr">
        <is>
          <t>Tipo de cambio</t>
        </is>
      </c>
      <c r="B5" s="43" t="n">
        <v>40</v>
      </c>
      <c r="C5" s="24" t="inlineStr">
        <is>
          <t>$ por US$</t>
        </is>
      </c>
      <c r="D5" s="24" t="inlineStr">
        <is>
          <t>SUPUESTO: confirmar el dólar del día de pago. Solo pasa todo a pesos.</t>
        </is>
      </c>
    </row>
    <row r="6">
      <c r="A6" s="24" t="inlineStr">
        <is>
          <t>Eventos multitudinarios por año en el patio</t>
        </is>
      </c>
      <c r="B6" s="44" t="n">
        <v>6</v>
      </c>
      <c r="C6" s="24" t="inlineStr">
        <is>
          <t>eventos</t>
        </is>
      </c>
      <c r="D6" s="24" t="inlineStr">
        <is>
          <t>SUPUESTO: reemplazar por el número real del colegio.</t>
        </is>
      </c>
    </row>
    <row r="7">
      <c r="A7" s="24" t="inlineStr">
        <is>
          <t>Costo de la carpa por uso</t>
        </is>
      </c>
      <c r="B7" s="26" t="n">
        <v>100000</v>
      </c>
      <c r="C7" s="24" t="inlineStr">
        <is>
          <t>$ por evento</t>
        </is>
      </c>
      <c r="D7" s="24" t="inlineStr">
        <is>
          <t>Dato del equipo: hoy se paga una carpa de $ 100.000 cada vez.</t>
        </is>
      </c>
    </row>
    <row r="8">
      <c r="A8" s="24" t="inlineStr">
        <is>
          <t>Vida útil de la lona de la malla</t>
        </is>
      </c>
      <c r="B8" s="45" t="n">
        <v>5</v>
      </c>
      <c r="C8" s="24" t="inlineStr">
        <is>
          <t>años</t>
        </is>
      </c>
      <c r="D8" s="24" t="inlineStr">
        <is>
          <t>Dato confirmado por el proveedor (falta confirmar si cubre ojales y costuras). El desgaste es por tiempo al sol, no por usos. La estructura se supone que dura todo el horizonte.</t>
        </is>
      </c>
    </row>
    <row r="10">
      <c r="A10" s="14" t="inlineStr">
        <is>
          <t>Cálculos clave</t>
        </is>
      </c>
    </row>
    <row r="11" ht="22" customHeight="1">
      <c r="A11" s="23" t="inlineStr">
        <is>
          <t>Indicador</t>
        </is>
      </c>
      <c r="B11" s="23" t="inlineStr">
        <is>
          <t>Valor</t>
        </is>
      </c>
      <c r="C11" s="23" t="inlineStr">
        <is>
          <t>Cómo se calcula</t>
        </is>
      </c>
    </row>
    <row r="12">
      <c r="A12" s="24" t="inlineStr">
        <is>
          <t>Gasto anual en carpa</t>
        </is>
      </c>
      <c r="B12" s="46">
        <f>B6*B7</f>
        <v/>
      </c>
      <c r="C12" s="24" t="inlineStr">
        <is>
          <t>Eventos por año × costo de la carpa</t>
        </is>
      </c>
    </row>
    <row r="13">
      <c r="A13" s="24" t="inlineStr">
        <is>
          <t>Inversión inicial (pago único, día 1)</t>
        </is>
      </c>
      <c r="B13" s="46">
        <f>'Pago único'!E10</f>
        <v/>
      </c>
      <c r="C13" s="24" t="inlineStr">
        <is>
          <t>Total con IVA de la hoja Pago único</t>
        </is>
      </c>
    </row>
    <row r="14">
      <c r="A14" s="24" t="inlineStr">
        <is>
          <t>Costo de reponer la lona (lona + cuerda)</t>
        </is>
      </c>
      <c r="B14" s="46">
        <f>'Pago único'!E5+'Pago único'!E9</f>
        <v/>
      </c>
      <c r="C14" s="24" t="inlineStr">
        <is>
          <t>Lona de Romela + cuerda para atarla, a precios de hoy. Sin mano de obra ni plataforma (sin precio).</t>
        </is>
      </c>
    </row>
    <row r="15">
      <c r="A15" s="24" t="inlineStr">
        <is>
          <t>Horizonte de evaluación (años)</t>
        </is>
      </c>
      <c r="B15" s="47">
        <f>MAX(A31:A51)</f>
        <v/>
      </c>
      <c r="C15" s="24" t="inlineStr">
        <is>
          <t>Largo de la tabla de flujos de abajo</t>
        </is>
      </c>
    </row>
    <row r="16">
      <c r="A16" s="24" t="inlineStr">
        <is>
          <t>Reposiciones de la lona en el horizonte</t>
        </is>
      </c>
      <c r="B16" s="47">
        <f>MAX(0,ROUNDUP(B15/B8,0)-1)</f>
        <v/>
      </c>
      <c r="C16" s="24" t="inlineStr">
        <is>
          <t>La lona se repone al terminar su vida útil</t>
        </is>
      </c>
    </row>
    <row r="17">
      <c r="A17" s="24" t="inlineStr">
        <is>
          <t>Años para recuperar la inversión (primer cruce)</t>
        </is>
      </c>
      <c r="B17" s="48">
        <f>IF(B12*$B$8&gt;=$B$13,$B$13/B12,IF(B12*$B$8&lt;=$B$14,"nunca",($B$13+ROUNDUP(($B$13-B12*$B$8)/(B12*$B$8-$B$14),0)*$B$14)/B12))</f>
        <v/>
      </c>
      <c r="C17" s="24" t="inlineStr">
        <is>
          <t>Con desgaste: descuenta cada reposición de la lona (hoja Rentabilidad)</t>
        </is>
      </c>
    </row>
    <row r="18">
      <c r="A18" s="24" t="inlineStr">
        <is>
          <t>Eventos para igualar la inversión</t>
        </is>
      </c>
      <c r="B18" s="47">
        <f>IF(ISNUMBER(B17),ROUNDUP(B17*B6,0),"nunca")</f>
        <v/>
      </c>
      <c r="C18" s="24" t="inlineStr">
        <is>
          <t>Usos de carpa evitados hasta recuperar la inversión (incluye reposiciones)</t>
        </is>
      </c>
    </row>
    <row r="19">
      <c r="A19" s="24" t="inlineStr">
        <is>
          <t>Ahorro neto en el horizonte</t>
        </is>
      </c>
      <c r="B19" s="46">
        <f>B12*B15-B13-B14*B16</f>
        <v/>
      </c>
      <c r="C19" s="24" t="inlineStr">
        <is>
          <t>Carpa evitada − inversión − reposiciones de lona</t>
        </is>
      </c>
    </row>
    <row r="20">
      <c r="A20" s="24" t="inlineStr">
        <is>
          <t>Retorno anual neto del desgaste de la lona</t>
        </is>
      </c>
      <c r="B20" s="49">
        <f>(B12-B14/B8)/B13</f>
        <v/>
      </c>
      <c r="C20" s="24" t="inlineStr">
        <is>
          <t>(Ahorro anual − costo anual de la lona) ÷ inversión inicial</t>
        </is>
      </c>
    </row>
    <row r="21">
      <c r="A21" s="24" t="inlineStr">
        <is>
          <t>TIR anual (rendimiento de la inversión)</t>
        </is>
      </c>
      <c r="B21" s="50">
        <f>IFERROR(IRR(E31:E51),"no se recupera")</f>
        <v/>
      </c>
      <c r="C21" s="24" t="inlineStr">
        <is>
          <t>Sobre los flujos de la tabla, con reposiciones</t>
        </is>
      </c>
    </row>
    <row r="22">
      <c r="A22" s="24" t="inlineStr">
        <is>
          <t>Queda rentable sin recaídas desde (años)</t>
        </is>
      </c>
      <c r="B22" s="48">
        <f>IF(B12*$B$8&lt;=$B$14,"nunca",IF(ROUNDUP($B$13/(B12*$B$8-$B$14),0)&lt;=1,IF(B12*$B$8&gt;=$B$13,$B$13/B12,IF(B12*$B$8&lt;=$B$14,"nunca",($B$13+ROUNDUP(($B$13-B12*$B$8)/(B12*$B$8-$B$14),0)*$B$14)/B12)),($B$13+(ROUNDUP($B$13/(B12*$B$8-$B$14),0)-1)*$B$14)/B12))</f>
        <v/>
      </c>
      <c r="C22" s="24" t="inlineStr">
        <is>
          <t>Después de cada reposición el ahorro acumulado cae; esta es la fecha desde la que ya no vuelve a ser negativo</t>
        </is>
      </c>
    </row>
    <row r="23">
      <c r="A23" s="14" t="inlineStr">
        <is>
          <t>¿Y si los eventos por año son otros?</t>
        </is>
      </c>
    </row>
    <row r="24" ht="22" customHeight="1">
      <c r="A24" s="23" t="inlineStr">
        <is>
          <t>Eventos por año</t>
        </is>
      </c>
      <c r="B24" s="23" t="inlineStr">
        <is>
          <t>Gasto anual en carpa</t>
        </is>
      </c>
      <c r="C24" s="23" t="inlineStr">
        <is>
          <t>Años para recuperar (primer cruce)</t>
        </is>
      </c>
      <c r="D24" s="23" t="inlineStr">
        <is>
          <t>Ahorro neto en el horizonte</t>
        </is>
      </c>
      <c r="E24" s="23" t="inlineStr">
        <is>
          <t>Sin recaídas desde (años)</t>
        </is>
      </c>
    </row>
    <row r="25">
      <c r="A25" s="40" t="n">
        <v>1</v>
      </c>
      <c r="B25" s="27">
        <f>A25*$B$7</f>
        <v/>
      </c>
      <c r="C25" s="42">
        <f>IF(B25*$B$8&gt;=$B$13,$B$13/B25,IF(B25*$B$8&lt;=$B$14,"nunca",($B$13+ROUNDUP(($B$13-B25*$B$8)/(B25*$B$8-$B$14),0)*$B$14)/B25))</f>
        <v/>
      </c>
      <c r="D25" s="27">
        <f>B25*$B$15-$B$13-$B$14*$B$16</f>
        <v/>
      </c>
      <c r="E25" s="42">
        <f>IF(B25*$B$8&lt;=$B$14,"nunca",IF(ROUNDUP($B$13/(B25*$B$8-$B$14),0)&lt;=1,IF(B25*$B$8&gt;=$B$13,$B$13/B25,IF(B25*$B$8&lt;=$B$14,"nunca",($B$13+ROUNDUP(($B$13-B25*$B$8)/(B25*$B$8-$B$14),0)*$B$14)/B25)),($B$13+(ROUNDUP($B$13/(B25*$B$8-$B$14),0)-1)*$B$14)/B25))</f>
        <v/>
      </c>
    </row>
    <row r="26">
      <c r="A26" s="40" t="n">
        <v>2</v>
      </c>
      <c r="B26" s="27">
        <f>A26*$B$7</f>
        <v/>
      </c>
      <c r="C26" s="42">
        <f>IF(B26*$B$8&gt;=$B$13,$B$13/B26,IF(B26*$B$8&lt;=$B$14,"nunca",($B$13+ROUNDUP(($B$13-B26*$B$8)/(B26*$B$8-$B$14),0)*$B$14)/B26))</f>
        <v/>
      </c>
      <c r="D26" s="27">
        <f>B26*$B$15-$B$13-$B$14*$B$16</f>
        <v/>
      </c>
      <c r="E26" s="42">
        <f>IF(B26*$B$8&lt;=$B$14,"nunca",IF(ROUNDUP($B$13/(B26*$B$8-$B$14),0)&lt;=1,IF(B26*$B$8&gt;=$B$13,$B$13/B26,IF(B26*$B$8&lt;=$B$14,"nunca",($B$13+ROUNDUP(($B$13-B26*$B$8)/(B26*$B$8-$B$14),0)*$B$14)/B26)),($B$13+(ROUNDUP($B$13/(B26*$B$8-$B$14),0)-1)*$B$14)/B26))</f>
        <v/>
      </c>
    </row>
    <row r="27">
      <c r="A27" s="40" t="n">
        <v>6</v>
      </c>
      <c r="B27" s="27">
        <f>A27*$B$7</f>
        <v/>
      </c>
      <c r="C27" s="42">
        <f>IF(B27*$B$8&gt;=$B$13,$B$13/B27,IF(B27*$B$8&lt;=$B$14,"nunca",($B$13+ROUNDUP(($B$13-B27*$B$8)/(B27*$B$8-$B$14),0)*$B$14)/B27))</f>
        <v/>
      </c>
      <c r="D27" s="27">
        <f>B27*$B$15-$B$13-$B$14*$B$16</f>
        <v/>
      </c>
      <c r="E27" s="42">
        <f>IF(B27*$B$8&lt;=$B$14,"nunca",IF(ROUNDUP($B$13/(B27*$B$8-$B$14),0)&lt;=1,IF(B27*$B$8&gt;=$B$13,$B$13/B27,IF(B27*$B$8&lt;=$B$14,"nunca",($B$13+ROUNDUP(($B$13-B27*$B$8)/(B27*$B$8-$B$14),0)*$B$14)/B27)),($B$13+(ROUNDUP($B$13/(B27*$B$8-$B$14),0)-1)*$B$14)/B27))</f>
        <v/>
      </c>
    </row>
    <row r="29">
      <c r="A29" s="14" t="inlineStr">
        <is>
          <t>Flujo año por año</t>
        </is>
      </c>
    </row>
    <row r="30" ht="22" customHeight="1">
      <c r="A30" s="23" t="inlineStr">
        <is>
          <t>Año</t>
        </is>
      </c>
      <c r="B30" s="23" t="inlineStr">
        <is>
          <t>Carpa acumulada</t>
        </is>
      </c>
      <c r="C30" s="23" t="inlineStr">
        <is>
          <t>Malla acumulada (con reposición)</t>
        </is>
      </c>
      <c r="D30" s="23" t="inlineStr">
        <is>
          <t>Ahorro neto acumulado</t>
        </is>
      </c>
      <c r="E30" s="23" t="inlineStr">
        <is>
          <t>Flujo neto del año</t>
        </is>
      </c>
    </row>
    <row r="31">
      <c r="A31" s="40" t="n">
        <v>0</v>
      </c>
      <c r="B31" s="27">
        <f>A31*$B$12</f>
        <v/>
      </c>
      <c r="C31" s="27">
        <f>$B$13+$B$14*MAX(0,ROUNDUP(A31/$B$8,0)-1)</f>
        <v/>
      </c>
      <c r="D31" s="27">
        <f>B31-C31</f>
        <v/>
      </c>
      <c r="E31" s="27">
        <f>-$B$13</f>
        <v/>
      </c>
    </row>
    <row r="32">
      <c r="A32" s="40" t="n">
        <v>1</v>
      </c>
      <c r="B32" s="27">
        <f>A32*$B$12</f>
        <v/>
      </c>
      <c r="C32" s="27">
        <f>$B$13+$B$14*MAX(0,ROUNDUP(A32/$B$8,0)-1)</f>
        <v/>
      </c>
      <c r="D32" s="27">
        <f>B32-C32</f>
        <v/>
      </c>
      <c r="E32" s="27">
        <f>$B$12-IF(MOD(A32-1,$B$8)=0,$B$14,0)*IF(A32&gt;1,1,0)</f>
        <v/>
      </c>
    </row>
    <row r="33">
      <c r="A33" s="40" t="n">
        <v>2</v>
      </c>
      <c r="B33" s="27">
        <f>A33*$B$12</f>
        <v/>
      </c>
      <c r="C33" s="27">
        <f>$B$13+$B$14*MAX(0,ROUNDUP(A33/$B$8,0)-1)</f>
        <v/>
      </c>
      <c r="D33" s="27">
        <f>B33-C33</f>
        <v/>
      </c>
      <c r="E33" s="27">
        <f>$B$12-IF(MOD(A33-1,$B$8)=0,$B$14,0)*IF(A33&gt;1,1,0)</f>
        <v/>
      </c>
    </row>
    <row r="34">
      <c r="A34" s="40" t="n">
        <v>3</v>
      </c>
      <c r="B34" s="27">
        <f>A34*$B$12</f>
        <v/>
      </c>
      <c r="C34" s="27">
        <f>$B$13+$B$14*MAX(0,ROUNDUP(A34/$B$8,0)-1)</f>
        <v/>
      </c>
      <c r="D34" s="27">
        <f>B34-C34</f>
        <v/>
      </c>
      <c r="E34" s="27">
        <f>$B$12-IF(MOD(A34-1,$B$8)=0,$B$14,0)*IF(A34&gt;1,1,0)</f>
        <v/>
      </c>
    </row>
    <row r="35">
      <c r="A35" s="40" t="n">
        <v>4</v>
      </c>
      <c r="B35" s="27">
        <f>A35*$B$12</f>
        <v/>
      </c>
      <c r="C35" s="27">
        <f>$B$13+$B$14*MAX(0,ROUNDUP(A35/$B$8,0)-1)</f>
        <v/>
      </c>
      <c r="D35" s="27">
        <f>B35-C35</f>
        <v/>
      </c>
      <c r="E35" s="27">
        <f>$B$12-IF(MOD(A35-1,$B$8)=0,$B$14,0)*IF(A35&gt;1,1,0)</f>
        <v/>
      </c>
    </row>
    <row r="36">
      <c r="A36" s="40" t="n">
        <v>5</v>
      </c>
      <c r="B36" s="27">
        <f>A36*$B$12</f>
        <v/>
      </c>
      <c r="C36" s="27">
        <f>$B$13+$B$14*MAX(0,ROUNDUP(A36/$B$8,0)-1)</f>
        <v/>
      </c>
      <c r="D36" s="27">
        <f>B36-C36</f>
        <v/>
      </c>
      <c r="E36" s="27">
        <f>$B$12-IF(MOD(A36-1,$B$8)=0,$B$14,0)*IF(A36&gt;1,1,0)</f>
        <v/>
      </c>
    </row>
    <row r="37">
      <c r="A37" s="40" t="n">
        <v>6</v>
      </c>
      <c r="B37" s="27">
        <f>A37*$B$12</f>
        <v/>
      </c>
      <c r="C37" s="27">
        <f>$B$13+$B$14*MAX(0,ROUNDUP(A37/$B$8,0)-1)</f>
        <v/>
      </c>
      <c r="D37" s="27">
        <f>B37-C37</f>
        <v/>
      </c>
      <c r="E37" s="27">
        <f>$B$12-IF(MOD(A37-1,$B$8)=0,$B$14,0)*IF(A37&gt;1,1,0)</f>
        <v/>
      </c>
    </row>
    <row r="38">
      <c r="A38" s="40" t="n">
        <v>7</v>
      </c>
      <c r="B38" s="27">
        <f>A38*$B$12</f>
        <v/>
      </c>
      <c r="C38" s="27">
        <f>$B$13+$B$14*MAX(0,ROUNDUP(A38/$B$8,0)-1)</f>
        <v/>
      </c>
      <c r="D38" s="27">
        <f>B38-C38</f>
        <v/>
      </c>
      <c r="E38" s="27">
        <f>$B$12-IF(MOD(A38-1,$B$8)=0,$B$14,0)*IF(A38&gt;1,1,0)</f>
        <v/>
      </c>
    </row>
    <row r="39">
      <c r="A39" s="40" t="n">
        <v>8</v>
      </c>
      <c r="B39" s="27">
        <f>A39*$B$12</f>
        <v/>
      </c>
      <c r="C39" s="27">
        <f>$B$13+$B$14*MAX(0,ROUNDUP(A39/$B$8,0)-1)</f>
        <v/>
      </c>
      <c r="D39" s="27">
        <f>B39-C39</f>
        <v/>
      </c>
      <c r="E39" s="27">
        <f>$B$12-IF(MOD(A39-1,$B$8)=0,$B$14,0)*IF(A39&gt;1,1,0)</f>
        <v/>
      </c>
    </row>
    <row r="40">
      <c r="A40" s="40" t="n">
        <v>9</v>
      </c>
      <c r="B40" s="27">
        <f>A40*$B$12</f>
        <v/>
      </c>
      <c r="C40" s="27">
        <f>$B$13+$B$14*MAX(0,ROUNDUP(A40/$B$8,0)-1)</f>
        <v/>
      </c>
      <c r="D40" s="27">
        <f>B40-C40</f>
        <v/>
      </c>
      <c r="E40" s="27">
        <f>$B$12-IF(MOD(A40-1,$B$8)=0,$B$14,0)*IF(A40&gt;1,1,0)</f>
        <v/>
      </c>
    </row>
    <row r="41">
      <c r="A41" s="40" t="n">
        <v>10</v>
      </c>
      <c r="B41" s="27">
        <f>A41*$B$12</f>
        <v/>
      </c>
      <c r="C41" s="27">
        <f>$B$13+$B$14*MAX(0,ROUNDUP(A41/$B$8,0)-1)</f>
        <v/>
      </c>
      <c r="D41" s="27">
        <f>B41-C41</f>
        <v/>
      </c>
      <c r="E41" s="27">
        <f>$B$12-IF(MOD(A41-1,$B$8)=0,$B$14,0)*IF(A41&gt;1,1,0)</f>
        <v/>
      </c>
    </row>
    <row r="42">
      <c r="A42" s="40" t="n">
        <v>11</v>
      </c>
      <c r="B42" s="27">
        <f>A42*$B$12</f>
        <v/>
      </c>
      <c r="C42" s="27">
        <f>$B$13+$B$14*MAX(0,ROUNDUP(A42/$B$8,0)-1)</f>
        <v/>
      </c>
      <c r="D42" s="27">
        <f>B42-C42</f>
        <v/>
      </c>
      <c r="E42" s="27">
        <f>$B$12-IF(MOD(A42-1,$B$8)=0,$B$14,0)*IF(A42&gt;1,1,0)</f>
        <v/>
      </c>
    </row>
    <row r="43">
      <c r="A43" s="40" t="n">
        <v>12</v>
      </c>
      <c r="B43" s="27">
        <f>A43*$B$12</f>
        <v/>
      </c>
      <c r="C43" s="27">
        <f>$B$13+$B$14*MAX(0,ROUNDUP(A43/$B$8,0)-1)</f>
        <v/>
      </c>
      <c r="D43" s="27">
        <f>B43-C43</f>
        <v/>
      </c>
      <c r="E43" s="27">
        <f>$B$12-IF(MOD(A43-1,$B$8)=0,$B$14,0)*IF(A43&gt;1,1,0)</f>
        <v/>
      </c>
    </row>
    <row r="44">
      <c r="A44" s="40" t="n">
        <v>13</v>
      </c>
      <c r="B44" s="27">
        <f>A44*$B$12</f>
        <v/>
      </c>
      <c r="C44" s="27">
        <f>$B$13+$B$14*MAX(0,ROUNDUP(A44/$B$8,0)-1)</f>
        <v/>
      </c>
      <c r="D44" s="27">
        <f>B44-C44</f>
        <v/>
      </c>
      <c r="E44" s="27">
        <f>$B$12-IF(MOD(A44-1,$B$8)=0,$B$14,0)*IF(A44&gt;1,1,0)</f>
        <v/>
      </c>
    </row>
    <row r="45">
      <c r="A45" s="40" t="n">
        <v>14</v>
      </c>
      <c r="B45" s="27">
        <f>A45*$B$12</f>
        <v/>
      </c>
      <c r="C45" s="27">
        <f>$B$13+$B$14*MAX(0,ROUNDUP(A45/$B$8,0)-1)</f>
        <v/>
      </c>
      <c r="D45" s="27">
        <f>B45-C45</f>
        <v/>
      </c>
      <c r="E45" s="27">
        <f>$B$12-IF(MOD(A45-1,$B$8)=0,$B$14,0)*IF(A45&gt;1,1,0)</f>
        <v/>
      </c>
    </row>
    <row r="46">
      <c r="A46" s="40" t="n">
        <v>15</v>
      </c>
      <c r="B46" s="27">
        <f>A46*$B$12</f>
        <v/>
      </c>
      <c r="C46" s="27">
        <f>$B$13+$B$14*MAX(0,ROUNDUP(A46/$B$8,0)-1)</f>
        <v/>
      </c>
      <c r="D46" s="27">
        <f>B46-C46</f>
        <v/>
      </c>
      <c r="E46" s="27">
        <f>$B$12-IF(MOD(A46-1,$B$8)=0,$B$14,0)*IF(A46&gt;1,1,0)</f>
        <v/>
      </c>
    </row>
    <row r="47">
      <c r="A47" s="40" t="n">
        <v>16</v>
      </c>
      <c r="B47" s="27">
        <f>A47*$B$12</f>
        <v/>
      </c>
      <c r="C47" s="27">
        <f>$B$13+$B$14*MAX(0,ROUNDUP(A47/$B$8,0)-1)</f>
        <v/>
      </c>
      <c r="D47" s="27">
        <f>B47-C47</f>
        <v/>
      </c>
      <c r="E47" s="27">
        <f>$B$12-IF(MOD(A47-1,$B$8)=0,$B$14,0)*IF(A47&gt;1,1,0)</f>
        <v/>
      </c>
    </row>
    <row r="48">
      <c r="A48" s="40" t="n">
        <v>17</v>
      </c>
      <c r="B48" s="27">
        <f>A48*$B$12</f>
        <v/>
      </c>
      <c r="C48" s="27">
        <f>$B$13+$B$14*MAX(0,ROUNDUP(A48/$B$8,0)-1)</f>
        <v/>
      </c>
      <c r="D48" s="27">
        <f>B48-C48</f>
        <v/>
      </c>
      <c r="E48" s="27">
        <f>$B$12-IF(MOD(A48-1,$B$8)=0,$B$14,0)*IF(A48&gt;1,1,0)</f>
        <v/>
      </c>
    </row>
    <row r="49">
      <c r="A49" s="40" t="n">
        <v>18</v>
      </c>
      <c r="B49" s="27">
        <f>A49*$B$12</f>
        <v/>
      </c>
      <c r="C49" s="27">
        <f>$B$13+$B$14*MAX(0,ROUNDUP(A49/$B$8,0)-1)</f>
        <v/>
      </c>
      <c r="D49" s="27">
        <f>B49-C49</f>
        <v/>
      </c>
      <c r="E49" s="27">
        <f>$B$12-IF(MOD(A49-1,$B$8)=0,$B$14,0)*IF(A49&gt;1,1,0)</f>
        <v/>
      </c>
    </row>
    <row r="50">
      <c r="A50" s="40" t="n">
        <v>19</v>
      </c>
      <c r="B50" s="27">
        <f>A50*$B$12</f>
        <v/>
      </c>
      <c r="C50" s="27">
        <f>$B$13+$B$14*MAX(0,ROUNDUP(A50/$B$8,0)-1)</f>
        <v/>
      </c>
      <c r="D50" s="27">
        <f>B50-C50</f>
        <v/>
      </c>
      <c r="E50" s="27">
        <f>$B$12-IF(MOD(A50-1,$B$8)=0,$B$14,0)*IF(A50&gt;1,1,0)</f>
        <v/>
      </c>
    </row>
    <row r="51">
      <c r="A51" s="40" t="n">
        <v>20</v>
      </c>
      <c r="B51" s="27">
        <f>A51*$B$12</f>
        <v/>
      </c>
      <c r="C51" s="27">
        <f>$B$13+$B$14*MAX(0,ROUNDUP(A51/$B$8,0)-1)</f>
        <v/>
      </c>
      <c r="D51" s="27">
        <f>B51-C51</f>
        <v/>
      </c>
      <c r="E51" s="27">
        <f>$B$12-IF(MOD(A51-1,$B$8)=0,$B$14,0)*IF(A51&gt;1,1,0)</f>
        <v/>
      </c>
    </row>
    <row r="54">
      <c r="A54" s="33" t="inlineStr">
        <is>
          <t>• No incluye mano de obra, hormigón, ingeniero estructural, galvanizado ni equipo de elevación: la recuperación real será algo más lenta.</t>
        </is>
      </c>
    </row>
    <row r="55">
      <c r="A55" s="33" t="inlineStr">
        <is>
          <t>• La lona se repone entera cada L años (vida útil del proveedor). La reposición no incluye mano de obra ni plataforma elevadora: es un piso.</t>
        </is>
      </c>
    </row>
    <row r="56">
      <c r="A56" s="33" t="inlineStr">
        <is>
          <t>• Precios constantes: no se considera inflación ni aumento del alquiler de la carpa (si sube, la malla conviene aún más).</t>
        </is>
      </c>
    </row>
    <row r="57">
      <c r="A57" s="33" t="inlineStr">
        <is>
          <t>• Totales por proveedor copiados de Gastos.xlsx (hoja Gastos, con IVA, precios al 1/10/2026).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2026-10-02T22:25:17Z</dcterms:created>
  <dcterms:modified xmlns:dcterms="http://purl.org/dc/terms/" xmlns:xsi="http://www.w3.org/2001/XMLSchema-instance" xsi:type="dcterms:W3CDTF">2026-10-02T22:25:17Z</dcterms:modified>
</cp:coreProperties>
</file>