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álculo" sheetId="4" state="visible" r:id="rId6"/>
  </sheets>
  <definedNames>
    <definedName function="false" hidden="false" localSheetId="0" name="_xlnm.Print_Area" vbProcedure="false">Resumen!$A$1:$N$33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<sst xmlns="http://schemas.openxmlformats.org/spreadsheetml/2006/main" count="100" uniqueCount="98">
  <si>
    <t xml:space="preserve">INVERSIÓN, PAGO ÚNICO DÍA 1</t>
  </si>
  <si>
    <t xml:space="preserve">SE RECUPERA EN</t>
  </si>
  <si>
    <t xml:space="preserve">TIR ANUAL</t>
  </si>
  <si>
    <t xml:space="preserve">con IVA, todos los materiales</t>
  </si>
  <si>
    <t xml:space="preserve">igual en los dos casos</t>
  </si>
  <si>
    <t xml:space="preserve">Render de la idea final a las 12:30: la malla cubre la zona del público.</t>
  </si>
  <si>
    <t xml:space="preserve">Lo que hay que saber a largo plazo</t>
  </si>
  <si>
    <t xml:space="preserve">CARPA QUE SE DEJA DE PAGAR</t>
  </si>
  <si>
    <t xml:space="preserve">REPOSICIÓN DE LA LONA</t>
  </si>
  <si>
    <t xml:space="preserve">USOS MÍNIMOS PARA SER RENTABLE</t>
  </si>
  <si>
    <t xml:space="preserve">conservador: con menos, la malla nunca se recupera</t>
  </si>
  <si>
    <t xml:space="preserve">Pago único el día 1</t>
  </si>
  <si>
    <t xml:space="preserve">Todo se paga junto al hacer los pedidos. Montos con IVA.</t>
  </si>
  <si>
    <t xml:space="preserve">Proveedor</t>
  </si>
  <si>
    <t xml:space="preserve">En dólares</t>
  </si>
  <si>
    <t xml:space="preserve">En pesos</t>
  </si>
  <si>
    <t xml:space="preserve">Total en pesos</t>
  </si>
  <si>
    <t xml:space="preserve">% del total</t>
  </si>
  <si>
    <t xml:space="preserve">Romela Toldos (lona)</t>
  </si>
  <si>
    <t xml:space="preserve">Appelsa (postes y estructura)</t>
  </si>
  <si>
    <t xml:space="preserve">Bianchi (cables y accesorios)</t>
  </si>
  <si>
    <t xml:space="preserve">Sodimac (anclajes)</t>
  </si>
  <si>
    <t xml:space="preserve">Polietileno Obelisco (cuerda)</t>
  </si>
  <si>
    <t xml:space="preserve">Total a pagar el día 1</t>
  </si>
  <si>
    <t xml:space="preserve">Fuente: Gastos.xlsx (hoja Gastos), totales con IVA, precios al 1/10/2026. Si cambian allá, actualizar las celdas azules.</t>
  </si>
  <si>
    <t xml:space="preserve">Rentabilidad según los usos por año</t>
  </si>
  <si>
    <t xml:space="preserve">Años que tarda en recuperarse la inversión, con el desgaste de la lona incluido.</t>
  </si>
  <si>
    <t xml:space="preserve">Usos mínimos por año: conservador</t>
  </si>
  <si>
    <t xml:space="preserve">Usos mínimos por año: realista</t>
  </si>
  <si>
    <t xml:space="preserve">Usos por año</t>
  </si>
  <si>
    <t xml:space="preserve">"Sin recaídas": tras cada reposición de la lona el ahorro acumulado baja; desde esa fecha ya no vuelve a ser negativo.</t>
  </si>
  <si>
    <t xml:space="preserve">Caso realista: lona guardada casi todo el año; vida útil en Supuestos!B9 (supuesto del equipo, a confirmar con el proveedor).</t>
  </si>
  <si>
    <t xml:space="preserve">Supuestos y cálculos a largo plazo</t>
  </si>
  <si>
    <t xml:space="preserve">Los valores en azul se pueden cambiar; todo el libro se recalcula. Amarillo = supuesto propio a confirmar.</t>
  </si>
  <si>
    <t xml:space="preserve">Supuesto</t>
  </si>
  <si>
    <t xml:space="preserve">Valor</t>
  </si>
  <si>
    <t xml:space="preserve">Unidad</t>
  </si>
  <si>
    <t xml:space="preserve">De dónde sale</t>
  </si>
  <si>
    <t xml:space="preserve">Tipo de cambio</t>
  </si>
  <si>
    <t xml:space="preserve">$ por US$</t>
  </si>
  <si>
    <t xml:space="preserve">SUPUESTO: confirmar el dólar del día de pago. Solo pasa todo a pesos.</t>
  </si>
  <si>
    <t xml:space="preserve">Eventos multitudinarios por año en el patio</t>
  </si>
  <si>
    <t xml:space="preserve">eventos</t>
  </si>
  <si>
    <t xml:space="preserve">SUPUESTO conservador: 2 eventos grandes por año (la carpa se paga cada vez). Reemplazar por el número real del colegio.</t>
  </si>
  <si>
    <t xml:space="preserve">Costo de la carpa por uso</t>
  </si>
  <si>
    <t xml:space="preserve">$ por evento</t>
  </si>
  <si>
    <t xml:space="preserve">Dato del equipo: hoy se paga una carpa de $ 100.000 cada vez.</t>
  </si>
  <si>
    <t xml:space="preserve">Vida útil de la lona de la malla</t>
  </si>
  <si>
    <t xml:space="preserve">años</t>
  </si>
  <si>
    <t xml:space="preserve">Dato confirmado por el proveedor (falta confirmar si cubre ojales y costuras). El desgaste es por tiempo al sol, no por usos. La estructura se supone que dura todo el horizonte.</t>
  </si>
  <si>
    <t xml:space="preserve">Vida útil realista de la lona (guardada casi todo el año)</t>
  </si>
  <si>
    <t xml:space="preserve">SUPUESTO del equipo, a confirmar con Romela Toldos: con pocos usos la lona pasa guardada casi todo el año (sin sol ni viento) y dura más que los 5 años del caso conservador.</t>
  </si>
  <si>
    <t xml:space="preserve">Cálculos clave</t>
  </si>
  <si>
    <t xml:space="preserve">Indicador</t>
  </si>
  <si>
    <t xml:space="preserve">Cómo se calcula</t>
  </si>
  <si>
    <t xml:space="preserve">Gasto anual en carpa</t>
  </si>
  <si>
    <t xml:space="preserve">Eventos por año × costo de la carpa</t>
  </si>
  <si>
    <t xml:space="preserve">Inversión inicial (pago único, día 1)</t>
  </si>
  <si>
    <t xml:space="preserve">Total con IVA de la hoja Pago único</t>
  </si>
  <si>
    <t xml:space="preserve">Costo de reponer la lona (lona + cuerda)</t>
  </si>
  <si>
    <t xml:space="preserve">Lona de Romela + cuerda para atarla, a precios de hoy. Sin mano de obra ni plataforma (sin precio).</t>
  </si>
  <si>
    <t xml:space="preserve">Horizonte de evaluación (años)</t>
  </si>
  <si>
    <t xml:space="preserve">Largo de la tabla de flujos de abajo</t>
  </si>
  <si>
    <t xml:space="preserve">Reposiciones de la lona en el horizonte</t>
  </si>
  <si>
    <t xml:space="preserve">La lona se repone al terminar su vida útil</t>
  </si>
  <si>
    <t xml:space="preserve">Años para recuperar la inversión (primer cruce)</t>
  </si>
  <si>
    <t xml:space="preserve">Con desgaste: descuenta cada reposición de la lona (hoja Rentabilidad)</t>
  </si>
  <si>
    <t xml:space="preserve">Eventos para igualar la inversión</t>
  </si>
  <si>
    <t xml:space="preserve">Usos de carpa evitados hasta recuperar la inversión (incluye reposiciones)</t>
  </si>
  <si>
    <t xml:space="preserve">Ahorro neto en el horizonte</t>
  </si>
  <si>
    <t xml:space="preserve">Carpa evitada − inversión − reposiciones de lona</t>
  </si>
  <si>
    <t xml:space="preserve">Retorno anual neto del desgaste de la lona</t>
  </si>
  <si>
    <t xml:space="preserve">(Ahorro anual − costo anual de la lona) ÷ inversión inicial</t>
  </si>
  <si>
    <t xml:space="preserve">TIR anual (rendimiento de la inversión)</t>
  </si>
  <si>
    <t xml:space="preserve">Sobre los flujos de la tabla, con reposiciones</t>
  </si>
  <si>
    <t xml:space="preserve">Queda rentable sin recaídas desde (años)</t>
  </si>
  <si>
    <t xml:space="preserve">Después de cada reposición el ahorro acumulado cae; esta es la fecha desde la que ya no vuelve a ser negativo</t>
  </si>
  <si>
    <t xml:space="preserve">¿Y si los eventos por año son otros?</t>
  </si>
  <si>
    <t xml:space="preserve">Eventos por año</t>
  </si>
  <si>
    <t xml:space="preserve">Años para recuperar (conservador)</t>
  </si>
  <si>
    <t xml:space="preserve">Ahorro neto en el horizonte (conservador)</t>
  </si>
  <si>
    <t xml:space="preserve">Sin recaídas desde (años, conservador)</t>
  </si>
  <si>
    <t xml:space="preserve">Años para recuperar (realista)</t>
  </si>
  <si>
    <t xml:space="preserve">Ahorro neto en el horizonte (realista)</t>
  </si>
  <si>
    <t xml:space="preserve">Sin recaídas desde (años, realista)</t>
  </si>
  <si>
    <t xml:space="preserve">Flujo año por año</t>
  </si>
  <si>
    <t xml:space="preserve">Año</t>
  </si>
  <si>
    <t xml:space="preserve">Carpa acumulada</t>
  </si>
  <si>
    <t xml:space="preserve">Ahorro neto acumulado</t>
  </si>
  <si>
    <t xml:space="preserve">Flujo neto del año</t>
  </si>
  <si>
    <t xml:space="preserve">Ahorro neto acumulado (realista)</t>
  </si>
  <si>
    <t xml:space="preserve">Flujo neto del año (realista)</t>
  </si>
  <si>
    <t xml:space="preserve">• No incluye mano de obra, hormigón, ingeniero estructural, galvanizado ni equipo de elevación: la recuperación real será algo más lenta.</t>
  </si>
  <si>
    <t xml:space="preserve">• La lona se repone entera cada L años (vida útil del proveedor). La reposición no incluye mano de obra ni plataforma elevadora: es un piso.</t>
  </si>
  <si>
    <t xml:space="preserve">• Precios constantes: no se considera inflación ni aumento del alquiler de la carpa (si sube, la malla conviene aún más).</t>
  </si>
  <si>
    <t xml:space="preserve">• Totales por proveedor copiados de Gastos.xlsx (hoja Gastos, con IVA, precios al 1/10/2026).</t>
  </si>
  <si>
    <t xml:space="preserve">• Caso realista (columnas «realista»): usa la vida útil de la celda B9 (10 años). Es un supuesto del equipo, a confirmar con Romela Toldos: con pocos usos la lona pasa guardada casi todo el año, sin sol ni viento, y dura más que los 5 años del caso conservador.</t>
  </si>
  <si>
    <t xml:space="preserve">• Borde del horizonte: a 20 años se cuentan los cambios de lona hechos hasta el año 20. En el caso realista con 1 uso el 2.º cambio cae en el año 21, así que el ahorro neto a 20 años de ese caso es optimista.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</si>
</sst>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$ &quot;#,##0"/>
    <numFmt numFmtId="166" formatCode="0.0&quot; años&quot;"/>
    <numFmt numFmtId="167" formatCode="0.0%"/>
    <numFmt numFmtId="168" formatCode="&quot;$ &quot;#,##0&quot; / año&quot;"/>
    <numFmt numFmtId="169" formatCode="0.0&quot; usos por año&quot;"/>
    <numFmt numFmtId="170" formatCode="#,##0"/>
    <numFmt numFmtId="171" formatCode="&quot;US$ &quot;#,##0.00"/>
    <numFmt numFmtId="172" formatCode="0\ %"/>
    <numFmt numFmtId="173" formatCode="0.00"/>
    <numFmt numFmtId="174" formatCode="0"/>
    <numFmt numFmtId="175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4"/>
      <color rgb="FF1F4E79"/>
      <name val="Arial"/>
      <family val="0"/>
      <charset val="1"/>
    </font>
    <font>
      <b val="true"/>
      <sz val="24"/>
      <color rgb="FF2E7D32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8"/>
      <color rgb="FFC55A11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6FA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F2F6FA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ck">
        <color rgb="FF1F4E79"/>
      </top>
      <bottom/>
      <diagonal/>
    </border>
    <border diagonalUp="false" diagonalDown="false">
      <left/>
      <right/>
      <top style="thick">
        <color rgb="FF2E7D32"/>
      </top>
      <bottom/>
      <diagonal/>
    </border>
    <border diagonalUp="false" diagonalDown="false">
      <left/>
      <right/>
      <top style="thick">
        <color rgb="FFC55A11"/>
      </top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3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2F6FA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878787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Gasto acumulado: carpa vs. malla (pesos)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'Cálculo'!B44</c:f>
              <c:strCache>
                <c:ptCount val="1"/>
                <c:pt idx="0">
                  <c:v>Carpa acumulada</c:v>
                </c:pt>
              </c:strCache>
            </c:strRef>
          </c:tx>
          <c:spPr>
            <a:ln w="320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'Cálculo'!$A$45:$A$65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'Cálculo'!$B$45:$B$65</c:f>
              <c:numCache>
                <c:formatCode>"$ "#,##0</c:formatCode>
                <c:ptCount val="21"/>
                <c:pt idx="0">
                  <c:v>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  <c:pt idx="10">
                  <c:v>2000000</c:v>
                </c:pt>
                <c:pt idx="11">
                  <c:v>2200000</c:v>
                </c:pt>
                <c:pt idx="12">
                  <c:v>2400000</c:v>
                </c:pt>
                <c:pt idx="13">
                  <c:v>2600000</c:v>
                </c:pt>
                <c:pt idx="14">
                  <c:v>2800000</c:v>
                </c:pt>
                <c:pt idx="15">
                  <c:v>3000000</c:v>
                </c:pt>
                <c:pt idx="16">
                  <c:v>3200000</c:v>
                </c:pt>
                <c:pt idx="17">
                  <c:v>3400000</c:v>
                </c:pt>
                <c:pt idx="18">
                  <c:v>3600000</c:v>
                </c:pt>
                <c:pt idx="19">
                  <c:v>3800000</c:v>
                </c:pt>
                <c:pt idx="20">
                  <c:v>4000000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'Cálculo'!C44</c:f>
              <c:strCache>
                <c:ptCount val="1"/>
                <c:pt idx="0">
                  <c:v>Malla acumulada (con reposición, lona 5 años)</c:v>
                </c:pt>
              </c:strCache>
            </c:strRef>
          </c:tx>
          <c:spPr>
            <a:ln w="320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'Cálculo'!$A$45:$A$65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'Cálculo'!$C$45:$C$65</c:f>
              <c:numCache>
                <c:formatCode>"$ "#,##0</c:formatCode>
                <c:ptCount val="21"/>
                <c:pt idx="0">
                  <c:v>1054143.112</c:v>
                </c:pt>
                <c:pt idx="1">
                  <c:v>1054143.112</c:v>
                </c:pt>
                <c:pt idx="2">
                  <c:v>1054143.112</c:v>
                </c:pt>
                <c:pt idx="3">
                  <c:v>1054143.112</c:v>
                </c:pt>
                <c:pt idx="4">
                  <c:v>1054143.112</c:v>
                </c:pt>
                <c:pt idx="5">
                  <c:v>1054143.112</c:v>
                </c:pt>
                <c:pt idx="6">
                  <c:v>1783463.112</c:v>
                </c:pt>
                <c:pt idx="7">
                  <c:v>1783463.112</c:v>
                </c:pt>
                <c:pt idx="8">
                  <c:v>1783463.112</c:v>
                </c:pt>
                <c:pt idx="9">
                  <c:v>1783463.112</c:v>
                </c:pt>
                <c:pt idx="10">
                  <c:v>1783463.112</c:v>
                </c:pt>
                <c:pt idx="11">
                  <c:v>2512783.112</c:v>
                </c:pt>
                <c:pt idx="12">
                  <c:v>2512783.112</c:v>
                </c:pt>
                <c:pt idx="13">
                  <c:v>2512783.112</c:v>
                </c:pt>
                <c:pt idx="14">
                  <c:v>2512783.112</c:v>
                </c:pt>
                <c:pt idx="15">
                  <c:v>2512783.112</c:v>
                </c:pt>
                <c:pt idx="16">
                  <c:v>3242103.112</c:v>
                </c:pt>
                <c:pt idx="17">
                  <c:v>3242103.112</c:v>
                </c:pt>
                <c:pt idx="18">
                  <c:v>3242103.112</c:v>
                </c:pt>
                <c:pt idx="19">
                  <c:v>3242103.112</c:v>
                </c:pt>
                <c:pt idx="20">
                  <c:v>3242103.112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'Cálculo'!D44</c:f>
              <c:strCache>
                <c:ptCount val="1"/>
                <c:pt idx="0">
                  <c:v>Malla acumulada (con reposición, lona 10 años, realista)</c:v>
                </c:pt>
              </c:strCache>
            </c:strRef>
          </c:tx>
          <c:spPr>
            <a:ln w="3204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'Cálculo'!$A$45:$A$65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'Cálculo'!$D$45:$D$65</c:f>
              <c:numCache>
                <c:formatCode>"$ "#,##0</c:formatCode>
                <c:ptCount val="21"/>
                <c:pt idx="0">
                  <c:v>1054143.112</c:v>
                </c:pt>
                <c:pt idx="1">
                  <c:v>1054143.112</c:v>
                </c:pt>
                <c:pt idx="2">
                  <c:v>1054143.112</c:v>
                </c:pt>
                <c:pt idx="3">
                  <c:v>1054143.112</c:v>
                </c:pt>
                <c:pt idx="4">
                  <c:v>1054143.112</c:v>
                </c:pt>
                <c:pt idx="5">
                  <c:v>1054143.112</c:v>
                </c:pt>
                <c:pt idx="6">
                  <c:v>1054143.112</c:v>
                </c:pt>
                <c:pt idx="7">
                  <c:v>1054143.112</c:v>
                </c:pt>
                <c:pt idx="8">
                  <c:v>1054143.112</c:v>
                </c:pt>
                <c:pt idx="9">
                  <c:v>1054143.112</c:v>
                </c:pt>
                <c:pt idx="10">
                  <c:v>1054143.112</c:v>
                </c:pt>
                <c:pt idx="11">
                  <c:v>1783463.112</c:v>
                </c:pt>
                <c:pt idx="12">
                  <c:v>1783463.112</c:v>
                </c:pt>
                <c:pt idx="13">
                  <c:v>1783463.112</c:v>
                </c:pt>
                <c:pt idx="14">
                  <c:v>1783463.112</c:v>
                </c:pt>
                <c:pt idx="15">
                  <c:v>1783463.112</c:v>
                </c:pt>
                <c:pt idx="16">
                  <c:v>1783463.112</c:v>
                </c:pt>
                <c:pt idx="17">
                  <c:v>1783463.112</c:v>
                </c:pt>
                <c:pt idx="18">
                  <c:v>1783463.112</c:v>
                </c:pt>
                <c:pt idx="19">
                  <c:v>1783463.112</c:v>
                </c:pt>
                <c:pt idx="20">
                  <c:v>1783463.112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498627"/>
        <c:axId val="19844497"/>
      </c:lineChart>
      <c:catAx>
        <c:axId val="59498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844497"/>
        <c:crosses val="autoZero"/>
        <c:auto val="1"/>
        <c:lblAlgn val="ctr"/>
        <c:lblOffset val="100"/>
        <c:noMultiLvlLbl val="0"/>
      </c:catAx>
      <c:valAx>
        <c:axId val="19844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498627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13</xdr:col>
      <xdr:colOff>720</xdr:colOff>
      <xdr:row>22</xdr:row>
      <xdr:rowOff>22320</xdr:rowOff>
    </xdr:to>
    <xdr:graphicFrame>
      <xdr:nvGraphicFramePr>
        <xdr:cNvPr id="1" name="Chart 1"/>
        <xdr:cNvGraphicFramePr/>
      </xdr:nvGraphicFramePr>
      <xdr:xfrm>
        <a:off x="5216040" y="2133720"/>
        <a:ext cx="5075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7</xdr:col>
      <xdr:colOff>11160</xdr:colOff>
      <xdr:row>21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141120" y="2133720"/>
          <a:ext cx="5086080" cy="2857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2"/>
    <col collapsed="false" customWidth="true" hidden="false" outlineLevel="0" max="14" min="14" style="0" width="2"/>
  </cols>
  <sheetData>
    <row r="1" customFormat="false" ht="36" hidden="false" customHeight="true" outlineLevel="0" collapsed="false">
      <c r="B1" s="1" t="str">
        <f aca="false">IF(ISNUMBER('Cálculo'!B17),"Con "&amp;'Cálculo'!B6&amp;" eventos al año, la malla se paga sola en "&amp;ROUND('Cálculo'!B17,1)&amp;" años","Con "&amp;'Cálculo'!B6&amp;" eventos al año la malla no se recupera: hacen falta más de "&amp;ROUND('Cálculo'!B20,1)&amp;" usos por año")</f>
        <v>Con 2 eventos al año, la malla se paga sola en 8,9 años</v>
      </c>
    </row>
    <row r="2" customFormat="false" ht="19.5" hidden="false" customHeight="true" outlineLevel="0" collapsed="false">
      <c r="B2" s="2" t="str">
        <f aca="false">"Idea final: malla sobre cables que reemplaza la carpa de $ 100.000 por evento. Se paga todo el día 1 y se evalúa a "&amp;'Cálculo'!B15&amp;" años."</f>
        <v>Idea final: malla sobre cables que reemplaza la carpa de $ 100.000 por evento. Se paga todo el día 1 y se evalúa a 20 años.</v>
      </c>
    </row>
    <row r="3" customFormat="false" ht="9.75" hidden="false" customHeight="true" outlineLevel="0" collapsed="false"/>
    <row r="4" customFormat="false" ht="21.75" hidden="false" customHeight="true" outlineLevel="0" collapsed="false">
      <c r="B4" s="3" t="s">
        <v>0</v>
      </c>
      <c r="C4" s="3"/>
      <c r="D4" s="3"/>
      <c r="E4" s="3" t="s">
        <v>1</v>
      </c>
      <c r="F4" s="3"/>
      <c r="G4" s="3"/>
      <c r="H4" s="4" t="str">
        <f aca="false">"AHORRO NETO A "&amp;'Cálculo'!B15&amp;" AÑOS"</f>
        <v>AHORRO NETO A 20 AÑOS</v>
      </c>
      <c r="I4" s="4"/>
      <c r="J4" s="4"/>
      <c r="K4" s="4" t="s">
        <v>2</v>
      </c>
      <c r="L4" s="4"/>
      <c r="M4" s="4"/>
    </row>
    <row r="5" customFormat="false" ht="42" hidden="false" customHeight="true" outlineLevel="0" collapsed="false">
      <c r="B5" s="5" t="n">
        <f aca="false">'Cálculo'!B13</f>
        <v>1054143.112</v>
      </c>
      <c r="C5" s="5"/>
      <c r="D5" s="5"/>
      <c r="E5" s="6" t="n">
        <f aca="false">'Cálculo'!B17</f>
        <v>8.91731556</v>
      </c>
      <c r="F5" s="6"/>
      <c r="G5" s="6"/>
      <c r="H5" s="7" t="n">
        <f aca="false">'Cálculo'!B19</f>
        <v>757896.888</v>
      </c>
      <c r="I5" s="7"/>
      <c r="J5" s="7"/>
      <c r="K5" s="8" t="n">
        <f aca="false">'Cálculo'!B21</f>
        <v>0.0677425603552824</v>
      </c>
      <c r="L5" s="8"/>
      <c r="M5" s="8"/>
    </row>
    <row r="6" customFormat="false" ht="19.5" hidden="false" customHeight="true" outlineLevel="0" collapsed="false">
      <c r="B6" s="9" t="s">
        <v>3</v>
      </c>
      <c r="C6" s="9"/>
      <c r="D6" s="9"/>
      <c r="E6" s="9" t="str">
        <f aca="false">"lona "&amp;'Cálculo'!B8&amp;" años · equivale a "&amp;'Cálculo'!B18&amp;" usos de carpa"</f>
        <v>lona 5 años · equivale a 18 usos de carpa</v>
      </c>
      <c r="F6" s="9"/>
      <c r="G6" s="9"/>
      <c r="H6" s="9" t="str">
        <f aca="false">"lona "&amp;'Cálculo'!B8&amp;" años · "&amp;'Cálculo'!B16&amp;" reposiciones de lona"</f>
        <v>lona 5 años · 3 reposiciones de lona</v>
      </c>
      <c r="I6" s="9"/>
      <c r="J6" s="9"/>
      <c r="K6" s="9" t="str">
        <f aca="false">"lona "&amp;'Cálculo'!B8&amp;" años · rendimiento anual"</f>
        <v>lona 5 años · rendimiento anual</v>
      </c>
      <c r="L6" s="9"/>
      <c r="M6" s="9"/>
    </row>
    <row r="7" customFormat="false" ht="19.5" hidden="false" customHeight="true" outlineLevel="0" collapsed="false">
      <c r="B7" s="9" t="s">
        <v>4</v>
      </c>
      <c r="C7" s="9"/>
      <c r="D7" s="9"/>
      <c r="E7" s="9" t="str">
        <f aca="false">"Realista (lona "&amp;'Cálculo'!B9&amp;" años): "&amp;IF(ISNUMBER('Cálculo'!C17),ROUND('Cálculo'!C17,1)&amp;" años","nunca")</f>
        <v>Realista (lona 10 años): 5,3 años</v>
      </c>
      <c r="F7" s="9"/>
      <c r="G7" s="9"/>
      <c r="H7" s="9" t="str">
        <f aca="false">"Realista: $ "&amp;TEXT('Cálculo'!C19,"#,##0")</f>
        <v>Realista: $ 2.216.537</v>
      </c>
      <c r="I7" s="9"/>
      <c r="J7" s="9"/>
      <c r="K7" s="9" t="str">
        <f aca="false">"Realista: "&amp;IF(ISNUMBER('Cálculo'!C21),ROUND('Cálculo'!C21*100,1)&amp;"%","no se recupera")</f>
        <v>Realista: 15,8%</v>
      </c>
      <c r="L7" s="9"/>
      <c r="M7" s="9"/>
    </row>
    <row r="24" customFormat="false" ht="15" hidden="false" customHeight="false" outlineLevel="0" collapsed="false">
      <c r="B24" s="10" t="s">
        <v>5</v>
      </c>
    </row>
    <row r="26" customFormat="false" ht="15" hidden="false" customHeight="false" outlineLevel="0" collapsed="false">
      <c r="B26" s="11" t="s">
        <v>6</v>
      </c>
    </row>
    <row r="27" customFormat="false" ht="18" hidden="false" customHeight="true" outlineLevel="0" collapsed="false">
      <c r="B27" s="12" t="s">
        <v>7</v>
      </c>
      <c r="C27" s="12"/>
      <c r="D27" s="12"/>
      <c r="E27" s="12"/>
      <c r="F27" s="3" t="s">
        <v>8</v>
      </c>
      <c r="G27" s="3"/>
      <c r="H27" s="3"/>
      <c r="I27" s="3"/>
      <c r="J27" s="4" t="s">
        <v>9</v>
      </c>
      <c r="K27" s="4"/>
      <c r="L27" s="4"/>
      <c r="M27" s="4"/>
    </row>
    <row r="28" customFormat="false" ht="30" hidden="false" customHeight="true" outlineLevel="0" collapsed="false">
      <c r="B28" s="13" t="n">
        <f aca="false">'Cálculo'!B12</f>
        <v>200000</v>
      </c>
      <c r="C28" s="13"/>
      <c r="D28" s="13"/>
      <c r="E28" s="13"/>
      <c r="F28" s="14" t="n">
        <f aca="false">'Cálculo'!B14</f>
        <v>729320</v>
      </c>
      <c r="G28" s="14"/>
      <c r="H28" s="14"/>
      <c r="I28" s="14"/>
      <c r="J28" s="15" t="n">
        <f aca="false">'Cálculo'!B20</f>
        <v>1.45864</v>
      </c>
      <c r="K28" s="15"/>
      <c r="L28" s="15"/>
      <c r="M28" s="15"/>
    </row>
    <row r="29" customFormat="false" ht="18" hidden="false" customHeight="true" outlineLevel="0" collapsed="false">
      <c r="B29" s="9" t="str">
        <f aca="false">"con "&amp;'Cálculo'!B6&amp;" eventos × $ 100.000"</f>
        <v>con 2 eventos × $ 100.000</v>
      </c>
      <c r="C29" s="9"/>
      <c r="D29" s="9"/>
      <c r="E29" s="9"/>
      <c r="F29" s="9" t="str">
        <f aca="false">"lona + cuerda, cada "&amp;'Cálculo'!B8&amp;" años"</f>
        <v>lona + cuerda, cada 5 años</v>
      </c>
      <c r="G29" s="9"/>
      <c r="H29" s="9"/>
      <c r="I29" s="9"/>
      <c r="J29" s="9" t="s">
        <v>10</v>
      </c>
      <c r="K29" s="9"/>
      <c r="L29" s="9"/>
      <c r="M29" s="9"/>
    </row>
    <row r="30" customFormat="false" ht="15" hidden="false" customHeight="false" outlineLevel="0" collapsed="false">
      <c r="B30" s="16" t="str">
        <f aca="false">IF(ISNUMBER('Cálculo'!B22),"Cada reposición de la lona hace caer el ahorro acumulado: queda rentable sin recaídas desde el año "&amp;ROUND('Cálculo'!B22,1)&amp;".","")</f>
        <v>Cada reposición de la lona hace caer el ahorro acumulado: queda rentable sin recaídas desde el año 16,2.</v>
      </c>
    </row>
    <row r="31" customFormat="false" ht="15" hidden="false" customHeight="false" outlineLevel="0" collapsed="false">
      <c r="B31" s="10" t="str">
        <f aca="false">"A confirmar: "&amp;'Cálculo'!B6&amp;" eventos por año, dólar a $ "&amp;'Cálculo'!B5&amp;" y lona de "&amp;'Cálculo'!B9&amp;" años del caso realista (sin confirmar con el proveedor). Precios constantes, sin mano de obra."</f>
        <v>A confirmar: 2 eventos por año, dólar a $ 40 y lona de 10 años del caso realista (sin confirmar con el proveedor). Precios constantes, sin mano de obra.</v>
      </c>
    </row>
    <row r="32" customFormat="false" ht="15" hidden="false" customHeight="false" outlineLevel="0" collapsed="false">
      <c r="B32" s="16" t="str">
        <f aca="false">"Caso conservador (lona "&amp;'Cálculo'!B8&amp;" años): "&amp;IF(ISNUMBER('Cálculo'!B17),ROUND('Cálculo'!B17,1)&amp;" años","nunca se recupera")&amp;"  ·  Caso realista (lona guardada, "&amp;'Cálculo'!B9&amp;" años; supuesto a confirmar): "&amp;IF(ISNUMBER('Cálculo'!C17),ROUND('Cálculo'!C17,1)&amp;" años","nunca se recupera")</f>
        <v>Caso conservador (lona 5 años): 8,9 años  ·  Caso realista (lona guardada, 10 años; supuesto a confirmar): 5,3 años</v>
      </c>
    </row>
    <row r="33" customFormat="false" ht="15" hidden="false" customHeight="false" outlineLevel="0" collapsed="false">
      <c r="B33" s="16" t="str">
        <f aca="false">"Caso realista: ahorro neto a "&amp;'Cálculo'!B15&amp;" años $ "&amp;TEXT('Cálculo'!C19,"#,##0")&amp;"  ·  TIR "&amp;IF(ISNUMBER('Cálculo'!C21),ROUND('Cálculo'!C21*100,1)&amp;"%","no se recupera")&amp;"  ·  usos mínimos "&amp;ROUND('Cálculo'!C20,1)&amp;" por año (conservador: "&amp;ROUND('Cálculo'!B20,1)&amp;")."</f>
        <v>Caso realista: ahorro neto a 20 años $ 2.216.537  ·  TIR 15,8%  ·  usos mínimos 0,7 por año (conservador: 1,5).</v>
      </c>
    </row>
  </sheetData>
  <mergeCells count="25"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27:E27"/>
    <mergeCell ref="F27:I27"/>
    <mergeCell ref="J27:M27"/>
    <mergeCell ref="B28:E28"/>
    <mergeCell ref="F28:I28"/>
    <mergeCell ref="J28:M28"/>
    <mergeCell ref="B29:E29"/>
    <mergeCell ref="F29:I29"/>
    <mergeCell ref="J29:M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24"/>
  </cols>
  <sheetData>
    <row r="1" customFormat="false" ht="22.05" hidden="false" customHeight="false" outlineLevel="0" collapsed="false">
      <c r="A1" s="17" t="inlineStr">
        <is>
          <t xml:space="preserve">Cálculo y supuestos</t>
        </is>
      </c>
    </row>
    <row r="2" customFormat="false" ht="15" hidden="false" customHeight="false" outlineLevel="0" collapsed="false">
      <c r="A2" s="18" t="s">
        <v>33</v>
      </c>
    </row>
    <row r="4" customFormat="false" ht="21.75" hidden="false" customHeight="true" outlineLevel="0" collapsed="false">
      <c r="A4" s="19" t="s">
        <v>34</v>
      </c>
      <c r="B4" s="19" t="s">
        <v>35</v>
      </c>
      <c r="C4" s="19" t="s">
        <v>36</v>
      </c>
      <c r="D4" s="19" t="s">
        <v>37</v>
      </c>
    </row>
    <row r="5" customFormat="false" ht="15" hidden="false" customHeight="false" outlineLevel="0" collapsed="false">
      <c r="A5" s="20" t="s">
        <v>38</v>
      </c>
      <c r="B5" s="34" t="n">
        <v>40</v>
      </c>
      <c r="C5" s="20" t="s">
        <v>39</v>
      </c>
      <c r="D5" s="20" t="inlineStr">
        <is>
          <t xml:space="preserve">Supuesto: confirmar el dólar el día de pago. Solo pasa todo a pesos.</t>
        </is>
      </c>
    </row>
    <row r="6" customFormat="false" ht="15" hidden="false" customHeight="false" outlineLevel="0" collapsed="false">
      <c r="A6" s="20" t="s">
        <v>41</v>
      </c>
      <c r="B6" s="35" t="n">
        <v>2</v>
      </c>
      <c r="C6" s="20" t="s">
        <v>42</v>
      </c>
      <c r="D6" s="20" t="inlineStr">
        <is>
          <t xml:space="preserve">Supuesto: 2 eventos grandes por año. Reemplazar por el número real del colegio.</t>
        </is>
      </c>
    </row>
    <row r="7" customFormat="false" ht="15" hidden="false" customHeight="false" outlineLevel="0" collapsed="false">
      <c r="A7" s="20" t="s">
        <v>44</v>
      </c>
      <c r="B7" s="22" t="n">
        <v>100000</v>
      </c>
      <c r="C7" s="20" t="s">
        <v>45</v>
      </c>
      <c r="D7" s="20" t="inlineStr">
        <is>
          <t xml:space="preserve">Dato del equipo: hoy se paga una carpa de $ 100.000 cada vez.</t>
        </is>
      </c>
    </row>
    <row r="8" customFormat="false" ht="15" hidden="false" customHeight="false" outlineLevel="0" collapsed="false">
      <c r="A8" s="20" t="s">
        <v>47</v>
      </c>
      <c r="B8" s="36" t="n">
        <v>5</v>
      </c>
      <c r="C8" s="20" t="s">
        <v>48</v>
      </c>
      <c r="D8" s="20" t="inlineStr">
        <is>
          <t xml:space="preserve">Dato del proveedor (falta confirmar si cubre ojales y costuras). El desgaste es por tiempo al sol, no por usos.</t>
        </is>
      </c>
    </row>
    <row r="9" customFormat="false" ht="15" hidden="false" customHeight="false" outlineLevel="0" collapsed="false">
      <c r="A9" s="20" t="s">
        <v>50</v>
      </c>
      <c r="B9" s="35" t="n">
        <v>10</v>
      </c>
      <c r="C9" s="20" t="s">
        <v>48</v>
      </c>
      <c r="D9" s="20" t="inlineStr">
        <is>
          <t xml:space="preserve">SIN CONFIRMAR con Romela Toldos (099 664 452): supuesto del equipo. Guardada casi todo el año, la lona dura más.</t>
        </is>
      </c>
    </row>
    <row r="10" customFormat="false" ht="15" hidden="false" customHeight="false" outlineLevel="0" collapsed="false">
      <c r="A10" s="11" t="s">
        <v>52</v>
      </c>
    </row>
    <row r="11" customFormat="false" ht="21.75" hidden="false" customHeight="true" outlineLevel="0" collapsed="false">
      <c r="A11" s="19" t="s">
        <v>53</v>
      </c>
      <c r="B11" s="19" t="str">
        <f aca="false">"Valor: caso conservador (lona "&amp;B8&amp;" años)"</f>
        <v>Valor: caso conservador (lona 5 años)</v>
      </c>
      <c r="C11" s="19" t="str">
        <f aca="false">"Valor: caso realista (lona "&amp;B9&amp;" años)"</f>
        <v>Valor: caso realista (lona 10 años)</v>
      </c>
      <c r="D11" s="19" t="s">
        <v>54</v>
      </c>
    </row>
    <row r="12" customFormat="false" ht="15" hidden="false" customHeight="false" outlineLevel="0" collapsed="false">
      <c r="A12" s="20" t="s">
        <v>55</v>
      </c>
      <c r="B12" s="37" t="n">
        <f aca="false">B6*B7</f>
        <v>200000</v>
      </c>
      <c r="C12" s="37" t="n">
        <f aca="false">B12</f>
        <v>200000</v>
      </c>
      <c r="D12" s="20" t="inlineStr">
        <is>
          <t xml:space="preserve">Eventos por año × costo de la carpa</t>
        </is>
      </c>
    </row>
    <row r="13" customFormat="false" ht="15" hidden="false" customHeight="false" outlineLevel="0" collapsed="false">
      <c r="A13" s="20" t="s">
        <v>57</v>
      </c>
      <c r="B13" s="37" t="n">
        <f>D30</f>
        <v>1054143.112</v>
      </c>
      <c r="C13" s="37" t="n">
        <f aca="false">B13</f>
        <v>1054143.112</v>
      </c>
      <c r="D13" s="20" t="inlineStr">
        <is>
          <t xml:space="preserve">Total con IVA del bloque «Pago único» de abajo</t>
        </is>
      </c>
    </row>
    <row r="14" customFormat="false" ht="15" hidden="false" customHeight="false" outlineLevel="0" collapsed="false">
      <c r="A14" s="20" t="s">
        <v>59</v>
      </c>
      <c r="B14" s="37" t="n">
        <f>D25+D29</f>
        <v>729320</v>
      </c>
      <c r="C14" s="37" t="n">
        <f aca="false">B14</f>
        <v>729320</v>
      </c>
      <c r="D14" s="20" t="inlineStr">
        <is>
          <t xml:space="preserve">Lona de Romela + cuerda, a precios de hoy. Sin mano de obra ni plataforma.</t>
        </is>
      </c>
    </row>
    <row r="15" customFormat="false" ht="15" hidden="false" customHeight="false" outlineLevel="0" collapsed="false">
      <c r="A15" s="20" t="s">
        <v>61</v>
      </c>
      <c r="B15" s="38" t="n">
        <f>MAX(A45:A65)</f>
        <v>20</v>
      </c>
      <c r="C15" s="38" t="n">
        <f aca="false">B15</f>
        <v>20</v>
      </c>
      <c r="D15" s="20" t="inlineStr">
        <is>
          <t xml:space="preserve">Largo de la tabla de flujos de abajo</t>
        </is>
      </c>
    </row>
    <row r="16" customFormat="false" ht="15" hidden="false" customHeight="false" outlineLevel="0" collapsed="false">
      <c r="A16" s="20" t="s">
        <v>63</v>
      </c>
      <c r="B16" s="38" t="n">
        <f aca="false">MAX(0,ROUNDUP(B15/B8,0)-1)</f>
        <v>3</v>
      </c>
      <c r="C16" s="38" t="n">
        <f aca="false">MAX(0,ROUNDUP(B15/B9,0)-1)</f>
        <v>1</v>
      </c>
      <c r="D16" s="20" t="inlineStr">
        <is>
          <t xml:space="preserve">La lona se repone al terminar su vida útil</t>
        </is>
      </c>
    </row>
    <row r="17" customFormat="false" ht="15" hidden="false" customHeight="false" outlineLevel="0" collapsed="false">
      <c r="A17" s="20" t="s">
        <v>65</v>
      </c>
      <c r="B17" s="39" t="n">
        <f aca="false">IF(B12*$B$8&gt;=$B$13,$B$13/B12,IF(B12*$B$8&lt;=$B$14,"nunca",($B$13+ROUNDUP(($B$13-B12*$B$8)/(B12*$B$8-$B$14),0)*$B$14)/B12))</f>
        <v>8.91731556</v>
      </c>
      <c r="C17" s="39" t="n">
        <f aca="false">IF(B12*$B$9&gt;=$B$13,$B$13/B12,IF(B12*$B$9&lt;=$B$14,"nunca",($B$13+ROUNDUP(($B$13-B12*$B$9)/(B12*$B$9-$B$14),0)*$B$14)/B12))</f>
        <v>5.27071556</v>
      </c>
      <c r="D17" s="20" t="inlineStr">
        <is>
          <t xml:space="preserve">Descuenta cada reposición de la lona</t>
        </is>
      </c>
    </row>
    <row r="18" customFormat="false" ht="15" hidden="false" customHeight="false" outlineLevel="0" collapsed="false">
      <c r="A18" s="20" t="s">
        <v>67</v>
      </c>
      <c r="B18" s="38" t="n">
        <f aca="false">IF(ISNUMBER(B17),ROUNDUP(B17*B6,0),"nunca")</f>
        <v>18</v>
      </c>
      <c r="C18" s="38" t="n">
        <f aca="false">IF(ISNUMBER(C17),ROUNDUP(C17*B6,0),"nunca")</f>
        <v>11</v>
      </c>
      <c r="D18" s="20" t="inlineStr">
        <is>
          <t xml:space="preserve">Usos de carpa evitados hasta recuperar la inversión</t>
        </is>
      </c>
    </row>
    <row r="19" customFormat="false" ht="15" hidden="false" customHeight="false" outlineLevel="0" collapsed="false">
      <c r="A19" s="20" t="s">
        <v>69</v>
      </c>
      <c r="B19" s="37" t="n">
        <f aca="false">B12*B15-B13-B14*B16</f>
        <v>757896.888</v>
      </c>
      <c r="C19" s="37" t="n">
        <f aca="false">B12*B15-B13-B14*C16</f>
        <v>2216536.888</v>
      </c>
      <c r="D19" s="20" t="inlineStr">
        <is>
          <t xml:space="preserve">Carpa evitada − inversión − reposiciones de lona</t>
        </is>
      </c>
    </row>
    <row r="20" customFormat="false" ht="15" hidden="false" customHeight="false" outlineLevel="0" collapsed="false">
      <c r="A20" s="20" t="inlineStr">
        <is>
          <t xml:space="preserve">Usos mínimos por año para ser rentable</t>
        </is>
      </c>
      <c r="B20" s="29" t="n">
        <f>B14/(B8*B7)</f>
        <v>1.45864</v>
      </c>
      <c r="C20" s="29" t="n">
        <f>B14/(B9*B7)</f>
        <v>0.72932</v>
      </c>
      <c r="D20" s="20" t="inlineStr">
        <is>
          <t xml:space="preserve">Con menos usos, el desgaste de la lona se come todo el ahorro</t>
        </is>
      </c>
    </row>
    <row r="21" customFormat="false" ht="15" hidden="false" customHeight="false" outlineLevel="0" collapsed="false">
      <c r="A21" s="20" t="s">
        <v>73</v>
      </c>
      <c r="B21" s="41" t="n">
        <f>IFERROR(IRR(E45:E65),"no se recupera")</f>
        <v>0.0677425603552824</v>
      </c>
      <c r="C21" s="41" t="n">
        <f>IFERROR(IRR(F45:F65),"no se recupera")</f>
        <v>0.157821300343856</v>
      </c>
      <c r="D21" s="20" t="inlineStr">
        <is>
          <t xml:space="preserve">Sobre los flujos de la tabla, con reposiciones</t>
        </is>
      </c>
    </row>
    <row r="22" customFormat="false" ht="15" hidden="false" customHeight="false" outlineLevel="0" collapsed="false">
      <c r="A22" s="20" t="s">
        <v>75</v>
      </c>
      <c r="B22" s="39" t="n">
        <f aca="false">IF(B12*$B$8&lt;=$B$14,"nunca",IF(ROUNDUP($B$13/(B12*$B$8-$B$14),0)&lt;=1,IF(B12*$B$8&gt;=$B$13,$B$13/B12,IF(B12*$B$8&lt;=$B$14,"nunca",($B$13+ROUNDUP(($B$13-B12*$B$8)/(B12*$B$8-$B$14),0)*$B$14)/B12)),($B$13+(ROUNDUP($B$13/(B12*$B$8-$B$14),0)-1)*$B$14)/B12))</f>
        <v>16.21051556</v>
      </c>
      <c r="C22" s="39" t="n">
        <f aca="false">IF(B12*$B$9&lt;=$B$14,"nunca",IF(ROUNDUP($B$13/(B12*$B$9-$B$14),0)&lt;=1,IF(B12*$B$9&gt;=$B$13,$B$13/B12,IF(B12*$B$9&lt;=$B$14,"nunca",($B$13+ROUNDUP(($B$13-B12*$B$9)/(B12*$B$9-$B$14),0)*$B$14)/B12)),($B$13+(ROUNDUP($B$13/(B12*$B$9-$B$14),0)-1)*$B$14)/B12))</f>
        <v>5.27071556</v>
      </c>
      <c r="D22" s="20" t="inlineStr">
        <is>
          <t xml:space="preserve">Después de cada reposición el ahorro cae; desde esta fecha ya no vuelve a ser negativo</t>
        </is>
      </c>
    </row>
    <row r="23" customFormat="false" ht="15" hidden="false" customHeight="false" outlineLevel="0" collapsed="false">
      <c r="A23" s="11" t="inlineStr">
        <is>
          <t xml:space="preserve">Inversión: pago único el día 1 (con IVA)</t>
        </is>
      </c>
    </row>
    <row r="24" customFormat="false" ht="21.75" hidden="false" customHeight="true" outlineLevel="0" collapsed="false">
      <c r="A24" s="19" t="inlineStr">
        <is>
          <t xml:space="preserve">Proveedor</t>
        </is>
      </c>
      <c r="B24" s="19" t="inlineStr">
        <is>
          <t xml:space="preserve">En dólares</t>
        </is>
      </c>
      <c r="C24" s="19" t="inlineStr">
        <is>
          <t xml:space="preserve">En pesos</t>
        </is>
      </c>
      <c r="D24" s="19" t="inlineStr">
        <is>
          <t xml:space="preserve">Total en pesos</t>
        </is>
      </c>
    </row>
    <row r="25" customFormat="false" ht="15" hidden="false" customHeight="false" outlineLevel="0" collapsed="false">
      <c r="A25" s="20" t="inlineStr">
        <is>
          <t xml:space="preserve">Romela Toldos (lona)</t>
        </is>
      </c>
      <c r="B25" s="21" t="n">
        <v>17873</v>
      </c>
      <c r="C25" s="22" t="n">
        <v>0</v>
      </c>
      <c r="D25" s="23" t="n">
        <f>B25*$B$5+C25</f>
        <v>714920</v>
      </c>
    </row>
    <row r="26" customFormat="false" ht="15" hidden="false" customHeight="false" outlineLevel="0" collapsed="false">
      <c r="A26" s="20" t="inlineStr">
        <is>
          <t xml:space="preserve">Appelsa (postes y estructura)</t>
        </is>
      </c>
      <c r="B26" s="21" t="n">
        <v>4180.6228</v>
      </c>
      <c r="C26" s="22" t="n">
        <v>0</v>
      </c>
      <c r="D26" s="23" t="n">
        <f>B26*$B$5+C26</f>
        <v>167224.912</v>
      </c>
    </row>
    <row r="27" customFormat="false" ht="15" hidden="false" customHeight="false" outlineLevel="0" collapsed="false">
      <c r="A27" s="20" t="inlineStr">
        <is>
          <t xml:space="preserve">Bianchi (cables y accesorios)</t>
        </is>
      </c>
      <c r="B27" s="21" t="n">
        <v>503.78</v>
      </c>
      <c r="C27" s="22" t="n">
        <v>127301</v>
      </c>
      <c r="D27" s="23" t="n">
        <f>B27*$B$5+C27</f>
        <v>147452.2</v>
      </c>
    </row>
    <row r="28" customFormat="false" ht="15" hidden="false" customHeight="false" outlineLevel="0" collapsed="false">
      <c r="A28" s="20" t="inlineStr">
        <is>
          <t xml:space="preserve">Sodimac (anclajes)</t>
        </is>
      </c>
      <c r="B28" s="21" t="n">
        <v>0</v>
      </c>
      <c r="C28" s="22" t="n">
        <v>10146</v>
      </c>
      <c r="D28" s="23" t="n">
        <f>B28*$B$5+C28</f>
        <v>10146</v>
      </c>
    </row>
    <row r="29" customFormat="false" ht="15" hidden="false" customHeight="false" outlineLevel="0" collapsed="false">
      <c r="A29" s="20" t="inlineStr">
        <is>
          <t xml:space="preserve">Polietileno Obelisco (cuerda)</t>
        </is>
      </c>
      <c r="B29" s="21" t="n">
        <v>0</v>
      </c>
      <c r="C29" s="22" t="n">
        <v>14400</v>
      </c>
      <c r="D29" s="23" t="n">
        <f>B29*$B$5+C29</f>
        <v>14400</v>
      </c>
    </row>
    <row r="30" customFormat="false" ht="15" hidden="false" customHeight="false" outlineLevel="0" collapsed="false">
      <c r="A30" s="25" t="inlineStr">
        <is>
          <t xml:space="preserve">Total a pagar el día 1</t>
        </is>
      </c>
      <c r="B30" s="26" t="n">
        <f>SUM(B25:B29)</f>
        <v>22557.4028</v>
      </c>
      <c r="C30" s="27" t="n">
        <f>SUM(C25:C29)</f>
        <v>151847</v>
      </c>
      <c r="D30" s="27" t="n">
        <f>SUM(D25:D29)</f>
        <v>1054143.112</v>
      </c>
    </row>
    <row r="31" customFormat="false" ht="15" hidden="false" customHeight="false" outlineLevel="0" collapsed="false">
      <c r="A31" s="30" t="inlineStr">
        <is>
          <t xml:space="preserve">Fuente: Gastos.xlsx (hoja Gastos), con IVA, precios al 1/10/2026. Si cambian allá, actualizar las celdas azules.</t>
        </is>
      </c>
    </row>
    <row r="33" customFormat="false" ht="15" hidden="false" customHeight="false" outlineLevel="0" collapsed="false">
      <c r="A33" s="11" t="inlineStr">
        <is>
          <t xml:space="preserve">¿Y si los eventos por año son otros?</t>
        </is>
      </c>
    </row>
    <row r="34" customFormat="false" ht="32" hidden="false" customHeight="true" outlineLevel="0" collapsed="false">
      <c r="A34" s="19" t="inlineStr">
        <is>
          <t xml:space="preserve">Eventos por año</t>
        </is>
      </c>
      <c r="B34" s="19" t="inlineStr">
        <is>
          <t xml:space="preserve">Años para recuperar: conservador</t>
        </is>
      </c>
      <c r="C34" s="19" t="inlineStr">
        <is>
          <t xml:space="preserve">Años para recuperar: realista</t>
        </is>
      </c>
      <c r="D34" s="19" t="inlineStr">
        <is>
          <t xml:space="preserve">Ahorro neto en el horizonte: conservador</t>
        </is>
      </c>
      <c r="E34" s="19" t="inlineStr">
        <is>
          <t xml:space="preserve">Ahorro neto en el horizonte: realista</t>
        </is>
      </c>
    </row>
    <row r="35" customFormat="false" ht="15" hidden="false" customHeight="false" outlineLevel="0" collapsed="false">
      <c r="A35" s="31" t="n">
        <v>1</v>
      </c>
      <c r="B35" s="33" t="str">
        <f>IF(($A35*$B$7)*$B$8&gt;=$B$13,$B$13/($A35*$B$7),IF(($A35*$B$7)*$B$8&lt;=$B$14,"nunca",($B$13+ROUNDUP(($B$13-($A35*$B$7)*$B$8)/(($A35*$B$7)*$B$8-$B$14),0)*$B$14)/($A35*$B$7)))</f>
        <v>nunca</v>
      </c>
      <c r="C35" s="33" t="n">
        <f>IF(($A35*$B$7)*$B$9&gt;=$B$13,$B$13/($A35*$B$7),IF(($A35*$B$7)*$B$9&lt;=$B$14,"nunca",($B$13+ROUNDUP(($B$13-($A35*$B$7)*$B$9)/(($A35*$B$7)*$B$9-$B$14),0)*$B$14)/($A35*$B$7)))</f>
        <v>17.83463112</v>
      </c>
      <c r="D35" s="23" t="n">
        <f>($A35*$B$7)*$B$15-$B$13-$B$14*$B$16</f>
        <v>-1242103.112</v>
      </c>
      <c r="E35" s="23" t="n">
        <f>($A35*$B$7)*$B$15-$B$13-$B$14*$C$16</f>
        <v>216536.888</v>
      </c>
    </row>
    <row r="36" customFormat="false" ht="15" hidden="false" customHeight="false" outlineLevel="0" collapsed="false">
      <c r="A36" s="31" t="n">
        <v>2</v>
      </c>
      <c r="B36" s="33" t="n">
        <f>IF(($A36*$B$7)*$B$8&gt;=$B$13,$B$13/($A36*$B$7),IF(($A36*$B$7)*$B$8&lt;=$B$14,"nunca",($B$13+ROUNDUP(($B$13-($A36*$B$7)*$B$8)/(($A36*$B$7)*$B$8-$B$14),0)*$B$14)/($A36*$B$7)))</f>
        <v>8.91731556</v>
      </c>
      <c r="C36" s="33" t="n">
        <f>IF(($A36*$B$7)*$B$9&gt;=$B$13,$B$13/($A36*$B$7),IF(($A36*$B$7)*$B$9&lt;=$B$14,"nunca",($B$13+ROUNDUP(($B$13-($A36*$B$7)*$B$9)/(($A36*$B$7)*$B$9-$B$14),0)*$B$14)/($A36*$B$7)))</f>
        <v>5.27071556</v>
      </c>
      <c r="D36" s="23" t="n">
        <f>($A36*$B$7)*$B$15-$B$13-$B$14*$B$16</f>
        <v>757896.888</v>
      </c>
      <c r="E36" s="23" t="n">
        <f>($A36*$B$7)*$B$15-$B$13-$B$14*$C$16</f>
        <v>2216536.888</v>
      </c>
    </row>
    <row r="37" customFormat="false" ht="15" hidden="false" customHeight="false" outlineLevel="0" collapsed="false">
      <c r="A37" s="31" t="n">
        <v>4</v>
      </c>
      <c r="B37" s="33" t="n">
        <f>IF(($A37*$B$7)*$B$8&gt;=$B$13,$B$13/($A37*$B$7),IF(($A37*$B$7)*$B$8&lt;=$B$14,"nunca",($B$13+ROUNDUP(($B$13-($A37*$B$7)*$B$8)/(($A37*$B$7)*$B$8-$B$14),0)*$B$14)/($A37*$B$7)))</f>
        <v>2.63535778</v>
      </c>
      <c r="C37" s="33" t="n">
        <f>IF(($A37*$B$7)*$B$9&gt;=$B$13,$B$13/($A37*$B$7),IF(($A37*$B$7)*$B$9&lt;=$B$14,"nunca",($B$13+ROUNDUP(($B$13-($A37*$B$7)*$B$9)/(($A37*$B$7)*$B$9-$B$14),0)*$B$14)/($A37*$B$7)))</f>
        <v>2.63535778</v>
      </c>
      <c r="D37" s="23" t="n">
        <f>($A37*$B$7)*$B$15-$B$13-$B$14*$B$16</f>
        <v>4757896.888</v>
      </c>
      <c r="E37" s="23" t="n">
        <f>($A37*$B$7)*$B$15-$B$13-$B$14*$C$16</f>
        <v>6216536.888</v>
      </c>
    </row>
    <row r="38" customFormat="false" ht="15" hidden="false" customHeight="false" outlineLevel="0" collapsed="false">
      <c r="A38" s="31" t="n">
        <v>6</v>
      </c>
      <c r="B38" s="33" t="n">
        <f>IF(($A38*$B$7)*$B$8&gt;=$B$13,$B$13/($A38*$B$7),IF(($A38*$B$7)*$B$8&lt;=$B$14,"nunca",($B$13+ROUNDUP(($B$13-($A38*$B$7)*$B$8)/(($A38*$B$7)*$B$8-$B$14),0)*$B$14)/($A38*$B$7)))</f>
        <v>1.75690518666667</v>
      </c>
      <c r="C38" s="33" t="n">
        <f>IF(($A38*$B$7)*$B$9&gt;=$B$13,$B$13/($A38*$B$7),IF(($A38*$B$7)*$B$9&lt;=$B$14,"nunca",($B$13+ROUNDUP(($B$13-($A38*$B$7)*$B$9)/(($A38*$B$7)*$B$9-$B$14),0)*$B$14)/($A38*$B$7)))</f>
        <v>1.75690518666667</v>
      </c>
      <c r="D38" s="23" t="n">
        <f>($A38*$B$7)*$B$15-$B$13-$B$14*$B$16</f>
        <v>8757896.888</v>
      </c>
      <c r="E38" s="23" t="n">
        <f>($A38*$B$7)*$B$15-$B$13-$B$14*$C$16</f>
        <v>10216536.888</v>
      </c>
    </row>
    <row r="39" customFormat="false" ht="15" hidden="false" customHeight="false" outlineLevel="0" collapsed="false">
      <c r="A39" s="31" t="n">
        <v>12</v>
      </c>
      <c r="B39" s="33" t="n">
        <f>IF(($A39*$B$7)*$B$8&gt;=$B$13,$B$13/($A39*$B$7),IF(($A39*$B$7)*$B$8&lt;=$B$14,"nunca",($B$13+ROUNDUP(($B$13-($A39*$B$7)*$B$8)/(($A39*$B$7)*$B$8-$B$14),0)*$B$14)/($A39*$B$7)))</f>
        <v>0.878452593333333</v>
      </c>
      <c r="C39" s="33" t="n">
        <f>IF(($A39*$B$7)*$B$9&gt;=$B$13,$B$13/($A39*$B$7),IF(($A39*$B$7)*$B$9&lt;=$B$14,"nunca",($B$13+ROUNDUP(($B$13-($A39*$B$7)*$B$9)/(($A39*$B$7)*$B$9-$B$14),0)*$B$14)/($A39*$B$7)))</f>
        <v>0.878452593333333</v>
      </c>
      <c r="D39" s="23" t="n">
        <f>($A39*$B$7)*$B$15-$B$13-$B$14*$B$16</f>
        <v>20757896.888</v>
      </c>
      <c r="E39" s="23" t="n">
        <f>($A39*$B$7)*$B$15-$B$13-$B$14*$C$16</f>
        <v>22216536.888</v>
      </c>
    </row>
    <row r="40" customFormat="false" ht="15" hidden="false" customHeight="false" outlineLevel="0" collapsed="false">
      <c r="A40" s="30" t="inlineStr">
        <is>
          <t xml:space="preserve">Los saltos: cada vez que hay que reponer la lona el ahorro acumulado cae, por eso el tiempo para recuperar no baja de forma pareja.</t>
        </is>
      </c>
    </row>
    <row r="41" customFormat="false" ht="15" hidden="false" customHeight="false" outlineLevel="0" collapsed="false">
      <c r="A41" s="30" t="inlineStr">
        <is>
          <t xml:space="preserve">«nunca»: con muy pocos usos, el desgaste de la lona se come todo lo que se ahorra en carpa.</t>
        </is>
      </c>
    </row>
    <row r="43" customFormat="false" ht="15" hidden="false" customHeight="false" outlineLevel="0" collapsed="false">
      <c r="A43" s="11" t="inlineStr">
        <is>
          <t xml:space="preserve">Flujo año por año</t>
        </is>
      </c>
    </row>
    <row r="44" customFormat="false" ht="32" hidden="false" customHeight="true" outlineLevel="0" collapsed="false">
      <c r="A44" s="19" t="inlineStr">
        <is>
          <t xml:space="preserve">Año</t>
        </is>
      </c>
      <c r="B44" s="19" t="inlineStr">
        <is>
          <t xml:space="preserve">Carpa acumulada</t>
        </is>
      </c>
      <c r="C44" s="19" t="str">
        <f>"Malla acumulada (con reposición, lona "&amp;B8&amp;" años)"</f>
        <v>Malla acumulada (con reposición, lona 5 años)</v>
      </c>
      <c r="D44" s="19" t="str">
        <f>"Malla acumulada (con reposición, lona "&amp;B9&amp;" años, realista)"</f>
        <v>Malla acumulada (con reposición, lona 10 años, realista)</v>
      </c>
      <c r="E44" s="19" t="inlineStr">
        <is>
          <t xml:space="preserve">Flujo neto del año: conservador</t>
        </is>
      </c>
      <c r="F44" s="19" t="inlineStr">
        <is>
          <t xml:space="preserve">Flujo neto del año: realista</t>
        </is>
      </c>
    </row>
    <row r="45" customFormat="false" ht="15" hidden="false" customHeight="false" outlineLevel="0" collapsed="false">
      <c r="A45" s="31" t="n">
        <v>0</v>
      </c>
      <c r="B45" s="23" t="n">
        <f>A45*$B$12</f>
        <v>0</v>
      </c>
      <c r="C45" s="23" t="n">
        <f>$B$13+$B$14*MAX(0,ROUNDUP(A45/$B$8,0)-1)</f>
        <v>1054143.112</v>
      </c>
      <c r="D45" s="23" t="n">
        <f>$B$13+$B$14*MAX(0,ROUNDUP(A45/$B$9,0)-1)</f>
        <v>1054143.112</v>
      </c>
      <c r="E45" s="23" t="n">
        <f>-$B$13</f>
        <v>-1054143.112</v>
      </c>
      <c r="F45" s="23" t="n">
        <f>-$B$13</f>
        <v>-1054143.112</v>
      </c>
    </row>
    <row r="46" customFormat="false" ht="15" hidden="false" customHeight="false" outlineLevel="0" collapsed="false">
      <c r="A46" s="31" t="n">
        <v>1</v>
      </c>
      <c r="B46" s="23" t="n">
        <f>A46*$B$12</f>
        <v>200000</v>
      </c>
      <c r="C46" s="23" t="n">
        <f>$B$13+$B$14*MAX(0,ROUNDUP(A46/$B$8,0)-1)</f>
        <v>1054143.112</v>
      </c>
      <c r="D46" s="23" t="n">
        <f>$B$13+$B$14*MAX(0,ROUNDUP(A46/$B$9,0)-1)</f>
        <v>1054143.112</v>
      </c>
      <c r="E46" s="23" t="n">
        <f>$B$12-IF(MOD(A46-1,$B$8)=0,$B$14,0)*IF(A46&gt;1,1,0)</f>
        <v>200000</v>
      </c>
      <c r="F46" s="23" t="n">
        <f>$B$12-IF(MOD(A46-1,$B$9)=0,$B$14,0)*IF(A46&gt;1,1,0)</f>
        <v>200000</v>
      </c>
    </row>
    <row r="47" customFormat="false" ht="15" hidden="false" customHeight="false" outlineLevel="0" collapsed="false">
      <c r="A47" s="31" t="n">
        <v>2</v>
      </c>
      <c r="B47" s="23" t="n">
        <f>A47*$B$12</f>
        <v>400000</v>
      </c>
      <c r="C47" s="23" t="n">
        <f>$B$13+$B$14*MAX(0,ROUNDUP(A47/$B$8,0)-1)</f>
        <v>1054143.112</v>
      </c>
      <c r="D47" s="23" t="n">
        <f>$B$13+$B$14*MAX(0,ROUNDUP(A47/$B$9,0)-1)</f>
        <v>1054143.112</v>
      </c>
      <c r="E47" s="23" t="n">
        <f>$B$12-IF(MOD(A47-1,$B$8)=0,$B$14,0)*IF(A47&gt;1,1,0)</f>
        <v>200000</v>
      </c>
      <c r="F47" s="23" t="n">
        <f>$B$12-IF(MOD(A47-1,$B$9)=0,$B$14,0)*IF(A47&gt;1,1,0)</f>
        <v>200000</v>
      </c>
    </row>
    <row r="48" customFormat="false" ht="15" hidden="false" customHeight="false" outlineLevel="0" collapsed="false">
      <c r="A48" s="31" t="n">
        <v>3</v>
      </c>
      <c r="B48" s="23" t="n">
        <f>A48*$B$12</f>
        <v>600000</v>
      </c>
      <c r="C48" s="23" t="n">
        <f>$B$13+$B$14*MAX(0,ROUNDUP(A48/$B$8,0)-1)</f>
        <v>1054143.112</v>
      </c>
      <c r="D48" s="23" t="n">
        <f>$B$13+$B$14*MAX(0,ROUNDUP(A48/$B$9,0)-1)</f>
        <v>1054143.112</v>
      </c>
      <c r="E48" s="23" t="n">
        <f>$B$12-IF(MOD(A48-1,$B$8)=0,$B$14,0)*IF(A48&gt;1,1,0)</f>
        <v>200000</v>
      </c>
      <c r="F48" s="23" t="n">
        <f>$B$12-IF(MOD(A48-1,$B$9)=0,$B$14,0)*IF(A48&gt;1,1,0)</f>
        <v>200000</v>
      </c>
    </row>
    <row r="49" customFormat="false" ht="15" hidden="false" customHeight="false" outlineLevel="0" collapsed="false">
      <c r="A49" s="31" t="n">
        <v>4</v>
      </c>
      <c r="B49" s="23" t="n">
        <f>A49*$B$12</f>
        <v>800000</v>
      </c>
      <c r="C49" s="23" t="n">
        <f>$B$13+$B$14*MAX(0,ROUNDUP(A49/$B$8,0)-1)</f>
        <v>1054143.112</v>
      </c>
      <c r="D49" s="23" t="n">
        <f>$B$13+$B$14*MAX(0,ROUNDUP(A49/$B$9,0)-1)</f>
        <v>1054143.112</v>
      </c>
      <c r="E49" s="23" t="n">
        <f>$B$12-IF(MOD(A49-1,$B$8)=0,$B$14,0)*IF(A49&gt;1,1,0)</f>
        <v>200000</v>
      </c>
      <c r="F49" s="23" t="n">
        <f>$B$12-IF(MOD(A49-1,$B$9)=0,$B$14,0)*IF(A49&gt;1,1,0)</f>
        <v>200000</v>
      </c>
    </row>
    <row r="50" customFormat="false" ht="15" hidden="false" customHeight="false" outlineLevel="0" collapsed="false">
      <c r="A50" s="31" t="n">
        <v>5</v>
      </c>
      <c r="B50" s="23" t="n">
        <f>A50*$B$12</f>
        <v>1000000</v>
      </c>
      <c r="C50" s="23" t="n">
        <f>$B$13+$B$14*MAX(0,ROUNDUP(A50/$B$8,0)-1)</f>
        <v>1054143.112</v>
      </c>
      <c r="D50" s="23" t="n">
        <f>$B$13+$B$14*MAX(0,ROUNDUP(A50/$B$9,0)-1)</f>
        <v>1054143.112</v>
      </c>
      <c r="E50" s="23" t="n">
        <f>$B$12-IF(MOD(A50-1,$B$8)=0,$B$14,0)*IF(A50&gt;1,1,0)</f>
        <v>200000</v>
      </c>
      <c r="F50" s="23" t="n">
        <f>$B$12-IF(MOD(A50-1,$B$9)=0,$B$14,0)*IF(A50&gt;1,1,0)</f>
        <v>200000</v>
      </c>
    </row>
    <row r="51" customFormat="false" ht="15" hidden="false" customHeight="false" outlineLevel="0" collapsed="false">
      <c r="A51" s="31" t="n">
        <v>6</v>
      </c>
      <c r="B51" s="23" t="n">
        <f>A51*$B$12</f>
        <v>1200000</v>
      </c>
      <c r="C51" s="23" t="n">
        <f>$B$13+$B$14*MAX(0,ROUNDUP(A51/$B$8,0)-1)</f>
        <v>1783463.112</v>
      </c>
      <c r="D51" s="23" t="n">
        <f>$B$13+$B$14*MAX(0,ROUNDUP(A51/$B$9,0)-1)</f>
        <v>1054143.112</v>
      </c>
      <c r="E51" s="23" t="n">
        <f>$B$12-IF(MOD(A51-1,$B$8)=0,$B$14,0)*IF(A51&gt;1,1,0)</f>
        <v>-529320</v>
      </c>
      <c r="F51" s="23" t="n">
        <f>$B$12-IF(MOD(A51-1,$B$9)=0,$B$14,0)*IF(A51&gt;1,1,0)</f>
        <v>200000</v>
      </c>
    </row>
    <row r="52" customFormat="false" ht="15" hidden="false" customHeight="false" outlineLevel="0" collapsed="false">
      <c r="A52" s="31" t="n">
        <v>7</v>
      </c>
      <c r="B52" s="23" t="n">
        <f>A52*$B$12</f>
        <v>1400000</v>
      </c>
      <c r="C52" s="23" t="n">
        <f>$B$13+$B$14*MAX(0,ROUNDUP(A52/$B$8,0)-1)</f>
        <v>1783463.112</v>
      </c>
      <c r="D52" s="23" t="n">
        <f>$B$13+$B$14*MAX(0,ROUNDUP(A52/$B$9,0)-1)</f>
        <v>1054143.112</v>
      </c>
      <c r="E52" s="23" t="n">
        <f>$B$12-IF(MOD(A52-1,$B$8)=0,$B$14,0)*IF(A52&gt;1,1,0)</f>
        <v>200000</v>
      </c>
      <c r="F52" s="23" t="n">
        <f>$B$12-IF(MOD(A52-1,$B$9)=0,$B$14,0)*IF(A52&gt;1,1,0)</f>
        <v>200000</v>
      </c>
    </row>
    <row r="53" customFormat="false" ht="15" hidden="false" customHeight="false" outlineLevel="0" collapsed="false">
      <c r="A53" s="31" t="n">
        <v>8</v>
      </c>
      <c r="B53" s="23" t="n">
        <f>A53*$B$12</f>
        <v>1600000</v>
      </c>
      <c r="C53" s="23" t="n">
        <f>$B$13+$B$14*MAX(0,ROUNDUP(A53/$B$8,0)-1)</f>
        <v>1783463.112</v>
      </c>
      <c r="D53" s="23" t="n">
        <f>$B$13+$B$14*MAX(0,ROUNDUP(A53/$B$9,0)-1)</f>
        <v>1054143.112</v>
      </c>
      <c r="E53" s="23" t="n">
        <f>$B$12-IF(MOD(A53-1,$B$8)=0,$B$14,0)*IF(A53&gt;1,1,0)</f>
        <v>200000</v>
      </c>
      <c r="F53" s="23" t="n">
        <f>$B$12-IF(MOD(A53-1,$B$9)=0,$B$14,0)*IF(A53&gt;1,1,0)</f>
        <v>200000</v>
      </c>
    </row>
    <row r="54" customFormat="false" ht="15" hidden="false" customHeight="false" outlineLevel="0" collapsed="false">
      <c r="A54" s="31" t="n">
        <v>9</v>
      </c>
      <c r="B54" s="23" t="n">
        <f>A54*$B$12</f>
        <v>1800000</v>
      </c>
      <c r="C54" s="23" t="n">
        <f>$B$13+$B$14*MAX(0,ROUNDUP(A54/$B$8,0)-1)</f>
        <v>1783463.112</v>
      </c>
      <c r="D54" s="23" t="n">
        <f>$B$13+$B$14*MAX(0,ROUNDUP(A54/$B$9,0)-1)</f>
        <v>1054143.112</v>
      </c>
      <c r="E54" s="23" t="n">
        <f>$B$12-IF(MOD(A54-1,$B$8)=0,$B$14,0)*IF(A54&gt;1,1,0)</f>
        <v>200000</v>
      </c>
      <c r="F54" s="23" t="n">
        <f>$B$12-IF(MOD(A54-1,$B$9)=0,$B$14,0)*IF(A54&gt;1,1,0)</f>
        <v>200000</v>
      </c>
    </row>
    <row r="55" customFormat="false" ht="15" hidden="false" customHeight="false" outlineLevel="0" collapsed="false">
      <c r="A55" s="31" t="n">
        <v>10</v>
      </c>
      <c r="B55" s="23" t="n">
        <f>A55*$B$12</f>
        <v>2000000</v>
      </c>
      <c r="C55" s="23" t="n">
        <f>$B$13+$B$14*MAX(0,ROUNDUP(A55/$B$8,0)-1)</f>
        <v>1783463.112</v>
      </c>
      <c r="D55" s="23" t="n">
        <f>$B$13+$B$14*MAX(0,ROUNDUP(A55/$B$9,0)-1)</f>
        <v>1054143.112</v>
      </c>
      <c r="E55" s="23" t="n">
        <f>$B$12-IF(MOD(A55-1,$B$8)=0,$B$14,0)*IF(A55&gt;1,1,0)</f>
        <v>200000</v>
      </c>
      <c r="F55" s="23" t="n">
        <f>$B$12-IF(MOD(A55-1,$B$9)=0,$B$14,0)*IF(A55&gt;1,1,0)</f>
        <v>200000</v>
      </c>
    </row>
    <row r="56" customFormat="false" ht="15" hidden="false" customHeight="false" outlineLevel="0" collapsed="false">
      <c r="A56" s="31" t="n">
        <v>11</v>
      </c>
      <c r="B56" s="23" t="n">
        <f>A56*$B$12</f>
        <v>2200000</v>
      </c>
      <c r="C56" s="23" t="n">
        <f>$B$13+$B$14*MAX(0,ROUNDUP(A56/$B$8,0)-1)</f>
        <v>2512783.112</v>
      </c>
      <c r="D56" s="23" t="n">
        <f>$B$13+$B$14*MAX(0,ROUNDUP(A56/$B$9,0)-1)</f>
        <v>1783463.112</v>
      </c>
      <c r="E56" s="23" t="n">
        <f>$B$12-IF(MOD(A56-1,$B$8)=0,$B$14,0)*IF(A56&gt;1,1,0)</f>
        <v>-529320</v>
      </c>
      <c r="F56" s="23" t="n">
        <f>$B$12-IF(MOD(A56-1,$B$9)=0,$B$14,0)*IF(A56&gt;1,1,0)</f>
        <v>-529320</v>
      </c>
    </row>
    <row r="57" customFormat="false" ht="15" hidden="false" customHeight="false" outlineLevel="0" collapsed="false">
      <c r="A57" s="31" t="n">
        <v>12</v>
      </c>
      <c r="B57" s="23" t="n">
        <f>A57*$B$12</f>
        <v>2400000</v>
      </c>
      <c r="C57" s="23" t="n">
        <f>$B$13+$B$14*MAX(0,ROUNDUP(A57/$B$8,0)-1)</f>
        <v>2512783.112</v>
      </c>
      <c r="D57" s="23" t="n">
        <f>$B$13+$B$14*MAX(0,ROUNDUP(A57/$B$9,0)-1)</f>
        <v>1783463.112</v>
      </c>
      <c r="E57" s="23" t="n">
        <f>$B$12-IF(MOD(A57-1,$B$8)=0,$B$14,0)*IF(A57&gt;1,1,0)</f>
        <v>200000</v>
      </c>
      <c r="F57" s="23" t="n">
        <f>$B$12-IF(MOD(A57-1,$B$9)=0,$B$14,0)*IF(A57&gt;1,1,0)</f>
        <v>200000</v>
      </c>
    </row>
    <row r="58" customFormat="false" ht="15" hidden="false" customHeight="false" outlineLevel="0" collapsed="false">
      <c r="A58" s="31" t="n">
        <v>13</v>
      </c>
      <c r="B58" s="23" t="n">
        <f>A58*$B$12</f>
        <v>2600000</v>
      </c>
      <c r="C58" s="23" t="n">
        <f>$B$13+$B$14*MAX(0,ROUNDUP(A58/$B$8,0)-1)</f>
        <v>2512783.112</v>
      </c>
      <c r="D58" s="23" t="n">
        <f>$B$13+$B$14*MAX(0,ROUNDUP(A58/$B$9,0)-1)</f>
        <v>1783463.112</v>
      </c>
      <c r="E58" s="23" t="n">
        <f>$B$12-IF(MOD(A58-1,$B$8)=0,$B$14,0)*IF(A58&gt;1,1,0)</f>
        <v>200000</v>
      </c>
      <c r="F58" s="23" t="n">
        <f>$B$12-IF(MOD(A58-1,$B$9)=0,$B$14,0)*IF(A58&gt;1,1,0)</f>
        <v>200000</v>
      </c>
    </row>
    <row r="59" customFormat="false" ht="15" hidden="false" customHeight="false" outlineLevel="0" collapsed="false">
      <c r="A59" s="31" t="n">
        <v>14</v>
      </c>
      <c r="B59" s="23" t="n">
        <f>A59*$B$12</f>
        <v>2800000</v>
      </c>
      <c r="C59" s="23" t="n">
        <f>$B$13+$B$14*MAX(0,ROUNDUP(A59/$B$8,0)-1)</f>
        <v>2512783.112</v>
      </c>
      <c r="D59" s="23" t="n">
        <f>$B$13+$B$14*MAX(0,ROUNDUP(A59/$B$9,0)-1)</f>
        <v>1783463.112</v>
      </c>
      <c r="E59" s="23" t="n">
        <f>$B$12-IF(MOD(A59-1,$B$8)=0,$B$14,0)*IF(A59&gt;1,1,0)</f>
        <v>200000</v>
      </c>
      <c r="F59" s="23" t="n">
        <f>$B$12-IF(MOD(A59-1,$B$9)=0,$B$14,0)*IF(A59&gt;1,1,0)</f>
        <v>200000</v>
      </c>
    </row>
    <row r="60" customFormat="false" ht="15" hidden="false" customHeight="false" outlineLevel="0" collapsed="false">
      <c r="A60" s="31" t="n">
        <v>15</v>
      </c>
      <c r="B60" s="23" t="n">
        <f>A60*$B$12</f>
        <v>3000000</v>
      </c>
      <c r="C60" s="23" t="n">
        <f>$B$13+$B$14*MAX(0,ROUNDUP(A60/$B$8,0)-1)</f>
        <v>2512783.112</v>
      </c>
      <c r="D60" s="23" t="n">
        <f>$B$13+$B$14*MAX(0,ROUNDUP(A60/$B$9,0)-1)</f>
        <v>1783463.112</v>
      </c>
      <c r="E60" s="23" t="n">
        <f>$B$12-IF(MOD(A60-1,$B$8)=0,$B$14,0)*IF(A60&gt;1,1,0)</f>
        <v>200000</v>
      </c>
      <c r="F60" s="23" t="n">
        <f>$B$12-IF(MOD(A60-1,$B$9)=0,$B$14,0)*IF(A60&gt;1,1,0)</f>
        <v>200000</v>
      </c>
    </row>
    <row r="61" customFormat="false" ht="15" hidden="false" customHeight="false" outlineLevel="0" collapsed="false">
      <c r="A61" s="31" t="n">
        <v>16</v>
      </c>
      <c r="B61" s="23" t="n">
        <f>A61*$B$12</f>
        <v>3200000</v>
      </c>
      <c r="C61" s="23" t="n">
        <f>$B$13+$B$14*MAX(0,ROUNDUP(A61/$B$8,0)-1)</f>
        <v>3242103.112</v>
      </c>
      <c r="D61" s="23" t="n">
        <f>$B$13+$B$14*MAX(0,ROUNDUP(A61/$B$9,0)-1)</f>
        <v>1783463.112</v>
      </c>
      <c r="E61" s="23" t="n">
        <f>$B$12-IF(MOD(A61-1,$B$8)=0,$B$14,0)*IF(A61&gt;1,1,0)</f>
        <v>-529320</v>
      </c>
      <c r="F61" s="23" t="n">
        <f>$B$12-IF(MOD(A61-1,$B$9)=0,$B$14,0)*IF(A61&gt;1,1,0)</f>
        <v>200000</v>
      </c>
    </row>
    <row r="62" customFormat="false" ht="15" hidden="false" customHeight="false" outlineLevel="0" collapsed="false">
      <c r="A62" s="31" t="n">
        <v>17</v>
      </c>
      <c r="B62" s="23" t="n">
        <f>A62*$B$12</f>
        <v>3400000</v>
      </c>
      <c r="C62" s="23" t="n">
        <f>$B$13+$B$14*MAX(0,ROUNDUP(A62/$B$8,0)-1)</f>
        <v>3242103.112</v>
      </c>
      <c r="D62" s="23" t="n">
        <f>$B$13+$B$14*MAX(0,ROUNDUP(A62/$B$9,0)-1)</f>
        <v>1783463.112</v>
      </c>
      <c r="E62" s="23" t="n">
        <f>$B$12-IF(MOD(A62-1,$B$8)=0,$B$14,0)*IF(A62&gt;1,1,0)</f>
        <v>200000</v>
      </c>
      <c r="F62" s="23" t="n">
        <f>$B$12-IF(MOD(A62-1,$B$9)=0,$B$14,0)*IF(A62&gt;1,1,0)</f>
        <v>200000</v>
      </c>
    </row>
    <row r="63" customFormat="false" ht="15" hidden="false" customHeight="false" outlineLevel="0" collapsed="false">
      <c r="A63" s="31" t="n">
        <v>18</v>
      </c>
      <c r="B63" s="23" t="n">
        <f>A63*$B$12</f>
        <v>3600000</v>
      </c>
      <c r="C63" s="23" t="n">
        <f>$B$13+$B$14*MAX(0,ROUNDUP(A63/$B$8,0)-1)</f>
        <v>3242103.112</v>
      </c>
      <c r="D63" s="23" t="n">
        <f>$B$13+$B$14*MAX(0,ROUNDUP(A63/$B$9,0)-1)</f>
        <v>1783463.112</v>
      </c>
      <c r="E63" s="23" t="n">
        <f>$B$12-IF(MOD(A63-1,$B$8)=0,$B$14,0)*IF(A63&gt;1,1,0)</f>
        <v>200000</v>
      </c>
      <c r="F63" s="23" t="n">
        <f>$B$12-IF(MOD(A63-1,$B$9)=0,$B$14,0)*IF(A63&gt;1,1,0)</f>
        <v>200000</v>
      </c>
    </row>
    <row r="64" customFormat="false" ht="15" hidden="false" customHeight="false" outlineLevel="0" collapsed="false">
      <c r="A64" s="31" t="n">
        <v>19</v>
      </c>
      <c r="B64" s="23" t="n">
        <f>A64*$B$12</f>
        <v>3800000</v>
      </c>
      <c r="C64" s="23" t="n">
        <f>$B$13+$B$14*MAX(0,ROUNDUP(A64/$B$8,0)-1)</f>
        <v>3242103.112</v>
      </c>
      <c r="D64" s="23" t="n">
        <f>$B$13+$B$14*MAX(0,ROUNDUP(A64/$B$9,0)-1)</f>
        <v>1783463.112</v>
      </c>
      <c r="E64" s="23" t="n">
        <f>$B$12-IF(MOD(A64-1,$B$8)=0,$B$14,0)*IF(A64&gt;1,1,0)</f>
        <v>200000</v>
      </c>
      <c r="F64" s="23" t="n">
        <f>$B$12-IF(MOD(A64-1,$B$9)=0,$B$14,0)*IF(A64&gt;1,1,0)</f>
        <v>200000</v>
      </c>
    </row>
    <row r="65" customFormat="false" ht="15" hidden="false" customHeight="false" outlineLevel="0" collapsed="false">
      <c r="A65" s="31" t="n">
        <v>20</v>
      </c>
      <c r="B65" s="23" t="n">
        <f>A65*$B$12</f>
        <v>4000000</v>
      </c>
      <c r="C65" s="23" t="n">
        <f>$B$13+$B$14*MAX(0,ROUNDUP(A65/$B$8,0)-1)</f>
        <v>3242103.112</v>
      </c>
      <c r="D65" s="23" t="n">
        <f>$B$13+$B$14*MAX(0,ROUNDUP(A65/$B$9,0)-1)</f>
        <v>1783463.112</v>
      </c>
      <c r="E65" s="23" t="n">
        <f>$B$12-IF(MOD(A65-1,$B$8)=0,$B$14,0)*IF(A65&gt;1,1,0)</f>
        <v>200000</v>
      </c>
      <c r="F65" s="23" t="n">
        <f>$B$12-IF(MOD(A65-1,$B$9)=0,$B$14,0)*IF(A65&gt;1,1,0)</f>
        <v>200000</v>
      </c>
    </row>
    <row r="67" customFormat="false" ht="15" hidden="false" customHeight="false" outlineLevel="0" collapsed="false">
      <c r="A67" s="30" t="inlineStr">
        <is>
          <t xml:space="preserve">• No incluye mano de obra, hormigón, ingeniero estructural, galvanizado ni equipo de elevación: la recuperación real será algo más lenta.</t>
        </is>
      </c>
    </row>
    <row r="68" customFormat="false" ht="15" hidden="false" customHeight="false" outlineLevel="0" collapsed="false">
      <c r="A68" s="30" t="inlineStr">
        <is>
          <t xml:space="preserve">• Precios constantes: sin inflación ni aumento del alquiler de la carpa (si sube, la malla conviene aún más).</t>
        </is>
      </c>
    </row>
    <row r="69" customFormat="false" ht="15" hidden="false" customHeight="false" outlineLevel="0" collapsed="false">
      <c r="A69" s="30" t="inlineStr">
        <is>
          <t xml:space="preserve">• Caso realista: usa la vida útil de B9, supuesto del equipo a confirmar. A 20 años, con 1 uso por año el 2.º cambio de lona cae en el año 21: ese ahorro se ve algo mejor de lo real.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2026-10-03T17:41:44Z</dcterms:created>
  <dc:creator>openpyxl</dc:creator>
  <dc:description/>
  <dc:language>es-419</dc:language>
  <cp:lastModifiedBy/>
  <dcterms:modified xsi:type="dcterms:W3CDTF">2026-10-03T16:19:09Z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