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va de Calibrado" sheetId="1" r:id="rId4"/>
    <sheet state="visible" name="Calculos" sheetId="2" r:id="rId5"/>
    <sheet state="visible" name="Tabla de Resultados p presentar" sheetId="3" r:id="rId6"/>
    <sheet state="visible" name="Corrida 1" sheetId="4" r:id="rId7"/>
    <sheet state="visible" name="Corrida 2" sheetId="5" r:id="rId8"/>
    <sheet state="visible" name="Corrida 3" sheetId="6" r:id="rId9"/>
    <sheet state="visible" name="Corrida 4" sheetId="7" r:id="rId10"/>
    <sheet state="visible" name="Corrida 5" sheetId="8" r:id="rId11"/>
    <sheet state="visible" name="Corrida 6" sheetId="9" r:id="rId12"/>
    <sheet state="visible" name="Corrida 7" sheetId="10" r:id="rId13"/>
    <sheet state="visible" name="Corrida 8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">
      <text>
        <t xml:space="preserve">(moles etOH/masa mol) / vol liq kitasato
	-Juan Cruz Grave</t>
      </text>
    </comment>
  </commentList>
</comments>
</file>

<file path=xl/sharedStrings.xml><?xml version="1.0" encoding="utf-8"?>
<sst xmlns="http://schemas.openxmlformats.org/spreadsheetml/2006/main" count="209" uniqueCount="129">
  <si>
    <t>corrida</t>
  </si>
  <si>
    <t>g azucar</t>
  </si>
  <si>
    <t>ml agua</t>
  </si>
  <si>
    <t>conc g/L</t>
  </si>
  <si>
    <t>º Brix (medición)</t>
  </si>
  <si>
    <t>Corrida</t>
  </si>
  <si>
    <t>g levadura</t>
  </si>
  <si>
    <t>C levadura inic (g/L)</t>
  </si>
  <si>
    <t>Oxígeno</t>
  </si>
  <si>
    <t>Hora inicial</t>
  </si>
  <si>
    <t>Volumen desplazado[L]</t>
  </si>
  <si>
    <t>moles CO2</t>
  </si>
  <si>
    <t>moles de C5H5OH</t>
  </si>
  <si>
    <t>k [h ^-1]</t>
  </si>
  <si>
    <t>Brix</t>
  </si>
  <si>
    <t>Conc. de Glucosa g/L</t>
  </si>
  <si>
    <t>Conc. Teórica</t>
  </si>
  <si>
    <t>1-Dif%</t>
  </si>
  <si>
    <t>Rendimiento experimental</t>
  </si>
  <si>
    <t>Tiempo</t>
  </si>
  <si>
    <t>Rendimiento/tiempo</t>
  </si>
  <si>
    <t>Rendimiento teorico</t>
  </si>
  <si>
    <t>dif porcential</t>
  </si>
  <si>
    <t>Inicial</t>
  </si>
  <si>
    <t>DE</t>
  </si>
  <si>
    <t>final</t>
  </si>
  <si>
    <t>Final</t>
  </si>
  <si>
    <t>mol/L</t>
  </si>
  <si>
    <t>g/L</t>
  </si>
  <si>
    <t>Teorico</t>
  </si>
  <si>
    <t>Originales</t>
  </si>
  <si>
    <t>(mL et/ g lev)%</t>
  </si>
  <si>
    <t>h</t>
  </si>
  <si>
    <t>Sin aire</t>
  </si>
  <si>
    <t>aireado</t>
  </si>
  <si>
    <t>Duplicados</t>
  </si>
  <si>
    <t>Promedios</t>
  </si>
  <si>
    <t>Medición de Brix antes de la inoculación</t>
  </si>
  <si>
    <t>Concentraciones leva</t>
  </si>
  <si>
    <t>k [h-1]</t>
  </si>
  <si>
    <t>desvio</t>
  </si>
  <si>
    <t>sin revolver</t>
  </si>
  <si>
    <t>revuelto</t>
  </si>
  <si>
    <t>revuelto 2</t>
  </si>
  <si>
    <t>revuelto 3</t>
  </si>
  <si>
    <t>revuelto 4</t>
  </si>
  <si>
    <t>Valor Promedio</t>
  </si>
  <si>
    <t>Desvío</t>
  </si>
  <si>
    <t>Peso molecular Glucosa</t>
  </si>
  <si>
    <t>g/mol</t>
  </si>
  <si>
    <t>Medición de Brix al finalizar la reacción</t>
  </si>
  <si>
    <t>Brix1</t>
  </si>
  <si>
    <t>Brix2</t>
  </si>
  <si>
    <t>Brix3</t>
  </si>
  <si>
    <t>prom</t>
  </si>
  <si>
    <t>R [L atm / K mol]</t>
  </si>
  <si>
    <t>T [K]</t>
  </si>
  <si>
    <t>M mol etOH</t>
  </si>
  <si>
    <t>M mol glucosa</t>
  </si>
  <si>
    <t>conc glucosa</t>
  </si>
  <si>
    <t>ºBrix</t>
  </si>
  <si>
    <t>g gluc/L</t>
  </si>
  <si>
    <t>mol gluc/L</t>
  </si>
  <si>
    <t>1º filtrado</t>
  </si>
  <si>
    <t>2º filtrado</t>
  </si>
  <si>
    <t>luego de la coccion</t>
  </si>
  <si>
    <t>Reactor</t>
  </si>
  <si>
    <t>Tiempo en h</t>
  </si>
  <si>
    <t>º Brix</t>
  </si>
  <si>
    <t>C levadura</t>
  </si>
  <si>
    <t>C levadura inic. prom (g/L)</t>
  </si>
  <si>
    <t>Oxigeno</t>
  </si>
  <si>
    <t>k [h ^-1] prom</t>
  </si>
  <si>
    <t>ºBrix prom</t>
  </si>
  <si>
    <t>No</t>
  </si>
  <si>
    <t>Sí</t>
  </si>
  <si>
    <t xml:space="preserve">Tiempo </t>
  </si>
  <si>
    <t>Fase Lag</t>
  </si>
  <si>
    <t>Fase Aceleración</t>
  </si>
  <si>
    <t>Crec. Exponencial</t>
  </si>
  <si>
    <t>Desaceleración</t>
  </si>
  <si>
    <t>Estacionario</t>
  </si>
  <si>
    <t>TOTAL</t>
  </si>
  <si>
    <t>Hora</t>
  </si>
  <si>
    <t>Tiempo [min]</t>
  </si>
  <si>
    <t>DIA</t>
  </si>
  <si>
    <t>HORA</t>
  </si>
  <si>
    <t>MIN</t>
  </si>
  <si>
    <t>Horas totales [h]</t>
  </si>
  <si>
    <t>Volumen medido</t>
  </si>
  <si>
    <t>Volumen acumulado</t>
  </si>
  <si>
    <t>moles CO2 = moles etOH</t>
  </si>
  <si>
    <t xml:space="preserve">g et / L </t>
  </si>
  <si>
    <t>mol etOH/L mosto</t>
  </si>
  <si>
    <t>-ln(1-(pt/r0) )</t>
  </si>
  <si>
    <t>conc glucosa(t)</t>
  </si>
  <si>
    <t>k cinetica [h^ -1]</t>
  </si>
  <si>
    <t>hora</t>
  </si>
  <si>
    <t>min</t>
  </si>
  <si>
    <t>Vol medido</t>
  </si>
  <si>
    <t>Vtot</t>
  </si>
  <si>
    <t>Vol acum [mL]</t>
  </si>
  <si>
    <t>Tiempo [h]</t>
  </si>
  <si>
    <t>mol etOH/L</t>
  </si>
  <si>
    <t>-ln(1-(eta/glu) )</t>
  </si>
  <si>
    <t>k cinetica [h^-1]</t>
  </si>
  <si>
    <t>Vol total [cm3]</t>
  </si>
  <si>
    <t>Día</t>
  </si>
  <si>
    <t>minutos</t>
  </si>
  <si>
    <t>Tiempo total (hr)</t>
  </si>
  <si>
    <t>Volumenes [mL]</t>
  </si>
  <si>
    <t>Vol desplazado [mL]</t>
  </si>
  <si>
    <t>Tiempo real</t>
  </si>
  <si>
    <t>H transcurridas</t>
  </si>
  <si>
    <t>t (min)</t>
  </si>
  <si>
    <t>t (h)</t>
  </si>
  <si>
    <t>Vol medido (mL)</t>
  </si>
  <si>
    <t>Vacum (mL)</t>
  </si>
  <si>
    <t>k cinetica [h-1]</t>
  </si>
  <si>
    <t>Dia</t>
  </si>
  <si>
    <t>Tiempo en horas</t>
  </si>
  <si>
    <t>Volumen Desplazado [mL]</t>
  </si>
  <si>
    <t>Tiempo (min)</t>
  </si>
  <si>
    <t>tiempo inicial</t>
  </si>
  <si>
    <t>Tiempo (hr)</t>
  </si>
  <si>
    <t>tiempo (min)</t>
  </si>
  <si>
    <t>Vol medido [mL]</t>
  </si>
  <si>
    <t>Vol total [mL]</t>
  </si>
  <si>
    <t>K cinética hr^(-1)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</si>
</sst>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3">
    <numFmt numFmtId="164" formatCode="#,##0.0000"/>
    <numFmt numFmtId="165" formatCode="H:mm:ss"/>
    <numFmt numFmtId="166" formatCode="0.000"/>
    <numFmt numFmtId="167" formatCode="0.0000"/>
    <numFmt numFmtId="168" formatCode="#,##0.00000"/>
    <numFmt numFmtId="169" formatCode="0.00000"/>
    <numFmt numFmtId="170" formatCode="0.0"/>
    <numFmt numFmtId="171" formatCode="d/m/yyyy h:mm"/>
    <numFmt numFmtId="172" formatCode="[mm]"/>
    <numFmt numFmtId="173" formatCode="#,##0.0"/>
    <numFmt numFmtId="174" formatCode="d/MM/yyyy H:mm:ss"/>
    <numFmt numFmtId="175" formatCode="d/m/yyyy h:mm:ss"/>
    <numFmt numFmtId="176" formatCode="0.000000"/>
  </numFmts>
  <fonts count="19">
    <font>
      <sz val="10.0"/>
      <color rgb="FF000000"/>
      <name val="Arial"/>
    </font>
    <font>
      <b/>
      <sz val="11.0"/>
      <color theme="1"/>
      <name val="Helvetica Neue"/>
    </font>
    <font>
      <sz val="11.0"/>
      <color theme="1"/>
      <name val="Helvetica Neue"/>
    </font>
    <font>
      <b/>
      <color theme="1"/>
      <name val="Arial"/>
    </font>
    <font/>
    <font>
      <b/>
    </font>
    <font>
      <b/>
      <sz val="10.0"/>
      <color rgb="FF000000"/>
      <name val="Arial"/>
    </font>
    <font>
      <color theme="1"/>
      <name val="Arial"/>
    </font>
    <font>
      <i/>
      <color theme="1"/>
      <name val="Arial"/>
    </font>
    <font>
      <sz val="11.0"/>
      <color rgb="FF202124"/>
      <name val="Arial"/>
    </font>
    <font>
      <sz val="11.0"/>
      <color rgb="FF3C4043"/>
      <name val="Arial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color theme="1"/>
      <name val="Helvetica Neue"/>
    </font>
    <font>
      <sz val="11.0"/>
      <color rgb="FF000000"/>
      <name val="Helvetica Neue"/>
    </font>
    <font>
      <b/>
      <sz val="11.0"/>
      <color theme="1"/>
      <name val="Calibri"/>
    </font>
    <font>
      <sz val="11.0"/>
      <color rgb="FF000000"/>
      <name val="Inconsolata"/>
    </font>
    <font>
      <sz val="11.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BDBDBD"/>
        <bgColor rgb="FFBDBDBD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4A86E8"/>
        <bgColor rgb="FF4A86E8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theme="6"/>
        <bgColor theme="6"/>
      </patternFill>
    </fill>
    <fill>
      <patternFill patternType="solid">
        <fgColor rgb="FFFCE8B2"/>
        <bgColor rgb="FFFCE8B2"/>
      </patternFill>
    </fill>
    <fill>
      <patternFill patternType="solid">
        <fgColor rgb="FFD9EAD3"/>
        <bgColor rgb="FFD9EAD3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1" fillId="0" fontId="1" numFmtId="4" xfId="0" applyAlignment="1" applyBorder="1" applyFont="1" applyNumberFormat="1">
      <alignment horizontal="center" vertical="bottom"/>
    </xf>
    <xf borderId="1" fillId="0" fontId="1" numFmtId="0" xfId="0" applyAlignment="1" applyBorder="1" applyFont="1">
      <alignment horizontal="center" shrinkToFit="0" vertical="bottom" wrapText="0"/>
    </xf>
    <xf borderId="0" fillId="0" fontId="2" numFmtId="0" xfId="0" applyFont="1"/>
    <xf borderId="2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readingOrder="0" vertical="bottom"/>
    </xf>
    <xf borderId="4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vertical="bottom"/>
    </xf>
    <xf borderId="2" fillId="2" fontId="3" numFmtId="0" xfId="0" applyAlignment="1" applyBorder="1" applyFill="1" applyFont="1">
      <alignment horizontal="center" shrinkToFit="0" wrapText="1"/>
    </xf>
    <xf borderId="2" fillId="2" fontId="3" numFmtId="0" xfId="0" applyAlignment="1" applyBorder="1" applyFont="1">
      <alignment shrinkToFit="0" wrapText="1"/>
    </xf>
    <xf borderId="2" fillId="2" fontId="3" numFmtId="0" xfId="0" applyAlignment="1" applyBorder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5" fillId="2" fontId="3" numFmtId="0" xfId="0" applyAlignment="1" applyBorder="1" applyFont="1">
      <alignment horizontal="center" readingOrder="0"/>
    </xf>
    <xf borderId="6" fillId="0" fontId="4" numFmtId="0" xfId="0" applyBorder="1" applyFont="1"/>
    <xf borderId="7" fillId="0" fontId="4" numFmtId="0" xfId="0" applyBorder="1" applyFont="1"/>
    <xf borderId="5" fillId="2" fontId="3" numFmtId="0" xfId="0" applyAlignment="1" applyBorder="1" applyFont="1">
      <alignment horizontal="center" readingOrder="0" shrinkToFit="0" wrapText="1"/>
    </xf>
    <xf borderId="7" fillId="2" fontId="3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8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4" fillId="0" fontId="4" numFmtId="0" xfId="0" applyBorder="1" applyFont="1"/>
    <xf borderId="2" fillId="3" fontId="3" numFmtId="0" xfId="0" applyAlignment="1" applyBorder="1" applyFill="1" applyFont="1">
      <alignment readingOrder="0"/>
    </xf>
    <xf borderId="8" fillId="3" fontId="3" numFmtId="0" xfId="0" applyAlignment="1" applyBorder="1" applyFont="1">
      <alignment readingOrder="0"/>
    </xf>
    <xf borderId="9" fillId="3" fontId="3" numFmtId="0" xfId="0" applyBorder="1" applyFont="1"/>
    <xf borderId="0" fillId="0" fontId="6" numFmtId="0" xfId="0" applyAlignment="1" applyFont="1">
      <alignment horizontal="center" readingOrder="0"/>
    </xf>
    <xf borderId="8" fillId="0" fontId="5" numFmtId="0" xfId="0" applyBorder="1" applyFont="1"/>
    <xf borderId="10" fillId="4" fontId="7" numFmtId="0" xfId="0" applyAlignment="1" applyBorder="1" applyFill="1" applyFont="1">
      <alignment horizontal="center"/>
    </xf>
    <xf borderId="11" fillId="4" fontId="7" numFmtId="164" xfId="0" applyAlignment="1" applyBorder="1" applyFont="1" applyNumberFormat="1">
      <alignment readingOrder="0"/>
    </xf>
    <xf borderId="11" fillId="4" fontId="7" numFmtId="0" xfId="0" applyBorder="1" applyFont="1"/>
    <xf borderId="11" fillId="4" fontId="7" numFmtId="165" xfId="0" applyBorder="1" applyFont="1" applyNumberFormat="1"/>
    <xf borderId="12" fillId="4" fontId="7" numFmtId="0" xfId="0" applyBorder="1" applyFont="1"/>
    <xf borderId="11" fillId="4" fontId="7" numFmtId="166" xfId="0" applyBorder="1" applyFont="1" applyNumberFormat="1"/>
    <xf borderId="12" fillId="4" fontId="7" numFmtId="166" xfId="0" applyBorder="1" applyFont="1" applyNumberFormat="1"/>
    <xf borderId="11" fillId="4" fontId="7" numFmtId="167" xfId="0" applyBorder="1" applyFont="1" applyNumberFormat="1"/>
    <xf borderId="12" fillId="4" fontId="7" numFmtId="2" xfId="0" applyBorder="1" applyFont="1" applyNumberFormat="1"/>
    <xf borderId="13" fillId="4" fontId="7" numFmtId="2" xfId="0" applyBorder="1" applyFont="1" applyNumberFormat="1"/>
    <xf borderId="14" fillId="4" fontId="7" numFmtId="2" xfId="0" applyBorder="1" applyFont="1" applyNumberFormat="1"/>
    <xf borderId="14" fillId="4" fontId="7" numFmtId="0" xfId="0" applyBorder="1" applyFont="1"/>
    <xf borderId="14" fillId="4" fontId="7" numFmtId="166" xfId="0" applyBorder="1" applyFont="1" applyNumberFormat="1"/>
    <xf borderId="0" fillId="4" fontId="7" numFmtId="166" xfId="0" applyFont="1" applyNumberFormat="1"/>
    <xf borderId="15" fillId="4" fontId="7" numFmtId="2" xfId="0" applyBorder="1" applyFont="1" applyNumberFormat="1"/>
    <xf borderId="13" fillId="4" fontId="7" numFmtId="0" xfId="0" applyBorder="1" applyFont="1"/>
    <xf borderId="16" fillId="4" fontId="7" numFmtId="0" xfId="0" applyAlignment="1" applyBorder="1" applyFont="1">
      <alignment horizontal="center"/>
    </xf>
    <xf borderId="3" fillId="4" fontId="7" numFmtId="0" xfId="0" applyBorder="1" applyFont="1"/>
    <xf borderId="3" fillId="4" fontId="8" numFmtId="0" xfId="0" applyAlignment="1" applyBorder="1" applyFont="1">
      <alignment readingOrder="0"/>
    </xf>
    <xf borderId="3" fillId="4" fontId="7" numFmtId="165" xfId="0" applyBorder="1" applyFont="1" applyNumberFormat="1"/>
    <xf borderId="1" fillId="4" fontId="7" numFmtId="0" xfId="0" applyBorder="1" applyFont="1"/>
    <xf borderId="2" fillId="4" fontId="7" numFmtId="166" xfId="0" applyBorder="1" applyFont="1" applyNumberFormat="1"/>
    <xf borderId="1" fillId="4" fontId="7" numFmtId="166" xfId="0" applyBorder="1" applyFont="1" applyNumberFormat="1"/>
    <xf borderId="3" fillId="4" fontId="7" numFmtId="167" xfId="0" applyBorder="1" applyFont="1" applyNumberFormat="1"/>
    <xf borderId="1" fillId="4" fontId="7" numFmtId="2" xfId="0" applyBorder="1" applyFont="1" applyNumberFormat="1"/>
    <xf borderId="8" fillId="4" fontId="7" numFmtId="2" xfId="0" applyBorder="1" applyFont="1" applyNumberFormat="1"/>
    <xf borderId="17" fillId="4" fontId="7" numFmtId="2" xfId="0" applyBorder="1" applyFont="1" applyNumberFormat="1"/>
    <xf borderId="17" fillId="4" fontId="7" numFmtId="0" xfId="0" applyBorder="1" applyFont="1"/>
    <xf borderId="17" fillId="4" fontId="7" numFmtId="166" xfId="0" applyBorder="1" applyFont="1" applyNumberFormat="1"/>
    <xf borderId="0" fillId="4" fontId="7" numFmtId="2" xfId="0" applyFont="1" applyNumberFormat="1"/>
    <xf borderId="3" fillId="4" fontId="8" numFmtId="0" xfId="0" applyBorder="1" applyFont="1"/>
    <xf borderId="18" fillId="4" fontId="7" numFmtId="0" xfId="0" applyAlignment="1" applyBorder="1" applyFont="1">
      <alignment horizontal="center"/>
    </xf>
    <xf borderId="19" fillId="4" fontId="7" numFmtId="0" xfId="0" applyBorder="1" applyFont="1"/>
    <xf borderId="19" fillId="4" fontId="8" numFmtId="0" xfId="0" applyBorder="1" applyFont="1"/>
    <xf borderId="19" fillId="4" fontId="7" numFmtId="165" xfId="0" applyBorder="1" applyFont="1" applyNumberFormat="1"/>
    <xf borderId="20" fillId="4" fontId="7" numFmtId="0" xfId="0" applyBorder="1" applyFont="1"/>
    <xf borderId="20" fillId="4" fontId="7" numFmtId="166" xfId="0" applyBorder="1" applyFont="1" applyNumberFormat="1"/>
    <xf borderId="19" fillId="4" fontId="7" numFmtId="167" xfId="0" applyBorder="1" applyFont="1" applyNumberFormat="1"/>
    <xf borderId="20" fillId="4" fontId="7" numFmtId="2" xfId="0" applyBorder="1" applyFont="1" applyNumberFormat="1"/>
    <xf borderId="21" fillId="4" fontId="7" numFmtId="2" xfId="0" applyBorder="1" applyFont="1" applyNumberFormat="1"/>
    <xf borderId="21" fillId="4" fontId="7" numFmtId="0" xfId="0" applyBorder="1" applyFont="1"/>
    <xf borderId="21" fillId="4" fontId="7" numFmtId="166" xfId="0" applyBorder="1" applyFont="1" applyNumberFormat="1"/>
    <xf borderId="21" fillId="0" fontId="7" numFmtId="0" xfId="0" applyBorder="1" applyFont="1"/>
    <xf borderId="22" fillId="4" fontId="7" numFmtId="2" xfId="0" applyBorder="1" applyFont="1" applyNumberFormat="1"/>
    <xf borderId="10" fillId="5" fontId="7" numFmtId="0" xfId="0" applyAlignment="1" applyBorder="1" applyFill="1" applyFont="1">
      <alignment horizontal="center"/>
    </xf>
    <xf borderId="11" fillId="5" fontId="7" numFmtId="0" xfId="0" applyBorder="1" applyFont="1"/>
    <xf borderId="11" fillId="5" fontId="8" numFmtId="0" xfId="0" applyBorder="1" applyFont="1"/>
    <xf borderId="11" fillId="5" fontId="7" numFmtId="165" xfId="0" applyBorder="1" applyFont="1" applyNumberFormat="1"/>
    <xf borderId="12" fillId="5" fontId="7" numFmtId="0" xfId="0" applyBorder="1" applyFont="1"/>
    <xf borderId="11" fillId="5" fontId="7" numFmtId="166" xfId="0" applyBorder="1" applyFont="1" applyNumberFormat="1"/>
    <xf borderId="12" fillId="5" fontId="7" numFmtId="166" xfId="0" applyBorder="1" applyFont="1" applyNumberFormat="1"/>
    <xf borderId="11" fillId="0" fontId="7" numFmtId="167" xfId="0" applyBorder="1" applyFont="1" applyNumberFormat="1"/>
    <xf borderId="12" fillId="5" fontId="7" numFmtId="2" xfId="0" applyBorder="1" applyFont="1" applyNumberFormat="1"/>
    <xf borderId="11" fillId="5" fontId="7" numFmtId="2" xfId="0" applyBorder="1" applyFont="1" applyNumberFormat="1"/>
    <xf borderId="11" fillId="5" fontId="3" numFmtId="2" xfId="0" applyBorder="1" applyFont="1" applyNumberFormat="1"/>
    <xf borderId="13" fillId="0" fontId="7" numFmtId="0" xfId="0" applyBorder="1" applyFont="1"/>
    <xf borderId="16" fillId="5" fontId="7" numFmtId="0" xfId="0" applyAlignment="1" applyBorder="1" applyFont="1">
      <alignment horizontal="center"/>
    </xf>
    <xf borderId="3" fillId="5" fontId="7" numFmtId="0" xfId="0" applyBorder="1" applyFont="1"/>
    <xf borderId="3" fillId="5" fontId="8" numFmtId="0" xfId="0" applyAlignment="1" applyBorder="1" applyFont="1">
      <alignment readingOrder="0"/>
    </xf>
    <xf borderId="3" fillId="5" fontId="7" numFmtId="165" xfId="0" applyBorder="1" applyFont="1" applyNumberFormat="1"/>
    <xf borderId="1" fillId="5" fontId="7" numFmtId="0" xfId="0" applyBorder="1" applyFont="1"/>
    <xf borderId="2" fillId="5" fontId="7" numFmtId="166" xfId="0" applyBorder="1" applyFont="1" applyNumberFormat="1"/>
    <xf borderId="1" fillId="5" fontId="7" numFmtId="166" xfId="0" applyBorder="1" applyFont="1" applyNumberFormat="1"/>
    <xf borderId="3" fillId="5" fontId="7" numFmtId="167" xfId="0" applyBorder="1" applyFont="1" applyNumberFormat="1"/>
    <xf borderId="1" fillId="5" fontId="7" numFmtId="2" xfId="0" applyBorder="1" applyFont="1" applyNumberFormat="1"/>
    <xf borderId="2" fillId="5" fontId="7" numFmtId="2" xfId="0" applyBorder="1" applyFont="1" applyNumberFormat="1"/>
    <xf borderId="3" fillId="5" fontId="8" numFmtId="0" xfId="0" applyBorder="1" applyFont="1"/>
    <xf borderId="3" fillId="0" fontId="7" numFmtId="167" xfId="0" applyBorder="1" applyFont="1" applyNumberFormat="1"/>
    <xf borderId="18" fillId="5" fontId="7" numFmtId="0" xfId="0" applyAlignment="1" applyBorder="1" applyFont="1">
      <alignment horizontal="center"/>
    </xf>
    <xf borderId="19" fillId="5" fontId="7" numFmtId="0" xfId="0" applyBorder="1" applyFont="1"/>
    <xf borderId="19" fillId="5" fontId="8" numFmtId="0" xfId="0" applyBorder="1" applyFont="1"/>
    <xf borderId="19" fillId="5" fontId="7" numFmtId="165" xfId="0" applyBorder="1" applyFont="1" applyNumberFormat="1"/>
    <xf borderId="20" fillId="5" fontId="7" numFmtId="0" xfId="0" applyBorder="1" applyFont="1"/>
    <xf borderId="20" fillId="5" fontId="7" numFmtId="166" xfId="0" applyBorder="1" applyFont="1" applyNumberFormat="1"/>
    <xf borderId="19" fillId="5" fontId="7" numFmtId="167" xfId="0" applyBorder="1" applyFont="1" applyNumberFormat="1"/>
    <xf borderId="20" fillId="5" fontId="7" numFmtId="2" xfId="0" applyBorder="1" applyFont="1" applyNumberFormat="1"/>
    <xf borderId="4" fillId="5" fontId="7" numFmtId="0" xfId="0" applyAlignment="1" applyBorder="1" applyFont="1">
      <alignment horizontal="center"/>
    </xf>
    <xf borderId="4" fillId="5" fontId="7" numFmtId="0" xfId="0" applyBorder="1" applyFont="1"/>
    <xf borderId="0" fillId="5" fontId="7" numFmtId="0" xfId="0" applyFont="1"/>
    <xf borderId="0" fillId="5" fontId="8" numFmtId="0" xfId="0" applyFont="1"/>
    <xf borderId="0" fillId="4" fontId="7" numFmtId="0" xfId="0" applyAlignment="1" applyFont="1">
      <alignment readingOrder="0"/>
    </xf>
    <xf borderId="0" fillId="4" fontId="7" numFmtId="0" xfId="0" applyAlignment="1" applyFont="1">
      <alignment readingOrder="0"/>
    </xf>
    <xf borderId="15" fillId="0" fontId="7" numFmtId="0" xfId="0" applyBorder="1" applyFont="1"/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vertical="bottom"/>
    </xf>
    <xf borderId="0" fillId="6" fontId="3" numFmtId="0" xfId="0" applyAlignment="1" applyFill="1" applyFont="1">
      <alignment horizontal="center" readingOrder="0" shrinkToFit="0" wrapText="1"/>
    </xf>
    <xf borderId="0" fillId="6" fontId="3" numFmtId="0" xfId="0" applyAlignment="1" applyFont="1">
      <alignment horizontal="center" readingOrder="0"/>
    </xf>
    <xf borderId="0" fillId="0" fontId="7" numFmtId="166" xfId="0" applyFont="1" applyNumberFormat="1"/>
    <xf borderId="0" fillId="0" fontId="7" numFmtId="2" xfId="0" applyFont="1" applyNumberFormat="1"/>
    <xf borderId="0" fillId="0" fontId="7" numFmtId="0" xfId="0" applyFont="1"/>
    <xf borderId="3" fillId="7" fontId="7" numFmtId="0" xfId="0" applyAlignment="1" applyBorder="1" applyFill="1" applyFont="1">
      <alignment horizontal="center"/>
    </xf>
    <xf borderId="1" fillId="2" fontId="7" numFmtId="0" xfId="0" applyAlignment="1" applyBorder="1" applyFont="1">
      <alignment horizontal="center" vertical="bottom"/>
    </xf>
    <xf borderId="0" fillId="0" fontId="7" numFmtId="11" xfId="0" applyAlignment="1" applyFont="1" applyNumberFormat="1">
      <alignment horizontal="center"/>
    </xf>
    <xf borderId="0" fillId="0" fontId="7" numFmtId="168" xfId="0" applyAlignment="1" applyFont="1" applyNumberFormat="1">
      <alignment horizontal="center"/>
    </xf>
    <xf borderId="0" fillId="0" fontId="4" numFmtId="11" xfId="0" applyAlignment="1" applyFont="1" applyNumberFormat="1">
      <alignment horizontal="center" readingOrder="0"/>
    </xf>
    <xf borderId="0" fillId="0" fontId="7" numFmtId="0" xfId="0" applyFont="1"/>
    <xf borderId="3" fillId="4" fontId="7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5" fillId="8" fontId="3" numFmtId="0" xfId="0" applyAlignment="1" applyBorder="1" applyFill="1" applyFont="1">
      <alignment horizontal="center" readingOrder="0" vertical="bottom"/>
    </xf>
    <xf borderId="0" fillId="0" fontId="7" numFmtId="167" xfId="0" applyAlignment="1" applyFont="1" applyNumberFormat="1">
      <alignment horizontal="center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7" numFmtId="166" xfId="0" applyAlignment="1" applyFont="1" applyNumberFormat="1">
      <alignment horizontal="center"/>
    </xf>
    <xf borderId="0" fillId="2" fontId="3" numFmtId="0" xfId="0" applyAlignment="1" applyFont="1">
      <alignment horizontal="center" readingOrder="0"/>
    </xf>
    <xf borderId="0" fillId="9" fontId="9" numFmtId="0" xfId="0" applyAlignment="1" applyFill="1" applyFont="1">
      <alignment horizontal="left" readingOrder="0"/>
    </xf>
    <xf borderId="0" fillId="9" fontId="10" numFmtId="0" xfId="0" applyAlignment="1" applyFont="1">
      <alignment readingOrder="0"/>
    </xf>
    <xf borderId="0" fillId="2" fontId="7" numFmtId="0" xfId="0" applyFont="1"/>
    <xf borderId="0" fillId="2" fontId="3" numFmtId="0" xfId="0" applyAlignment="1" applyFont="1">
      <alignment readingOrder="0"/>
    </xf>
    <xf borderId="1" fillId="0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5" fillId="0" fontId="7" numFmtId="0" xfId="0" applyAlignment="1" applyBorder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right" readingOrder="0" vertical="bottom"/>
    </xf>
    <xf borderId="23" fillId="2" fontId="3" numFmtId="0" xfId="0" applyAlignment="1" applyBorder="1" applyFont="1">
      <alignment horizontal="center" readingOrder="0" shrinkToFit="0" wrapText="1"/>
    </xf>
    <xf borderId="9" fillId="0" fontId="4" numFmtId="0" xfId="0" applyBorder="1" applyFont="1"/>
    <xf borderId="24" fillId="2" fontId="3" numFmtId="0" xfId="0" applyAlignment="1" applyBorder="1" applyFont="1">
      <alignment readingOrder="0" shrinkToFit="0" wrapText="1"/>
    </xf>
    <xf borderId="17" fillId="2" fontId="3" numFmtId="0" xfId="0" applyAlignment="1" applyBorder="1" applyFont="1">
      <alignment readingOrder="0" shrinkToFit="0" wrapText="1"/>
    </xf>
    <xf borderId="2" fillId="4" fontId="7" numFmtId="0" xfId="0" applyAlignment="1" applyBorder="1" applyFont="1">
      <alignment horizontal="center"/>
    </xf>
    <xf borderId="25" fillId="4" fontId="7" numFmtId="164" xfId="0" applyAlignment="1" applyBorder="1" applyFont="1" applyNumberFormat="1">
      <alignment horizontal="center"/>
    </xf>
    <xf borderId="2" fillId="4" fontId="7" numFmtId="0" xfId="0" applyBorder="1" applyFont="1"/>
    <xf borderId="2" fillId="4" fontId="7" numFmtId="167" xfId="0" applyBorder="1" applyFont="1" applyNumberFormat="1"/>
    <xf borderId="26" fillId="4" fontId="7" numFmtId="2" xfId="0" applyBorder="1" applyFont="1" applyNumberFormat="1"/>
    <xf borderId="9" fillId="4" fontId="7" numFmtId="2" xfId="0" applyBorder="1" applyFont="1" applyNumberFormat="1"/>
    <xf borderId="11" fillId="4" fontId="7" numFmtId="0" xfId="0" applyAlignment="1" applyBorder="1" applyFont="1">
      <alignment horizontal="center"/>
    </xf>
    <xf borderId="8" fillId="0" fontId="7" numFmtId="2" xfId="0" applyBorder="1" applyFont="1" applyNumberFormat="1"/>
    <xf borderId="11" fillId="10" fontId="7" numFmtId="0" xfId="0" applyAlignment="1" applyBorder="1" applyFill="1" applyFont="1">
      <alignment horizontal="center"/>
    </xf>
    <xf borderId="10" fillId="10" fontId="7" numFmtId="0" xfId="0" applyAlignment="1" applyBorder="1" applyFont="1">
      <alignment horizontal="center"/>
    </xf>
    <xf borderId="11" fillId="10" fontId="7" numFmtId="0" xfId="0" applyBorder="1" applyFont="1"/>
    <xf borderId="11" fillId="10" fontId="7" numFmtId="167" xfId="0" applyBorder="1" applyFont="1" applyNumberFormat="1"/>
    <xf borderId="0" fillId="10" fontId="7" numFmtId="2" xfId="0" applyFont="1" applyNumberFormat="1"/>
    <xf borderId="8" fillId="10" fontId="7" numFmtId="2" xfId="0" applyBorder="1" applyFont="1" applyNumberFormat="1"/>
    <xf borderId="12" fillId="4" fontId="7" numFmtId="0" xfId="0" applyAlignment="1" applyBorder="1" applyFont="1">
      <alignment horizontal="center"/>
    </xf>
    <xf borderId="27" fillId="4" fontId="7" numFmtId="0" xfId="0" applyAlignment="1" applyBorder="1" applyFont="1">
      <alignment horizontal="center"/>
    </xf>
    <xf borderId="12" fillId="4" fontId="7" numFmtId="167" xfId="0" applyBorder="1" applyFont="1" applyNumberFormat="1"/>
    <xf borderId="28" fillId="0" fontId="7" numFmtId="2" xfId="0" applyBorder="1" applyFont="1" applyNumberFormat="1"/>
    <xf borderId="17" fillId="0" fontId="7" numFmtId="2" xfId="0" applyBorder="1" applyFont="1" applyNumberFormat="1"/>
    <xf borderId="0" fillId="11" fontId="7" numFmtId="0" xfId="0" applyFill="1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7" numFmtId="169" xfId="0" applyAlignment="1" applyFont="1" applyNumberFormat="1">
      <alignment horizontal="center" readingOrder="0"/>
    </xf>
    <xf borderId="0" fillId="0" fontId="7" numFmtId="169" xfId="0" applyAlignment="1" applyFont="1" applyNumberFormat="1">
      <alignment horizontal="center"/>
    </xf>
    <xf borderId="2" fillId="4" fontId="7" numFmtId="167" xfId="0" applyAlignment="1" applyBorder="1" applyFont="1" applyNumberFormat="1">
      <alignment horizontal="center"/>
    </xf>
    <xf borderId="11" fillId="4" fontId="7" numFmtId="167" xfId="0" applyAlignment="1" applyBorder="1" applyFont="1" applyNumberFormat="1">
      <alignment horizontal="center"/>
    </xf>
    <xf borderId="2" fillId="2" fontId="3" numFmtId="0" xfId="0" applyAlignment="1" applyBorder="1" applyFont="1">
      <alignment horizontal="center" readingOrder="0" shrinkToFit="0" wrapText="1"/>
    </xf>
    <xf borderId="10" fillId="10" fontId="7" numFmtId="167" xfId="0" applyAlignment="1" applyBorder="1" applyFont="1" applyNumberFormat="1">
      <alignment horizontal="center"/>
    </xf>
    <xf borderId="3" fillId="0" fontId="4" numFmtId="0" xfId="0" applyBorder="1" applyFont="1"/>
    <xf borderId="10" fillId="4" fontId="7" numFmtId="167" xfId="0" applyAlignment="1" applyBorder="1" applyFont="1" applyNumberFormat="1">
      <alignment horizontal="center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1" fillId="0" fontId="7" numFmtId="167" xfId="0" applyBorder="1" applyFont="1" applyNumberFormat="1"/>
    <xf borderId="27" fillId="4" fontId="7" numFmtId="167" xfId="0" applyAlignment="1" applyBorder="1" applyFont="1" applyNumberFormat="1">
      <alignment horizontal="center"/>
    </xf>
    <xf borderId="1" fillId="10" fontId="4" numFmtId="0" xfId="0" applyBorder="1" applyFont="1"/>
    <xf borderId="1" fillId="10" fontId="4" numFmtId="0" xfId="0" applyAlignment="1" applyBorder="1" applyFont="1">
      <alignment readingOrder="0"/>
    </xf>
    <xf borderId="1" fillId="10" fontId="7" numFmtId="0" xfId="0" applyAlignment="1" applyBorder="1" applyFont="1">
      <alignment readingOrder="0"/>
    </xf>
    <xf borderId="1" fillId="0" fontId="7" numFmtId="170" xfId="0" applyAlignment="1" applyBorder="1" applyFont="1" applyNumberFormat="1">
      <alignment horizontal="center" readingOrder="0"/>
    </xf>
    <xf borderId="1" fillId="0" fontId="4" numFmtId="170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7" numFmtId="170" xfId="0" applyAlignment="1" applyFont="1" applyNumberFormat="1">
      <alignment horizontal="center"/>
    </xf>
    <xf borderId="0" fillId="0" fontId="11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11" numFmtId="171" xfId="0" applyAlignment="1" applyFont="1" applyNumberFormat="1">
      <alignment horizontal="right" vertical="bottom"/>
    </xf>
    <xf borderId="0" fillId="0" fontId="7" numFmtId="172" xfId="0" applyAlignment="1" applyFont="1" applyNumberFormat="1">
      <alignment horizontal="right" vertical="bottom"/>
    </xf>
    <xf borderId="0" fillId="12" fontId="7" numFmtId="0" xfId="0" applyAlignment="1" applyFill="1" applyFont="1">
      <alignment horizontal="center" readingOrder="0"/>
    </xf>
    <xf borderId="0" fillId="12" fontId="7" numFmtId="0" xfId="0" applyAlignment="1" applyFont="1">
      <alignment horizontal="center"/>
    </xf>
    <xf borderId="0" fillId="12" fontId="7" numFmtId="0" xfId="0" applyFont="1"/>
    <xf borderId="0" fillId="5" fontId="11" numFmtId="171" xfId="0" applyAlignment="1" applyFont="1" applyNumberFormat="1">
      <alignment horizontal="right" vertical="bottom"/>
    </xf>
    <xf borderId="0" fillId="5" fontId="7" numFmtId="172" xfId="0" applyAlignment="1" applyFont="1" applyNumberFormat="1">
      <alignment horizontal="right" vertical="bottom"/>
    </xf>
    <xf borderId="0" fillId="5" fontId="7" numFmtId="0" xfId="0" applyAlignment="1" applyFont="1">
      <alignment horizontal="center" readingOrder="0"/>
    </xf>
    <xf borderId="0" fillId="5" fontId="7" numFmtId="0" xfId="0" applyAlignment="1" applyFont="1">
      <alignment horizontal="center"/>
    </xf>
    <xf borderId="0" fillId="5" fontId="7" numFmtId="0" xfId="0" applyFont="1"/>
    <xf borderId="0" fillId="5" fontId="7" numFmtId="0" xfId="0" applyAlignment="1" applyFont="1">
      <alignment horizontal="right" vertical="bottom"/>
    </xf>
    <xf borderId="0" fillId="0" fontId="3" numFmtId="0" xfId="0" applyAlignment="1" applyFont="1">
      <alignment horizontal="center" readingOrder="0"/>
    </xf>
    <xf borderId="0" fillId="0" fontId="7" numFmtId="166" xfId="0" applyAlignment="1" applyFont="1" applyNumberFormat="1">
      <alignment horizontal="center"/>
    </xf>
    <xf borderId="0" fillId="10" fontId="7" numFmtId="0" xfId="0" applyAlignment="1" applyFont="1">
      <alignment horizontal="center" readingOrder="0"/>
    </xf>
    <xf borderId="0" fillId="10" fontId="7" numFmtId="0" xfId="0" applyAlignment="1" applyFont="1">
      <alignment horizontal="center"/>
    </xf>
    <xf borderId="0" fillId="10" fontId="7" numFmtId="166" xfId="0" applyAlignment="1" applyFont="1" applyNumberFormat="1">
      <alignment horizontal="center"/>
    </xf>
    <xf borderId="0" fillId="10" fontId="7" numFmtId="0" xfId="0" applyFont="1"/>
    <xf borderId="0" fillId="1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13" fontId="7" numFmtId="0" xfId="0" applyAlignment="1" applyFill="1" applyFont="1">
      <alignment readingOrder="0"/>
    </xf>
    <xf borderId="0" fillId="13" fontId="11" numFmtId="0" xfId="0" applyAlignment="1" applyFont="1">
      <alignment vertical="bottom"/>
    </xf>
    <xf borderId="0" fillId="13" fontId="11" numFmtId="0" xfId="0" applyAlignment="1" applyFont="1">
      <alignment readingOrder="0" vertical="bottom"/>
    </xf>
    <xf borderId="0" fillId="13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horizontal="right" vertical="bottom"/>
    </xf>
    <xf borderId="0" fillId="0" fontId="12" numFmtId="0" xfId="0" applyAlignment="1" applyFont="1">
      <alignment horizontal="right" readingOrder="0" shrinkToFit="0" vertical="bottom" wrapText="0"/>
    </xf>
    <xf borderId="0" fillId="5" fontId="11" numFmtId="0" xfId="0" applyAlignment="1" applyFont="1">
      <alignment horizontal="right" vertical="bottom"/>
    </xf>
    <xf borderId="0" fillId="14" fontId="11" numFmtId="0" xfId="0" applyAlignment="1" applyFill="1" applyFont="1">
      <alignment horizontal="right" vertical="bottom"/>
    </xf>
    <xf borderId="0" fillId="0" fontId="13" numFmtId="0" xfId="0" applyAlignment="1" applyFont="1">
      <alignment readingOrder="0" shrinkToFit="0" vertical="bottom" wrapText="1"/>
    </xf>
    <xf borderId="0" fillId="15" fontId="7" numFmtId="0" xfId="0" applyAlignment="1" applyFill="1" applyFont="1">
      <alignment readingOrder="0"/>
    </xf>
    <xf borderId="0" fillId="15" fontId="7" numFmtId="0" xfId="0" applyFont="1"/>
    <xf borderId="0" fillId="0" fontId="7" numFmtId="173" xfId="0" applyFont="1" applyNumberFormat="1"/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29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7" numFmtId="173" xfId="0" applyAlignment="1" applyFont="1" applyNumberFormat="1">
      <alignment readingOrder="0"/>
    </xf>
    <xf borderId="0" fillId="0" fontId="7" numFmtId="2" xfId="0" applyAlignment="1" applyFont="1" applyNumberFormat="1">
      <alignment horizontal="right" vertical="bottom"/>
    </xf>
    <xf borderId="0" fillId="16" fontId="4" numFmtId="0" xfId="0" applyAlignment="1" applyFill="1" applyFont="1">
      <alignment readingOrder="0"/>
    </xf>
    <xf borderId="0" fillId="16" fontId="4" numFmtId="0" xfId="0" applyFont="1"/>
    <xf borderId="0" fillId="16" fontId="7" numFmtId="0" xfId="0" applyFont="1"/>
    <xf borderId="0" fillId="16" fontId="12" numFmtId="0" xfId="0" applyAlignment="1" applyFont="1">
      <alignment horizontal="right" readingOrder="0" shrinkToFit="0" vertical="bottom" wrapText="0"/>
    </xf>
    <xf borderId="0" fillId="0" fontId="7" numFmtId="172" xfId="0" applyFont="1" applyNumberFormat="1"/>
    <xf borderId="0" fillId="0" fontId="7" numFmtId="4" xfId="0" applyFont="1" applyNumberFormat="1"/>
    <xf borderId="0" fillId="0" fontId="7" numFmtId="0" xfId="0" applyAlignment="1" applyFont="1">
      <alignment horizontal="center" vertical="bottom"/>
    </xf>
    <xf borderId="0" fillId="0" fontId="14" numFmtId="171" xfId="0" applyAlignment="1" applyFont="1" applyNumberFormat="1">
      <alignment horizontal="right" readingOrder="0" vertical="bottom"/>
    </xf>
    <xf borderId="0" fillId="0" fontId="14" numFmtId="0" xfId="0" applyFont="1"/>
    <xf borderId="0" fillId="0" fontId="14" numFmtId="171" xfId="0" applyAlignment="1" applyFont="1" applyNumberFormat="1">
      <alignment horizontal="right" vertical="bottom"/>
    </xf>
    <xf borderId="0" fillId="0" fontId="14" numFmtId="46" xfId="0" applyAlignment="1" applyFont="1" applyNumberFormat="1">
      <alignment horizontal="right" vertical="bottom"/>
    </xf>
    <xf borderId="0" fillId="0" fontId="14" numFmtId="0" xfId="0" applyAlignment="1" applyFont="1">
      <alignment readingOrder="0"/>
    </xf>
    <xf borderId="0" fillId="0" fontId="14" numFmtId="4" xfId="0" applyFont="1" applyNumberFormat="1"/>
    <xf borderId="0" fillId="0" fontId="14" numFmtId="0" xfId="0" applyAlignment="1" applyFont="1">
      <alignment horizontal="right" vertical="bottom"/>
    </xf>
    <xf borderId="0" fillId="9" fontId="15" numFmtId="0" xfId="0" applyFont="1"/>
    <xf borderId="0" fillId="10" fontId="14" numFmtId="171" xfId="0" applyAlignment="1" applyFont="1" applyNumberFormat="1">
      <alignment horizontal="right" vertical="bottom"/>
    </xf>
    <xf borderId="0" fillId="10" fontId="14" numFmtId="46" xfId="0" applyAlignment="1" applyFont="1" applyNumberFormat="1">
      <alignment horizontal="right" vertical="bottom"/>
    </xf>
    <xf borderId="0" fillId="10" fontId="14" numFmtId="0" xfId="0" applyAlignment="1" applyFont="1">
      <alignment readingOrder="0"/>
    </xf>
    <xf borderId="0" fillId="10" fontId="14" numFmtId="4" xfId="0" applyFont="1" applyNumberFormat="1"/>
    <xf borderId="0" fillId="10" fontId="14" numFmtId="0" xfId="0" applyAlignment="1" applyFont="1">
      <alignment horizontal="right" vertical="bottom"/>
    </xf>
    <xf borderId="0" fillId="10" fontId="15" numFmtId="0" xfId="0" applyFont="1"/>
    <xf borderId="0" fillId="10" fontId="14" numFmtId="0" xfId="0" applyFont="1"/>
    <xf borderId="0" fillId="5" fontId="7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10" fontId="7" numFmtId="0" xfId="0" applyAlignment="1" applyFont="1">
      <alignment readingOrder="0"/>
    </xf>
    <xf borderId="0" fillId="10" fontId="7" numFmtId="0" xfId="0" applyAlignment="1" applyFont="1">
      <alignment horizontal="right" vertical="bottom"/>
    </xf>
    <xf borderId="0" fillId="0" fontId="7" numFmtId="0" xfId="0" applyAlignment="1" applyFont="1">
      <alignment horizontal="center" readingOrder="0" shrinkToFit="0" vertical="bottom" wrapText="1"/>
    </xf>
    <xf borderId="0" fillId="0" fontId="7" numFmtId="174" xfId="0" applyAlignment="1" applyFont="1" applyNumberFormat="1">
      <alignment horizontal="right" vertical="bottom"/>
    </xf>
    <xf borderId="0" fillId="0" fontId="7" numFmtId="46" xfId="0" applyAlignment="1" applyFont="1" applyNumberFormat="1">
      <alignment horizontal="right" vertical="bottom"/>
    </xf>
    <xf borderId="0" fillId="0" fontId="7" numFmtId="169" xfId="0" applyFont="1" applyNumberFormat="1"/>
    <xf borderId="0" fillId="0" fontId="7" numFmtId="174" xfId="0" applyAlignment="1" applyFont="1" applyNumberFormat="1">
      <alignment horizontal="right" readingOrder="0" vertical="bottom"/>
    </xf>
    <xf borderId="0" fillId="0" fontId="7" numFmtId="171" xfId="0" applyAlignment="1" applyFont="1" applyNumberFormat="1">
      <alignment horizontal="right" vertical="bottom"/>
    </xf>
    <xf borderId="0" fillId="10" fontId="7" numFmtId="175" xfId="0" applyAlignment="1" applyFont="1" applyNumberFormat="1">
      <alignment horizontal="right" vertical="bottom"/>
    </xf>
    <xf borderId="0" fillId="10" fontId="7" numFmtId="46" xfId="0" applyAlignment="1" applyFont="1" applyNumberFormat="1">
      <alignment horizontal="right" vertical="bottom"/>
    </xf>
    <xf borderId="0" fillId="10" fontId="7" numFmtId="4" xfId="0" applyFont="1" applyNumberFormat="1"/>
    <xf borderId="0" fillId="10" fontId="7" numFmtId="169" xfId="0" applyFont="1" applyNumberFormat="1"/>
    <xf borderId="0" fillId="10" fontId="7" numFmtId="171" xfId="0" applyAlignment="1" applyFont="1" applyNumberFormat="1">
      <alignment horizontal="right" vertical="bottom"/>
    </xf>
    <xf borderId="0" fillId="0" fontId="7" numFmtId="175" xfId="0" applyAlignment="1" applyFont="1" applyNumberFormat="1">
      <alignment horizontal="right" vertical="bottom"/>
    </xf>
    <xf borderId="0" fillId="17" fontId="3" numFmtId="0" xfId="0" applyAlignment="1" applyFill="1" applyFont="1">
      <alignment readingOrder="0"/>
    </xf>
    <xf borderId="0" fillId="17" fontId="3" numFmtId="0" xfId="0" applyAlignment="1" applyFont="1">
      <alignment readingOrder="0" shrinkToFit="0" wrapText="1"/>
    </xf>
    <xf borderId="0" fillId="17" fontId="16" numFmtId="0" xfId="0" applyAlignment="1" applyFont="1">
      <alignment readingOrder="0" shrinkToFit="0" vertical="bottom" wrapText="1"/>
    </xf>
    <xf borderId="0" fillId="17" fontId="16" numFmtId="0" xfId="0" applyAlignment="1" applyFont="1">
      <alignment shrinkToFit="0" vertical="bottom" wrapText="1"/>
    </xf>
    <xf borderId="0" fillId="5" fontId="7" numFmtId="167" xfId="0" applyAlignment="1" applyFont="1" applyNumberFormat="1">
      <alignment readingOrder="0"/>
    </xf>
    <xf borderId="0" fillId="0" fontId="7" numFmtId="167" xfId="0" applyFont="1" applyNumberFormat="1"/>
    <xf borderId="0" fillId="9" fontId="17" numFmtId="176" xfId="0" applyFont="1" applyNumberFormat="1"/>
    <xf borderId="0" fillId="0" fontId="7" numFmtId="176" xfId="0" applyFont="1" applyNumberFormat="1"/>
    <xf borderId="0" fillId="10" fontId="7" numFmtId="167" xfId="0" applyFont="1" applyNumberFormat="1"/>
    <xf borderId="0" fillId="10" fontId="11" numFmtId="0" xfId="0" applyAlignment="1" applyFont="1">
      <alignment horizontal="right" vertical="bottom"/>
    </xf>
    <xf borderId="0" fillId="10" fontId="17" numFmtId="176" xfId="0" applyFont="1" applyNumberFormat="1"/>
    <xf borderId="0" fillId="10" fontId="7" numFmtId="176" xfId="0" applyFont="1" applyNumberFormat="1"/>
    <xf borderId="0" fillId="0" fontId="18" numFmtId="0" xfId="0" applyAlignment="1" applyFont="1">
      <alignment horizontal="right" readingOrder="0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  <tableStyles count="12">
    <tableStyle count="3" pivot="0" name="Calculos-style">
      <tableStyleElement dxfId="1" type="headerRow"/>
      <tableStyleElement dxfId="2" type="firstRowStripe"/>
      <tableStyleElement dxfId="3" type="secondRowStripe"/>
    </tableStyle>
    <tableStyle count="2" pivot="0" name="Calculos-style 2">
      <tableStyleElement dxfId="2" type="firstRowStripe"/>
      <tableStyleElement dxfId="4" type="secondRowStripe"/>
    </tableStyle>
    <tableStyle count="2" pivot="0" name="Calculos-style 3">
      <tableStyleElement dxfId="2" type="firstRowStripe"/>
      <tableStyleElement dxfId="4" type="secondRowStripe"/>
    </tableStyle>
    <tableStyle count="2" pivot="0" name="Calculos-style 4">
      <tableStyleElement dxfId="2" type="firstRowStripe"/>
      <tableStyleElement dxfId="3" type="secondRowStripe"/>
    </tableStyle>
    <tableStyle count="2" pivot="0" name="Calculos-style 5">
      <tableStyleElement dxfId="2" type="firstRowStripe"/>
      <tableStyleElement dxfId="5" type="secondRowStripe"/>
    </tableStyle>
    <tableStyle count="2" pivot="0" name="Tabla de Resultados p presentar-style">
      <tableStyleElement dxfId="2" type="firstRowStripe"/>
      <tableStyleElement dxfId="3" type="secondRowStripe"/>
    </tableStyle>
    <tableStyle count="2" pivot="0" name="Tabla de Resultados p presentar-style 2">
      <tableStyleElement dxfId="2" type="firstRowStripe"/>
      <tableStyleElement dxfId="5" type="secondRowStripe"/>
    </tableStyle>
    <tableStyle count="2" pivot="0" name="Tabla de Resultados p presentar-style 3">
      <tableStyleElement dxfId="2" type="firstRowStripe"/>
      <tableStyleElement dxfId="3" type="secondRowStripe"/>
    </tableStyle>
    <tableStyle count="2" pivot="0" name="Tabla de Resultados p presentar-style 4">
      <tableStyleElement dxfId="2" type="firstRowStripe"/>
      <tableStyleElement dxfId="5" type="secondRowStripe"/>
    </tableStyle>
    <tableStyle count="2" pivot="0" name="Tabla de Resultados p presentar-style 5">
      <tableStyleElement dxfId="2" type="firstRowStripe"/>
      <tableStyleElement dxfId="5" type="secondRowStripe"/>
    </tableStyle>
    <tableStyle count="2" pivot="0" name="Tabla de Resultados p presentar-style 6">
      <tableStyleElement dxfId="2" type="firstRowStripe"/>
      <tableStyleElement dxfId="3" type="secondRowStripe"/>
    </tableStyle>
    <tableStyle count="2" pivot="0" name="Tabla de Resultados p presentar-style 7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Concentración de glucosa vs °Brix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Curva de calibrado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'Curva de Calibrado'!$E$2:$E$15</c:f>
            </c:numRef>
          </c:xVal>
          <c:yVal>
            <c:numRef>
              <c:f>'Curva de Calibrado'!$D$2:$D$15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54230"/>
        <c:axId val="386831260"/>
      </c:scatterChart>
      <c:valAx>
        <c:axId val="1939354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°Brix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6831260"/>
      </c:valAx>
      <c:valAx>
        <c:axId val="386831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Concentración de glucosa [g/L]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9354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4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4'!$D$5:$D$19</c:f>
            </c:numRef>
          </c:xVal>
          <c:yVal>
            <c:numRef>
              <c:f>'Corrida 4'!$J$5:$J$19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432281"/>
        <c:axId val="1797091342"/>
      </c:scatterChart>
      <c:valAx>
        <c:axId val="1400432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7091342"/>
      </c:valAx>
      <c:valAx>
        <c:axId val="1797091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432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4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4'!$D$4:$D$23</c:f>
            </c:numRef>
          </c:xVal>
          <c:yVal>
            <c:numRef>
              <c:f>'Corrida 4'!$F$4:$F$23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15410"/>
        <c:axId val="1812904556"/>
      </c:scatterChart>
      <c:valAx>
        <c:axId val="48015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904556"/>
      </c:valAx>
      <c:valAx>
        <c:axId val="1812904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015410"/>
        <c:maj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5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5'!$F$1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5'!$D$2:$D$33</c:f>
            </c:numRef>
          </c:xVal>
          <c:yVal>
            <c:numRef>
              <c:f>'Corrida 5'!$F$2:$F$33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713301"/>
        <c:axId val="733515434"/>
      </c:scatterChart>
      <c:valAx>
        <c:axId val="834713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515434"/>
      </c:valAx>
      <c:valAx>
        <c:axId val="733515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acumulado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47133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5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5'!$D$6:$D$25</c:f>
            </c:numRef>
          </c:xVal>
          <c:yVal>
            <c:numRef>
              <c:f>'Corrida 5'!$J$6:$J$25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300386"/>
        <c:axId val="959655076"/>
      </c:scatterChart>
      <c:valAx>
        <c:axId val="14063003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9655076"/>
      </c:valAx>
      <c:valAx>
        <c:axId val="959655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63003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6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6'!$G$2:$G$26</c:f>
            </c:numRef>
          </c:xVal>
          <c:yVal>
            <c:numRef>
              <c:f>'Corrida 6'!$E$2:$E$26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38941"/>
        <c:axId val="957438302"/>
      </c:scatterChart>
      <c:valAx>
        <c:axId val="6092389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438302"/>
      </c:valAx>
      <c:valAx>
        <c:axId val="95743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238941"/>
        <c:maj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6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6'!$G$7:$G$22</c:f>
            </c:numRef>
          </c:xVal>
          <c:yVal>
            <c:numRef>
              <c:f>'Corrida 6'!$O$7:$O$22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387685"/>
        <c:axId val="1761730230"/>
      </c:scatterChart>
      <c:valAx>
        <c:axId val="2055387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1730230"/>
      </c:valAx>
      <c:valAx>
        <c:axId val="1761730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3876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7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7'!$D$1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7'!$F$2:$F$29</c:f>
            </c:numRef>
          </c:xVal>
          <c:yVal>
            <c:numRef>
              <c:f>'Corrida 7'!$D$2:$D$29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147051"/>
        <c:axId val="1268232012"/>
      </c:scatterChart>
      <c:valAx>
        <c:axId val="1242147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232012"/>
      </c:valAx>
      <c:valAx>
        <c:axId val="1268232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147051"/>
        <c:maj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7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7'!$F$4:$F$23</c:f>
            </c:numRef>
          </c:xVal>
          <c:yVal>
            <c:numRef>
              <c:f>'Corrida 7'!$J$4:$J$23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518727"/>
        <c:axId val="292412957"/>
      </c:scatterChart>
      <c:valAx>
        <c:axId val="16275187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2412957"/>
      </c:valAx>
      <c:valAx>
        <c:axId val="292412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5187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8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8'!$G$1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8'!$D$2:$D$23</c:f>
            </c:numRef>
          </c:xVal>
          <c:yVal>
            <c:numRef>
              <c:f>'Corrida 8'!$G$2:$G$23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275115"/>
        <c:axId val="2082502905"/>
      </c:scatterChart>
      <c:valAx>
        <c:axId val="806275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502905"/>
      </c:valAx>
      <c:valAx>
        <c:axId val="20825029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6275115"/>
        <c:maj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8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8'!$D$5:$D$20</c:f>
            </c:numRef>
          </c:xVal>
          <c:yVal>
            <c:numRef>
              <c:f>'Corrida 8'!$K$5:$K$20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072873"/>
        <c:axId val="634689023"/>
      </c:scatterChart>
      <c:valAx>
        <c:axId val="1596072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689023"/>
      </c:valAx>
      <c:valAx>
        <c:axId val="63468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072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Sin airear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Calculos!$K$13</c:f>
            </c:strRef>
          </c:cat>
          <c:val>
            <c:numRef>
              <c:f>Calculos!$H$14</c:f>
              <c:numCache/>
            </c:numRef>
          </c:val>
        </c:ser>
        <c:ser>
          <c:idx val="1"/>
          <c:order val="1"/>
          <c:tx>
            <c:v>Aireado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Calculos!$K$13</c:f>
            </c:strRef>
          </c:cat>
          <c:val>
            <c:numRef>
              <c:f>Calculos!$H$16</c:f>
              <c:numCache/>
            </c:numRef>
          </c:val>
        </c:ser>
        <c:axId val="1304581020"/>
        <c:axId val="953235096"/>
      </c:barChart>
      <c:catAx>
        <c:axId val="130458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235096"/>
      </c:catAx>
      <c:valAx>
        <c:axId val="95323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581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'Tabla de Resultados p presentar'!$D$30:$D$31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de Resultados p presentar'!$C$32:$C$39</c:f>
            </c:strRef>
          </c:cat>
          <c:val>
            <c:numRef>
              <c:f>'Tabla de Resultados p presentar'!$D$32:$D$39</c:f>
              <c:numCache/>
            </c:numRef>
          </c:val>
        </c:ser>
        <c:ser>
          <c:idx val="1"/>
          <c:order val="1"/>
          <c:tx>
            <c:strRef>
              <c:f>'Tabla de Resultados p presentar'!$E$30:$E$31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de Resultados p presentar'!$C$32:$C$39</c:f>
            </c:strRef>
          </c:cat>
          <c:val>
            <c:numRef>
              <c:f>'Tabla de Resultados p presentar'!$E$32:$E$39</c:f>
              <c:numCache/>
            </c:numRef>
          </c:val>
        </c:ser>
        <c:ser>
          <c:idx val="2"/>
          <c:order val="2"/>
          <c:tx>
            <c:strRef>
              <c:f>'Tabla de Resultados p presentar'!$F$30:$F$31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de Resultados p presentar'!$C$32:$C$39</c:f>
            </c:strRef>
          </c:cat>
          <c:val>
            <c:numRef>
              <c:f>'Tabla de Resultados p presentar'!$F$32:$F$39</c:f>
              <c:numCache/>
            </c:numRef>
          </c:val>
        </c:ser>
        <c:ser>
          <c:idx val="3"/>
          <c:order val="3"/>
          <c:tx>
            <c:strRef>
              <c:f>'Tabla de Resultados p presentar'!$G$30:$G$31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de Resultados p presentar'!$C$32:$C$39</c:f>
            </c:strRef>
          </c:cat>
          <c:val>
            <c:numRef>
              <c:f>'Tabla de Resultados p presentar'!$G$32:$G$39</c:f>
              <c:numCache/>
            </c:numRef>
          </c:val>
        </c:ser>
        <c:ser>
          <c:idx val="4"/>
          <c:order val="4"/>
          <c:tx>
            <c:strRef>
              <c:f>'Tabla de Resultados p presentar'!$H$30:$H$31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'Tabla de Resultados p presentar'!$C$32:$C$39</c:f>
            </c:strRef>
          </c:cat>
          <c:val>
            <c:numRef>
              <c:f>'Tabla de Resultados p presentar'!$H$32:$H$39</c:f>
              <c:numCache/>
            </c:numRef>
          </c:val>
        </c:ser>
        <c:ser>
          <c:idx val="5"/>
          <c:order val="5"/>
          <c:tx>
            <c:strRef>
              <c:f>'Tabla de Resultados p presentar'!$I$30:$I$31</c:f>
            </c:strRef>
          </c:tx>
          <c:cat>
            <c:strRef>
              <c:f>'Tabla de Resultados p presentar'!$C$32:$C$39</c:f>
            </c:strRef>
          </c:cat>
          <c:val>
            <c:numRef>
              <c:f>'Tabla de Resultados p presentar'!$I$32:$I$39</c:f>
              <c:numCache/>
            </c:numRef>
          </c:val>
        </c:ser>
        <c:axId val="971089317"/>
        <c:axId val="2048824716"/>
      </c:bar3DChart>
      <c:catAx>
        <c:axId val="971089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Concentración de levadura [g/L]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824716"/>
      </c:catAx>
      <c:valAx>
        <c:axId val="20488247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089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Volumen acumulado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1'!$H$1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1'!$F$2:$F$26</c:f>
            </c:numRef>
          </c:xVal>
          <c:yVal>
            <c:numRef>
              <c:f>'Corrida 1'!$H$2:$H$26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524424"/>
        <c:axId val="1067657769"/>
      </c:scatterChart>
      <c:valAx>
        <c:axId val="1963524424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657769"/>
      </c:valAx>
      <c:valAx>
        <c:axId val="10676577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Volumen acumulado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52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-ln(1-(pt/r0) 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Corrida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1'!$F$6:$F$20</c:f>
            </c:numRef>
          </c:xVal>
          <c:yVal>
            <c:numRef>
              <c:f>'Corrida 1'!$L$6:$L$20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99425"/>
        <c:axId val="829942826"/>
      </c:scatterChart>
      <c:valAx>
        <c:axId val="16946994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942826"/>
      </c:valAx>
      <c:valAx>
        <c:axId val="8299428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-ln(1-(pt/r0)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699425"/>
      </c:valAx>
    </c:plotArea>
    <c:legend>
      <c:legendPos val="r"/>
      <c:layout>
        <c:manualLayout>
          <c:xMode val="edge"/>
          <c:yMode val="edge"/>
          <c:x val="0.3482666015625001"/>
          <c:y val="0.13993710691823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Corrida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2'!$D$1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2'!$F$2:$F$45</c:f>
            </c:numRef>
          </c:xVal>
          <c:yVal>
            <c:numRef>
              <c:f>'Corrida 2'!$D$2:$D$30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642767"/>
        <c:axId val="1496694558"/>
      </c:scatterChart>
      <c:valAx>
        <c:axId val="7306427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6694558"/>
      </c:valAx>
      <c:valAx>
        <c:axId val="1496694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desplazado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642767"/>
        <c:majorUnit val="1000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Corrida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3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2'!$F$8:$F$25</c:f>
            </c:numRef>
          </c:xVal>
          <c:yVal>
            <c:numRef>
              <c:f>'Corrida 2'!$J$8:$J$25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836867"/>
        <c:axId val="146351814"/>
      </c:scatterChart>
      <c:valAx>
        <c:axId val="899836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51814"/>
      </c:valAx>
      <c:valAx>
        <c:axId val="146351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8368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Vol Acum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'Corrida 3'!$A$1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'Corrida 3'!$C$2:$C$34</c:f>
            </c:numRef>
          </c:xVal>
          <c:yVal>
            <c:numRef>
              <c:f>'Corrida 3'!$A$2:$A$34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148172"/>
        <c:axId val="1020462439"/>
      </c:scatterChart>
      <c:valAx>
        <c:axId val="11541481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 [h]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0462439"/>
      </c:valAx>
      <c:valAx>
        <c:axId val="1020462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Vol acum [mL]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41481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-ln(1-(eta/glu) 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'Corrida 3'!$C$6:$C$24</c:f>
            </c:numRef>
          </c:xVal>
          <c:yVal>
            <c:numRef>
              <c:f>'Corrida 3'!$G$6:$G$24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457058"/>
        <c:axId val="8405403"/>
      </c:scatterChart>
      <c:valAx>
        <c:axId val="18134570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5403"/>
      </c:valAx>
      <c:valAx>
        <c:axId val="8405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-ln(1-(eta/glu) 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457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2.png"/><Relationship Id="rId3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323850</xdr:colOff>
      <xdr:row>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30</xdr:row>
      <xdr:rowOff>190500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904875</xdr:colOff>
      <xdr:row>30</xdr:row>
      <xdr:rowOff>190500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123825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466725</xdr:colOff>
      <xdr:row>23</xdr:row>
      <xdr:rowOff>123825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581025</xdr:colOff>
      <xdr:row>34</xdr:row>
      <xdr:rowOff>66675</xdr:rowOff>
    </xdr:from>
    <xdr:ext cx="485775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561975</xdr:colOff>
      <xdr:row>23</xdr:row>
      <xdr:rowOff>180975</xdr:rowOff>
    </xdr:from>
    <xdr:ext cx="5086350" cy="4400550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352425</xdr:colOff>
      <xdr:row>10</xdr:row>
      <xdr:rowOff>142875</xdr:rowOff>
    </xdr:from>
    <xdr:ext cx="2752725" cy="3810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39</xdr:row>
      <xdr:rowOff>152400</xdr:rowOff>
    </xdr:from>
    <xdr:ext cx="7315200" cy="37338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39</xdr:row>
      <xdr:rowOff>47625</xdr:rowOff>
    </xdr:from>
    <xdr:ext cx="4057650" cy="353377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27</xdr:row>
      <xdr:rowOff>66675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409575</xdr:colOff>
      <xdr:row>27</xdr:row>
      <xdr:rowOff>66675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180975</xdr:colOff>
      <xdr:row>0</xdr:row>
      <xdr:rowOff>0</xdr:rowOff>
    </xdr:from>
    <xdr:ext cx="7248525" cy="393382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228600</xdr:colOff>
      <xdr:row>18</xdr:row>
      <xdr:rowOff>180975</xdr:rowOff>
    </xdr:from>
    <xdr:ext cx="7153275" cy="519112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314325</xdr:colOff>
      <xdr:row>0</xdr:row>
      <xdr:rowOff>0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314325</xdr:colOff>
      <xdr:row>16</xdr:row>
      <xdr:rowOff>28575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3</xdr:row>
      <xdr:rowOff>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304800</xdr:colOff>
      <xdr:row>19</xdr:row>
      <xdr:rowOff>104775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771525</xdr:colOff>
      <xdr:row>0</xdr:row>
      <xdr:rowOff>238125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771525</xdr:colOff>
      <xdr:row>16</xdr:row>
      <xdr:rowOff>152400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28</xdr:row>
      <xdr:rowOff>19050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552450</xdr:colOff>
      <xdr:row>28</xdr:row>
      <xdr:rowOff>19050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F24:K32" displayName="Table_1" id="1">
  <tableColumns count="6">
    <tableColumn name="Corrida" id="1"/>
    <tableColumn name="Brix1" id="2"/>
    <tableColumn name="Brix2" id="3"/>
    <tableColumn name="Brix3" id="4"/>
    <tableColumn name="prom" id="5"/>
    <tableColumn name="desvio" id="6"/>
  </tableColumns>
  <tableStyleInfo name="Calculos-style" showColumnStripes="0" showFirstColumn="1" showLastColumn="1" showRowStripes="1"/>
</table>
</file>

<file path=xl/tables/table10.xml><?xml version="1.0" encoding="utf-8"?>
<table xmlns="http://schemas.openxmlformats.org/spreadsheetml/2006/main" headerRowCount="0" ref="A7:H10" displayName="Table_10" id="10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la de Resultados p presentar-style 5" showColumnStripes="0" showFirstColumn="1" showLastColumn="1" showRowStripes="1"/>
</table>
</file>

<file path=xl/tables/table11.xml><?xml version="1.0" encoding="utf-8"?>
<table xmlns="http://schemas.openxmlformats.org/spreadsheetml/2006/main" headerRowCount="0" ref="A3:H6" displayName="Table_11" id="1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la de Resultados p presentar-style 6" showColumnStripes="0" showFirstColumn="1" showLastColumn="1" showRowStripes="1"/>
</table>
</file>

<file path=xl/tables/table12.xml><?xml version="1.0" encoding="utf-8"?>
<table xmlns="http://schemas.openxmlformats.org/spreadsheetml/2006/main" headerRowCount="0" ref="A20:B23" displayName="Table_12" id="12">
  <tableColumns count="2">
    <tableColumn name="Column1" id="1"/>
    <tableColumn name="Column2" id="2"/>
  </tableColumns>
  <tableStyleInfo name="Tabla de Resultados p presentar-style 7" showColumnStripes="0" showFirstColumn="1" showLastColumn="1" showRowStripes="1"/>
</table>
</file>

<file path=xl/tables/table2.xml><?xml version="1.0" encoding="utf-8"?>
<table xmlns="http://schemas.openxmlformats.org/spreadsheetml/2006/main" headerRowCount="0" ref="W7:W10" displayName="Table_2" id="2">
  <tableColumns count="1">
    <tableColumn name="Column1" id="1"/>
  </tableColumns>
  <tableStyleInfo name="Calculos-style 2" showColumnStripes="0" showFirstColumn="1" showLastColumn="1" showRowStripes="1"/>
</table>
</file>

<file path=xl/tables/table3.xml><?xml version="1.0" encoding="utf-8"?>
<table xmlns="http://schemas.openxmlformats.org/spreadsheetml/2006/main" headerRowCount="0" ref="T7:U11" displayName="Table_3" id="3">
  <tableColumns count="2">
    <tableColumn name="Column1" id="1"/>
    <tableColumn name="Column2" id="2"/>
  </tableColumns>
  <tableStyleInfo name="Calculos-style 3" showColumnStripes="0" showFirstColumn="1" showLastColumn="1" showRowStripes="1"/>
</table>
</file>

<file path=xl/tables/table4.xml><?xml version="1.0" encoding="utf-8"?>
<table xmlns="http://schemas.openxmlformats.org/spreadsheetml/2006/main" headerRowCount="0" ref="A3:X6" display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Calculos-style 4" showColumnStripes="0" showFirstColumn="1" showLastColumn="1" showRowStripes="1"/>
</table>
</file>

<file path=xl/tables/table5.xml><?xml version="1.0" encoding="utf-8"?>
<table xmlns="http://schemas.openxmlformats.org/spreadsheetml/2006/main" headerRowCount="0" ref="A7:S11" displayName="Table_5" id="5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Calculos-style 5" showColumnStripes="0" showFirstColumn="1" showLastColumn="1" showRowStripes="1"/>
</table>
</file>

<file path=xl/tables/table6.xml><?xml version="1.0" encoding="utf-8"?>
<table xmlns="http://schemas.openxmlformats.org/spreadsheetml/2006/main" headerRowCount="0" ref="C20:C23" displayName="Table_6" id="6">
  <tableColumns count="1">
    <tableColumn name="Column1" id="1"/>
  </tableColumns>
  <tableStyleInfo name="Tabla de Resultados p presentar-style" showColumnStripes="0" showFirstColumn="1" showLastColumn="1" showRowStripes="1"/>
</table>
</file>

<file path=xl/tables/table7.xml><?xml version="1.0" encoding="utf-8"?>
<table xmlns="http://schemas.openxmlformats.org/spreadsheetml/2006/main" headerRowCount="0" ref="A24:A27" displayName="Table_7" id="7">
  <tableColumns count="1">
    <tableColumn name="Column1" id="1"/>
  </tableColumns>
  <tableStyleInfo name="Tabla de Resultados p presentar-style 2" showColumnStripes="0" showFirstColumn="1" showLastColumn="1" showRowStripes="1"/>
</table>
</file>

<file path=xl/tables/table8.xml><?xml version="1.0" encoding="utf-8"?>
<table xmlns="http://schemas.openxmlformats.org/spreadsheetml/2006/main" headerRowCount="0" ref="L7:S7" displayName="Table_8" id="8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Tabla de Resultados p presentar-style 3" showColumnStripes="0" showFirstColumn="1" showLastColumn="1" showRowStripes="1"/>
</table>
</file>

<file path=xl/tables/table9.xml><?xml version="1.0" encoding="utf-8"?>
<table xmlns="http://schemas.openxmlformats.org/spreadsheetml/2006/main" headerRowCount="0" ref="B24:C27" displayName="Table_9" id="9">
  <tableColumns count="2">
    <tableColumn name="Column1" id="1"/>
    <tableColumn name="Column2" id="2"/>
  </tableColumns>
  <tableStyleInfo name="Tabla de Resultados p presentar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8.xml"/><Relationship Id="rId10" Type="http://schemas.openxmlformats.org/officeDocument/2006/relationships/table" Target="../tables/table7.xml"/><Relationship Id="rId13" Type="http://schemas.openxmlformats.org/officeDocument/2006/relationships/table" Target="../tables/table10.xml"/><Relationship Id="rId12" Type="http://schemas.openxmlformats.org/officeDocument/2006/relationships/table" Target="../tables/table9.xml"/><Relationship Id="rId9" Type="http://schemas.openxmlformats.org/officeDocument/2006/relationships/table" Target="../tables/table6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29"/>
    <col customWidth="1" min="2" max="4" width="12.57"/>
    <col customWidth="1" min="5" max="5" width="17.0"/>
    <col customWidth="1" min="6" max="10" width="12.57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/>
    </row>
    <row r="2">
      <c r="A2" s="1">
        <v>1.0</v>
      </c>
      <c r="B2" s="6">
        <v>10.0071</v>
      </c>
      <c r="C2" s="6">
        <v>100.0</v>
      </c>
      <c r="D2" s="6">
        <f t="shared" ref="D2:D13" si="1">B2/(C2/1000)</f>
        <v>100.071</v>
      </c>
      <c r="E2" s="6">
        <v>9.0</v>
      </c>
      <c r="F2" s="7"/>
    </row>
    <row r="3">
      <c r="A3" s="1">
        <v>2.0</v>
      </c>
      <c r="B3" s="8">
        <v>9.0959</v>
      </c>
      <c r="C3" s="8">
        <v>100.0</v>
      </c>
      <c r="D3" s="8">
        <f t="shared" si="1"/>
        <v>90.959</v>
      </c>
      <c r="E3" s="8">
        <v>8.5</v>
      </c>
      <c r="F3" s="7"/>
    </row>
    <row r="4" ht="16.5" customHeight="1">
      <c r="A4" s="1">
        <v>3.0</v>
      </c>
      <c r="B4" s="8">
        <v>8.3316</v>
      </c>
      <c r="C4" s="8">
        <v>100.0</v>
      </c>
      <c r="D4" s="8">
        <f t="shared" si="1"/>
        <v>83.316</v>
      </c>
      <c r="E4" s="8">
        <v>8.05</v>
      </c>
      <c r="F4" s="7"/>
    </row>
    <row r="5">
      <c r="A5" s="1">
        <v>4.0</v>
      </c>
      <c r="B5" s="8">
        <v>6.6695</v>
      </c>
      <c r="C5" s="8">
        <v>100.0</v>
      </c>
      <c r="D5" s="8">
        <f t="shared" si="1"/>
        <v>66.695</v>
      </c>
      <c r="E5" s="8">
        <v>6.4</v>
      </c>
      <c r="F5" s="7"/>
    </row>
    <row r="6">
      <c r="A6" s="1">
        <v>5.0</v>
      </c>
      <c r="B6" s="8">
        <v>5.0001</v>
      </c>
      <c r="C6" s="8">
        <v>100.0</v>
      </c>
      <c r="D6" s="8">
        <f t="shared" si="1"/>
        <v>50.001</v>
      </c>
      <c r="E6" s="8">
        <v>4.9</v>
      </c>
      <c r="F6" s="9"/>
    </row>
    <row r="7">
      <c r="A7" s="1">
        <v>6.0</v>
      </c>
      <c r="B7" s="8">
        <v>15.071</v>
      </c>
      <c r="C7" s="8">
        <v>100.0</v>
      </c>
      <c r="D7" s="8">
        <f t="shared" si="1"/>
        <v>150.71</v>
      </c>
      <c r="E7" s="8">
        <v>14.5</v>
      </c>
      <c r="F7" s="7"/>
    </row>
    <row r="8">
      <c r="A8" s="1">
        <v>7.0</v>
      </c>
      <c r="B8" s="8">
        <v>3.3423</v>
      </c>
      <c r="C8" s="8">
        <v>100.0</v>
      </c>
      <c r="D8" s="8">
        <f t="shared" si="1"/>
        <v>33.423</v>
      </c>
      <c r="E8" s="8">
        <v>3.5</v>
      </c>
      <c r="F8" s="7"/>
    </row>
    <row r="9">
      <c r="A9" s="1">
        <v>8.0</v>
      </c>
      <c r="B9" s="8">
        <v>2.5136</v>
      </c>
      <c r="C9" s="8">
        <v>100.0</v>
      </c>
      <c r="D9" s="8">
        <f t="shared" si="1"/>
        <v>25.136</v>
      </c>
      <c r="E9" s="8">
        <v>3.0</v>
      </c>
      <c r="F9" s="7"/>
    </row>
    <row r="10">
      <c r="A10" s="1">
        <v>9.0</v>
      </c>
      <c r="B10" s="8">
        <v>2.06</v>
      </c>
      <c r="C10" s="8">
        <v>100.0</v>
      </c>
      <c r="D10" s="8">
        <f t="shared" si="1"/>
        <v>20.6</v>
      </c>
      <c r="E10" s="8">
        <v>1.0</v>
      </c>
      <c r="F10" s="7"/>
    </row>
    <row r="11">
      <c r="A11" s="1">
        <v>10.0</v>
      </c>
      <c r="B11" s="8">
        <v>21.5895</v>
      </c>
      <c r="C11" s="8">
        <v>100.0</v>
      </c>
      <c r="D11" s="8">
        <f t="shared" si="1"/>
        <v>215.895</v>
      </c>
      <c r="E11" s="8">
        <v>19.9</v>
      </c>
      <c r="F11" s="7"/>
    </row>
    <row r="12">
      <c r="A12" s="1">
        <v>11.0</v>
      </c>
      <c r="B12" s="8">
        <v>1.2494</v>
      </c>
      <c r="C12" s="8">
        <v>100.0</v>
      </c>
      <c r="D12" s="8">
        <f t="shared" si="1"/>
        <v>12.494</v>
      </c>
      <c r="E12" s="8">
        <v>0.95</v>
      </c>
      <c r="F12" s="7"/>
    </row>
    <row r="13">
      <c r="A13" s="1">
        <v>12.0</v>
      </c>
      <c r="B13" s="10">
        <v>0.0637</v>
      </c>
      <c r="C13" s="10">
        <v>250.0</v>
      </c>
      <c r="D13" s="10">
        <f t="shared" si="1"/>
        <v>0.2548</v>
      </c>
      <c r="E13" s="10">
        <v>0.1</v>
      </c>
      <c r="F13" s="7"/>
    </row>
    <row r="15">
      <c r="A15" s="11"/>
      <c r="B15" s="11"/>
      <c r="C15" s="12"/>
      <c r="D15" s="13"/>
      <c r="E15" s="14"/>
      <c r="G15" s="5"/>
      <c r="H15" s="5"/>
      <c r="I15" s="5"/>
      <c r="J15" s="5"/>
      <c r="K15" s="5"/>
      <c r="L15" s="5"/>
    </row>
    <row r="17">
      <c r="C17" s="7"/>
      <c r="D17" s="7"/>
      <c r="E17" s="7"/>
      <c r="F17" s="7"/>
    </row>
    <row r="18">
      <c r="F18" s="7"/>
    </row>
    <row r="19">
      <c r="F19" s="7"/>
      <c r="H19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3" t="s">
        <v>112</v>
      </c>
      <c r="B1" s="243" t="s">
        <v>113</v>
      </c>
      <c r="C1" s="243" t="s">
        <v>116</v>
      </c>
      <c r="D1" s="263" t="s">
        <v>121</v>
      </c>
      <c r="E1" s="136" t="s">
        <v>122</v>
      </c>
      <c r="F1" s="136" t="s">
        <v>102</v>
      </c>
      <c r="G1" s="198" t="s">
        <v>91</v>
      </c>
      <c r="H1" s="25" t="s">
        <v>92</v>
      </c>
      <c r="I1" s="25" t="s">
        <v>103</v>
      </c>
      <c r="J1" s="25" t="s">
        <v>104</v>
      </c>
      <c r="K1" s="25" t="s">
        <v>95</v>
      </c>
      <c r="N1" s="136" t="s">
        <v>123</v>
      </c>
    </row>
    <row r="2">
      <c r="A2" s="264">
        <v>44482.94097222222</v>
      </c>
      <c r="B2" s="265">
        <f t="shared" ref="B2:B29" si="1">A2-$N$2</f>
        <v>0.425</v>
      </c>
      <c r="C2" s="149">
        <v>500.0</v>
      </c>
      <c r="D2" s="149">
        <f>C2</f>
        <v>500</v>
      </c>
      <c r="E2" s="136">
        <f t="shared" ref="E2:E29" si="2">F2*60</f>
        <v>612</v>
      </c>
      <c r="F2" s="242">
        <f t="shared" ref="F2:F16" si="3">hour(B2) + MINUTE(B2)/60</f>
        <v>10.2</v>
      </c>
      <c r="G2" s="266">
        <f>(D2/1000)/(Calculos!$A$28*Calculos!$B$28)</f>
        <v>0.02044728595</v>
      </c>
      <c r="H2" s="266">
        <f>(G2*Calculos!$C$28)/(0.4)</f>
        <v>2.355016159</v>
      </c>
      <c r="I2" s="266">
        <f t="shared" ref="I2:I29" si="4">G2/0.4</f>
        <v>0.05111821488</v>
      </c>
      <c r="J2" s="266">
        <f>-ln(1-I2/2*Calculos!$D$34)</f>
        <v>0.02524668186</v>
      </c>
      <c r="K2" s="266">
        <f>Calculos!$D$34-I2/2</f>
        <v>0.9498524803</v>
      </c>
      <c r="N2" s="267">
        <v>44482.51597222222</v>
      </c>
    </row>
    <row r="3">
      <c r="A3" s="268">
        <v>44483.041666666664</v>
      </c>
      <c r="B3" s="265">
        <f t="shared" si="1"/>
        <v>0.5256944444</v>
      </c>
      <c r="C3" s="149">
        <v>500.0</v>
      </c>
      <c r="D3" s="149">
        <f t="shared" ref="D3:D29" si="5">D2+C3</f>
        <v>1000</v>
      </c>
      <c r="E3" s="136">
        <f t="shared" si="2"/>
        <v>757</v>
      </c>
      <c r="F3" s="242">
        <f t="shared" si="3"/>
        <v>12.61666667</v>
      </c>
      <c r="G3" s="266">
        <f>(D3/1000)/(Calculos!$A$28*Calculos!$B$28)</f>
        <v>0.0408945719</v>
      </c>
      <c r="H3" s="266">
        <f>(G3*Calculos!$C$28)/(0.4)</f>
        <v>4.710032319</v>
      </c>
      <c r="I3" s="266">
        <f t="shared" si="4"/>
        <v>0.1022364298</v>
      </c>
      <c r="J3" s="266">
        <f>-ln(1-I3/2*Calculos!$D$34)</f>
        <v>0.05114730413</v>
      </c>
      <c r="K3" s="266">
        <f>Calculos!$D$34-I3/2</f>
        <v>0.9242933729</v>
      </c>
      <c r="L3" s="25" t="s">
        <v>105</v>
      </c>
    </row>
    <row r="4">
      <c r="A4" s="269">
        <v>44483.145833333336</v>
      </c>
      <c r="B4" s="270">
        <f t="shared" si="1"/>
        <v>0.6298611111</v>
      </c>
      <c r="C4" s="262">
        <v>500.0</v>
      </c>
      <c r="D4" s="262">
        <f t="shared" si="5"/>
        <v>1500</v>
      </c>
      <c r="E4" s="261">
        <f t="shared" si="2"/>
        <v>907</v>
      </c>
      <c r="F4" s="271">
        <f t="shared" si="3"/>
        <v>15.11666667</v>
      </c>
      <c r="G4" s="272">
        <f>(D4/1000)/(Calculos!$A$28*Calculos!$B$28)</f>
        <v>0.06134185785</v>
      </c>
      <c r="H4" s="272">
        <f>(G4*Calculos!$C$28)/(0.4)</f>
        <v>7.065048478</v>
      </c>
      <c r="I4" s="272">
        <f t="shared" si="4"/>
        <v>0.1533546446</v>
      </c>
      <c r="J4" s="266">
        <f>-ln(1-I4/2*Calculos!$D$34)</f>
        <v>0.07773664644</v>
      </c>
      <c r="K4" s="272">
        <f>Calculos!$D$34-I4/2</f>
        <v>0.8987342654</v>
      </c>
      <c r="L4" s="124">
        <f>SLOPE(J4:J23,F4:F23)</f>
        <v>0.02955433808</v>
      </c>
    </row>
    <row r="5">
      <c r="A5" s="269">
        <v>44483.17361111111</v>
      </c>
      <c r="B5" s="270">
        <f t="shared" si="1"/>
        <v>0.6576388889</v>
      </c>
      <c r="C5" s="262">
        <v>280.0</v>
      </c>
      <c r="D5" s="262">
        <f t="shared" si="5"/>
        <v>1780</v>
      </c>
      <c r="E5" s="261">
        <f t="shared" si="2"/>
        <v>947</v>
      </c>
      <c r="F5" s="271">
        <f t="shared" si="3"/>
        <v>15.78333333</v>
      </c>
      <c r="G5" s="272">
        <f>(D5/1000)/(Calculos!$A$28*Calculos!$B$28)</f>
        <v>0.07279233798</v>
      </c>
      <c r="H5" s="272">
        <f>(G5*Calculos!$C$28)/(0.4)</f>
        <v>8.383857527</v>
      </c>
      <c r="I5" s="272">
        <f t="shared" si="4"/>
        <v>0.181980845</v>
      </c>
      <c r="J5" s="266">
        <f>-ln(1-I5/2*Calculos!$D$34)</f>
        <v>0.09294141126</v>
      </c>
      <c r="K5" s="272">
        <f>Calculos!$D$34-I5/2</f>
        <v>0.8844211653</v>
      </c>
    </row>
    <row r="6">
      <c r="A6" s="269">
        <v>44483.208333333336</v>
      </c>
      <c r="B6" s="270">
        <f t="shared" si="1"/>
        <v>0.6923611111</v>
      </c>
      <c r="C6" s="262">
        <v>500.0</v>
      </c>
      <c r="D6" s="262">
        <f t="shared" si="5"/>
        <v>2280</v>
      </c>
      <c r="E6" s="261">
        <f t="shared" si="2"/>
        <v>997</v>
      </c>
      <c r="F6" s="271">
        <f t="shared" si="3"/>
        <v>16.61666667</v>
      </c>
      <c r="G6" s="272">
        <f>(D6/1000)/(Calculos!$A$28*Calculos!$B$28)</f>
        <v>0.09323962393</v>
      </c>
      <c r="H6" s="272">
        <f>(G6*Calculos!$C$28)/(0.4)</f>
        <v>10.73887369</v>
      </c>
      <c r="I6" s="272">
        <f t="shared" si="4"/>
        <v>0.2330990598</v>
      </c>
      <c r="J6" s="266">
        <f>-ln(1-I6/2*Calculos!$D$34)</f>
        <v>0.1206814643</v>
      </c>
      <c r="K6" s="272">
        <f>Calculos!$D$34-I6/2</f>
        <v>0.8588620578</v>
      </c>
    </row>
    <row r="7">
      <c r="A7" s="269">
        <v>44483.229166666664</v>
      </c>
      <c r="B7" s="270">
        <f t="shared" si="1"/>
        <v>0.7131944444</v>
      </c>
      <c r="C7" s="262">
        <v>290.0</v>
      </c>
      <c r="D7" s="262">
        <f t="shared" si="5"/>
        <v>2570</v>
      </c>
      <c r="E7" s="261">
        <f t="shared" si="2"/>
        <v>1027</v>
      </c>
      <c r="F7" s="271">
        <f t="shared" si="3"/>
        <v>17.11666667</v>
      </c>
      <c r="G7" s="272">
        <f>(D7/1000)/(Calculos!$A$28*Calculos!$B$28)</f>
        <v>0.1050990498</v>
      </c>
      <c r="H7" s="272">
        <f>(G7*Calculos!$C$28)/(0.4)</f>
        <v>12.10478306</v>
      </c>
      <c r="I7" s="272">
        <f t="shared" si="4"/>
        <v>0.2627476245</v>
      </c>
      <c r="J7" s="266">
        <f>-ln(1-I7/2*Calculos!$D$34)</f>
        <v>0.1371304773</v>
      </c>
      <c r="K7" s="272">
        <f>Calculos!$D$34-I7/2</f>
        <v>0.8440377755</v>
      </c>
    </row>
    <row r="8">
      <c r="A8" s="269">
        <v>44483.25</v>
      </c>
      <c r="B8" s="270">
        <f t="shared" si="1"/>
        <v>0.7340277778</v>
      </c>
      <c r="C8" s="262">
        <v>280.0</v>
      </c>
      <c r="D8" s="262">
        <f t="shared" si="5"/>
        <v>2850</v>
      </c>
      <c r="E8" s="261">
        <f t="shared" si="2"/>
        <v>1057</v>
      </c>
      <c r="F8" s="271">
        <f t="shared" si="3"/>
        <v>17.61666667</v>
      </c>
      <c r="G8" s="272">
        <f>(D8/1000)/(Calculos!$A$28*Calculos!$B$28)</f>
        <v>0.1165495299</v>
      </c>
      <c r="H8" s="272">
        <f>(G8*Calculos!$C$28)/(0.4)</f>
        <v>13.42359211</v>
      </c>
      <c r="I8" s="272">
        <f t="shared" si="4"/>
        <v>0.2913738248</v>
      </c>
      <c r="J8" s="266">
        <f>-ln(1-I8/2*Calculos!$D$34)</f>
        <v>0.1532732179</v>
      </c>
      <c r="K8" s="272">
        <f>Calculos!$D$34-I8/2</f>
        <v>0.8297246753</v>
      </c>
    </row>
    <row r="9">
      <c r="A9" s="269">
        <v>44483.270833333336</v>
      </c>
      <c r="B9" s="270">
        <f t="shared" si="1"/>
        <v>0.7548611111</v>
      </c>
      <c r="C9" s="262">
        <v>290.0</v>
      </c>
      <c r="D9" s="262">
        <f t="shared" si="5"/>
        <v>3140</v>
      </c>
      <c r="E9" s="261">
        <f t="shared" si="2"/>
        <v>1087</v>
      </c>
      <c r="F9" s="271">
        <f t="shared" si="3"/>
        <v>18.11666667</v>
      </c>
      <c r="G9" s="272">
        <f>(D9/1000)/(Calculos!$A$28*Calculos!$B$28)</f>
        <v>0.1284089558</v>
      </c>
      <c r="H9" s="272">
        <f>(G9*Calculos!$C$28)/(0.4)</f>
        <v>14.78950148</v>
      </c>
      <c r="I9" s="272">
        <f t="shared" si="4"/>
        <v>0.3210223894</v>
      </c>
      <c r="J9" s="266">
        <f>-ln(1-I9/2*Calculos!$D$34)</f>
        <v>0.1702718225</v>
      </c>
      <c r="K9" s="272">
        <f>Calculos!$D$34-I9/2</f>
        <v>0.814900393</v>
      </c>
    </row>
    <row r="10">
      <c r="A10" s="269">
        <v>44483.302083333336</v>
      </c>
      <c r="B10" s="270">
        <f t="shared" si="1"/>
        <v>0.7861111111</v>
      </c>
      <c r="C10" s="262">
        <v>390.0</v>
      </c>
      <c r="D10" s="262">
        <f t="shared" si="5"/>
        <v>3530</v>
      </c>
      <c r="E10" s="261">
        <f t="shared" si="2"/>
        <v>1132</v>
      </c>
      <c r="F10" s="271">
        <f t="shared" si="3"/>
        <v>18.86666667</v>
      </c>
      <c r="G10" s="272">
        <f>(D10/1000)/(Calculos!$A$28*Calculos!$B$28)</f>
        <v>0.1443578388</v>
      </c>
      <c r="H10" s="272">
        <f>(G10*Calculos!$C$28)/(0.4)</f>
        <v>16.62641409</v>
      </c>
      <c r="I10" s="272">
        <f t="shared" si="4"/>
        <v>0.360894597</v>
      </c>
      <c r="J10" s="266">
        <f>-ln(1-I10/2*Calculos!$D$34)</f>
        <v>0.1935973535</v>
      </c>
      <c r="K10" s="272">
        <f>Calculos!$D$34-I10/2</f>
        <v>0.7949642892</v>
      </c>
    </row>
    <row r="11">
      <c r="A11" s="269">
        <v>44483.333333333336</v>
      </c>
      <c r="B11" s="270">
        <f t="shared" si="1"/>
        <v>0.8173611111</v>
      </c>
      <c r="C11" s="262">
        <v>350.0</v>
      </c>
      <c r="D11" s="262">
        <f t="shared" si="5"/>
        <v>3880</v>
      </c>
      <c r="E11" s="261">
        <f t="shared" si="2"/>
        <v>1177</v>
      </c>
      <c r="F11" s="271">
        <f t="shared" si="3"/>
        <v>19.61666667</v>
      </c>
      <c r="G11" s="272">
        <f>(D11/1000)/(Calculos!$A$28*Calculos!$B$28)</f>
        <v>0.158670939</v>
      </c>
      <c r="H11" s="272">
        <f>(G11*Calculos!$C$28)/(0.4)</f>
        <v>18.2749254</v>
      </c>
      <c r="I11" s="272">
        <f t="shared" si="4"/>
        <v>0.3966773474</v>
      </c>
      <c r="J11" s="266">
        <f>-ln(1-I11/2*Calculos!$D$34)</f>
        <v>0.2150040678</v>
      </c>
      <c r="K11" s="272">
        <f>Calculos!$D$34-I11/2</f>
        <v>0.777072914</v>
      </c>
    </row>
    <row r="12">
      <c r="A12" s="269">
        <v>44483.364583333336</v>
      </c>
      <c r="B12" s="270">
        <f t="shared" si="1"/>
        <v>0.8486111111</v>
      </c>
      <c r="C12" s="262">
        <v>350.0</v>
      </c>
      <c r="D12" s="262">
        <f t="shared" si="5"/>
        <v>4230</v>
      </c>
      <c r="E12" s="261">
        <f t="shared" si="2"/>
        <v>1222</v>
      </c>
      <c r="F12" s="271">
        <f t="shared" si="3"/>
        <v>20.36666667</v>
      </c>
      <c r="G12" s="272">
        <f>(D12/1000)/(Calculos!$A$28*Calculos!$B$28)</f>
        <v>0.1729840391</v>
      </c>
      <c r="H12" s="272">
        <f>(G12*Calculos!$C$28)/(0.4)</f>
        <v>19.92343671</v>
      </c>
      <c r="I12" s="272">
        <f t="shared" si="4"/>
        <v>0.4324600979</v>
      </c>
      <c r="J12" s="266">
        <f>-ln(1-I12/2*Calculos!$D$34)</f>
        <v>0.2368790723</v>
      </c>
      <c r="K12" s="272">
        <f>Calculos!$D$34-I12/2</f>
        <v>0.7591815388</v>
      </c>
    </row>
    <row r="13">
      <c r="A13" s="269">
        <v>44483.40625</v>
      </c>
      <c r="B13" s="270">
        <f t="shared" si="1"/>
        <v>0.8902777778</v>
      </c>
      <c r="C13" s="262">
        <v>500.0</v>
      </c>
      <c r="D13" s="262">
        <f t="shared" si="5"/>
        <v>4730</v>
      </c>
      <c r="E13" s="261">
        <f t="shared" si="2"/>
        <v>1282</v>
      </c>
      <c r="F13" s="271">
        <f t="shared" si="3"/>
        <v>21.36666667</v>
      </c>
      <c r="G13" s="272">
        <f>(D13/1000)/(Calculos!$A$28*Calculos!$B$28)</f>
        <v>0.1934313251</v>
      </c>
      <c r="H13" s="272">
        <f>(G13*Calculos!$C$28)/(0.4)</f>
        <v>22.27845287</v>
      </c>
      <c r="I13" s="272">
        <f t="shared" si="4"/>
        <v>0.4835783127</v>
      </c>
      <c r="J13" s="266">
        <f>-ln(1-I13/2*Calculos!$D$34)</f>
        <v>0.2689832501</v>
      </c>
      <c r="K13" s="272">
        <f>Calculos!$D$34-I13/2</f>
        <v>0.7336224314</v>
      </c>
    </row>
    <row r="14">
      <c r="A14" s="269">
        <v>44483.44097222222</v>
      </c>
      <c r="B14" s="270">
        <f t="shared" si="1"/>
        <v>0.925</v>
      </c>
      <c r="C14" s="262">
        <v>500.0</v>
      </c>
      <c r="D14" s="262">
        <f t="shared" si="5"/>
        <v>5230</v>
      </c>
      <c r="E14" s="261">
        <f t="shared" si="2"/>
        <v>1332</v>
      </c>
      <c r="F14" s="271">
        <f t="shared" si="3"/>
        <v>22.2</v>
      </c>
      <c r="G14" s="272">
        <f>(D14/1000)/(Calculos!$A$28*Calculos!$B$28)</f>
        <v>0.213878611</v>
      </c>
      <c r="H14" s="272">
        <f>(G14*Calculos!$C$28)/(0.4)</f>
        <v>24.63346903</v>
      </c>
      <c r="I14" s="272">
        <f t="shared" si="4"/>
        <v>0.5346965276</v>
      </c>
      <c r="J14" s="266">
        <f>-ln(1-I14/2*Calculos!$D$34)</f>
        <v>0.3021523903</v>
      </c>
      <c r="K14" s="272">
        <f>Calculos!$D$34-I14/2</f>
        <v>0.7080633239</v>
      </c>
    </row>
    <row r="15">
      <c r="A15" s="269">
        <v>44483.46875</v>
      </c>
      <c r="B15" s="270">
        <f t="shared" si="1"/>
        <v>0.9527777778</v>
      </c>
      <c r="C15" s="262">
        <v>320.0</v>
      </c>
      <c r="D15" s="262">
        <f t="shared" si="5"/>
        <v>5550</v>
      </c>
      <c r="E15" s="261">
        <f t="shared" si="2"/>
        <v>1372</v>
      </c>
      <c r="F15" s="271">
        <f t="shared" si="3"/>
        <v>22.86666667</v>
      </c>
      <c r="G15" s="272">
        <f>(D15/1000)/(Calculos!$A$28*Calculos!$B$28)</f>
        <v>0.2269648741</v>
      </c>
      <c r="H15" s="272">
        <f>(G15*Calculos!$C$28)/(0.4)</f>
        <v>26.14067937</v>
      </c>
      <c r="I15" s="272">
        <f t="shared" si="4"/>
        <v>0.5674121851</v>
      </c>
      <c r="J15" s="266">
        <f>-ln(1-I15/2*Calculos!$D$34)</f>
        <v>0.3239729732</v>
      </c>
      <c r="K15" s="272">
        <f>Calculos!$D$34-I15/2</f>
        <v>0.6917054952</v>
      </c>
    </row>
    <row r="16">
      <c r="A16" s="269">
        <v>44483.5</v>
      </c>
      <c r="B16" s="270">
        <f t="shared" si="1"/>
        <v>0.9840277778</v>
      </c>
      <c r="C16" s="262">
        <v>330.0</v>
      </c>
      <c r="D16" s="262">
        <f t="shared" si="5"/>
        <v>5880</v>
      </c>
      <c r="E16" s="261">
        <f t="shared" si="2"/>
        <v>1417</v>
      </c>
      <c r="F16" s="271">
        <f t="shared" si="3"/>
        <v>23.61666667</v>
      </c>
      <c r="G16" s="272">
        <f>(D16/1000)/(Calculos!$A$28*Calculos!$B$28)</f>
        <v>0.2404600828</v>
      </c>
      <c r="H16" s="272">
        <f>(G16*Calculos!$C$28)/(0.4)</f>
        <v>27.69499003</v>
      </c>
      <c r="I16" s="272">
        <f t="shared" si="4"/>
        <v>0.6011502069</v>
      </c>
      <c r="J16" s="266">
        <f>-ln(1-I16/2*Calculos!$D$34)</f>
        <v>0.3469855225</v>
      </c>
      <c r="K16" s="272">
        <f>Calculos!$D$34-I16/2</f>
        <v>0.6748364843</v>
      </c>
    </row>
    <row r="17">
      <c r="A17" s="269">
        <v>44483.53125</v>
      </c>
      <c r="B17" s="270">
        <f t="shared" si="1"/>
        <v>1.015277778</v>
      </c>
      <c r="C17" s="262">
        <v>310.0</v>
      </c>
      <c r="D17" s="262">
        <f t="shared" si="5"/>
        <v>6190</v>
      </c>
      <c r="E17" s="261">
        <f t="shared" si="2"/>
        <v>1462</v>
      </c>
      <c r="F17" s="271">
        <f t="shared" ref="F17:F26" si="6">hour(B17) + MINUTE(B17)/60 + 24</f>
        <v>24.36666667</v>
      </c>
      <c r="G17" s="272">
        <f>(D17/1000)/(Calculos!$A$28*Calculos!$B$28)</f>
        <v>0.2531374001</v>
      </c>
      <c r="H17" s="272">
        <f>(G17*Calculos!$C$28)/(0.4)</f>
        <v>29.15510005</v>
      </c>
      <c r="I17" s="272">
        <f t="shared" si="4"/>
        <v>0.6328435002</v>
      </c>
      <c r="J17" s="266">
        <f>-ln(1-I17/2*Calculos!$D$34)</f>
        <v>0.369096692</v>
      </c>
      <c r="K17" s="272">
        <f>Calculos!$D$34-I17/2</f>
        <v>0.6589898377</v>
      </c>
    </row>
    <row r="18">
      <c r="A18" s="269">
        <v>44483.55902777778</v>
      </c>
      <c r="B18" s="270">
        <f t="shared" si="1"/>
        <v>1.043055556</v>
      </c>
      <c r="C18" s="262">
        <v>270.0</v>
      </c>
      <c r="D18" s="262">
        <f t="shared" si="5"/>
        <v>6460</v>
      </c>
      <c r="E18" s="261">
        <f t="shared" si="2"/>
        <v>1502</v>
      </c>
      <c r="F18" s="271">
        <f t="shared" si="6"/>
        <v>25.03333333</v>
      </c>
      <c r="G18" s="272">
        <f>(D18/1000)/(Calculos!$A$28*Calculos!$B$28)</f>
        <v>0.2641789345</v>
      </c>
      <c r="H18" s="272">
        <f>(G18*Calculos!$C$28)/(0.4)</f>
        <v>30.42680878</v>
      </c>
      <c r="I18" s="272">
        <f t="shared" si="4"/>
        <v>0.6604473362</v>
      </c>
      <c r="J18" s="266">
        <f>-ln(1-I18/2*Calculos!$D$34)</f>
        <v>0.3887613839</v>
      </c>
      <c r="K18" s="272">
        <f>Calculos!$D$34-I18/2</f>
        <v>0.6451879196</v>
      </c>
    </row>
    <row r="19">
      <c r="A19" s="269">
        <v>44483.59722222222</v>
      </c>
      <c r="B19" s="270">
        <f t="shared" si="1"/>
        <v>1.08125</v>
      </c>
      <c r="C19" s="262">
        <v>315.0</v>
      </c>
      <c r="D19" s="262">
        <f t="shared" si="5"/>
        <v>6775</v>
      </c>
      <c r="E19" s="261">
        <f t="shared" si="2"/>
        <v>1557</v>
      </c>
      <c r="F19" s="271">
        <f t="shared" si="6"/>
        <v>25.95</v>
      </c>
      <c r="G19" s="272">
        <f>(D19/1000)/(Calculos!$A$28*Calculos!$B$28)</f>
        <v>0.2770607246</v>
      </c>
      <c r="H19" s="272">
        <f>(G19*Calculos!$C$28)/(0.4)</f>
        <v>31.91046896</v>
      </c>
      <c r="I19" s="272">
        <f t="shared" si="4"/>
        <v>0.6926518116</v>
      </c>
      <c r="J19" s="266">
        <f>-ln(1-I19/2*Calculos!$D$34)</f>
        <v>0.4122032107</v>
      </c>
      <c r="K19" s="272">
        <f>Calculos!$D$34-I19/2</f>
        <v>0.6290856819</v>
      </c>
    </row>
    <row r="20">
      <c r="A20" s="273">
        <v>44483.62847222222</v>
      </c>
      <c r="B20" s="270">
        <f t="shared" si="1"/>
        <v>1.1125</v>
      </c>
      <c r="C20" s="262">
        <v>230.0</v>
      </c>
      <c r="D20" s="262">
        <f t="shared" si="5"/>
        <v>7005</v>
      </c>
      <c r="E20" s="261">
        <f t="shared" si="2"/>
        <v>1602</v>
      </c>
      <c r="F20" s="271">
        <f t="shared" si="6"/>
        <v>26.7</v>
      </c>
      <c r="G20" s="272">
        <f>(D20/1000)/(Calculos!$A$28*Calculos!$B$28)</f>
        <v>0.2864664762</v>
      </c>
      <c r="H20" s="272">
        <f>(G20*Calculos!$C$28)/(0.4)</f>
        <v>32.99377639</v>
      </c>
      <c r="I20" s="272">
        <f t="shared" si="4"/>
        <v>0.7161661904</v>
      </c>
      <c r="J20" s="266">
        <f>-ln(1-I20/2*Calculos!$D$34)</f>
        <v>0.4296733787</v>
      </c>
      <c r="K20" s="272">
        <f>Calculos!$D$34-I20/2</f>
        <v>0.6173284925</v>
      </c>
    </row>
    <row r="21">
      <c r="A21" s="273">
        <v>44483.649305555555</v>
      </c>
      <c r="B21" s="270">
        <f t="shared" si="1"/>
        <v>1.133333333</v>
      </c>
      <c r="C21" s="262">
        <v>140.0</v>
      </c>
      <c r="D21" s="262">
        <f t="shared" si="5"/>
        <v>7145</v>
      </c>
      <c r="E21" s="261">
        <f t="shared" si="2"/>
        <v>1632</v>
      </c>
      <c r="F21" s="271">
        <f t="shared" si="6"/>
        <v>27.2</v>
      </c>
      <c r="G21" s="272">
        <f>(D21/1000)/(Calculos!$A$28*Calculos!$B$28)</f>
        <v>0.2921917162</v>
      </c>
      <c r="H21" s="272">
        <f>(G21*Calculos!$C$28)/(0.4)</f>
        <v>33.65318092</v>
      </c>
      <c r="I21" s="272">
        <f t="shared" si="4"/>
        <v>0.7304792906</v>
      </c>
      <c r="J21" s="266">
        <f>-ln(1-I21/2*Calculos!$D$34)</f>
        <v>0.4404587802</v>
      </c>
      <c r="K21" s="272">
        <f>Calculos!$D$34-I21/2</f>
        <v>0.6101719424</v>
      </c>
    </row>
    <row r="22">
      <c r="A22" s="273">
        <v>44483.69097222222</v>
      </c>
      <c r="B22" s="270">
        <f t="shared" si="1"/>
        <v>1.175</v>
      </c>
      <c r="C22" s="262">
        <v>205.0</v>
      </c>
      <c r="D22" s="262">
        <f t="shared" si="5"/>
        <v>7350</v>
      </c>
      <c r="E22" s="261">
        <f t="shared" si="2"/>
        <v>1692</v>
      </c>
      <c r="F22" s="271">
        <f t="shared" si="6"/>
        <v>28.2</v>
      </c>
      <c r="G22" s="272">
        <f>(D22/1000)/(Calculos!$A$28*Calculos!$B$28)</f>
        <v>0.3005751035</v>
      </c>
      <c r="H22" s="272">
        <f>(G22*Calculos!$C$28)/(0.4)</f>
        <v>34.61873754</v>
      </c>
      <c r="I22" s="272">
        <f t="shared" si="4"/>
        <v>0.7514377587</v>
      </c>
      <c r="J22" s="266">
        <f>-ln(1-I22/2*Calculos!$D$34)</f>
        <v>0.4564645751</v>
      </c>
      <c r="K22" s="272">
        <f>Calculos!$D$34-I22/2</f>
        <v>0.5996927084</v>
      </c>
    </row>
    <row r="23">
      <c r="A23" s="273">
        <v>44483.75</v>
      </c>
      <c r="B23" s="270">
        <f t="shared" si="1"/>
        <v>1.234027778</v>
      </c>
      <c r="C23" s="262">
        <v>265.0</v>
      </c>
      <c r="D23" s="262">
        <f t="shared" si="5"/>
        <v>7615</v>
      </c>
      <c r="E23" s="261">
        <f t="shared" si="2"/>
        <v>1777</v>
      </c>
      <c r="F23" s="271">
        <f t="shared" si="6"/>
        <v>29.61666667</v>
      </c>
      <c r="G23" s="272">
        <f>(D23/1000)/(Calculos!$A$28*Calculos!$B$28)</f>
        <v>0.311412165</v>
      </c>
      <c r="H23" s="272">
        <f>(G23*Calculos!$C$28)/(0.4)</f>
        <v>35.86689611</v>
      </c>
      <c r="I23" s="272">
        <f t="shared" si="4"/>
        <v>0.7785304126</v>
      </c>
      <c r="J23" s="266">
        <f>-ln(1-I23/2*Calculos!$D$34)</f>
        <v>0.4775420405</v>
      </c>
      <c r="K23" s="272">
        <f>Calculos!$D$34-I23/2</f>
        <v>0.5861463815</v>
      </c>
    </row>
    <row r="24">
      <c r="A24" s="268">
        <v>44483.854166666664</v>
      </c>
      <c r="B24" s="265">
        <f t="shared" si="1"/>
        <v>1.338194444</v>
      </c>
      <c r="C24" s="149">
        <v>250.0</v>
      </c>
      <c r="D24" s="149">
        <f t="shared" si="5"/>
        <v>7865</v>
      </c>
      <c r="E24" s="136">
        <f t="shared" si="2"/>
        <v>1927</v>
      </c>
      <c r="F24" s="242">
        <f t="shared" si="6"/>
        <v>32.11666667</v>
      </c>
      <c r="G24" s="266">
        <f>(D24/1000)/(Calculos!$A$28*Calculos!$B$28)</f>
        <v>0.321635808</v>
      </c>
      <c r="H24" s="266">
        <f>(G24*Calculos!$C$28)/(0.4)</f>
        <v>37.04440419</v>
      </c>
      <c r="I24" s="266">
        <f t="shared" si="4"/>
        <v>0.80408952</v>
      </c>
      <c r="J24" s="266">
        <f>-ln(1-I24/2*Calculos!$D$34)</f>
        <v>0.497842138</v>
      </c>
      <c r="K24" s="266">
        <f>Calculos!$D$34-I24/2</f>
        <v>0.5733668277</v>
      </c>
    </row>
    <row r="25">
      <c r="A25" s="274">
        <v>44483.98263888889</v>
      </c>
      <c r="B25" s="265">
        <f t="shared" si="1"/>
        <v>1.466666667</v>
      </c>
      <c r="C25" s="149">
        <v>100.0</v>
      </c>
      <c r="D25" s="149">
        <f t="shared" si="5"/>
        <v>7965</v>
      </c>
      <c r="E25" s="136">
        <f t="shared" si="2"/>
        <v>2112</v>
      </c>
      <c r="F25" s="242">
        <f t="shared" si="6"/>
        <v>35.2</v>
      </c>
      <c r="G25" s="266">
        <f>(D25/1000)/(Calculos!$A$28*Calculos!$B$28)</f>
        <v>0.3257252652</v>
      </c>
      <c r="H25" s="266">
        <f>(G25*Calculos!$C$28)/(0.4)</f>
        <v>37.51540742</v>
      </c>
      <c r="I25" s="266">
        <f t="shared" si="4"/>
        <v>0.814313163</v>
      </c>
      <c r="J25" s="266">
        <f>-ln(1-I25/2*Calculos!$D$34)</f>
        <v>0.5060789862</v>
      </c>
      <c r="K25" s="266">
        <f>Calculos!$D$34-I25/2</f>
        <v>0.5682550062</v>
      </c>
    </row>
    <row r="26">
      <c r="A26" s="268">
        <v>44484.46875</v>
      </c>
      <c r="B26" s="265">
        <f t="shared" si="1"/>
        <v>1.952777778</v>
      </c>
      <c r="C26" s="149">
        <v>180.0</v>
      </c>
      <c r="D26" s="149">
        <f t="shared" si="5"/>
        <v>8145</v>
      </c>
      <c r="E26" s="136">
        <f t="shared" si="2"/>
        <v>2812</v>
      </c>
      <c r="F26" s="242">
        <f t="shared" si="6"/>
        <v>46.86666667</v>
      </c>
      <c r="G26" s="266">
        <f>(D26/1000)/(Calculos!$A$28*Calculos!$B$28)</f>
        <v>0.3330862881</v>
      </c>
      <c r="H26" s="266">
        <f>(G26*Calculos!$C$28)/(0.4)</f>
        <v>38.36321324</v>
      </c>
      <c r="I26" s="266">
        <f t="shared" si="4"/>
        <v>0.8327157203</v>
      </c>
      <c r="J26" s="266">
        <f>-ln(1-I26/2*Calculos!$D$34)</f>
        <v>0.5210784742</v>
      </c>
      <c r="K26" s="266">
        <f>Calculos!$D$34-I26/2</f>
        <v>0.5590537276</v>
      </c>
    </row>
    <row r="27">
      <c r="A27" s="268">
        <v>44485.680555555555</v>
      </c>
      <c r="B27" s="265">
        <f t="shared" si="1"/>
        <v>3.164583333</v>
      </c>
      <c r="C27" s="149">
        <v>290.0</v>
      </c>
      <c r="D27" s="149">
        <f t="shared" si="5"/>
        <v>8435</v>
      </c>
      <c r="E27" s="136">
        <f t="shared" si="2"/>
        <v>3117</v>
      </c>
      <c r="F27" s="242">
        <f>hour(B27) + MINUTE(B27)/60 + 48</f>
        <v>51.95</v>
      </c>
      <c r="G27" s="266">
        <f>(D27/1000)/(Calculos!$A$28*Calculos!$B$28)</f>
        <v>0.344945714</v>
      </c>
      <c r="H27" s="266">
        <f>(G27*Calculos!$C$28)/(0.4)</f>
        <v>39.72912261</v>
      </c>
      <c r="I27" s="266">
        <f t="shared" si="4"/>
        <v>0.862364285</v>
      </c>
      <c r="J27" s="266">
        <f>-ln(1-I27/2*Calculos!$D$34)</f>
        <v>0.5457277762</v>
      </c>
      <c r="K27" s="266">
        <f>Calculos!$D$34-I27/2</f>
        <v>0.5442294453</v>
      </c>
    </row>
    <row r="28">
      <c r="A28" s="268">
        <v>44486.57986111111</v>
      </c>
      <c r="B28" s="265">
        <f t="shared" si="1"/>
        <v>4.063888889</v>
      </c>
      <c r="C28" s="149">
        <v>80.0</v>
      </c>
      <c r="D28" s="149">
        <f t="shared" si="5"/>
        <v>8515</v>
      </c>
      <c r="E28" s="136">
        <f t="shared" si="2"/>
        <v>4412</v>
      </c>
      <c r="F28" s="242">
        <f>hour(B28) + MINUTE(B28)/60 + 72</f>
        <v>73.53333333</v>
      </c>
      <c r="G28" s="266">
        <f>(D28/1000)/(Calculos!$A$28*Calculos!$B$28)</f>
        <v>0.3482172797</v>
      </c>
      <c r="H28" s="266">
        <f>(G28*Calculos!$C$28)/(0.4)</f>
        <v>40.10592519</v>
      </c>
      <c r="I28" s="266">
        <f t="shared" si="4"/>
        <v>0.8705431993</v>
      </c>
      <c r="J28" s="266">
        <f>-ln(1-I28/2*Calculos!$D$34)</f>
        <v>0.5526358879</v>
      </c>
      <c r="K28" s="266">
        <f>Calculos!$D$34-I28/2</f>
        <v>0.5401399881</v>
      </c>
    </row>
    <row r="29">
      <c r="A29" s="268">
        <v>44489.302083333336</v>
      </c>
      <c r="B29" s="265">
        <f t="shared" si="1"/>
        <v>6.786111111</v>
      </c>
      <c r="C29" s="149">
        <v>270.0</v>
      </c>
      <c r="D29" s="149">
        <f t="shared" si="5"/>
        <v>8785</v>
      </c>
      <c r="E29" s="136">
        <f t="shared" si="2"/>
        <v>9772</v>
      </c>
      <c r="F29" s="242">
        <f>hour(B29) + MINUTE(B29)/60 + 6*24</f>
        <v>162.8666667</v>
      </c>
      <c r="G29" s="266">
        <f>(D29/1000)/(Calculos!$A$28*Calculos!$B$28)</f>
        <v>0.3592588142</v>
      </c>
      <c r="H29" s="266">
        <f>(G29*Calculos!$C$28)/(0.4)</f>
        <v>41.37763392</v>
      </c>
      <c r="I29" s="266">
        <f t="shared" si="4"/>
        <v>0.8981470354</v>
      </c>
      <c r="J29" s="266">
        <f>-ln(1-I29/2*Calculos!$D$34)</f>
        <v>0.5763095034</v>
      </c>
      <c r="K29" s="266">
        <f>Calculos!$D$34-I29/2</f>
        <v>0.52633807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1.29"/>
  </cols>
  <sheetData>
    <row r="1">
      <c r="A1" s="275" t="s">
        <v>107</v>
      </c>
      <c r="B1" s="275" t="s">
        <v>83</v>
      </c>
      <c r="C1" s="275" t="s">
        <v>98</v>
      </c>
      <c r="D1" s="276" t="s">
        <v>124</v>
      </c>
      <c r="E1" s="277" t="s">
        <v>125</v>
      </c>
      <c r="F1" s="278" t="s">
        <v>126</v>
      </c>
      <c r="G1" s="278" t="s">
        <v>127</v>
      </c>
      <c r="H1" s="276" t="s">
        <v>91</v>
      </c>
      <c r="I1" s="276" t="s">
        <v>92</v>
      </c>
      <c r="J1" s="276" t="s">
        <v>103</v>
      </c>
      <c r="K1" s="276" t="s">
        <v>104</v>
      </c>
      <c r="L1" s="276" t="s">
        <v>95</v>
      </c>
      <c r="M1" s="276" t="s">
        <v>128</v>
      </c>
    </row>
    <row r="2">
      <c r="A2" s="259">
        <v>0.0</v>
      </c>
      <c r="B2" s="259">
        <v>12.0</v>
      </c>
      <c r="C2" s="259">
        <v>28.0</v>
      </c>
      <c r="D2" s="279">
        <f>A2*24+B2+C2*(1/60)</f>
        <v>12.46666667</v>
      </c>
    </row>
    <row r="3">
      <c r="A3" s="136">
        <v>0.0</v>
      </c>
      <c r="B3" s="136">
        <v>21.0</v>
      </c>
      <c r="C3" s="136">
        <v>3.0</v>
      </c>
      <c r="D3" s="280">
        <f t="shared" ref="D3:D23" si="1">A3*24+B3+C3*(1/60)-$D$2</f>
        <v>8.583333333</v>
      </c>
      <c r="E3" s="222">
        <f t="shared" ref="E3:E23" si="2">D3*60</f>
        <v>515</v>
      </c>
      <c r="F3" s="222">
        <v>450.0</v>
      </c>
      <c r="G3" s="222">
        <f>F3</f>
        <v>450</v>
      </c>
      <c r="H3" s="281">
        <f>(G3/1000)/(Calculos!$A$28*Calculos!$B$28)</f>
        <v>0.01840255736</v>
      </c>
      <c r="I3" s="282">
        <f>(H3*Calculos!$C$28)/(0.4)</f>
        <v>2.119514543</v>
      </c>
      <c r="J3" s="282">
        <f>H3/0.4</f>
        <v>0.04600639339</v>
      </c>
      <c r="K3" s="282">
        <f>-ln(1-J3/(2*Calculos!$D$34))</f>
        <v>0.0238655982</v>
      </c>
      <c r="L3" s="282">
        <f>Calculos!$D$34-J3*(1/2)</f>
        <v>0.952408391</v>
      </c>
      <c r="M3" s="124">
        <f>SLOPE(K5:K20,D5:D20)</f>
        <v>0.0259143779</v>
      </c>
    </row>
    <row r="4">
      <c r="A4" s="136">
        <v>0.0</v>
      </c>
      <c r="B4" s="136">
        <v>23.0</v>
      </c>
      <c r="C4" s="136">
        <v>9.0</v>
      </c>
      <c r="D4" s="280">
        <f t="shared" si="1"/>
        <v>10.68333333</v>
      </c>
      <c r="E4" s="222">
        <f t="shared" si="2"/>
        <v>641</v>
      </c>
      <c r="F4" s="222">
        <v>500.0</v>
      </c>
      <c r="G4" s="222">
        <f t="shared" ref="G4:G23" si="3">G3+F4</f>
        <v>950</v>
      </c>
      <c r="H4" s="281">
        <f>(G4/1000)/(Calculos!$A$28*Calculos!$B$28)</f>
        <v>0.03884984331</v>
      </c>
      <c r="I4" s="282">
        <f>(H4*Calculos!$C$28)/(0.4)</f>
        <v>4.474530703</v>
      </c>
      <c r="J4" s="282">
        <f>H4/0.4</f>
        <v>0.09712460826</v>
      </c>
      <c r="K4" s="282">
        <f>-ln(1-J4/(2*Calculos!$D$34))</f>
        <v>0.05106855595</v>
      </c>
      <c r="L4" s="282">
        <f>Calculos!$D$34-J4*(1/2)</f>
        <v>0.9268492836</v>
      </c>
    </row>
    <row r="5">
      <c r="A5" s="261">
        <v>1.0</v>
      </c>
      <c r="B5" s="261">
        <v>0.0</v>
      </c>
      <c r="C5" s="261">
        <v>29.0</v>
      </c>
      <c r="D5" s="283">
        <f t="shared" si="1"/>
        <v>12.01666667</v>
      </c>
      <c r="E5" s="284">
        <f t="shared" si="2"/>
        <v>721</v>
      </c>
      <c r="F5" s="284">
        <v>500.0</v>
      </c>
      <c r="G5" s="284">
        <f t="shared" si="3"/>
        <v>1450</v>
      </c>
      <c r="H5" s="285">
        <f>(G5/1000)/(Calculos!$A$28*Calculos!$B$28)</f>
        <v>0.05929712926</v>
      </c>
      <c r="I5" s="286">
        <f>(H5*Calculos!$C$28)/(0.4)</f>
        <v>6.829546862</v>
      </c>
      <c r="J5" s="286">
        <f>H5/0.4</f>
        <v>0.1482428231</v>
      </c>
      <c r="K5" s="282">
        <f>-ln(1-J5/(2*Calculos!$D$34))</f>
        <v>0.07903225731</v>
      </c>
      <c r="L5" s="286">
        <f>Calculos!$D$34-J5*(1/2)</f>
        <v>0.9012901762</v>
      </c>
    </row>
    <row r="6">
      <c r="A6" s="261">
        <v>1.0</v>
      </c>
      <c r="B6" s="261">
        <v>1.0</v>
      </c>
      <c r="C6" s="261">
        <v>31.0</v>
      </c>
      <c r="D6" s="283">
        <f t="shared" si="1"/>
        <v>13.05</v>
      </c>
      <c r="E6" s="284">
        <f t="shared" si="2"/>
        <v>783</v>
      </c>
      <c r="F6" s="284">
        <v>500.0</v>
      </c>
      <c r="G6" s="284">
        <f t="shared" si="3"/>
        <v>1950</v>
      </c>
      <c r="H6" s="285">
        <f>(G6/1000)/(Calculos!$A$28*Calculos!$B$28)</f>
        <v>0.07974441521</v>
      </c>
      <c r="I6" s="286">
        <f>(H6*Calculos!$C$28)/(0.4)</f>
        <v>9.184563021</v>
      </c>
      <c r="J6" s="286">
        <f>H6/0.4</f>
        <v>0.199361038</v>
      </c>
      <c r="K6" s="282">
        <f>-ln(1-J6/(2*Calculos!$D$34))</f>
        <v>0.1078004786</v>
      </c>
      <c r="L6" s="286">
        <f>Calculos!$D$34-J6*(1/2)</f>
        <v>0.8757310687</v>
      </c>
    </row>
    <row r="7">
      <c r="A7" s="261">
        <v>1.0</v>
      </c>
      <c r="B7" s="261">
        <v>2.0</v>
      </c>
      <c r="C7" s="261">
        <v>31.0</v>
      </c>
      <c r="D7" s="283">
        <f t="shared" si="1"/>
        <v>14.05</v>
      </c>
      <c r="E7" s="284">
        <f t="shared" si="2"/>
        <v>843</v>
      </c>
      <c r="F7" s="284">
        <v>500.0</v>
      </c>
      <c r="G7" s="284">
        <f t="shared" si="3"/>
        <v>2450</v>
      </c>
      <c r="H7" s="285">
        <f>(G7/1000)/(Calculos!$A$28*Calculos!$B$28)</f>
        <v>0.1001917012</v>
      </c>
      <c r="I7" s="286">
        <f>(H7*Calculos!$C$28)/(0.4)</f>
        <v>11.53957918</v>
      </c>
      <c r="J7" s="286">
        <f>H7/0.4</f>
        <v>0.2504792529</v>
      </c>
      <c r="K7" s="282">
        <f>-ln(1-J7/(2*Calculos!$D$34))</f>
        <v>0.1374208868</v>
      </c>
      <c r="L7" s="286">
        <f>Calculos!$D$34-J7*(1/2)</f>
        <v>0.8501719613</v>
      </c>
    </row>
    <row r="8">
      <c r="A8" s="261">
        <v>1.0</v>
      </c>
      <c r="B8" s="261">
        <v>3.0</v>
      </c>
      <c r="C8" s="261">
        <v>39.0</v>
      </c>
      <c r="D8" s="283">
        <f t="shared" si="1"/>
        <v>15.18333333</v>
      </c>
      <c r="E8" s="284">
        <f t="shared" si="2"/>
        <v>911</v>
      </c>
      <c r="F8" s="284">
        <v>500.0</v>
      </c>
      <c r="G8" s="284">
        <f t="shared" si="3"/>
        <v>2950</v>
      </c>
      <c r="H8" s="285">
        <f>(G8/1000)/(Calculos!$A$28*Calculos!$B$28)</f>
        <v>0.1206389871</v>
      </c>
      <c r="I8" s="286">
        <f>(H8*Calculos!$C$28)/(0.4)</f>
        <v>13.89459534</v>
      </c>
      <c r="J8" s="286">
        <f>H8/0.4</f>
        <v>0.3015974678</v>
      </c>
      <c r="K8" s="282">
        <f>-ln(1-J8/(2*Calculos!$D$34))</f>
        <v>0.1679455151</v>
      </c>
      <c r="L8" s="286">
        <f>Calculos!$D$34-J8*(1/2)</f>
        <v>0.8246128538</v>
      </c>
    </row>
    <row r="9">
      <c r="A9" s="261">
        <v>1.0</v>
      </c>
      <c r="B9" s="261">
        <v>4.0</v>
      </c>
      <c r="C9" s="261">
        <v>30.0</v>
      </c>
      <c r="D9" s="283">
        <f t="shared" si="1"/>
        <v>16.03333333</v>
      </c>
      <c r="E9" s="284">
        <f t="shared" si="2"/>
        <v>962</v>
      </c>
      <c r="F9" s="284">
        <v>500.0</v>
      </c>
      <c r="G9" s="284">
        <f t="shared" si="3"/>
        <v>3450</v>
      </c>
      <c r="H9" s="285">
        <f>(G9/1000)/(Calculos!$A$28*Calculos!$B$28)</f>
        <v>0.1410862731</v>
      </c>
      <c r="I9" s="286">
        <f>(H9*Calculos!$C$28)/(0.4)</f>
        <v>16.2496115</v>
      </c>
      <c r="J9" s="286">
        <f>H9/0.4</f>
        <v>0.3527156826</v>
      </c>
      <c r="K9" s="282">
        <f>-ln(1-J9/(2*Calculos!$D$34))</f>
        <v>0.1994313126</v>
      </c>
      <c r="L9" s="286">
        <f>Calculos!$D$34-J9*(1/2)</f>
        <v>0.7990537464</v>
      </c>
    </row>
    <row r="10">
      <c r="A10" s="261">
        <v>1.0</v>
      </c>
      <c r="B10" s="261">
        <v>5.0</v>
      </c>
      <c r="C10" s="261">
        <v>30.0</v>
      </c>
      <c r="D10" s="283">
        <f t="shared" si="1"/>
        <v>17.03333333</v>
      </c>
      <c r="E10" s="284">
        <f t="shared" si="2"/>
        <v>1022</v>
      </c>
      <c r="F10" s="284">
        <v>450.0</v>
      </c>
      <c r="G10" s="284">
        <f t="shared" si="3"/>
        <v>3900</v>
      </c>
      <c r="H10" s="285">
        <f>(G10/1000)/(Calculos!$A$28*Calculos!$B$28)</f>
        <v>0.1594888304</v>
      </c>
      <c r="I10" s="286">
        <f>(H10*Calculos!$C$28)/(0.4)</f>
        <v>18.36912604</v>
      </c>
      <c r="J10" s="286">
        <f>H10/0.4</f>
        <v>0.398722076</v>
      </c>
      <c r="K10" s="282">
        <f>-ln(1-J10/(2*Calculos!$D$34))</f>
        <v>0.2286418637</v>
      </c>
      <c r="L10" s="286">
        <f>Calculos!$D$34-J10*(1/2)</f>
        <v>0.7760505497</v>
      </c>
    </row>
    <row r="11">
      <c r="A11" s="261">
        <v>1.0</v>
      </c>
      <c r="B11" s="261">
        <v>6.0</v>
      </c>
      <c r="C11" s="261">
        <v>21.0</v>
      </c>
      <c r="D11" s="283">
        <f t="shared" si="1"/>
        <v>17.88333333</v>
      </c>
      <c r="E11" s="284">
        <f t="shared" si="2"/>
        <v>1073</v>
      </c>
      <c r="F11" s="284">
        <v>450.0</v>
      </c>
      <c r="G11" s="284">
        <f t="shared" si="3"/>
        <v>4350</v>
      </c>
      <c r="H11" s="285">
        <f>(G11/1000)/(Calculos!$A$28*Calculos!$B$28)</f>
        <v>0.1778913878</v>
      </c>
      <c r="I11" s="286">
        <f>(H11*Calculos!$C$28)/(0.4)</f>
        <v>20.48864059</v>
      </c>
      <c r="J11" s="286">
        <f>H11/0.4</f>
        <v>0.4447284694</v>
      </c>
      <c r="K11" s="282">
        <f>-ln(1-J11/(2*Calculos!$D$34))</f>
        <v>0.2587314115</v>
      </c>
      <c r="L11" s="286">
        <f>Calculos!$D$34-J11*(1/2)</f>
        <v>0.753047353</v>
      </c>
    </row>
    <row r="12">
      <c r="A12" s="261">
        <v>1.0</v>
      </c>
      <c r="B12" s="261">
        <v>7.0</v>
      </c>
      <c r="C12" s="261">
        <v>3.0</v>
      </c>
      <c r="D12" s="283">
        <f t="shared" si="1"/>
        <v>18.58333333</v>
      </c>
      <c r="E12" s="284">
        <f t="shared" si="2"/>
        <v>1115</v>
      </c>
      <c r="F12" s="284">
        <v>700.0</v>
      </c>
      <c r="G12" s="284">
        <f t="shared" si="3"/>
        <v>5050</v>
      </c>
      <c r="H12" s="285">
        <f>(G12/1000)/(Calculos!$A$28*Calculos!$B$28)</f>
        <v>0.2065175881</v>
      </c>
      <c r="I12" s="286">
        <f>(H12*Calculos!$C$28)/(0.4)</f>
        <v>23.78566321</v>
      </c>
      <c r="J12" s="286">
        <f>H12/0.4</f>
        <v>0.5162939703</v>
      </c>
      <c r="K12" s="282">
        <f>-ln(1-J12/(2*Calculos!$D$34))</f>
        <v>0.3074147094</v>
      </c>
      <c r="L12" s="286">
        <f>Calculos!$D$34-J12*(1/2)</f>
        <v>0.7172646026</v>
      </c>
    </row>
    <row r="13">
      <c r="A13" s="261">
        <v>1.0</v>
      </c>
      <c r="B13" s="261">
        <v>10.0</v>
      </c>
      <c r="C13" s="261">
        <v>0.0</v>
      </c>
      <c r="D13" s="283">
        <f t="shared" si="1"/>
        <v>21.53333333</v>
      </c>
      <c r="E13" s="284">
        <f t="shared" si="2"/>
        <v>1292</v>
      </c>
      <c r="F13" s="284">
        <v>450.0</v>
      </c>
      <c r="G13" s="284">
        <f t="shared" si="3"/>
        <v>5500</v>
      </c>
      <c r="H13" s="285">
        <f>(G13/1000)/(Calculos!$A$28*Calculos!$B$28)</f>
        <v>0.2249201455</v>
      </c>
      <c r="I13" s="286">
        <f>(H13*Calculos!$C$28)/(0.4)</f>
        <v>25.90517775</v>
      </c>
      <c r="J13" s="286">
        <f>H13/0.4</f>
        <v>0.5623003636</v>
      </c>
      <c r="K13" s="282">
        <f>-ln(1-J13/(2*Calculos!$D$34))</f>
        <v>0.340010968</v>
      </c>
      <c r="L13" s="286">
        <f>Calculos!$D$34-J13*(1/2)</f>
        <v>0.6942614059</v>
      </c>
    </row>
    <row r="14">
      <c r="A14" s="261">
        <v>1.0</v>
      </c>
      <c r="B14" s="261">
        <v>10.0</v>
      </c>
      <c r="C14" s="261">
        <v>40.0</v>
      </c>
      <c r="D14" s="283">
        <f t="shared" si="1"/>
        <v>22.2</v>
      </c>
      <c r="E14" s="284">
        <f t="shared" si="2"/>
        <v>1332</v>
      </c>
      <c r="F14" s="284">
        <v>350.0</v>
      </c>
      <c r="G14" s="284">
        <f t="shared" si="3"/>
        <v>5850</v>
      </c>
      <c r="H14" s="285">
        <f>(G14/1000)/(Calculos!$A$28*Calculos!$B$28)</f>
        <v>0.2392332456</v>
      </c>
      <c r="I14" s="286">
        <f>(H14*Calculos!$C$28)/(0.4)</f>
        <v>27.55368906</v>
      </c>
      <c r="J14" s="286">
        <f>H14/0.4</f>
        <v>0.5980831141</v>
      </c>
      <c r="K14" s="282">
        <f>-ln(1-J14/(2*Calculos!$D$34))</f>
        <v>0.3661192142</v>
      </c>
      <c r="L14" s="286">
        <f>Calculos!$D$34-J14*(1/2)</f>
        <v>0.6763700307</v>
      </c>
    </row>
    <row r="15">
      <c r="A15" s="261">
        <v>1.0</v>
      </c>
      <c r="B15" s="261">
        <v>11.0</v>
      </c>
      <c r="C15" s="261">
        <v>30.0</v>
      </c>
      <c r="D15" s="283">
        <f t="shared" si="1"/>
        <v>23.03333333</v>
      </c>
      <c r="E15" s="284">
        <f t="shared" si="2"/>
        <v>1382</v>
      </c>
      <c r="F15" s="284">
        <v>400.0</v>
      </c>
      <c r="G15" s="284">
        <f t="shared" si="3"/>
        <v>6250</v>
      </c>
      <c r="H15" s="285">
        <f>(G15/1000)/(Calculos!$A$28*Calculos!$B$28)</f>
        <v>0.2555910744</v>
      </c>
      <c r="I15" s="286">
        <f>(H15*Calculos!$C$28)/(0.4)</f>
        <v>29.43770199</v>
      </c>
      <c r="J15" s="286">
        <f>H15/0.4</f>
        <v>0.638977686</v>
      </c>
      <c r="K15" s="282">
        <f>-ln(1-J15/(2*Calculos!$D$34))</f>
        <v>0.3968165083</v>
      </c>
      <c r="L15" s="286">
        <f>Calculos!$D$34-J15*(1/2)</f>
        <v>0.6559227448</v>
      </c>
    </row>
    <row r="16">
      <c r="A16" s="261">
        <v>1.0</v>
      </c>
      <c r="B16" s="261">
        <v>12.0</v>
      </c>
      <c r="C16" s="261">
        <v>45.0</v>
      </c>
      <c r="D16" s="283">
        <f t="shared" si="1"/>
        <v>24.28333333</v>
      </c>
      <c r="E16" s="284">
        <f t="shared" si="2"/>
        <v>1457</v>
      </c>
      <c r="F16" s="284">
        <v>450.0</v>
      </c>
      <c r="G16" s="284">
        <f t="shared" si="3"/>
        <v>6700</v>
      </c>
      <c r="H16" s="285">
        <f>(G16/1000)/(Calculos!$A$28*Calculos!$B$28)</f>
        <v>0.2739936317</v>
      </c>
      <c r="I16" s="286">
        <f>(H16*Calculos!$C$28)/(0.4)</f>
        <v>31.55721654</v>
      </c>
      <c r="J16" s="286">
        <f>H16/0.4</f>
        <v>0.6849840793</v>
      </c>
      <c r="K16" s="282">
        <f>-ln(1-J16/(2*Calculos!$D$34))</f>
        <v>0.4325162054</v>
      </c>
      <c r="L16" s="286">
        <f>Calculos!$D$34-J16*(1/2)</f>
        <v>0.6329195481</v>
      </c>
    </row>
    <row r="17">
      <c r="A17" s="261">
        <v>1.0</v>
      </c>
      <c r="B17" s="261">
        <v>13.0</v>
      </c>
      <c r="C17" s="261">
        <v>52.0</v>
      </c>
      <c r="D17" s="283">
        <f t="shared" si="1"/>
        <v>25.4</v>
      </c>
      <c r="E17" s="284">
        <f t="shared" si="2"/>
        <v>1524</v>
      </c>
      <c r="F17" s="284">
        <v>400.0</v>
      </c>
      <c r="G17" s="284">
        <f t="shared" si="3"/>
        <v>7100</v>
      </c>
      <c r="H17" s="285">
        <f>(G17/1000)/(Calculos!$A$28*Calculos!$B$28)</f>
        <v>0.2903514605</v>
      </c>
      <c r="I17" s="286">
        <f>(H17*Calculos!$C$28)/(0.4)</f>
        <v>33.44122946</v>
      </c>
      <c r="J17" s="286">
        <f>H17/0.4</f>
        <v>0.7258786512</v>
      </c>
      <c r="K17" s="282">
        <f>-ln(1-J17/(2*Calculos!$D$34))</f>
        <v>0.4653558681</v>
      </c>
      <c r="L17" s="286">
        <f>Calculos!$D$34-J17*(1/2)</f>
        <v>0.6124722621</v>
      </c>
    </row>
    <row r="18">
      <c r="A18" s="261">
        <v>1.0</v>
      </c>
      <c r="B18" s="261">
        <v>15.0</v>
      </c>
      <c r="C18" s="261">
        <v>17.0</v>
      </c>
      <c r="D18" s="283">
        <f t="shared" si="1"/>
        <v>26.81666667</v>
      </c>
      <c r="E18" s="284">
        <f t="shared" si="2"/>
        <v>1609</v>
      </c>
      <c r="F18" s="284">
        <v>450.0</v>
      </c>
      <c r="G18" s="284">
        <f t="shared" si="3"/>
        <v>7550</v>
      </c>
      <c r="H18" s="285">
        <f>(G18/1000)/(Calculos!$A$28*Calculos!$B$28)</f>
        <v>0.3087540179</v>
      </c>
      <c r="I18" s="286">
        <f>(H18*Calculos!$C$28)/(0.4)</f>
        <v>35.56074401</v>
      </c>
      <c r="J18" s="286">
        <f>H18/0.4</f>
        <v>0.7718850446</v>
      </c>
      <c r="K18" s="282">
        <f>-ln(1-J18/(2*Calculos!$D$34))</f>
        <v>0.5036372806</v>
      </c>
      <c r="L18" s="286">
        <f>Calculos!$D$34-J18*(1/2)</f>
        <v>0.5894690654</v>
      </c>
    </row>
    <row r="19">
      <c r="A19" s="261">
        <v>1.0</v>
      </c>
      <c r="B19" s="261">
        <v>17.0</v>
      </c>
      <c r="C19" s="261">
        <v>15.0</v>
      </c>
      <c r="D19" s="283">
        <f t="shared" si="1"/>
        <v>28.78333333</v>
      </c>
      <c r="E19" s="284">
        <f t="shared" si="2"/>
        <v>1727</v>
      </c>
      <c r="F19" s="284">
        <v>425.0</v>
      </c>
      <c r="G19" s="284">
        <f t="shared" si="3"/>
        <v>7975</v>
      </c>
      <c r="H19" s="285">
        <f>(G19/1000)/(Calculos!$A$28*Calculos!$B$28)</f>
        <v>0.3261342109</v>
      </c>
      <c r="I19" s="286">
        <f>(H19*Calculos!$C$28)/(0.4)</f>
        <v>37.56250774</v>
      </c>
      <c r="J19" s="286">
        <f>H19/0.4</f>
        <v>0.8153355273</v>
      </c>
      <c r="K19" s="282">
        <f>-ln(1-J19/(2*Calculos!$D$34))</f>
        <v>0.5411892201</v>
      </c>
      <c r="L19" s="286">
        <f>Calculos!$D$34-J19*(1/2)</f>
        <v>0.5677438241</v>
      </c>
    </row>
    <row r="20">
      <c r="A20" s="261">
        <v>1.0</v>
      </c>
      <c r="B20" s="261">
        <v>21.0</v>
      </c>
      <c r="C20" s="261">
        <v>22.0</v>
      </c>
      <c r="D20" s="283">
        <f t="shared" si="1"/>
        <v>32.9</v>
      </c>
      <c r="E20" s="284">
        <f t="shared" si="2"/>
        <v>1974</v>
      </c>
      <c r="F20" s="284">
        <v>400.0</v>
      </c>
      <c r="G20" s="284">
        <f t="shared" si="3"/>
        <v>8375</v>
      </c>
      <c r="H20" s="285">
        <f>(G20/1000)/(Calculos!$A$28*Calculos!$B$28)</f>
        <v>0.3424920397</v>
      </c>
      <c r="I20" s="286">
        <f>(H20*Calculos!$C$28)/(0.4)</f>
        <v>39.44652067</v>
      </c>
      <c r="J20" s="286">
        <f>H20/0.4</f>
        <v>0.8562300992</v>
      </c>
      <c r="K20" s="282">
        <f>-ln(1-J20/(2*Calculos!$D$34))</f>
        <v>0.5778687504</v>
      </c>
      <c r="L20" s="286">
        <f>Calculos!$D$34-J20*(1/2)</f>
        <v>0.5472965381</v>
      </c>
    </row>
    <row r="21">
      <c r="A21" s="234">
        <v>2.0</v>
      </c>
      <c r="B21" s="136">
        <v>3.0</v>
      </c>
      <c r="C21" s="234">
        <v>33.0</v>
      </c>
      <c r="D21" s="283">
        <f t="shared" si="1"/>
        <v>39.08333333</v>
      </c>
      <c r="E21" s="284">
        <f t="shared" si="2"/>
        <v>2345</v>
      </c>
      <c r="F21" s="287">
        <v>200.0</v>
      </c>
      <c r="G21" s="284">
        <f t="shared" si="3"/>
        <v>8575</v>
      </c>
      <c r="H21" s="285">
        <f>(G21/1000)/(Calculos!$A$28*Calculos!$B$28)</f>
        <v>0.3506709541</v>
      </c>
      <c r="I21" s="286">
        <f>(H21*Calculos!$C$28)/(0.4)</f>
        <v>40.38852713</v>
      </c>
      <c r="J21" s="286">
        <f>H21/0.4</f>
        <v>0.8766773851</v>
      </c>
      <c r="K21" s="282">
        <f>-ln(1-J21/(2*Calculos!$D$34))</f>
        <v>0.5967256927</v>
      </c>
      <c r="L21" s="286">
        <f>Calculos!$D$34-J21*(1/2)</f>
        <v>0.5370728952</v>
      </c>
    </row>
    <row r="22">
      <c r="A22" s="136">
        <v>2.0</v>
      </c>
      <c r="B22" s="136">
        <v>7.0</v>
      </c>
      <c r="C22" s="136">
        <v>0.0</v>
      </c>
      <c r="D22" s="280">
        <f t="shared" si="1"/>
        <v>42.53333333</v>
      </c>
      <c r="E22" s="222">
        <f t="shared" si="2"/>
        <v>2552</v>
      </c>
      <c r="F22" s="222">
        <v>300.0</v>
      </c>
      <c r="G22" s="284">
        <f t="shared" si="3"/>
        <v>8875</v>
      </c>
      <c r="H22" s="281">
        <f>(G22/1000)/(Calculos!$A$28*Calculos!$B$28)</f>
        <v>0.3629393256</v>
      </c>
      <c r="I22" s="282">
        <f>(H22*Calculos!$C$28)/(0.4)</f>
        <v>41.80153683</v>
      </c>
      <c r="J22" s="282">
        <f>H22/0.4</f>
        <v>0.9073483141</v>
      </c>
      <c r="K22" s="282">
        <f>-ln(1-J22/(2*Calculos!$D$34))</f>
        <v>0.6256950682</v>
      </c>
      <c r="L22" s="282">
        <f>Calculos!$D$34-J22*(1/2)</f>
        <v>0.5217374307</v>
      </c>
    </row>
    <row r="23">
      <c r="A23" s="136">
        <v>3.0</v>
      </c>
      <c r="B23" s="136">
        <v>5.0</v>
      </c>
      <c r="C23" s="136">
        <v>30.0</v>
      </c>
      <c r="D23" s="280">
        <f t="shared" si="1"/>
        <v>65.03333333</v>
      </c>
      <c r="E23" s="222">
        <f t="shared" si="2"/>
        <v>3902</v>
      </c>
      <c r="F23" s="222">
        <v>300.0</v>
      </c>
      <c r="G23" s="284">
        <f t="shared" si="3"/>
        <v>9175</v>
      </c>
      <c r="H23" s="281">
        <f>(G23/1000)/(Calculos!$A$28*Calculos!$B$28)</f>
        <v>0.3752076972</v>
      </c>
      <c r="I23" s="282">
        <f>(H23*Calculos!$C$28)/(0.4)</f>
        <v>43.21454652</v>
      </c>
      <c r="J23" s="282">
        <f>H23/0.4</f>
        <v>0.938019243</v>
      </c>
      <c r="K23" s="282">
        <f>-ln(1-J23/(2*Calculos!$D$34))</f>
        <v>0.6555287696</v>
      </c>
      <c r="L23" s="282">
        <f>Calculos!$D$34-J23*(1/2)</f>
        <v>0.5064019662</v>
      </c>
    </row>
    <row r="25">
      <c r="A25" s="147"/>
      <c r="B25" s="147"/>
      <c r="C25" s="147"/>
      <c r="D25" s="147"/>
      <c r="E25" s="14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11.71"/>
    <col customWidth="1" min="4" max="4" width="11.43"/>
    <col customWidth="1" min="5" max="5" width="16.29"/>
    <col customWidth="1" min="6" max="6" width="14.0"/>
    <col customWidth="1" min="7" max="7" width="16.86"/>
    <col customWidth="1" min="8" max="8" width="16.29"/>
    <col customWidth="1" min="9" max="9" width="11.29"/>
    <col customWidth="1" min="10" max="10" width="10.29"/>
    <col customWidth="1" min="11" max="11" width="17.14"/>
    <col customWidth="1" min="12" max="12" width="12.0"/>
    <col customWidth="1" min="13" max="13" width="11.86"/>
    <col customWidth="1" min="14" max="14" width="10.14"/>
    <col customWidth="1" min="20" max="20" width="18.71"/>
    <col customWidth="1" min="22" max="22" width="20.43"/>
  </cols>
  <sheetData>
    <row r="1">
      <c r="A1" s="15" t="s">
        <v>5</v>
      </c>
      <c r="B1" s="16" t="s">
        <v>6</v>
      </c>
      <c r="C1" s="16" t="s">
        <v>7</v>
      </c>
      <c r="D1" s="17" t="s">
        <v>8</v>
      </c>
      <c r="E1" s="17" t="s">
        <v>9</v>
      </c>
      <c r="F1" s="18" t="s">
        <v>10</v>
      </c>
      <c r="G1" s="16" t="s">
        <v>11</v>
      </c>
      <c r="H1" s="16" t="s">
        <v>12</v>
      </c>
      <c r="I1" s="16" t="s">
        <v>13</v>
      </c>
      <c r="J1" s="19" t="s">
        <v>14</v>
      </c>
      <c r="K1" s="20"/>
      <c r="L1" s="20"/>
      <c r="M1" s="21"/>
      <c r="N1" s="19" t="s">
        <v>15</v>
      </c>
      <c r="O1" s="21"/>
      <c r="P1" s="19" t="s">
        <v>16</v>
      </c>
      <c r="Q1" s="21"/>
      <c r="R1" s="22" t="s">
        <v>17</v>
      </c>
      <c r="S1" s="23"/>
      <c r="T1" s="24" t="s">
        <v>18</v>
      </c>
      <c r="U1" s="25" t="s">
        <v>19</v>
      </c>
      <c r="V1" s="26" t="s">
        <v>20</v>
      </c>
      <c r="W1" s="24" t="s">
        <v>21</v>
      </c>
      <c r="X1" s="27" t="s">
        <v>22</v>
      </c>
      <c r="Y1" s="28"/>
      <c r="Z1" s="28"/>
    </row>
    <row r="2">
      <c r="A2" s="29"/>
      <c r="B2" s="29"/>
      <c r="C2" s="29"/>
      <c r="D2" s="29"/>
      <c r="E2" s="29"/>
      <c r="G2" s="29"/>
      <c r="H2" s="29"/>
      <c r="I2" s="29"/>
      <c r="J2" s="30" t="s">
        <v>23</v>
      </c>
      <c r="K2" s="30" t="s">
        <v>24</v>
      </c>
      <c r="L2" s="31" t="s">
        <v>25</v>
      </c>
      <c r="M2" s="31" t="s">
        <v>24</v>
      </c>
      <c r="N2" s="30" t="s">
        <v>23</v>
      </c>
      <c r="O2" s="30" t="s">
        <v>26</v>
      </c>
      <c r="P2" s="30" t="s">
        <v>27</v>
      </c>
      <c r="Q2" s="30" t="s">
        <v>28</v>
      </c>
      <c r="R2" s="30" t="s">
        <v>29</v>
      </c>
      <c r="S2" s="32" t="s">
        <v>30</v>
      </c>
      <c r="T2" s="33" t="s">
        <v>31</v>
      </c>
      <c r="U2" s="25" t="s">
        <v>32</v>
      </c>
      <c r="V2" s="34"/>
      <c r="W2" s="33" t="s">
        <v>31</v>
      </c>
      <c r="X2" s="28"/>
      <c r="Y2" s="28"/>
      <c r="Z2" s="28"/>
    </row>
    <row r="3">
      <c r="A3" s="35">
        <v>1.0</v>
      </c>
      <c r="B3" s="36">
        <v>0.0853</v>
      </c>
      <c r="C3" s="37">
        <f t="shared" ref="C3:C10" si="2">B3/(0.4)</f>
        <v>0.21325</v>
      </c>
      <c r="D3" s="37"/>
      <c r="E3" s="38">
        <v>0.5048611111111111</v>
      </c>
      <c r="F3" s="39">
        <f>'Corrida 1'!H26/1000</f>
        <v>9.8</v>
      </c>
      <c r="G3" s="40">
        <f>'Corrida 1'!I26</f>
        <v>0.4007668046</v>
      </c>
      <c r="H3" s="41">
        <f t="shared" ref="H3:H10" si="3">G3</f>
        <v>0.4007668046</v>
      </c>
      <c r="I3" s="42">
        <f>'Corrida 1'!N2</f>
        <v>0.04124970688</v>
      </c>
      <c r="J3" s="43">
        <f t="shared" ref="J3:J10" si="4">$A$18</f>
        <v>16.4375</v>
      </c>
      <c r="K3" s="43">
        <f t="shared" ref="K3:K10" si="5">$A$19</f>
        <v>0.1493039406</v>
      </c>
      <c r="L3" s="44">
        <f t="shared" ref="L3:M3" si="1">I25</f>
        <v>8.5</v>
      </c>
      <c r="M3" s="44">
        <f t="shared" si="1"/>
        <v>8.166666667</v>
      </c>
      <c r="N3" s="45">
        <f t="shared" ref="N3:N10" si="7">10.7*J3 + -0.155</f>
        <v>175.72625</v>
      </c>
      <c r="O3" s="46">
        <f t="shared" ref="O3:O10" si="8">10.7*L3 + -0.155</f>
        <v>90.795</v>
      </c>
      <c r="P3" s="47">
        <f>'Corrida 1'!M26</f>
        <v>0.4744530819</v>
      </c>
      <c r="Q3" s="45">
        <f t="shared" ref="Q3:Q10" si="9">P3*$D$21</f>
        <v>85.47746724</v>
      </c>
      <c r="R3" s="41">
        <f t="shared" ref="R3:R10" si="10">ABS((Q3-N3)/(O3-N3))*100</f>
        <v>106.2609849</v>
      </c>
      <c r="S3" s="39"/>
      <c r="T3" s="48">
        <f t="shared" ref="T3:T10" si="11">((H3*46.07/(789)/(B3))*100)</f>
        <v>27.4336706</v>
      </c>
      <c r="U3" s="49">
        <f>'Corrida 1'!F20</f>
        <v>29.41666667</v>
      </c>
      <c r="V3" s="50">
        <f t="shared" ref="V3:V10" si="12">T3/U3</f>
        <v>0.932589369</v>
      </c>
      <c r="W3" s="48">
        <f t="shared" ref="W3:W10" si="13">(((N3*0.4)/789)/(B3))*100</f>
        <v>104.4408982</v>
      </c>
      <c r="X3" s="48">
        <f t="shared" ref="X3:X10" si="14">((W3-T3)/W3)*100</f>
        <v>73.73282778</v>
      </c>
    </row>
    <row r="4">
      <c r="A4" s="51">
        <v>2.0</v>
      </c>
      <c r="B4" s="52">
        <v>0.2054</v>
      </c>
      <c r="C4" s="52">
        <f t="shared" si="2"/>
        <v>0.5135</v>
      </c>
      <c r="D4" s="53" t="s">
        <v>33</v>
      </c>
      <c r="E4" s="54">
        <v>0.5097222222222222</v>
      </c>
      <c r="F4" s="55">
        <f>'Corrida 2'!D30/1000</f>
        <v>9.08</v>
      </c>
      <c r="G4" s="56">
        <f t="shared" ref="G4:G10" si="15">F4/($A$28*$B$28)</f>
        <v>0.3713227129</v>
      </c>
      <c r="H4" s="57">
        <f t="shared" si="3"/>
        <v>0.3713227129</v>
      </c>
      <c r="I4" s="58">
        <f>'Corrida 2'!L2</f>
        <v>0.03461575682</v>
      </c>
      <c r="J4" s="59">
        <f t="shared" si="4"/>
        <v>16.4375</v>
      </c>
      <c r="K4" s="59">
        <f t="shared" si="5"/>
        <v>0.1493039406</v>
      </c>
      <c r="L4" s="60">
        <f t="shared" ref="L4:M4" si="6">I26</f>
        <v>8</v>
      </c>
      <c r="M4" s="60">
        <f t="shared" si="6"/>
        <v>8</v>
      </c>
      <c r="N4" s="61">
        <f t="shared" si="7"/>
        <v>175.72625</v>
      </c>
      <c r="O4" s="62">
        <f t="shared" si="8"/>
        <v>85.445</v>
      </c>
      <c r="P4" s="63">
        <f>'Corrida 2'!K30</f>
        <v>0.5112581967</v>
      </c>
      <c r="Q4" s="61">
        <f t="shared" si="9"/>
        <v>92.10827671</v>
      </c>
      <c r="R4" s="57">
        <f t="shared" si="10"/>
        <v>92.61942351</v>
      </c>
      <c r="S4" s="55"/>
      <c r="T4" s="48">
        <f t="shared" si="11"/>
        <v>10.5558275</v>
      </c>
      <c r="U4" s="64">
        <f>'Corrida 2'!F25</f>
        <v>25.11666667</v>
      </c>
      <c r="V4" s="50">
        <f t="shared" si="12"/>
        <v>0.4202718315</v>
      </c>
      <c r="W4" s="48">
        <f t="shared" si="13"/>
        <v>43.37297283</v>
      </c>
      <c r="X4" s="48">
        <f t="shared" si="14"/>
        <v>75.66266084</v>
      </c>
    </row>
    <row r="5">
      <c r="A5" s="51">
        <v>3.0</v>
      </c>
      <c r="B5" s="52">
        <v>0.2806</v>
      </c>
      <c r="C5" s="52">
        <f t="shared" si="2"/>
        <v>0.7015</v>
      </c>
      <c r="D5" s="65"/>
      <c r="E5" s="54">
        <v>0.5131944444444444</v>
      </c>
      <c r="F5" s="55">
        <f>'Corrida 3'!A34/1000</f>
        <v>10.564</v>
      </c>
      <c r="G5" s="56">
        <f t="shared" si="15"/>
        <v>0.4320102576</v>
      </c>
      <c r="H5" s="57">
        <f t="shared" si="3"/>
        <v>0.4320102576</v>
      </c>
      <c r="I5" s="58">
        <f>'Corrida 3'!I2</f>
        <v>0.03720973212</v>
      </c>
      <c r="J5" s="59">
        <f t="shared" si="4"/>
        <v>16.4375</v>
      </c>
      <c r="K5" s="59">
        <f t="shared" si="5"/>
        <v>0.1493039406</v>
      </c>
      <c r="L5" s="60">
        <f t="shared" ref="L5:M5" si="16">I27</f>
        <v>8</v>
      </c>
      <c r="M5" s="60">
        <f t="shared" si="16"/>
        <v>8.166666667</v>
      </c>
      <c r="N5" s="61">
        <f t="shared" si="7"/>
        <v>175.72625</v>
      </c>
      <c r="O5" s="62">
        <f t="shared" si="8"/>
        <v>85.445</v>
      </c>
      <c r="P5" s="63">
        <f>'Corrida 3'!H33</f>
        <v>0.4366767212</v>
      </c>
      <c r="Q5" s="61">
        <f t="shared" si="9"/>
        <v>78.67167808</v>
      </c>
      <c r="R5" s="57">
        <f t="shared" si="10"/>
        <v>107.502468</v>
      </c>
      <c r="S5" s="55"/>
      <c r="T5" s="48">
        <f t="shared" si="11"/>
        <v>8.989749724</v>
      </c>
      <c r="U5" s="64">
        <f>'Corrida 3'!C24</f>
        <v>26.48333333</v>
      </c>
      <c r="V5" s="50">
        <f t="shared" si="12"/>
        <v>0.3394493288</v>
      </c>
      <c r="W5" s="48">
        <f t="shared" si="13"/>
        <v>31.74913977</v>
      </c>
      <c r="X5" s="48">
        <f t="shared" si="14"/>
        <v>71.68506048</v>
      </c>
    </row>
    <row r="6">
      <c r="A6" s="66">
        <v>4.0</v>
      </c>
      <c r="B6" s="67">
        <v>0.2016</v>
      </c>
      <c r="C6" s="67">
        <f t="shared" si="2"/>
        <v>0.504</v>
      </c>
      <c r="D6" s="68" t="s">
        <v>34</v>
      </c>
      <c r="E6" s="69">
        <v>0.517361111111111</v>
      </c>
      <c r="F6" s="70">
        <f>'Corrida 4'!F23/1000</f>
        <v>8.046</v>
      </c>
      <c r="G6" s="71">
        <f t="shared" si="15"/>
        <v>0.3290377255</v>
      </c>
      <c r="H6" s="71">
        <f t="shared" si="3"/>
        <v>0.3290377255</v>
      </c>
      <c r="I6" s="72">
        <f>'Corrida 4'!L2</f>
        <v>0.02454413751</v>
      </c>
      <c r="J6" s="73">
        <f t="shared" si="4"/>
        <v>16.4375</v>
      </c>
      <c r="K6" s="73">
        <f t="shared" si="5"/>
        <v>0.1493039406</v>
      </c>
      <c r="L6" s="74">
        <f t="shared" ref="L6:M6" si="17">I28</f>
        <v>7</v>
      </c>
      <c r="M6" s="74">
        <f t="shared" si="17"/>
        <v>7.5</v>
      </c>
      <c r="N6" s="74">
        <f t="shared" si="7"/>
        <v>175.72625</v>
      </c>
      <c r="O6" s="75">
        <f t="shared" si="8"/>
        <v>74.745</v>
      </c>
      <c r="P6" s="76">
        <f>'Corrida 4'!K23</f>
        <v>0.5641144308</v>
      </c>
      <c r="Q6" s="74">
        <f t="shared" si="9"/>
        <v>101.6308559</v>
      </c>
      <c r="R6" s="71">
        <f t="shared" si="10"/>
        <v>73.37539805</v>
      </c>
      <c r="S6" s="77"/>
      <c r="T6" s="48">
        <f t="shared" si="11"/>
        <v>9.530076256</v>
      </c>
      <c r="U6" s="78">
        <f>'Corrida 4'!D19</f>
        <v>27.01666667</v>
      </c>
      <c r="V6" s="50">
        <f t="shared" si="12"/>
        <v>0.3527480416</v>
      </c>
      <c r="W6" s="48">
        <f t="shared" si="13"/>
        <v>44.19051894</v>
      </c>
      <c r="X6" s="48">
        <f t="shared" si="14"/>
        <v>78.43411554</v>
      </c>
    </row>
    <row r="7">
      <c r="A7" s="79">
        <v>5.0</v>
      </c>
      <c r="B7" s="80">
        <v>0.0847</v>
      </c>
      <c r="C7" s="80">
        <f t="shared" si="2"/>
        <v>0.21175</v>
      </c>
      <c r="D7" s="81"/>
      <c r="E7" s="82">
        <v>0.5069444444444444</v>
      </c>
      <c r="F7" s="83">
        <f>'Corrida 5'!F33/1000</f>
        <v>9.135</v>
      </c>
      <c r="G7" s="84">
        <f t="shared" si="15"/>
        <v>0.3735719143</v>
      </c>
      <c r="H7" s="85">
        <f t="shared" si="3"/>
        <v>0.3735719143</v>
      </c>
      <c r="I7" s="86">
        <f>'Corrida 5'!L2</f>
        <v>0.02573265207</v>
      </c>
      <c r="J7" s="87">
        <f t="shared" si="4"/>
        <v>16.4375</v>
      </c>
      <c r="K7" s="87">
        <f t="shared" si="5"/>
        <v>0.1493039406</v>
      </c>
      <c r="L7" s="88">
        <f t="shared" ref="L7:M7" si="18">I29</f>
        <v>8.5</v>
      </c>
      <c r="M7" s="88">
        <f t="shared" si="18"/>
        <v>8.166666667</v>
      </c>
      <c r="N7" s="88">
        <f t="shared" si="7"/>
        <v>175.72625</v>
      </c>
      <c r="O7" s="88">
        <f t="shared" si="8"/>
        <v>90.795</v>
      </c>
      <c r="P7" s="84">
        <f>'Corrida 5'!K33</f>
        <v>0.5084466948</v>
      </c>
      <c r="Q7" s="88">
        <f t="shared" si="9"/>
        <v>91.60175654</v>
      </c>
      <c r="R7" s="41">
        <f t="shared" si="10"/>
        <v>99.05010636</v>
      </c>
      <c r="S7" s="89" t="s">
        <v>35</v>
      </c>
      <c r="T7" s="48">
        <f t="shared" si="11"/>
        <v>25.75324839</v>
      </c>
      <c r="U7" s="49">
        <f>'Corrida 5'!D25</f>
        <v>34.91666667</v>
      </c>
      <c r="V7" s="90">
        <f t="shared" si="12"/>
        <v>0.7375631997</v>
      </c>
      <c r="W7" s="48">
        <f t="shared" si="13"/>
        <v>105.1807393</v>
      </c>
      <c r="X7" s="48">
        <f t="shared" si="14"/>
        <v>75.51524304</v>
      </c>
    </row>
    <row r="8">
      <c r="A8" s="91">
        <v>6.0</v>
      </c>
      <c r="B8" s="92">
        <v>0.2006</v>
      </c>
      <c r="C8" s="92">
        <f t="shared" si="2"/>
        <v>0.5015</v>
      </c>
      <c r="D8" s="93" t="s">
        <v>33</v>
      </c>
      <c r="E8" s="94">
        <v>0.5118055555555555</v>
      </c>
      <c r="F8" s="95">
        <f>'Corrida 6'!E26/1000</f>
        <v>8.305</v>
      </c>
      <c r="G8" s="96">
        <f t="shared" si="15"/>
        <v>0.3396294196</v>
      </c>
      <c r="H8" s="97">
        <f t="shared" si="3"/>
        <v>0.3396294196</v>
      </c>
      <c r="I8" s="98">
        <f>'Corrida 6'!R2</f>
        <v>0.02890245695</v>
      </c>
      <c r="J8" s="99">
        <f t="shared" si="4"/>
        <v>16.4375</v>
      </c>
      <c r="K8" s="99">
        <f t="shared" si="5"/>
        <v>0.1493039406</v>
      </c>
      <c r="L8" s="100">
        <f t="shared" ref="L8:M8" si="19">I30</f>
        <v>7.5</v>
      </c>
      <c r="M8" s="100">
        <f t="shared" si="19"/>
        <v>8</v>
      </c>
      <c r="N8" s="100">
        <f t="shared" si="7"/>
        <v>175.72625</v>
      </c>
      <c r="O8" s="100">
        <f t="shared" si="8"/>
        <v>80.095</v>
      </c>
      <c r="P8" s="96">
        <f>'Corrida 6'!K26</f>
        <v>0.6357821681</v>
      </c>
      <c r="Q8" s="100">
        <f t="shared" si="9"/>
        <v>114.5425154</v>
      </c>
      <c r="R8" s="57">
        <f t="shared" si="10"/>
        <v>63.97880881</v>
      </c>
      <c r="S8" s="100"/>
      <c r="T8" s="48">
        <f t="shared" si="11"/>
        <v>9.885885665</v>
      </c>
      <c r="U8" s="64">
        <f>'Corrida 6'!G22</f>
        <v>28.83333333</v>
      </c>
      <c r="V8" s="90">
        <f t="shared" si="12"/>
        <v>0.3428630867</v>
      </c>
      <c r="W8" s="48">
        <f t="shared" si="13"/>
        <v>44.41081066</v>
      </c>
      <c r="X8" s="48">
        <f t="shared" si="14"/>
        <v>77.73991171</v>
      </c>
    </row>
    <row r="9">
      <c r="A9" s="91">
        <v>7.0</v>
      </c>
      <c r="B9" s="92">
        <v>0.2816</v>
      </c>
      <c r="C9" s="92">
        <f t="shared" si="2"/>
        <v>0.704</v>
      </c>
      <c r="D9" s="101"/>
      <c r="E9" s="94">
        <v>0.5159722222222222</v>
      </c>
      <c r="F9" s="95">
        <f>'Corrida 7'!D29/1000</f>
        <v>8.785</v>
      </c>
      <c r="G9" s="96">
        <f t="shared" si="15"/>
        <v>0.3592588142</v>
      </c>
      <c r="H9" s="97">
        <f t="shared" si="3"/>
        <v>0.3592588142</v>
      </c>
      <c r="I9" s="102">
        <f>'Corrida 7'!L4</f>
        <v>0.02955433808</v>
      </c>
      <c r="J9" s="99">
        <f t="shared" si="4"/>
        <v>16.4375</v>
      </c>
      <c r="K9" s="99">
        <f t="shared" si="5"/>
        <v>0.1493039406</v>
      </c>
      <c r="L9" s="100">
        <f t="shared" ref="L9:M9" si="20">I31</f>
        <v>7.5</v>
      </c>
      <c r="M9" s="100">
        <f t="shared" si="20"/>
        <v>7.333333333</v>
      </c>
      <c r="N9" s="100">
        <f t="shared" si="7"/>
        <v>175.72625</v>
      </c>
      <c r="O9" s="100">
        <f t="shared" si="8"/>
        <v>80.095</v>
      </c>
      <c r="P9" s="96">
        <f>'Corrida 7'!K29</f>
        <v>0.52633807</v>
      </c>
      <c r="Q9" s="100">
        <f t="shared" si="9"/>
        <v>94.8250667</v>
      </c>
      <c r="R9" s="57">
        <f t="shared" si="10"/>
        <v>84.59701541</v>
      </c>
      <c r="S9" s="100"/>
      <c r="T9" s="48">
        <f t="shared" si="11"/>
        <v>7.449309022</v>
      </c>
      <c r="U9" s="64">
        <f>'Corrida 7'!F23</f>
        <v>29.61666667</v>
      </c>
      <c r="V9" s="90">
        <f t="shared" si="12"/>
        <v>0.2515242213</v>
      </c>
      <c r="W9" s="48">
        <f t="shared" si="13"/>
        <v>31.63639424</v>
      </c>
      <c r="X9" s="48">
        <f t="shared" si="14"/>
        <v>76.45335633</v>
      </c>
    </row>
    <row r="10">
      <c r="A10" s="103">
        <v>8.0</v>
      </c>
      <c r="B10" s="104">
        <v>0.201</v>
      </c>
      <c r="C10" s="104">
        <f t="shared" si="2"/>
        <v>0.5025</v>
      </c>
      <c r="D10" s="105" t="s">
        <v>34</v>
      </c>
      <c r="E10" s="106">
        <v>0.5194444444444445</v>
      </c>
      <c r="F10" s="107">
        <f>'Corrida 8'!G23/1000</f>
        <v>9.175</v>
      </c>
      <c r="G10" s="108">
        <f t="shared" si="15"/>
        <v>0.3752076972</v>
      </c>
      <c r="H10" s="108">
        <f t="shared" si="3"/>
        <v>0.3752076972</v>
      </c>
      <c r="I10" s="109">
        <f>'Corrida 8'!M3</f>
        <v>0.0259143779</v>
      </c>
      <c r="J10" s="110">
        <f t="shared" si="4"/>
        <v>16.4375</v>
      </c>
      <c r="K10" s="110">
        <f t="shared" si="5"/>
        <v>0.1493039406</v>
      </c>
      <c r="L10" s="110">
        <f t="shared" ref="L10:M10" si="21">I32</f>
        <v>8</v>
      </c>
      <c r="M10" s="110">
        <f t="shared" si="21"/>
        <v>7.666666667</v>
      </c>
      <c r="N10" s="110">
        <f t="shared" si="7"/>
        <v>175.72625</v>
      </c>
      <c r="O10" s="110">
        <f t="shared" si="8"/>
        <v>85.445</v>
      </c>
      <c r="P10" s="108">
        <f>'Corrida 8'!L23</f>
        <v>0.5064019662</v>
      </c>
      <c r="Q10" s="110">
        <f t="shared" si="9"/>
        <v>91.23337824</v>
      </c>
      <c r="R10" s="71">
        <f t="shared" si="10"/>
        <v>93.58850455</v>
      </c>
      <c r="S10" s="107"/>
      <c r="T10" s="48">
        <f t="shared" si="11"/>
        <v>10.89975888</v>
      </c>
      <c r="U10" s="78">
        <f>'Corrida 8'!D20</f>
        <v>32.9</v>
      </c>
      <c r="V10" s="90">
        <f t="shared" si="12"/>
        <v>0.331299662</v>
      </c>
      <c r="W10" s="48">
        <f t="shared" si="13"/>
        <v>44.32243094</v>
      </c>
      <c r="X10" s="48">
        <f t="shared" si="14"/>
        <v>75.40803009</v>
      </c>
    </row>
    <row r="11">
      <c r="A11" s="111"/>
      <c r="B11" s="112"/>
      <c r="C11" s="113"/>
      <c r="D11" s="114"/>
      <c r="E11" s="113"/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S11" s="113"/>
      <c r="T11" s="115" t="s">
        <v>36</v>
      </c>
      <c r="U11" s="116"/>
      <c r="V11" s="117"/>
    </row>
    <row r="12">
      <c r="A12" s="118" t="s">
        <v>37</v>
      </c>
      <c r="B12" s="119"/>
      <c r="G12" s="120" t="s">
        <v>38</v>
      </c>
      <c r="H12" s="121" t="s">
        <v>39</v>
      </c>
      <c r="I12" s="121" t="s">
        <v>40</v>
      </c>
      <c r="Q12" s="115" t="s">
        <v>36</v>
      </c>
      <c r="R12" s="122">
        <f t="shared" ref="R12:R15" si="23">AVERAGE(R3,R7)</f>
        <v>102.6555456</v>
      </c>
      <c r="T12" s="122">
        <f t="shared" ref="T12:X12" si="22">AVERAGE(T3,T7)</f>
        <v>26.5934595</v>
      </c>
      <c r="U12" s="123">
        <f t="shared" si="22"/>
        <v>32.16666667</v>
      </c>
      <c r="V12" s="124">
        <f t="shared" si="22"/>
        <v>0.8350762843</v>
      </c>
      <c r="W12" s="122">
        <f t="shared" si="22"/>
        <v>104.8108188</v>
      </c>
      <c r="X12" s="122">
        <f t="shared" si="22"/>
        <v>74.62403541</v>
      </c>
    </row>
    <row r="13">
      <c r="A13" s="125">
        <v>16.2</v>
      </c>
      <c r="B13" s="126" t="s">
        <v>41</v>
      </c>
      <c r="G13" s="127">
        <f t="shared" ref="G13:G16" si="25">AVERAGE(C3,C7)</f>
        <v>0.2125</v>
      </c>
      <c r="H13" s="128">
        <f>AVERAGE(I7)</f>
        <v>0.02573265207</v>
      </c>
      <c r="I13" s="129">
        <v>0.0</v>
      </c>
      <c r="R13" s="122">
        <f t="shared" si="23"/>
        <v>78.29911616</v>
      </c>
      <c r="T13" s="122">
        <f t="shared" ref="T13:X13" si="24">AVERAGE(T4,T8)</f>
        <v>10.22085658</v>
      </c>
      <c r="U13" s="123">
        <f t="shared" si="24"/>
        <v>26.975</v>
      </c>
      <c r="V13" s="124">
        <f t="shared" si="24"/>
        <v>0.3815674591</v>
      </c>
      <c r="W13" s="122">
        <f t="shared" si="24"/>
        <v>43.89189174</v>
      </c>
      <c r="X13" s="122">
        <f t="shared" si="24"/>
        <v>76.70128627</v>
      </c>
    </row>
    <row r="14">
      <c r="A14" s="125">
        <v>16.5</v>
      </c>
      <c r="B14" s="126" t="s">
        <v>42</v>
      </c>
      <c r="G14" s="127">
        <f t="shared" si="25"/>
        <v>0.5075</v>
      </c>
      <c r="H14" s="128">
        <f t="shared" ref="H14:H16" si="27">AVERAGE(I4,I8)</f>
        <v>0.03175910689</v>
      </c>
      <c r="I14" s="127">
        <f t="shared" ref="I14:I16" si="28">STDEVP(I4,I8)</f>
        <v>0.002856649935</v>
      </c>
      <c r="R14" s="122">
        <f t="shared" si="23"/>
        <v>96.04974172</v>
      </c>
      <c r="T14" s="122">
        <f t="shared" ref="T14:X14" si="26">AVERAGE(T5,T9)</f>
        <v>8.219529373</v>
      </c>
      <c r="U14" s="123">
        <f t="shared" si="26"/>
        <v>28.05</v>
      </c>
      <c r="V14" s="124">
        <f t="shared" si="26"/>
        <v>0.2954867751</v>
      </c>
      <c r="W14" s="122">
        <f t="shared" si="26"/>
        <v>31.692767</v>
      </c>
      <c r="X14" s="122">
        <f t="shared" si="26"/>
        <v>74.0692084</v>
      </c>
    </row>
    <row r="15">
      <c r="A15" s="125">
        <v>16.25</v>
      </c>
      <c r="B15" s="126" t="s">
        <v>43</v>
      </c>
      <c r="G15" s="127">
        <f t="shared" si="25"/>
        <v>0.70275</v>
      </c>
      <c r="H15" s="128">
        <f t="shared" si="27"/>
        <v>0.0333820351</v>
      </c>
      <c r="I15" s="127">
        <f t="shared" si="28"/>
        <v>0.003827697022</v>
      </c>
      <c r="R15" s="122">
        <f t="shared" si="23"/>
        <v>83.4819513</v>
      </c>
      <c r="T15" s="122">
        <f t="shared" ref="T15:X15" si="29">AVERAGE(T6,T10)</f>
        <v>10.21491757</v>
      </c>
      <c r="U15" s="123">
        <f t="shared" si="29"/>
        <v>29.95833333</v>
      </c>
      <c r="V15" s="124">
        <f t="shared" si="29"/>
        <v>0.3420238518</v>
      </c>
      <c r="W15" s="122">
        <f t="shared" si="29"/>
        <v>44.25647494</v>
      </c>
      <c r="X15" s="122">
        <f t="shared" si="29"/>
        <v>76.92107282</v>
      </c>
    </row>
    <row r="16">
      <c r="A16" s="125">
        <v>16.4</v>
      </c>
      <c r="B16" s="126" t="s">
        <v>44</v>
      </c>
      <c r="G16" s="127">
        <f t="shared" si="25"/>
        <v>0.50325</v>
      </c>
      <c r="H16" s="128">
        <f t="shared" si="27"/>
        <v>0.0252292577</v>
      </c>
      <c r="I16" s="127">
        <f t="shared" si="28"/>
        <v>0.0006851201993</v>
      </c>
      <c r="T16" s="130"/>
    </row>
    <row r="17">
      <c r="A17" s="131">
        <v>16.6</v>
      </c>
      <c r="B17" s="126" t="s">
        <v>45</v>
      </c>
      <c r="T17" s="130"/>
    </row>
    <row r="18">
      <c r="A18" s="132">
        <f>AVERAGE(A14:A17)</f>
        <v>16.4375</v>
      </c>
      <c r="B18" s="133" t="s">
        <v>46</v>
      </c>
      <c r="T18" s="130"/>
    </row>
    <row r="19">
      <c r="A19" s="134">
        <f>STDEV(A14:A17)</f>
        <v>0.1493039406</v>
      </c>
      <c r="B19" s="135" t="s">
        <v>47</v>
      </c>
      <c r="T19" s="130"/>
    </row>
    <row r="21">
      <c r="B21" s="136" t="s">
        <v>48</v>
      </c>
      <c r="D21" s="136">
        <v>180.16</v>
      </c>
      <c r="E21" s="136" t="s">
        <v>49</v>
      </c>
    </row>
    <row r="23">
      <c r="F23" s="136" t="s">
        <v>50</v>
      </c>
    </row>
    <row r="24">
      <c r="F24" s="137" t="s">
        <v>5</v>
      </c>
      <c r="G24" s="137" t="s">
        <v>51</v>
      </c>
      <c r="H24" s="137" t="s">
        <v>52</v>
      </c>
      <c r="I24" s="137" t="s">
        <v>53</v>
      </c>
      <c r="J24" s="137" t="s">
        <v>54</v>
      </c>
      <c r="K24" s="137" t="s">
        <v>40</v>
      </c>
    </row>
    <row r="25">
      <c r="F25" s="138">
        <v>1.0</v>
      </c>
      <c r="G25" s="139">
        <v>8.0</v>
      </c>
      <c r="H25" s="139">
        <v>8.0</v>
      </c>
      <c r="I25" s="139">
        <v>8.5</v>
      </c>
      <c r="J25" s="140">
        <f t="shared" ref="J25:J32" si="30">AVERAGE(G25:I25)</f>
        <v>8.166666667</v>
      </c>
      <c r="K25" s="140">
        <f t="shared" ref="K25:K32" si="31">STDEV(G25:I25)</f>
        <v>0.2886751346</v>
      </c>
    </row>
    <row r="26">
      <c r="F26" s="138">
        <v>2.0</v>
      </c>
      <c r="G26" s="139">
        <v>8.0</v>
      </c>
      <c r="H26" s="139">
        <v>8.0</v>
      </c>
      <c r="I26" s="139">
        <v>8.0</v>
      </c>
      <c r="J26" s="140">
        <f t="shared" si="30"/>
        <v>8</v>
      </c>
      <c r="K26" s="140">
        <f t="shared" si="31"/>
        <v>0</v>
      </c>
    </row>
    <row r="27">
      <c r="A27" s="141" t="s">
        <v>55</v>
      </c>
      <c r="B27" s="141" t="s">
        <v>56</v>
      </c>
      <c r="C27" s="141" t="s">
        <v>57</v>
      </c>
      <c r="D27" s="141" t="s">
        <v>58</v>
      </c>
      <c r="F27" s="138">
        <v>3.0</v>
      </c>
      <c r="G27" s="139">
        <v>8.5</v>
      </c>
      <c r="H27" s="139">
        <v>8.0</v>
      </c>
      <c r="I27" s="139">
        <v>8.0</v>
      </c>
      <c r="J27" s="140">
        <f t="shared" si="30"/>
        <v>8.166666667</v>
      </c>
      <c r="K27" s="140">
        <f t="shared" si="31"/>
        <v>0.2886751346</v>
      </c>
    </row>
    <row r="28">
      <c r="A28" s="135">
        <v>0.08205746</v>
      </c>
      <c r="B28" s="135">
        <v>298.0</v>
      </c>
      <c r="C28" s="142">
        <v>46.07</v>
      </c>
      <c r="D28" s="143">
        <v>180.156</v>
      </c>
      <c r="F28" s="138">
        <v>4.0</v>
      </c>
      <c r="G28" s="139">
        <v>7.5</v>
      </c>
      <c r="H28" s="139">
        <v>8.0</v>
      </c>
      <c r="I28" s="139">
        <v>7.0</v>
      </c>
      <c r="J28" s="140">
        <f t="shared" si="30"/>
        <v>7.5</v>
      </c>
      <c r="K28" s="140">
        <f t="shared" si="31"/>
        <v>0.5</v>
      </c>
    </row>
    <row r="29">
      <c r="F29" s="138">
        <v>5.0</v>
      </c>
      <c r="G29" s="139">
        <v>8.0</v>
      </c>
      <c r="H29" s="139">
        <v>8.0</v>
      </c>
      <c r="I29" s="139">
        <v>8.5</v>
      </c>
      <c r="J29" s="140">
        <f t="shared" si="30"/>
        <v>8.166666667</v>
      </c>
      <c r="K29" s="140">
        <f t="shared" si="31"/>
        <v>0.2886751346</v>
      </c>
    </row>
    <row r="30">
      <c r="A30" s="25" t="s">
        <v>59</v>
      </c>
      <c r="F30" s="138">
        <v>6.0</v>
      </c>
      <c r="G30" s="139">
        <v>8.0</v>
      </c>
      <c r="H30" s="139">
        <v>8.5</v>
      </c>
      <c r="I30" s="139">
        <v>7.5</v>
      </c>
      <c r="J30" s="140">
        <f t="shared" si="30"/>
        <v>8</v>
      </c>
      <c r="K30" s="140">
        <f t="shared" si="31"/>
        <v>0.5</v>
      </c>
    </row>
    <row r="31">
      <c r="A31" s="144"/>
      <c r="B31" s="145" t="s">
        <v>60</v>
      </c>
      <c r="C31" s="145" t="s">
        <v>61</v>
      </c>
      <c r="D31" s="145" t="s">
        <v>62</v>
      </c>
      <c r="F31" s="138">
        <v>7.0</v>
      </c>
      <c r="G31" s="139">
        <v>7.5</v>
      </c>
      <c r="H31" s="139">
        <v>7.0</v>
      </c>
      <c r="I31" s="139">
        <v>7.5</v>
      </c>
      <c r="J31" s="140">
        <f t="shared" si="30"/>
        <v>7.333333333</v>
      </c>
      <c r="K31" s="140">
        <f t="shared" si="31"/>
        <v>0.2886751346</v>
      </c>
    </row>
    <row r="32">
      <c r="A32" s="136" t="s">
        <v>63</v>
      </c>
      <c r="B32" s="136">
        <v>15.0</v>
      </c>
      <c r="C32" s="124">
        <f t="shared" ref="C32:C34" si="32">10.7*B32-0.155</f>
        <v>160.345</v>
      </c>
      <c r="D32" s="124">
        <f t="shared" ref="D32:D34" si="33">C32/$D$28</f>
        <v>0.8900341926</v>
      </c>
      <c r="F32" s="138">
        <v>8.0</v>
      </c>
      <c r="G32" s="139">
        <v>7.5</v>
      </c>
      <c r="H32" s="139">
        <v>7.5</v>
      </c>
      <c r="I32" s="139">
        <v>8.0</v>
      </c>
      <c r="J32" s="140">
        <f t="shared" si="30"/>
        <v>7.666666667</v>
      </c>
      <c r="K32" s="140">
        <f t="shared" si="31"/>
        <v>0.2886751346</v>
      </c>
    </row>
    <row r="33">
      <c r="A33" s="136" t="s">
        <v>64</v>
      </c>
      <c r="B33" s="136">
        <v>6.0</v>
      </c>
      <c r="C33" s="124">
        <f t="shared" si="32"/>
        <v>64.045</v>
      </c>
      <c r="D33" s="124">
        <f t="shared" si="33"/>
        <v>0.3554974578</v>
      </c>
    </row>
    <row r="34">
      <c r="A34" s="136" t="s">
        <v>65</v>
      </c>
      <c r="B34" s="124">
        <f>A18</f>
        <v>16.4375</v>
      </c>
      <c r="C34" s="124">
        <f t="shared" si="32"/>
        <v>175.72625</v>
      </c>
      <c r="D34" s="124">
        <f t="shared" si="33"/>
        <v>0.9754115877</v>
      </c>
    </row>
    <row r="35">
      <c r="A35" s="136" t="s">
        <v>66</v>
      </c>
    </row>
    <row r="37">
      <c r="A37" s="146"/>
      <c r="B37" s="147"/>
      <c r="C37" s="148"/>
      <c r="D37" s="147"/>
    </row>
    <row r="38">
      <c r="D38" s="149"/>
    </row>
    <row r="39">
      <c r="D39" s="149"/>
      <c r="E39" s="149"/>
    </row>
    <row r="40">
      <c r="D40" s="149"/>
      <c r="E40" s="150"/>
    </row>
    <row r="41">
      <c r="D41" s="149"/>
      <c r="E41" s="149"/>
    </row>
    <row r="42">
      <c r="D42" s="149"/>
      <c r="E42" s="149"/>
    </row>
    <row r="43">
      <c r="D43" s="149"/>
      <c r="E43" s="149"/>
    </row>
    <row r="54">
      <c r="A54" s="147"/>
      <c r="B54" s="147"/>
      <c r="C54" s="147"/>
      <c r="D54" s="149"/>
      <c r="E54" s="150"/>
    </row>
    <row r="55">
      <c r="A55" s="147"/>
      <c r="B55" s="147"/>
      <c r="C55" s="147"/>
      <c r="D55" s="149"/>
      <c r="E55" s="150"/>
    </row>
    <row r="56">
      <c r="A56" s="147"/>
      <c r="B56" s="147"/>
      <c r="C56" s="147"/>
      <c r="D56" s="149"/>
      <c r="E56" s="149"/>
    </row>
  </sheetData>
  <mergeCells count="12">
    <mergeCell ref="H1:H2"/>
    <mergeCell ref="I1:I2"/>
    <mergeCell ref="J1:M1"/>
    <mergeCell ref="N1:O1"/>
    <mergeCell ref="P1:Q1"/>
    <mergeCell ref="A1:A2"/>
    <mergeCell ref="B1:B2"/>
    <mergeCell ref="C1:C2"/>
    <mergeCell ref="D1:D2"/>
    <mergeCell ref="E1:E2"/>
    <mergeCell ref="F1:F2"/>
    <mergeCell ref="G1:G2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14"/>
    <col customWidth="1" min="4" max="4" width="14.57"/>
    <col customWidth="1" min="5" max="5" width="16.43"/>
    <col customWidth="1" min="6" max="6" width="16.71"/>
  </cols>
  <sheetData>
    <row r="1">
      <c r="A1" s="15" t="s">
        <v>5</v>
      </c>
      <c r="B1" s="16" t="s">
        <v>6</v>
      </c>
      <c r="C1" s="16" t="s">
        <v>7</v>
      </c>
      <c r="D1" s="17" t="s">
        <v>8</v>
      </c>
      <c r="E1" s="18" t="s">
        <v>10</v>
      </c>
      <c r="F1" s="17" t="s">
        <v>67</v>
      </c>
      <c r="G1" s="151" t="s">
        <v>68</v>
      </c>
      <c r="H1" s="152"/>
    </row>
    <row r="2">
      <c r="A2" s="29"/>
      <c r="B2" s="29"/>
      <c r="C2" s="29"/>
      <c r="D2" s="29"/>
      <c r="F2" s="29"/>
      <c r="G2" s="153" t="s">
        <v>23</v>
      </c>
      <c r="H2" s="154" t="s">
        <v>26</v>
      </c>
    </row>
    <row r="3">
      <c r="A3" s="155">
        <f>Calculos!A3</f>
        <v>1</v>
      </c>
      <c r="B3" s="156">
        <f>Calculos!B3</f>
        <v>0.0853</v>
      </c>
      <c r="C3" s="157">
        <f>Calculos!C3</f>
        <v>0.21325</v>
      </c>
      <c r="D3" s="157" t="str">
        <f>Calculos!D3</f>
        <v/>
      </c>
      <c r="E3" s="157">
        <f>Calculos!F3</f>
        <v>9.8</v>
      </c>
      <c r="F3" s="158">
        <f>Calculos!U3</f>
        <v>29.41666667</v>
      </c>
      <c r="G3" s="159">
        <f>Calculos!J3</f>
        <v>16.4375</v>
      </c>
      <c r="H3" s="160">
        <f>Calculos!L3</f>
        <v>8.5</v>
      </c>
    </row>
    <row r="4">
      <c r="A4" s="161">
        <f>Calculos!A4</f>
        <v>2</v>
      </c>
      <c r="B4" s="35">
        <f>Calculos!B4</f>
        <v>0.2054</v>
      </c>
      <c r="C4" s="37">
        <f>Calculos!C4</f>
        <v>0.5135</v>
      </c>
      <c r="D4" s="37" t="str">
        <f>Calculos!D4</f>
        <v>Sin aire</v>
      </c>
      <c r="E4" s="37">
        <f>Calculos!F4</f>
        <v>9.08</v>
      </c>
      <c r="F4" s="42">
        <f>Calculos!U4</f>
        <v>25.11666667</v>
      </c>
      <c r="G4" s="123">
        <f>Calculos!J4</f>
        <v>16.4375</v>
      </c>
      <c r="H4" s="162">
        <f>Calculos!L4</f>
        <v>8</v>
      </c>
    </row>
    <row r="5">
      <c r="A5" s="155">
        <f>Calculos!A5</f>
        <v>3</v>
      </c>
      <c r="B5" s="156">
        <f>Calculos!B5</f>
        <v>0.2806</v>
      </c>
      <c r="C5" s="157">
        <f>Calculos!C5</f>
        <v>0.7015</v>
      </c>
      <c r="D5" s="157" t="str">
        <f>Calculos!D5</f>
        <v/>
      </c>
      <c r="E5" s="157">
        <f>Calculos!F5</f>
        <v>10.564</v>
      </c>
      <c r="F5" s="158">
        <f>Calculos!U5</f>
        <v>26.48333333</v>
      </c>
      <c r="G5" s="159">
        <f>Calculos!J5</f>
        <v>16.4375</v>
      </c>
      <c r="H5" s="160">
        <f>Calculos!L5</f>
        <v>8</v>
      </c>
    </row>
    <row r="6">
      <c r="A6" s="161">
        <f>Calculos!A6</f>
        <v>4</v>
      </c>
      <c r="B6" s="35">
        <f>Calculos!B6</f>
        <v>0.2016</v>
      </c>
      <c r="C6" s="37">
        <f>Calculos!C6</f>
        <v>0.504</v>
      </c>
      <c r="D6" s="37" t="str">
        <f>Calculos!D6</f>
        <v>aireado</v>
      </c>
      <c r="E6" s="37">
        <f>Calculos!F6</f>
        <v>8.046</v>
      </c>
      <c r="F6" s="42">
        <f>Calculos!U6</f>
        <v>27.01666667</v>
      </c>
      <c r="G6" s="123">
        <f>Calculos!J6</f>
        <v>16.4375</v>
      </c>
      <c r="H6" s="162">
        <f>Calculos!L6</f>
        <v>7</v>
      </c>
    </row>
    <row r="7">
      <c r="A7" s="163">
        <f>Calculos!A7</f>
        <v>5</v>
      </c>
      <c r="B7" s="164">
        <f>Calculos!B7</f>
        <v>0.0847</v>
      </c>
      <c r="C7" s="165">
        <f>Calculos!C7</f>
        <v>0.21175</v>
      </c>
      <c r="D7" s="165" t="str">
        <f>Calculos!D7</f>
        <v/>
      </c>
      <c r="E7" s="165">
        <f>Calculos!F7</f>
        <v>9.135</v>
      </c>
      <c r="F7" s="166">
        <f>Calculos!U7</f>
        <v>34.91666667</v>
      </c>
      <c r="G7" s="167">
        <f>Calculos!J7</f>
        <v>16.4375</v>
      </c>
      <c r="H7" s="168">
        <f>Calculos!L7</f>
        <v>8.5</v>
      </c>
      <c r="L7" s="155"/>
      <c r="M7" s="156"/>
      <c r="N7" s="157"/>
      <c r="O7" s="157"/>
      <c r="P7" s="157"/>
      <c r="Q7" s="158"/>
      <c r="R7" s="159"/>
      <c r="S7" s="160"/>
    </row>
    <row r="8">
      <c r="A8" s="161">
        <f>Calculos!A8</f>
        <v>6</v>
      </c>
      <c r="B8" s="35">
        <f>Calculos!B8</f>
        <v>0.2006</v>
      </c>
      <c r="C8" s="37">
        <f>Calculos!C8</f>
        <v>0.5015</v>
      </c>
      <c r="D8" s="37" t="str">
        <f>Calculos!D8</f>
        <v>Sin aire</v>
      </c>
      <c r="E8" s="37">
        <f>Calculos!F8</f>
        <v>8.305</v>
      </c>
      <c r="F8" s="42">
        <f>Calculos!U8</f>
        <v>28.83333333</v>
      </c>
      <c r="G8" s="123">
        <f>Calculos!J8</f>
        <v>16.4375</v>
      </c>
      <c r="H8" s="162">
        <f>Calculos!L8</f>
        <v>7.5</v>
      </c>
    </row>
    <row r="9">
      <c r="A9" s="163">
        <f>Calculos!A9</f>
        <v>7</v>
      </c>
      <c r="B9" s="164">
        <f>Calculos!B9</f>
        <v>0.2816</v>
      </c>
      <c r="C9" s="165">
        <f>Calculos!C9</f>
        <v>0.704</v>
      </c>
      <c r="D9" s="165" t="str">
        <f>Calculos!D9</f>
        <v/>
      </c>
      <c r="E9" s="165">
        <f>Calculos!F9</f>
        <v>8.785</v>
      </c>
      <c r="F9" s="166">
        <f>Calculos!U9</f>
        <v>29.61666667</v>
      </c>
      <c r="G9" s="167">
        <f>Calculos!J9</f>
        <v>16.4375</v>
      </c>
      <c r="H9" s="168">
        <f>Calculos!L9</f>
        <v>7.5</v>
      </c>
    </row>
    <row r="10">
      <c r="A10" s="169">
        <f>Calculos!A10</f>
        <v>8</v>
      </c>
      <c r="B10" s="170">
        <f>Calculos!B10</f>
        <v>0.201</v>
      </c>
      <c r="C10" s="39">
        <f>Calculos!C10</f>
        <v>0.5025</v>
      </c>
      <c r="D10" s="39" t="str">
        <f>Calculos!D10</f>
        <v>aireado</v>
      </c>
      <c r="E10" s="39">
        <f>Calculos!F10</f>
        <v>9.175</v>
      </c>
      <c r="F10" s="171">
        <f>Calculos!U10</f>
        <v>32.9</v>
      </c>
      <c r="G10" s="172">
        <f>Calculos!J10</f>
        <v>16.4375</v>
      </c>
      <c r="H10" s="173">
        <f>Calculos!L10</f>
        <v>8</v>
      </c>
    </row>
    <row r="11">
      <c r="G11" s="174"/>
      <c r="H11" s="174"/>
    </row>
    <row r="13">
      <c r="B13" s="136" t="s">
        <v>69</v>
      </c>
      <c r="C13" s="136" t="s">
        <v>60</v>
      </c>
      <c r="D13" s="136" t="s">
        <v>47</v>
      </c>
      <c r="F13" s="120"/>
      <c r="G13" s="121"/>
      <c r="H13" s="121"/>
    </row>
    <row r="14">
      <c r="B14" s="124">
        <f t="shared" ref="B14:B17" si="1">(B3+B7)/2</f>
        <v>0.085</v>
      </c>
      <c r="C14" s="124">
        <f t="shared" ref="C14:C17" si="2">(H3+H7)/2</f>
        <v>8.5</v>
      </c>
      <c r="D14" s="124">
        <f t="shared" ref="D14:D17" si="3">STDEV(H3,H7)</f>
        <v>0</v>
      </c>
      <c r="F14" s="175"/>
      <c r="G14" s="176"/>
      <c r="H14" s="177"/>
    </row>
    <row r="15">
      <c r="B15" s="124">
        <f t="shared" si="1"/>
        <v>0.203</v>
      </c>
      <c r="C15" s="124">
        <f t="shared" si="2"/>
        <v>7.75</v>
      </c>
      <c r="D15" s="124">
        <f t="shared" si="3"/>
        <v>0.3535533906</v>
      </c>
      <c r="F15" s="175"/>
      <c r="G15" s="176"/>
      <c r="H15" s="178"/>
    </row>
    <row r="16">
      <c r="B16" s="124">
        <f t="shared" si="1"/>
        <v>0.2811</v>
      </c>
      <c r="C16" s="124">
        <f t="shared" si="2"/>
        <v>7.75</v>
      </c>
      <c r="D16" s="124">
        <f t="shared" si="3"/>
        <v>0.3535533906</v>
      </c>
      <c r="F16" s="175"/>
      <c r="G16" s="176"/>
      <c r="H16" s="178"/>
    </row>
    <row r="17">
      <c r="B17" s="124">
        <f t="shared" si="1"/>
        <v>0.2013</v>
      </c>
      <c r="C17" s="124">
        <f t="shared" si="2"/>
        <v>7.5</v>
      </c>
      <c r="D17" s="124">
        <f t="shared" si="3"/>
        <v>0.7071067812</v>
      </c>
    </row>
    <row r="18">
      <c r="A18" s="15" t="s">
        <v>5</v>
      </c>
      <c r="B18" s="16" t="s">
        <v>7</v>
      </c>
      <c r="C18" s="16" t="s">
        <v>13</v>
      </c>
    </row>
    <row r="19">
      <c r="A19" s="29"/>
      <c r="B19" s="29"/>
      <c r="C19" s="29"/>
    </row>
    <row r="20">
      <c r="A20" s="155">
        <f t="shared" ref="A20:A27" si="4">A3</f>
        <v>1</v>
      </c>
      <c r="B20" s="155">
        <f t="shared" ref="B20:B27" si="5">C3</f>
        <v>0.21325</v>
      </c>
      <c r="C20" s="179">
        <f>Calculos!I3</f>
        <v>0.04124970688</v>
      </c>
    </row>
    <row r="21">
      <c r="A21" s="161">
        <f t="shared" si="4"/>
        <v>2</v>
      </c>
      <c r="B21" s="161">
        <f t="shared" si="5"/>
        <v>0.5135</v>
      </c>
      <c r="C21" s="180">
        <f>Calculos!I4</f>
        <v>0.03461575682</v>
      </c>
    </row>
    <row r="22">
      <c r="A22" s="155">
        <f t="shared" si="4"/>
        <v>3</v>
      </c>
      <c r="B22" s="155">
        <f t="shared" si="5"/>
        <v>0.7015</v>
      </c>
      <c r="C22" s="179">
        <f>Calculos!I5</f>
        <v>0.03720973212</v>
      </c>
    </row>
    <row r="23">
      <c r="A23" s="161">
        <f t="shared" si="4"/>
        <v>4</v>
      </c>
      <c r="B23" s="161">
        <f t="shared" si="5"/>
        <v>0.504</v>
      </c>
      <c r="C23" s="180">
        <f>Calculos!I6</f>
        <v>0.02454413751</v>
      </c>
      <c r="E23" s="181" t="s">
        <v>70</v>
      </c>
      <c r="F23" s="181" t="s">
        <v>71</v>
      </c>
      <c r="G23" s="181" t="s">
        <v>72</v>
      </c>
      <c r="H23" s="181" t="s">
        <v>24</v>
      </c>
      <c r="I23" s="181" t="s">
        <v>73</v>
      </c>
      <c r="J23" s="181" t="s">
        <v>24</v>
      </c>
    </row>
    <row r="24">
      <c r="A24" s="163">
        <f t="shared" si="4"/>
        <v>5</v>
      </c>
      <c r="B24" s="164">
        <f t="shared" si="5"/>
        <v>0.21175</v>
      </c>
      <c r="C24" s="182">
        <f>Calculos!I7</f>
        <v>0.02573265207</v>
      </c>
      <c r="E24" s="183"/>
      <c r="F24" s="183"/>
      <c r="G24" s="183"/>
      <c r="H24" s="183"/>
      <c r="I24" s="183"/>
      <c r="J24" s="183"/>
    </row>
    <row r="25">
      <c r="A25" s="161">
        <f t="shared" si="4"/>
        <v>6</v>
      </c>
      <c r="B25" s="35">
        <f t="shared" si="5"/>
        <v>0.5015</v>
      </c>
      <c r="C25" s="184">
        <f>Calculos!I8</f>
        <v>0.02890245695</v>
      </c>
      <c r="E25" s="29"/>
      <c r="F25" s="29"/>
      <c r="G25" s="29"/>
      <c r="H25" s="29"/>
      <c r="I25" s="29"/>
      <c r="J25" s="29"/>
    </row>
    <row r="26">
      <c r="A26" s="163">
        <f t="shared" si="4"/>
        <v>7</v>
      </c>
      <c r="B26" s="164">
        <f t="shared" si="5"/>
        <v>0.704</v>
      </c>
      <c r="C26" s="182">
        <f>Calculos!I9</f>
        <v>0.02955433808</v>
      </c>
      <c r="E26" s="185">
        <f>(B4+B8)/2</f>
        <v>0.203</v>
      </c>
      <c r="F26" s="186" t="s">
        <v>74</v>
      </c>
      <c r="G26" s="187">
        <f>(C21+C25)/2</f>
        <v>0.03175910689</v>
      </c>
      <c r="H26" s="185">
        <f>STDEV(B21,B25)</f>
        <v>0.008485281374</v>
      </c>
      <c r="I26" s="185">
        <f>(H4+H8)/2</f>
        <v>7.75</v>
      </c>
      <c r="J26" s="185">
        <f>D15</f>
        <v>0.3535533906</v>
      </c>
    </row>
    <row r="27">
      <c r="A27" s="169">
        <f t="shared" si="4"/>
        <v>8</v>
      </c>
      <c r="B27" s="170">
        <f t="shared" si="5"/>
        <v>0.5025</v>
      </c>
      <c r="C27" s="188">
        <f>Calculos!I10</f>
        <v>0.0259143779</v>
      </c>
      <c r="E27" s="185">
        <f>(B6+B10)/2</f>
        <v>0.2013</v>
      </c>
      <c r="F27" s="186" t="s">
        <v>75</v>
      </c>
      <c r="G27" s="187">
        <f>(C23+C27)/2</f>
        <v>0.0252292577</v>
      </c>
      <c r="H27" s="185">
        <f>STDEV(B23,B27)</f>
        <v>0.001060660172</v>
      </c>
      <c r="I27" s="185">
        <f>(H6+H10)/2</f>
        <v>7.5</v>
      </c>
      <c r="J27" s="185">
        <f>D17</f>
        <v>0.7071067812</v>
      </c>
    </row>
    <row r="30">
      <c r="D30" s="136" t="s">
        <v>76</v>
      </c>
    </row>
    <row r="31">
      <c r="C31" s="189"/>
      <c r="D31" s="190" t="s">
        <v>77</v>
      </c>
      <c r="E31" s="190" t="s">
        <v>78</v>
      </c>
      <c r="F31" s="191" t="s">
        <v>79</v>
      </c>
      <c r="G31" s="190" t="s">
        <v>80</v>
      </c>
      <c r="H31" s="191" t="s">
        <v>81</v>
      </c>
      <c r="J31" s="136" t="s">
        <v>82</v>
      </c>
    </row>
    <row r="32">
      <c r="B32" s="136">
        <v>1.0</v>
      </c>
      <c r="C32" s="191">
        <f>C3</f>
        <v>0.21325</v>
      </c>
      <c r="D32" s="192">
        <f>'Corrida 1'!F4</f>
        <v>14.71666667</v>
      </c>
      <c r="E32" s="192">
        <f>'Corrida 1'!F5-D32</f>
        <v>1.8</v>
      </c>
      <c r="F32" s="192">
        <f>'Corrida 1'!F20-E32-D32</f>
        <v>12.9</v>
      </c>
      <c r="G32" s="193">
        <v>2.0</v>
      </c>
      <c r="H32" s="192">
        <f>'Corrida 1'!F26-'Corrida 1'!F20-G32</f>
        <v>27.58333333</v>
      </c>
      <c r="I32" s="194"/>
      <c r="J32" s="195">
        <f t="shared" ref="J32:J39" si="6">SUM(D32:I32)</f>
        <v>59</v>
      </c>
    </row>
    <row r="33">
      <c r="B33" s="136">
        <v>2.0</v>
      </c>
      <c r="C33" s="191" t="str">
        <f>CONCATENATE(B21," (Menos O2) ")</f>
        <v>0,5135 (Menos O2) </v>
      </c>
      <c r="D33" s="192">
        <f>'Corrida 2'!F3</f>
        <v>7.016666667</v>
      </c>
      <c r="E33" s="192">
        <f>'Corrida 2'!F7-'Corrida 2'!F3</f>
        <v>5</v>
      </c>
      <c r="F33" s="192">
        <f>'Corrida 2'!F25-'Corrida 2'!F7</f>
        <v>13.1</v>
      </c>
      <c r="G33" s="192">
        <f>'Corrida 2'!F26-'Corrida 2'!F25</f>
        <v>1.266666667</v>
      </c>
      <c r="H33" s="192">
        <f>'Corrida 2'!F30-'Corrida 2'!F25-G33</f>
        <v>9.833333333</v>
      </c>
      <c r="I33" s="194"/>
      <c r="J33" s="195">
        <f t="shared" si="6"/>
        <v>36.21666667</v>
      </c>
    </row>
    <row r="34">
      <c r="B34" s="136">
        <v>3.0</v>
      </c>
      <c r="C34" s="191">
        <f>C5</f>
        <v>0.7015</v>
      </c>
      <c r="D34" s="192">
        <f>'Corrida 3'!C2</f>
        <v>4.683333333</v>
      </c>
      <c r="E34" s="192">
        <f>'Corrida 3'!C5-'Corrida 3'!C3</f>
        <v>4.233333333</v>
      </c>
      <c r="F34" s="192">
        <f>'Corrida 3'!C24-'Corrida 3'!C5</f>
        <v>14.45</v>
      </c>
      <c r="G34" s="192">
        <f>'Corrida 3'!E25-'Corrida 3'!E24</f>
        <v>1.695611635</v>
      </c>
      <c r="H34" s="192">
        <f>'Corrida 3'!C30-'Corrida 3'!C24-G34</f>
        <v>24.67105503</v>
      </c>
      <c r="I34" s="194"/>
      <c r="J34" s="195">
        <f t="shared" si="6"/>
        <v>49.73333333</v>
      </c>
    </row>
    <row r="35">
      <c r="B35" s="136">
        <v>4.0</v>
      </c>
      <c r="C35" s="191" t="str">
        <f>CONCATENATE(B23," (Mas O2) ")</f>
        <v>0,504 (Mas O2) </v>
      </c>
      <c r="D35" s="192">
        <f>'Corrida 4'!D3</f>
        <v>6.383333333</v>
      </c>
      <c r="E35" s="192">
        <f>'Corrida 4'!D5-'Corrida 4'!D3</f>
        <v>6.833333333</v>
      </c>
      <c r="F35" s="192">
        <f>'Corrida 4'!D19-'Corrida 4'!D5</f>
        <v>13.8</v>
      </c>
      <c r="G35" s="192">
        <f>'Corrida 4'!D20-'Corrida 4'!D19</f>
        <v>2.666666667</v>
      </c>
      <c r="H35" s="192">
        <f>'Corrida 4'!D22-'Corrida 4'!D20</f>
        <v>21.56666667</v>
      </c>
      <c r="I35" s="194"/>
      <c r="J35" s="195">
        <f t="shared" si="6"/>
        <v>51.25</v>
      </c>
    </row>
    <row r="36">
      <c r="B36" s="136">
        <v>5.0</v>
      </c>
      <c r="C36" s="191">
        <f>C7</f>
        <v>0.21175</v>
      </c>
      <c r="D36" s="192">
        <f>'Corrida 5'!D3</f>
        <v>15.33333333</v>
      </c>
      <c r="E36" s="192">
        <f>'Corrida 5'!D6-'Corrida 5'!D3</f>
        <v>4.5</v>
      </c>
      <c r="F36" s="192">
        <f>'Corrida 5'!D25-'Corrida 5'!D6</f>
        <v>15.08333333</v>
      </c>
      <c r="G36" s="192">
        <f>'Corrida 5'!D26-'Corrida 5'!D25</f>
        <v>3.083333333</v>
      </c>
      <c r="H36" s="192">
        <f>'Corrida 5'!D30-'Corrida 5'!D26</f>
        <v>10.16666667</v>
      </c>
      <c r="I36" s="194"/>
      <c r="J36" s="195">
        <f t="shared" si="6"/>
        <v>48.16666667</v>
      </c>
    </row>
    <row r="37">
      <c r="B37" s="136">
        <v>6.0</v>
      </c>
      <c r="C37" s="191" t="str">
        <f>CONCATENATE(B25," (Menos O2) ")</f>
        <v>0,5015 (Menos O2) </v>
      </c>
      <c r="D37" s="192">
        <f>'Corrida 6'!G3</f>
        <v>8.883333333</v>
      </c>
      <c r="E37" s="192">
        <f>'Corrida 6'!G7-'Corrida 6'!G3</f>
        <v>6.216666667</v>
      </c>
      <c r="F37" s="192">
        <f>'Corrida 6'!G22-'Corrida 6'!G7</f>
        <v>13.73333333</v>
      </c>
      <c r="G37" s="192">
        <f>'Corrida 6'!G23-'Corrida 6'!G22</f>
        <v>2.1</v>
      </c>
      <c r="H37" s="192">
        <f>'Corrida 6'!G26-'Corrida 6'!G23</f>
        <v>20.51666667</v>
      </c>
      <c r="I37" s="194"/>
      <c r="J37" s="195">
        <f t="shared" si="6"/>
        <v>51.45</v>
      </c>
    </row>
    <row r="38">
      <c r="B38" s="136">
        <v>7.0</v>
      </c>
      <c r="C38" s="191">
        <f>C9</f>
        <v>0.704</v>
      </c>
      <c r="D38" s="192">
        <f>'Corrida 7'!F2</f>
        <v>10.2</v>
      </c>
      <c r="E38" s="192">
        <f>'Corrida 7'!F4-'Corrida 7'!F2</f>
        <v>4.916666667</v>
      </c>
      <c r="F38" s="192">
        <f>'Corrida 7'!F23-'Corrida 7'!F4</f>
        <v>14.5</v>
      </c>
      <c r="G38" s="192">
        <f>'Corrida 7'!F24-'Corrida 7'!F23</f>
        <v>2.5</v>
      </c>
      <c r="H38" s="192">
        <f>'Corrida 7'!F27-'Corrida 7'!F24</f>
        <v>19.83333333</v>
      </c>
      <c r="I38" s="194"/>
      <c r="J38" s="195">
        <f t="shared" si="6"/>
        <v>51.95</v>
      </c>
    </row>
    <row r="39">
      <c r="B39" s="136">
        <v>8.0</v>
      </c>
      <c r="C39" s="191" t="str">
        <f>CONCATENATE(B27," (Mas O2) ")</f>
        <v>0,5025 (Mas O2) </v>
      </c>
      <c r="D39" s="192">
        <f>'Corrida 8'!D3</f>
        <v>8.583333333</v>
      </c>
      <c r="E39" s="192">
        <f>'Corrida 8'!D4-'Corrida 8'!D3</f>
        <v>2.1</v>
      </c>
      <c r="F39" s="192">
        <f>'Corrida 8'!D20-'Corrida 8'!D5</f>
        <v>20.88333333</v>
      </c>
      <c r="G39" s="192">
        <f>-'Corrida 8'!D21+'Corrida 8'!D22</f>
        <v>3.45</v>
      </c>
      <c r="H39" s="192">
        <f>'Corrida 8'!D23-'Corrida 8'!D22-G39</f>
        <v>19.05</v>
      </c>
      <c r="I39" s="194"/>
      <c r="J39" s="195">
        <f t="shared" si="6"/>
        <v>54.06666667</v>
      </c>
    </row>
  </sheetData>
  <mergeCells count="16">
    <mergeCell ref="A1:A2"/>
    <mergeCell ref="B1:B2"/>
    <mergeCell ref="C1:C2"/>
    <mergeCell ref="D1:D2"/>
    <mergeCell ref="E1:E2"/>
    <mergeCell ref="F1:F2"/>
    <mergeCell ref="G1:H1"/>
    <mergeCell ref="I23:I25"/>
    <mergeCell ref="J23:J25"/>
    <mergeCell ref="A18:A19"/>
    <mergeCell ref="B18:B19"/>
    <mergeCell ref="C18:C19"/>
    <mergeCell ref="E23:E25"/>
    <mergeCell ref="F23:F25"/>
    <mergeCell ref="G23:G25"/>
    <mergeCell ref="H23:H25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3" max="5" width="10.86"/>
  </cols>
  <sheetData>
    <row r="1">
      <c r="A1" s="147" t="s">
        <v>83</v>
      </c>
      <c r="B1" s="196" t="s">
        <v>84</v>
      </c>
      <c r="C1" s="135" t="s">
        <v>85</v>
      </c>
      <c r="D1" s="135" t="s">
        <v>86</v>
      </c>
      <c r="E1" s="135" t="s">
        <v>87</v>
      </c>
      <c r="F1" s="136" t="s">
        <v>88</v>
      </c>
      <c r="G1" s="197" t="s">
        <v>89</v>
      </c>
      <c r="H1" s="197" t="s">
        <v>90</v>
      </c>
      <c r="I1" s="198" t="s">
        <v>91</v>
      </c>
      <c r="J1" s="25" t="s">
        <v>92</v>
      </c>
      <c r="K1" s="25" t="s">
        <v>93</v>
      </c>
      <c r="L1" s="25" t="s">
        <v>94</v>
      </c>
      <c r="M1" s="25" t="s">
        <v>95</v>
      </c>
      <c r="N1" s="25" t="s">
        <v>96</v>
      </c>
    </row>
    <row r="2">
      <c r="A2" s="199">
        <v>44482.51736111111</v>
      </c>
      <c r="B2" s="200">
        <f>A2-$A$2</f>
        <v>0</v>
      </c>
      <c r="C2" s="201">
        <f>days(A2,$A$2)</f>
        <v>0</v>
      </c>
      <c r="D2" s="201">
        <v>12.0</v>
      </c>
      <c r="E2" s="202">
        <v>25.0</v>
      </c>
      <c r="F2" s="203">
        <f>C2*24+D2+E2/60</f>
        <v>12.41666667</v>
      </c>
      <c r="G2" s="149">
        <v>0.0</v>
      </c>
      <c r="H2" s="149">
        <f>G2</f>
        <v>0</v>
      </c>
      <c r="I2" s="124">
        <f>(H2/1000)/(Calculos!$A$28*Calculos!$B$28)</f>
        <v>0</v>
      </c>
      <c r="J2" s="124">
        <f>(I2*Calculos!$C$28)/(0.4)</f>
        <v>0</v>
      </c>
      <c r="K2" s="124">
        <f>I2/0.4</f>
        <v>0</v>
      </c>
      <c r="L2" s="124">
        <f>-ln(1-K2/(Calculos!$D$34*2))</f>
        <v>0</v>
      </c>
      <c r="M2" s="124">
        <f>Calculos!$D$34-K2/2</f>
        <v>0.9754115877</v>
      </c>
      <c r="N2" s="124">
        <f>SLOPE(L6:L20,F6:F20)</f>
        <v>0.04124970688</v>
      </c>
    </row>
    <row r="3">
      <c r="A3" s="199"/>
      <c r="B3" s="200"/>
      <c r="C3" s="135">
        <v>0.0</v>
      </c>
      <c r="D3" s="135">
        <v>12.0</v>
      </c>
      <c r="E3" s="135">
        <v>25.0</v>
      </c>
      <c r="F3" s="124">
        <f t="shared" ref="F3:F26" si="1">(C3*24+D3+E3/60)-$F$2</f>
        <v>0</v>
      </c>
      <c r="G3" s="150">
        <v>0.0</v>
      </c>
      <c r="H3" s="150">
        <v>0.0</v>
      </c>
      <c r="I3" s="136">
        <v>0.0</v>
      </c>
      <c r="J3" s="136">
        <v>0.0</v>
      </c>
      <c r="K3" s="136">
        <v>0.0</v>
      </c>
      <c r="L3" s="124">
        <f>-ln(1-K3/(Calculos!$D$34*2))</f>
        <v>0</v>
      </c>
      <c r="M3" s="124">
        <f>Calculos!$D$34-K3/2</f>
        <v>0.9754115877</v>
      </c>
    </row>
    <row r="4">
      <c r="A4" s="199">
        <v>44483.13055555556</v>
      </c>
      <c r="B4" s="200">
        <f t="shared" ref="B4:B26" si="2">A4-$A$2</f>
        <v>0.6131944444</v>
      </c>
      <c r="C4" s="135">
        <v>1.0</v>
      </c>
      <c r="D4" s="175">
        <v>3.0</v>
      </c>
      <c r="E4" s="175">
        <v>8.0</v>
      </c>
      <c r="F4" s="124">
        <f t="shared" si="1"/>
        <v>14.71666667</v>
      </c>
      <c r="G4" s="149">
        <v>250.0</v>
      </c>
      <c r="H4" s="149">
        <f t="shared" ref="H4:H26" si="3">G4+H3</f>
        <v>250</v>
      </c>
      <c r="I4" s="124">
        <f>(H4/1000)/(Calculos!$A$28*Calculos!$B$28)</f>
        <v>0.01022364298</v>
      </c>
      <c r="J4" s="124">
        <f>(I4*Calculos!$C$28)/(0.4)</f>
        <v>1.17750808</v>
      </c>
      <c r="K4" s="124">
        <f t="shared" ref="K4:K26" si="4">I4/0.4</f>
        <v>0.02555910744</v>
      </c>
      <c r="L4" s="124">
        <f>-ln(1-K4/(Calculos!$D$34*2))</f>
        <v>0.01318828824</v>
      </c>
      <c r="M4" s="124">
        <f>Calculos!$D$34-K4/2</f>
        <v>0.962632034</v>
      </c>
    </row>
    <row r="5">
      <c r="A5" s="199">
        <v>44483.205555555556</v>
      </c>
      <c r="B5" s="200">
        <f t="shared" si="2"/>
        <v>0.6881944444</v>
      </c>
      <c r="C5" s="135">
        <v>1.0</v>
      </c>
      <c r="D5" s="175">
        <v>4.0</v>
      </c>
      <c r="E5" s="175">
        <v>56.0</v>
      </c>
      <c r="F5" s="124">
        <f t="shared" si="1"/>
        <v>16.51666667</v>
      </c>
      <c r="G5" s="149">
        <v>500.0</v>
      </c>
      <c r="H5" s="149">
        <f t="shared" si="3"/>
        <v>750</v>
      </c>
      <c r="I5" s="124">
        <f>(H5/1000)/(Calculos!$A$28*Calculos!$B$28)</f>
        <v>0.03067092893</v>
      </c>
      <c r="J5" s="124">
        <f>(I5*Calculos!$C$28)/(0.4)</f>
        <v>3.532524239</v>
      </c>
      <c r="K5" s="124">
        <f t="shared" si="4"/>
        <v>0.07667732231</v>
      </c>
      <c r="L5" s="124">
        <f>-ln(1-K5/(Calculos!$D$34*2))</f>
        <v>0.04009841412</v>
      </c>
      <c r="M5" s="124">
        <f>Calculos!$D$34-K5/2</f>
        <v>0.9370729266</v>
      </c>
    </row>
    <row r="6">
      <c r="A6" s="204">
        <v>44483.243055555555</v>
      </c>
      <c r="B6" s="205">
        <f t="shared" si="2"/>
        <v>0.7256944444</v>
      </c>
      <c r="C6" s="206">
        <v>1.0</v>
      </c>
      <c r="D6" s="207">
        <v>5.0</v>
      </c>
      <c r="E6" s="207">
        <v>50.0</v>
      </c>
      <c r="F6" s="208">
        <f t="shared" si="1"/>
        <v>17.41666667</v>
      </c>
      <c r="G6" s="209">
        <v>400.0</v>
      </c>
      <c r="H6" s="209">
        <f t="shared" si="3"/>
        <v>1150</v>
      </c>
      <c r="I6" s="208">
        <f>(H6/1000)/(Calculos!$A$28*Calculos!$B$28)</f>
        <v>0.04702875769</v>
      </c>
      <c r="J6" s="208">
        <f>(I6*Calculos!$C$28)/(0.4)</f>
        <v>5.416537167</v>
      </c>
      <c r="K6" s="208">
        <f t="shared" si="4"/>
        <v>0.1175718942</v>
      </c>
      <c r="L6" s="124">
        <f>-ln(1-K6/(Calculos!$D$34*2))</f>
        <v>0.06216037788</v>
      </c>
      <c r="M6" s="208">
        <f>Calculos!$D$34-K6/2</f>
        <v>0.9166256406</v>
      </c>
    </row>
    <row r="7">
      <c r="A7" s="204">
        <v>44483.28472222222</v>
      </c>
      <c r="B7" s="205">
        <f t="shared" si="2"/>
        <v>0.7673611111</v>
      </c>
      <c r="C7" s="206">
        <v>1.0</v>
      </c>
      <c r="D7" s="207">
        <v>6.0</v>
      </c>
      <c r="E7" s="207">
        <v>50.0</v>
      </c>
      <c r="F7" s="208">
        <f t="shared" si="1"/>
        <v>18.41666667</v>
      </c>
      <c r="G7" s="209">
        <v>500.0</v>
      </c>
      <c r="H7" s="209">
        <f t="shared" si="3"/>
        <v>1650</v>
      </c>
      <c r="I7" s="208">
        <f>(H7/1000)/(Calculos!$A$28*Calculos!$B$28)</f>
        <v>0.06747604364</v>
      </c>
      <c r="J7" s="208">
        <f>(I7*Calculos!$C$28)/(0.4)</f>
        <v>7.771553326</v>
      </c>
      <c r="K7" s="208">
        <f t="shared" si="4"/>
        <v>0.1686901091</v>
      </c>
      <c r="L7" s="124">
        <f>-ln(1-K7/(Calculos!$D$34*2))</f>
        <v>0.09044042601</v>
      </c>
      <c r="M7" s="208">
        <f>Calculos!$D$34-K7/2</f>
        <v>0.8910665332</v>
      </c>
    </row>
    <row r="8">
      <c r="A8" s="204">
        <v>44483.316666666666</v>
      </c>
      <c r="B8" s="205">
        <f t="shared" si="2"/>
        <v>0.7993055556</v>
      </c>
      <c r="C8" s="206">
        <v>1.0</v>
      </c>
      <c r="D8" s="207">
        <v>7.0</v>
      </c>
      <c r="E8" s="207">
        <v>36.0</v>
      </c>
      <c r="F8" s="208">
        <f t="shared" si="1"/>
        <v>19.18333333</v>
      </c>
      <c r="G8" s="209">
        <v>400.0</v>
      </c>
      <c r="H8" s="209">
        <f t="shared" si="3"/>
        <v>2050</v>
      </c>
      <c r="I8" s="208">
        <f>(H8/1000)/(Calculos!$A$28*Calculos!$B$28)</f>
        <v>0.0838338724</v>
      </c>
      <c r="J8" s="208">
        <f>(I8*Calculos!$C$28)/(0.4)</f>
        <v>9.655566253</v>
      </c>
      <c r="K8" s="208">
        <f t="shared" si="4"/>
        <v>0.209584681</v>
      </c>
      <c r="L8" s="124">
        <f>-ln(1-K8/(Calculos!$D$34*2))</f>
        <v>0.1136547863</v>
      </c>
      <c r="M8" s="208">
        <f>Calculos!$D$34-K8/2</f>
        <v>0.8706192472</v>
      </c>
    </row>
    <row r="9">
      <c r="A9" s="204">
        <v>44483.35902777778</v>
      </c>
      <c r="B9" s="205">
        <f t="shared" si="2"/>
        <v>0.8416666667</v>
      </c>
      <c r="C9" s="206">
        <v>1.0</v>
      </c>
      <c r="D9" s="207">
        <v>8.0</v>
      </c>
      <c r="E9" s="207">
        <v>37.0</v>
      </c>
      <c r="F9" s="208">
        <f t="shared" si="1"/>
        <v>20.2</v>
      </c>
      <c r="G9" s="209">
        <v>500.0</v>
      </c>
      <c r="H9" s="209">
        <f t="shared" si="3"/>
        <v>2550</v>
      </c>
      <c r="I9" s="208">
        <f>(H9/1000)/(Calculos!$A$28*Calculos!$B$28)</f>
        <v>0.1042811583</v>
      </c>
      <c r="J9" s="208">
        <f>(I9*Calculos!$C$28)/(0.4)</f>
        <v>12.01058241</v>
      </c>
      <c r="K9" s="208">
        <f t="shared" si="4"/>
        <v>0.2607028959</v>
      </c>
      <c r="L9" s="124">
        <f>-ln(1-K9/(Calculos!$D$34*2))</f>
        <v>0.143451727</v>
      </c>
      <c r="M9" s="208">
        <f>Calculos!$D$34-K9/2</f>
        <v>0.8450601398</v>
      </c>
    </row>
    <row r="10">
      <c r="A10" s="204">
        <v>44483.39166666667</v>
      </c>
      <c r="B10" s="205">
        <f t="shared" si="2"/>
        <v>0.8743055556</v>
      </c>
      <c r="C10" s="206">
        <v>1.0</v>
      </c>
      <c r="D10" s="207">
        <v>9.0</v>
      </c>
      <c r="E10" s="207">
        <v>24.0</v>
      </c>
      <c r="F10" s="208">
        <f t="shared" si="1"/>
        <v>20.98333333</v>
      </c>
      <c r="G10" s="209">
        <v>500.0</v>
      </c>
      <c r="H10" s="209">
        <f t="shared" si="3"/>
        <v>3050</v>
      </c>
      <c r="I10" s="208">
        <f>(H10/1000)/(Calculos!$A$28*Calculos!$B$28)</f>
        <v>0.1247284443</v>
      </c>
      <c r="J10" s="208">
        <f>(I10*Calculos!$C$28)/(0.4)</f>
        <v>14.36559857</v>
      </c>
      <c r="K10" s="208">
        <f t="shared" si="4"/>
        <v>0.3118211107</v>
      </c>
      <c r="L10" s="124">
        <f>-ln(1-K10/(Calculos!$D$34*2))</f>
        <v>0.1741638653</v>
      </c>
      <c r="M10" s="208">
        <f>Calculos!$D$34-K10/2</f>
        <v>0.8195010324</v>
      </c>
    </row>
    <row r="11">
      <c r="A11" s="204">
        <v>44483.42013888889</v>
      </c>
      <c r="B11" s="205">
        <f t="shared" si="2"/>
        <v>0.9027777778</v>
      </c>
      <c r="C11" s="206">
        <v>1.0</v>
      </c>
      <c r="D11" s="207">
        <v>10.0</v>
      </c>
      <c r="E11" s="207">
        <v>5.0</v>
      </c>
      <c r="F11" s="208">
        <f t="shared" si="1"/>
        <v>21.66666667</v>
      </c>
      <c r="G11" s="209">
        <v>500.0</v>
      </c>
      <c r="H11" s="209">
        <f t="shared" si="3"/>
        <v>3550</v>
      </c>
      <c r="I11" s="208">
        <f>(H11/1000)/(Calculos!$A$28*Calculos!$B$28)</f>
        <v>0.1451757302</v>
      </c>
      <c r="J11" s="208">
        <f>(I11*Calculos!$C$28)/(0.4)</f>
        <v>16.72061473</v>
      </c>
      <c r="K11" s="208">
        <f t="shared" si="4"/>
        <v>0.3629393256</v>
      </c>
      <c r="L11" s="124">
        <f>-ln(1-K11/(Calculos!$D$34*2))</f>
        <v>0.205849207</v>
      </c>
      <c r="M11" s="208">
        <f>Calculos!$D$34-K11/2</f>
        <v>0.7939419249</v>
      </c>
    </row>
    <row r="12">
      <c r="A12" s="204">
        <v>44483.45416666667</v>
      </c>
      <c r="B12" s="205">
        <f t="shared" si="2"/>
        <v>0.9368055556</v>
      </c>
      <c r="C12" s="206">
        <v>1.0</v>
      </c>
      <c r="D12" s="207">
        <v>10.0</v>
      </c>
      <c r="E12" s="207">
        <v>54.0</v>
      </c>
      <c r="F12" s="208">
        <f t="shared" si="1"/>
        <v>22.48333333</v>
      </c>
      <c r="G12" s="209">
        <v>500.0</v>
      </c>
      <c r="H12" s="209">
        <f t="shared" si="3"/>
        <v>4050</v>
      </c>
      <c r="I12" s="208">
        <f>(H12/1000)/(Calculos!$A$28*Calculos!$B$28)</f>
        <v>0.1656230162</v>
      </c>
      <c r="J12" s="208">
        <f>(I12*Calculos!$C$28)/(0.4)</f>
        <v>19.07563089</v>
      </c>
      <c r="K12" s="208">
        <f t="shared" si="4"/>
        <v>0.4140575405</v>
      </c>
      <c r="L12" s="124">
        <f>-ln(1-K12/(Calculos!$D$34*2))</f>
        <v>0.238571454</v>
      </c>
      <c r="M12" s="208">
        <f>Calculos!$D$34-K12/2</f>
        <v>0.7683828175</v>
      </c>
    </row>
    <row r="13">
      <c r="A13" s="204">
        <v>44483.49444444444</v>
      </c>
      <c r="B13" s="205">
        <f t="shared" si="2"/>
        <v>0.9770833333</v>
      </c>
      <c r="C13" s="206">
        <v>1.0</v>
      </c>
      <c r="D13" s="207">
        <v>11.0</v>
      </c>
      <c r="E13" s="207">
        <v>52.0</v>
      </c>
      <c r="F13" s="208">
        <f t="shared" si="1"/>
        <v>23.45</v>
      </c>
      <c r="G13" s="209">
        <v>500.0</v>
      </c>
      <c r="H13" s="209">
        <f t="shared" si="3"/>
        <v>4550</v>
      </c>
      <c r="I13" s="208">
        <f>(H13/1000)/(Calculos!$A$28*Calculos!$B$28)</f>
        <v>0.1860703021</v>
      </c>
      <c r="J13" s="208">
        <f>(I13*Calculos!$C$28)/(0.4)</f>
        <v>21.43064705</v>
      </c>
      <c r="K13" s="208">
        <f t="shared" si="4"/>
        <v>0.4651757554</v>
      </c>
      <c r="L13" s="124">
        <f>-ln(1-K13/(Calculos!$D$34*2))</f>
        <v>0.2724007744</v>
      </c>
      <c r="M13" s="208">
        <f>Calculos!$D$34-K13/2</f>
        <v>0.74282371</v>
      </c>
    </row>
    <row r="14">
      <c r="A14" s="204">
        <v>44483.52638888889</v>
      </c>
      <c r="B14" s="205">
        <f t="shared" si="2"/>
        <v>1.009027778</v>
      </c>
      <c r="C14" s="206">
        <f t="shared" ref="C14:C23" si="5">days(A14,$A$2)</f>
        <v>1</v>
      </c>
      <c r="D14" s="207">
        <v>12.0</v>
      </c>
      <c r="E14" s="207">
        <v>38.0</v>
      </c>
      <c r="F14" s="208">
        <f t="shared" si="1"/>
        <v>24.21666667</v>
      </c>
      <c r="G14" s="209">
        <v>500.0</v>
      </c>
      <c r="H14" s="209">
        <f t="shared" si="3"/>
        <v>5050</v>
      </c>
      <c r="I14" s="208">
        <f>(H14/1000)/(Calculos!$A$28*Calculos!$B$28)</f>
        <v>0.2065175881</v>
      </c>
      <c r="J14" s="208">
        <f>(I14*Calculos!$C$28)/(0.4)</f>
        <v>23.78566321</v>
      </c>
      <c r="K14" s="208">
        <f t="shared" si="4"/>
        <v>0.5162939703</v>
      </c>
      <c r="L14" s="124">
        <f>-ln(1-K14/(Calculos!$D$34*2))</f>
        <v>0.3074147094</v>
      </c>
      <c r="M14" s="208">
        <f>Calculos!$D$34-K14/2</f>
        <v>0.7172646026</v>
      </c>
    </row>
    <row r="15">
      <c r="A15" s="204">
        <v>44483.55763888889</v>
      </c>
      <c r="B15" s="205">
        <f t="shared" si="2"/>
        <v>1.040277778</v>
      </c>
      <c r="C15" s="206">
        <f t="shared" si="5"/>
        <v>1</v>
      </c>
      <c r="D15" s="207">
        <v>13.0</v>
      </c>
      <c r="E15" s="207">
        <v>23.0</v>
      </c>
      <c r="F15" s="208">
        <f t="shared" si="1"/>
        <v>24.96666667</v>
      </c>
      <c r="G15" s="209">
        <v>500.0</v>
      </c>
      <c r="H15" s="209">
        <f t="shared" si="3"/>
        <v>5550</v>
      </c>
      <c r="I15" s="208">
        <f>(H15/1000)/(Calculos!$A$28*Calculos!$B$28)</f>
        <v>0.2269648741</v>
      </c>
      <c r="J15" s="208">
        <f>(I15*Calculos!$C$28)/(0.4)</f>
        <v>26.14067937</v>
      </c>
      <c r="K15" s="208">
        <f t="shared" si="4"/>
        <v>0.5674121851</v>
      </c>
      <c r="L15" s="124">
        <f>-ln(1-K15/(Calculos!$D$34*2))</f>
        <v>0.3436992432</v>
      </c>
      <c r="M15" s="208">
        <f>Calculos!$D$34-K15/2</f>
        <v>0.6917054952</v>
      </c>
    </row>
    <row r="16">
      <c r="A16" s="204">
        <v>44483.592361111114</v>
      </c>
      <c r="B16" s="205">
        <f t="shared" si="2"/>
        <v>1.075</v>
      </c>
      <c r="C16" s="206">
        <f t="shared" si="5"/>
        <v>1</v>
      </c>
      <c r="D16" s="207">
        <v>14.0</v>
      </c>
      <c r="E16" s="207">
        <v>13.0</v>
      </c>
      <c r="F16" s="208">
        <f t="shared" si="1"/>
        <v>25.8</v>
      </c>
      <c r="G16" s="209">
        <v>500.0</v>
      </c>
      <c r="H16" s="209">
        <f t="shared" si="3"/>
        <v>6050</v>
      </c>
      <c r="I16" s="208">
        <f>(H16/1000)/(Calculos!$A$28*Calculos!$B$28)</f>
        <v>0.24741216</v>
      </c>
      <c r="J16" s="208">
        <f>(I16*Calculos!$C$28)/(0.4)</f>
        <v>28.49569553</v>
      </c>
      <c r="K16" s="208">
        <f t="shared" si="4"/>
        <v>0.6185304</v>
      </c>
      <c r="L16" s="124">
        <f>-ln(1-K16/(Calculos!$D$34*2))</f>
        <v>0.3813500754</v>
      </c>
      <c r="M16" s="208">
        <f>Calculos!$D$34-K16/2</f>
        <v>0.6661463877</v>
      </c>
    </row>
    <row r="17">
      <c r="A17" s="204">
        <v>44483.625</v>
      </c>
      <c r="B17" s="205">
        <f t="shared" si="2"/>
        <v>1.107638889</v>
      </c>
      <c r="C17" s="206">
        <f t="shared" si="5"/>
        <v>1</v>
      </c>
      <c r="D17" s="207">
        <v>15.0</v>
      </c>
      <c r="E17" s="207">
        <v>0.0</v>
      </c>
      <c r="F17" s="208">
        <f t="shared" si="1"/>
        <v>26.58333333</v>
      </c>
      <c r="G17" s="209">
        <v>500.0</v>
      </c>
      <c r="H17" s="209">
        <f t="shared" si="3"/>
        <v>6550</v>
      </c>
      <c r="I17" s="208">
        <f>(H17/1000)/(Calculos!$A$28*Calculos!$B$28)</f>
        <v>0.267859446</v>
      </c>
      <c r="J17" s="208">
        <f>(I17*Calculos!$C$28)/(0.4)</f>
        <v>30.85071169</v>
      </c>
      <c r="K17" s="208">
        <f t="shared" si="4"/>
        <v>0.6696486149</v>
      </c>
      <c r="L17" s="124">
        <f>-ln(1-K17/(Calculos!$D$34*2))</f>
        <v>0.4204741421</v>
      </c>
      <c r="M17" s="208">
        <f>Calculos!$D$34-K17/2</f>
        <v>0.6405872803</v>
      </c>
    </row>
    <row r="18">
      <c r="A18" s="204">
        <v>44483.666666666664</v>
      </c>
      <c r="B18" s="205">
        <f t="shared" si="2"/>
        <v>1.149305556</v>
      </c>
      <c r="C18" s="206">
        <f t="shared" si="5"/>
        <v>1</v>
      </c>
      <c r="D18" s="207">
        <v>16.0</v>
      </c>
      <c r="E18" s="207">
        <v>0.0</v>
      </c>
      <c r="F18" s="208">
        <f t="shared" si="1"/>
        <v>27.58333333</v>
      </c>
      <c r="G18" s="209">
        <v>500.0</v>
      </c>
      <c r="H18" s="209">
        <f t="shared" si="3"/>
        <v>7050</v>
      </c>
      <c r="I18" s="208">
        <f>(H18/1000)/(Calculos!$A$28*Calculos!$B$28)</f>
        <v>0.2883067319</v>
      </c>
      <c r="J18" s="208">
        <f>(I18*Calculos!$C$28)/(0.4)</f>
        <v>33.20572785</v>
      </c>
      <c r="K18" s="208">
        <f t="shared" si="4"/>
        <v>0.7207668298</v>
      </c>
      <c r="L18" s="124">
        <f>-ln(1-K18/(Calculos!$D$34*2))</f>
        <v>0.4611914469</v>
      </c>
      <c r="M18" s="208">
        <f>Calculos!$D$34-K18/2</f>
        <v>0.6150281729</v>
      </c>
    </row>
    <row r="19">
      <c r="A19" s="204">
        <v>44483.705555555556</v>
      </c>
      <c r="B19" s="205">
        <f t="shared" si="2"/>
        <v>1.188194444</v>
      </c>
      <c r="C19" s="206">
        <f t="shared" si="5"/>
        <v>1</v>
      </c>
      <c r="D19" s="207">
        <v>16.0</v>
      </c>
      <c r="E19" s="207">
        <v>56.0</v>
      </c>
      <c r="F19" s="208">
        <f t="shared" si="1"/>
        <v>28.51666667</v>
      </c>
      <c r="G19" s="209">
        <v>500.0</v>
      </c>
      <c r="H19" s="209">
        <f t="shared" si="3"/>
        <v>7550</v>
      </c>
      <c r="I19" s="208">
        <f>(H19/1000)/(Calculos!$A$28*Calculos!$B$28)</f>
        <v>0.3087540179</v>
      </c>
      <c r="J19" s="208">
        <f>(I19*Calculos!$C$28)/(0.4)</f>
        <v>35.56074401</v>
      </c>
      <c r="K19" s="208">
        <f t="shared" si="4"/>
        <v>0.7718850446</v>
      </c>
      <c r="L19" s="124">
        <f>-ln(1-K19/(Calculos!$D$34*2))</f>
        <v>0.5036372806</v>
      </c>
      <c r="M19" s="208">
        <f>Calculos!$D$34-K19/2</f>
        <v>0.5894690654</v>
      </c>
    </row>
    <row r="20">
      <c r="A20" s="204">
        <v>44483.743055555555</v>
      </c>
      <c r="B20" s="205">
        <f t="shared" si="2"/>
        <v>1.225694444</v>
      </c>
      <c r="C20" s="206">
        <f t="shared" si="5"/>
        <v>1</v>
      </c>
      <c r="D20" s="207">
        <v>17.0</v>
      </c>
      <c r="E20" s="207">
        <v>50.0</v>
      </c>
      <c r="F20" s="208">
        <f t="shared" si="1"/>
        <v>29.41666667</v>
      </c>
      <c r="G20" s="209">
        <v>500.0</v>
      </c>
      <c r="H20" s="209">
        <f t="shared" si="3"/>
        <v>8050</v>
      </c>
      <c r="I20" s="208">
        <f>(H20/1000)/(Calculos!$A$28*Calculos!$B$28)</f>
        <v>0.3292013038</v>
      </c>
      <c r="J20" s="208">
        <f>(I20*Calculos!$C$28)/(0.4)</f>
        <v>37.91576017</v>
      </c>
      <c r="K20" s="208">
        <f t="shared" si="4"/>
        <v>0.8230032595</v>
      </c>
      <c r="L20" s="124">
        <f>-ln(1-K20/(Calculos!$D$34*2))</f>
        <v>0.5479649334</v>
      </c>
      <c r="M20" s="208">
        <f>Calculos!$D$34-K20/2</f>
        <v>0.563909958</v>
      </c>
    </row>
    <row r="21">
      <c r="A21" s="199">
        <v>44483.788194444445</v>
      </c>
      <c r="B21" s="200">
        <f t="shared" si="2"/>
        <v>1.270833333</v>
      </c>
      <c r="C21" s="135">
        <f t="shared" si="5"/>
        <v>1</v>
      </c>
      <c r="D21" s="175">
        <v>18.0</v>
      </c>
      <c r="E21" s="175">
        <v>55.0</v>
      </c>
      <c r="F21" s="124">
        <f t="shared" si="1"/>
        <v>30.5</v>
      </c>
      <c r="G21" s="149">
        <v>500.0</v>
      </c>
      <c r="H21" s="149">
        <f t="shared" si="3"/>
        <v>8550</v>
      </c>
      <c r="I21" s="124">
        <f>(H21/1000)/(Calculos!$A$28*Calculos!$B$28)</f>
        <v>0.3496485898</v>
      </c>
      <c r="J21" s="124">
        <f>(I21*Calculos!$C$28)/(0.4)</f>
        <v>40.27077632</v>
      </c>
      <c r="K21" s="124">
        <f t="shared" si="4"/>
        <v>0.8741214744</v>
      </c>
      <c r="L21" s="124">
        <f>-ln(1-K21/(Calculos!$D$34*2))</f>
        <v>0.594349037</v>
      </c>
      <c r="M21" s="124">
        <f>Calculos!$D$34-K21/2</f>
        <v>0.5383508505</v>
      </c>
    </row>
    <row r="22">
      <c r="A22" s="199">
        <v>44483.833333333336</v>
      </c>
      <c r="B22" s="200">
        <f t="shared" si="2"/>
        <v>1.315972222</v>
      </c>
      <c r="C22" s="135">
        <f t="shared" si="5"/>
        <v>1</v>
      </c>
      <c r="D22" s="175">
        <v>20.0</v>
      </c>
      <c r="E22" s="175">
        <v>0.0</v>
      </c>
      <c r="F22" s="124">
        <f t="shared" si="1"/>
        <v>31.58333333</v>
      </c>
      <c r="G22" s="149">
        <v>400.0</v>
      </c>
      <c r="H22" s="149">
        <f t="shared" si="3"/>
        <v>8950</v>
      </c>
      <c r="I22" s="124">
        <f>(H22/1000)/(Calculos!$A$28*Calculos!$B$28)</f>
        <v>0.3660064185</v>
      </c>
      <c r="J22" s="124">
        <f>(I22*Calculos!$C$28)/(0.4)</f>
        <v>42.15478925</v>
      </c>
      <c r="K22" s="124">
        <f t="shared" si="4"/>
        <v>0.9150160463</v>
      </c>
      <c r="L22" s="124">
        <f>-ln(1-K22/(Calculos!$D$34*2))</f>
        <v>0.633070467</v>
      </c>
      <c r="M22" s="124">
        <f>Calculos!$D$34-K22/2</f>
        <v>0.5179035646</v>
      </c>
    </row>
    <row r="23">
      <c r="A23" s="199">
        <v>44483.975</v>
      </c>
      <c r="B23" s="200">
        <f t="shared" si="2"/>
        <v>1.457638889</v>
      </c>
      <c r="C23" s="135">
        <f t="shared" si="5"/>
        <v>1</v>
      </c>
      <c r="D23" s="175">
        <v>23.0</v>
      </c>
      <c r="E23" s="175">
        <v>24.0</v>
      </c>
      <c r="F23" s="124">
        <f t="shared" si="1"/>
        <v>34.98333333</v>
      </c>
      <c r="G23" s="149">
        <v>400.0</v>
      </c>
      <c r="H23" s="149">
        <f t="shared" si="3"/>
        <v>9350</v>
      </c>
      <c r="I23" s="124">
        <f>(H23/1000)/(Calculos!$A$28*Calculos!$B$28)</f>
        <v>0.3823642473</v>
      </c>
      <c r="J23" s="124">
        <f>(I23*Calculos!$C$28)/(0.4)</f>
        <v>44.03880218</v>
      </c>
      <c r="K23" s="124">
        <f t="shared" si="4"/>
        <v>0.9559106182</v>
      </c>
      <c r="L23" s="124">
        <f>-ln(1-K23/(Calculos!$D$34*2))</f>
        <v>0.6733518526</v>
      </c>
      <c r="M23" s="124">
        <f>Calculos!$D$34-K23/2</f>
        <v>0.4974562786</v>
      </c>
    </row>
    <row r="24">
      <c r="A24" s="199">
        <v>44484.375</v>
      </c>
      <c r="B24" s="200">
        <f t="shared" si="2"/>
        <v>1.857638889</v>
      </c>
      <c r="C24" s="135">
        <v>2.0</v>
      </c>
      <c r="D24" s="175">
        <v>9.0</v>
      </c>
      <c r="E24" s="175">
        <v>0.0</v>
      </c>
      <c r="F24" s="124">
        <f t="shared" si="1"/>
        <v>44.58333333</v>
      </c>
      <c r="G24" s="149">
        <v>300.0</v>
      </c>
      <c r="H24" s="149">
        <f t="shared" si="3"/>
        <v>9650</v>
      </c>
      <c r="I24" s="124">
        <f>(H24/1000)/(Calculos!$A$28*Calculos!$B$28)</f>
        <v>0.3946326188</v>
      </c>
      <c r="J24" s="124">
        <f>(I24*Calculos!$C$28)/(0.4)</f>
        <v>45.45181188</v>
      </c>
      <c r="K24" s="124">
        <f t="shared" si="4"/>
        <v>0.9865815471</v>
      </c>
      <c r="L24" s="124">
        <f>-ln(1-K24/(Calculos!$D$34*2))</f>
        <v>0.7046647887</v>
      </c>
      <c r="M24" s="124">
        <f>Calculos!$D$34-K24/2</f>
        <v>0.4821208142</v>
      </c>
    </row>
    <row r="25">
      <c r="A25" s="199">
        <v>44484.625</v>
      </c>
      <c r="B25" s="200">
        <f t="shared" si="2"/>
        <v>2.107638889</v>
      </c>
      <c r="C25" s="135">
        <f t="shared" ref="C25:C26" si="6">days(A25,$A$2)</f>
        <v>2</v>
      </c>
      <c r="D25" s="175">
        <v>15.0</v>
      </c>
      <c r="E25" s="175">
        <v>0.0</v>
      </c>
      <c r="F25" s="124">
        <f t="shared" si="1"/>
        <v>50.58333333</v>
      </c>
      <c r="G25" s="149">
        <v>50.0</v>
      </c>
      <c r="H25" s="149">
        <f t="shared" si="3"/>
        <v>9700</v>
      </c>
      <c r="I25" s="124">
        <f>(H25/1000)/(Calculos!$A$28*Calculos!$B$28)</f>
        <v>0.3966773474</v>
      </c>
      <c r="J25" s="124">
        <f>(I25*Calculos!$C$28)/(0.4)</f>
        <v>45.68731349</v>
      </c>
      <c r="K25" s="124">
        <f t="shared" si="4"/>
        <v>0.9916933686</v>
      </c>
      <c r="L25" s="124">
        <f>-ln(1-K25/(Calculos!$D$34*2))</f>
        <v>0.7099802815</v>
      </c>
      <c r="M25" s="124">
        <f>Calculos!$D$34-K25/2</f>
        <v>0.4795649034</v>
      </c>
    </row>
    <row r="26">
      <c r="A26" s="199">
        <v>44484.975694444445</v>
      </c>
      <c r="B26" s="200">
        <f t="shared" si="2"/>
        <v>2.458333333</v>
      </c>
      <c r="C26" s="135">
        <f t="shared" si="6"/>
        <v>2</v>
      </c>
      <c r="D26" s="175">
        <v>23.0</v>
      </c>
      <c r="E26" s="175">
        <v>25.0</v>
      </c>
      <c r="F26" s="124">
        <f t="shared" si="1"/>
        <v>59</v>
      </c>
      <c r="G26" s="149">
        <v>100.0</v>
      </c>
      <c r="H26" s="149">
        <f t="shared" si="3"/>
        <v>9800</v>
      </c>
      <c r="I26" s="124">
        <f>(H26/1000)/(Calculos!$A$28*Calculos!$B$28)</f>
        <v>0.4007668046</v>
      </c>
      <c r="J26" s="124">
        <f>(I26*Calculos!$C$28)/(0.4)</f>
        <v>46.15831672</v>
      </c>
      <c r="K26" s="124">
        <f t="shared" si="4"/>
        <v>1.001917012</v>
      </c>
      <c r="L26" s="124">
        <f>-ln(1-K26/(Calculos!$D$34*2))</f>
        <v>0.720696789</v>
      </c>
      <c r="M26" s="124">
        <f>Calculos!$D$34-K26/2</f>
        <v>0.4744530819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2.57"/>
    <col customWidth="1" min="3" max="3" width="14.29"/>
    <col customWidth="1" min="4" max="4" width="9.86"/>
    <col customWidth="1" min="5" max="5" width="8.14"/>
    <col customWidth="1" min="6" max="6" width="7.86"/>
    <col customWidth="1" min="7" max="7" width="18.14"/>
  </cols>
  <sheetData>
    <row r="1">
      <c r="A1" s="210" t="s">
        <v>97</v>
      </c>
      <c r="B1" s="210" t="s">
        <v>98</v>
      </c>
      <c r="C1" s="210" t="s">
        <v>99</v>
      </c>
      <c r="D1" s="210" t="s">
        <v>100</v>
      </c>
      <c r="E1" s="210" t="s">
        <v>98</v>
      </c>
      <c r="F1" s="210" t="s">
        <v>32</v>
      </c>
      <c r="G1" s="198" t="s">
        <v>91</v>
      </c>
      <c r="H1" s="25" t="s">
        <v>92</v>
      </c>
      <c r="I1" s="25" t="s">
        <v>93</v>
      </c>
      <c r="J1" s="25" t="s">
        <v>94</v>
      </c>
      <c r="K1" s="25" t="s">
        <v>95</v>
      </c>
      <c r="L1" s="25" t="s">
        <v>96</v>
      </c>
    </row>
    <row r="2">
      <c r="A2" s="135">
        <v>12.0</v>
      </c>
      <c r="B2" s="135">
        <v>14.0</v>
      </c>
      <c r="C2" s="135">
        <v>0.0</v>
      </c>
      <c r="D2" s="175">
        <f>SUM($C2)</f>
        <v>0</v>
      </c>
      <c r="E2" s="175">
        <f t="shared" ref="E2:E6" si="1">A2*60+B2</f>
        <v>734</v>
      </c>
      <c r="F2" s="211">
        <f t="shared" ref="F2:F30" si="2">(E2-$E$2)/60</f>
        <v>0</v>
      </c>
      <c r="G2" s="124">
        <f>(D2/1000)/(Calculos!$A$28*Calculos!$B$28)</f>
        <v>0</v>
      </c>
      <c r="H2" s="124">
        <f>(G2*Calculos!$C$28)/(0.4)</f>
        <v>0</v>
      </c>
      <c r="I2" s="124">
        <f t="shared" ref="I2:I30" si="3">G2/0.4</f>
        <v>0</v>
      </c>
      <c r="J2" s="124">
        <f>-ln(1-I2/2*Calculos!$D$34)</f>
        <v>0</v>
      </c>
      <c r="K2" s="124">
        <f>Calculos!$D$34-I2/2</f>
        <v>0.9754115877</v>
      </c>
      <c r="L2" s="124">
        <f>SLOPE(J8:J25,F8:F25)</f>
        <v>0.03461575682</v>
      </c>
    </row>
    <row r="3">
      <c r="A3" s="135">
        <v>19.0</v>
      </c>
      <c r="B3" s="135">
        <v>15.0</v>
      </c>
      <c r="C3" s="135">
        <v>205.0</v>
      </c>
      <c r="D3" s="175">
        <f t="shared" ref="D3:D30" si="4">SUM($C$3:C3)</f>
        <v>205</v>
      </c>
      <c r="E3" s="175">
        <f t="shared" si="1"/>
        <v>1155</v>
      </c>
      <c r="F3" s="211">
        <f t="shared" si="2"/>
        <v>7.016666667</v>
      </c>
      <c r="G3" s="124">
        <f>(D3/1000)/(Calculos!$A$28*Calculos!$B$28)</f>
        <v>0.00838338724</v>
      </c>
      <c r="H3" s="124">
        <f>(G3*Calculos!$C$28)/(0.4)</f>
        <v>0.9655566253</v>
      </c>
      <c r="I3" s="124">
        <f t="shared" si="3"/>
        <v>0.0209584681</v>
      </c>
      <c r="J3" s="124">
        <f>-ln(1-I3/2*Calculos!$D$34)</f>
        <v>0.01027416527</v>
      </c>
      <c r="K3" s="124">
        <f>Calculos!$D$34-I3/2</f>
        <v>0.9649323537</v>
      </c>
    </row>
    <row r="4">
      <c r="A4" s="135">
        <v>20.0</v>
      </c>
      <c r="B4" s="135">
        <v>40.0</v>
      </c>
      <c r="C4" s="135">
        <v>200.0</v>
      </c>
      <c r="D4" s="175">
        <f t="shared" si="4"/>
        <v>405</v>
      </c>
      <c r="E4" s="175">
        <f t="shared" si="1"/>
        <v>1240</v>
      </c>
      <c r="F4" s="211">
        <f t="shared" si="2"/>
        <v>8.433333333</v>
      </c>
      <c r="G4" s="124">
        <f>(D4/1000)/(Calculos!$A$28*Calculos!$B$28)</f>
        <v>0.01656230162</v>
      </c>
      <c r="H4" s="124">
        <f>(G4*Calculos!$C$28)/(0.4)</f>
        <v>1.907563089</v>
      </c>
      <c r="I4" s="124">
        <f t="shared" si="3"/>
        <v>0.04140575405</v>
      </c>
      <c r="J4" s="124">
        <f>-ln(1-I4/2*Calculos!$D$34)</f>
        <v>0.02040050866</v>
      </c>
      <c r="K4" s="124">
        <f>Calculos!$D$34-I4/2</f>
        <v>0.9547087107</v>
      </c>
    </row>
    <row r="5">
      <c r="A5" s="135">
        <v>22.0</v>
      </c>
      <c r="B5" s="135">
        <v>0.0</v>
      </c>
      <c r="C5" s="175">
        <f>400</f>
        <v>400</v>
      </c>
      <c r="D5" s="175">
        <f t="shared" si="4"/>
        <v>805</v>
      </c>
      <c r="E5" s="175">
        <f t="shared" si="1"/>
        <v>1320</v>
      </c>
      <c r="F5" s="211">
        <f t="shared" si="2"/>
        <v>9.766666667</v>
      </c>
      <c r="G5" s="124">
        <f>(D5/1000)/(Calculos!$A$28*Calculos!$B$28)</f>
        <v>0.03292013038</v>
      </c>
      <c r="H5" s="124">
        <f>(G5*Calculos!$C$28)/(0.4)</f>
        <v>3.791576017</v>
      </c>
      <c r="I5" s="124">
        <f t="shared" si="3"/>
        <v>0.08230032595</v>
      </c>
      <c r="J5" s="124">
        <f>-ln(1-I5/2*Calculos!$D$34)</f>
        <v>0.04096611512</v>
      </c>
      <c r="K5" s="124">
        <f>Calculos!$D$34-I5/2</f>
        <v>0.9342614248</v>
      </c>
    </row>
    <row r="6">
      <c r="A6" s="135">
        <v>23.0</v>
      </c>
      <c r="B6" s="135">
        <v>20.0</v>
      </c>
      <c r="C6" s="135">
        <v>400.0</v>
      </c>
      <c r="D6" s="175">
        <f t="shared" si="4"/>
        <v>1205</v>
      </c>
      <c r="E6" s="175">
        <f t="shared" si="1"/>
        <v>1400</v>
      </c>
      <c r="F6" s="211">
        <f t="shared" si="2"/>
        <v>11.1</v>
      </c>
      <c r="G6" s="124">
        <f>(D6/1000)/(Calculos!$A$28*Calculos!$B$28)</f>
        <v>0.04927795914</v>
      </c>
      <c r="H6" s="124">
        <f>(G6*Calculos!$C$28)/(0.4)</f>
        <v>5.675588944</v>
      </c>
      <c r="I6" s="124">
        <f t="shared" si="3"/>
        <v>0.1231948979</v>
      </c>
      <c r="J6" s="124">
        <f>-ln(1-I6/2*Calculos!$D$34)</f>
        <v>0.06196356235</v>
      </c>
      <c r="K6" s="124">
        <f>Calculos!$D$34-I6/2</f>
        <v>0.9138141388</v>
      </c>
    </row>
    <row r="7">
      <c r="A7" s="135">
        <v>0.0</v>
      </c>
      <c r="B7" s="135">
        <v>15.0</v>
      </c>
      <c r="C7" s="135">
        <v>400.0</v>
      </c>
      <c r="D7" s="175">
        <f t="shared" si="4"/>
        <v>1605</v>
      </c>
      <c r="E7" s="175">
        <f t="shared" ref="E7:E29" si="5">A7*60+B7+24*60</f>
        <v>1455</v>
      </c>
      <c r="F7" s="211">
        <f t="shared" si="2"/>
        <v>12.01666667</v>
      </c>
      <c r="G7" s="124">
        <f>(D7/1000)/(Calculos!$A$28*Calculos!$B$28)</f>
        <v>0.0656357879</v>
      </c>
      <c r="H7" s="124">
        <f>(G7*Calculos!$C$28)/(0.4)</f>
        <v>7.559601872</v>
      </c>
      <c r="I7" s="124">
        <f t="shared" si="3"/>
        <v>0.1640894698</v>
      </c>
      <c r="J7" s="124">
        <f>-ln(1-I7/2*Calculos!$D$34)</f>
        <v>0.08341137581</v>
      </c>
      <c r="K7" s="124">
        <f>Calculos!$D$34-I7/2</f>
        <v>0.8933668529</v>
      </c>
    </row>
    <row r="8">
      <c r="A8" s="212">
        <v>1.0</v>
      </c>
      <c r="B8" s="212">
        <v>30.0</v>
      </c>
      <c r="C8" s="212">
        <v>455.0</v>
      </c>
      <c r="D8" s="213">
        <f t="shared" si="4"/>
        <v>2060</v>
      </c>
      <c r="E8" s="213">
        <f t="shared" si="5"/>
        <v>1530</v>
      </c>
      <c r="F8" s="214">
        <f t="shared" si="2"/>
        <v>13.26666667</v>
      </c>
      <c r="G8" s="215">
        <f>(D8/1000)/(Calculos!$A$28*Calculos!$B$28)</f>
        <v>0.08424281812</v>
      </c>
      <c r="H8" s="215">
        <f>(G8*Calculos!$C$28)/(0.4)</f>
        <v>9.702666577</v>
      </c>
      <c r="I8" s="215">
        <f t="shared" si="3"/>
        <v>0.2106070453</v>
      </c>
      <c r="J8" s="124">
        <f>-ln(1-I8/2*Calculos!$D$34)</f>
        <v>0.108380935</v>
      </c>
      <c r="K8" s="215">
        <f>Calculos!$D$34-I8/2</f>
        <v>0.8701080651</v>
      </c>
    </row>
    <row r="9">
      <c r="A9" s="212">
        <v>2.0</v>
      </c>
      <c r="B9" s="212">
        <v>26.0</v>
      </c>
      <c r="C9" s="212">
        <v>400.0</v>
      </c>
      <c r="D9" s="213">
        <f t="shared" si="4"/>
        <v>2460</v>
      </c>
      <c r="E9" s="213">
        <f t="shared" si="5"/>
        <v>1586</v>
      </c>
      <c r="F9" s="214">
        <f t="shared" si="2"/>
        <v>14.2</v>
      </c>
      <c r="G9" s="215">
        <f>(D9/1000)/(Calculos!$A$28*Calculos!$B$28)</f>
        <v>0.1006006469</v>
      </c>
      <c r="H9" s="215">
        <f>(G9*Calculos!$C$28)/(0.4)</f>
        <v>11.5866795</v>
      </c>
      <c r="I9" s="215">
        <f t="shared" si="3"/>
        <v>0.2515016172</v>
      </c>
      <c r="J9" s="124">
        <f>-ln(1-I9/2*Calculos!$D$34)</f>
        <v>0.130859304</v>
      </c>
      <c r="K9" s="215">
        <f>Calculos!$D$34-I9/2</f>
        <v>0.8496607791</v>
      </c>
    </row>
    <row r="10">
      <c r="A10" s="212">
        <v>3.0</v>
      </c>
      <c r="B10" s="212">
        <v>14.0</v>
      </c>
      <c r="C10" s="212">
        <v>405.0</v>
      </c>
      <c r="D10" s="213">
        <f t="shared" si="4"/>
        <v>2865</v>
      </c>
      <c r="E10" s="213">
        <f t="shared" si="5"/>
        <v>1634</v>
      </c>
      <c r="F10" s="214">
        <f t="shared" si="2"/>
        <v>15</v>
      </c>
      <c r="G10" s="215">
        <f>(D10/1000)/(Calculos!$A$28*Calculos!$B$28)</f>
        <v>0.1171629485</v>
      </c>
      <c r="H10" s="215">
        <f>(G10*Calculos!$C$28)/(0.4)</f>
        <v>13.49424259</v>
      </c>
      <c r="I10" s="215">
        <f t="shared" si="3"/>
        <v>0.2929073712</v>
      </c>
      <c r="J10" s="124">
        <f>-ln(1-I10/2*Calculos!$D$34)</f>
        <v>0.1541454055</v>
      </c>
      <c r="K10" s="215">
        <f>Calculos!$D$34-I10/2</f>
        <v>0.8289579021</v>
      </c>
    </row>
    <row r="11">
      <c r="A11" s="212">
        <v>3.0</v>
      </c>
      <c r="B11" s="212">
        <v>51.0</v>
      </c>
      <c r="C11" s="212">
        <v>325.0</v>
      </c>
      <c r="D11" s="213">
        <f t="shared" si="4"/>
        <v>3190</v>
      </c>
      <c r="E11" s="213">
        <f t="shared" si="5"/>
        <v>1671</v>
      </c>
      <c r="F11" s="214">
        <f t="shared" si="2"/>
        <v>15.61666667</v>
      </c>
      <c r="G11" s="215">
        <f>(D11/1000)/(Calculos!$A$28*Calculos!$B$28)</f>
        <v>0.1304536844</v>
      </c>
      <c r="H11" s="215">
        <f>(G11*Calculos!$C$28)/(0.4)</f>
        <v>15.0250031</v>
      </c>
      <c r="I11" s="215">
        <f t="shared" si="3"/>
        <v>0.3261342109</v>
      </c>
      <c r="J11" s="124">
        <f>-ln(1-I11/2*Calculos!$D$34)</f>
        <v>0.1732320449</v>
      </c>
      <c r="K11" s="215">
        <f>Calculos!$D$34-I11/2</f>
        <v>0.8123444823</v>
      </c>
    </row>
    <row r="12">
      <c r="A12" s="212">
        <v>4.0</v>
      </c>
      <c r="B12" s="212">
        <v>1.0</v>
      </c>
      <c r="C12" s="212">
        <v>100.0</v>
      </c>
      <c r="D12" s="213">
        <f t="shared" si="4"/>
        <v>3290</v>
      </c>
      <c r="E12" s="213">
        <f t="shared" si="5"/>
        <v>1681</v>
      </c>
      <c r="F12" s="214">
        <f t="shared" si="2"/>
        <v>15.78333333</v>
      </c>
      <c r="G12" s="215">
        <f>(D12/1000)/(Calculos!$A$28*Calculos!$B$28)</f>
        <v>0.1345431416</v>
      </c>
      <c r="H12" s="215">
        <f>(G12*Calculos!$C$28)/(0.4)</f>
        <v>15.49600633</v>
      </c>
      <c r="I12" s="215">
        <f t="shared" si="3"/>
        <v>0.3363578539</v>
      </c>
      <c r="J12" s="124">
        <f>-ln(1-I12/2*Calculos!$D$34)</f>
        <v>0.1791789091</v>
      </c>
      <c r="K12" s="215">
        <f>Calculos!$D$34-I12/2</f>
        <v>0.8072326608</v>
      </c>
    </row>
    <row r="13">
      <c r="A13" s="212">
        <v>4.0</v>
      </c>
      <c r="B13" s="212">
        <v>28.0</v>
      </c>
      <c r="C13" s="212">
        <v>250.0</v>
      </c>
      <c r="D13" s="213">
        <f t="shared" si="4"/>
        <v>3540</v>
      </c>
      <c r="E13" s="213">
        <f t="shared" si="5"/>
        <v>1708</v>
      </c>
      <c r="F13" s="214">
        <f t="shared" si="2"/>
        <v>16.23333333</v>
      </c>
      <c r="G13" s="215">
        <f>(D13/1000)/(Calculos!$A$28*Calculos!$B$28)</f>
        <v>0.1447667845</v>
      </c>
      <c r="H13" s="215">
        <f>(G13*Calculos!$C$28)/(0.4)</f>
        <v>16.67351441</v>
      </c>
      <c r="I13" s="215">
        <f t="shared" si="3"/>
        <v>0.3619169613</v>
      </c>
      <c r="J13" s="124">
        <f>-ln(1-I13/2*Calculos!$D$34)</f>
        <v>0.1942026571</v>
      </c>
      <c r="K13" s="215">
        <f>Calculos!$D$34-I13/2</f>
        <v>0.7944531071</v>
      </c>
    </row>
    <row r="14">
      <c r="A14" s="213">
        <v>5.0</v>
      </c>
      <c r="B14" s="213">
        <v>13.000000000000007</v>
      </c>
      <c r="C14" s="212">
        <v>400.0</v>
      </c>
      <c r="D14" s="213">
        <f t="shared" si="4"/>
        <v>3940</v>
      </c>
      <c r="E14" s="213">
        <f t="shared" si="5"/>
        <v>1753</v>
      </c>
      <c r="F14" s="214">
        <f t="shared" si="2"/>
        <v>16.98333333</v>
      </c>
      <c r="G14" s="215">
        <f>(D14/1000)/(Calculos!$A$28*Calculos!$B$28)</f>
        <v>0.1611246133</v>
      </c>
      <c r="H14" s="215">
        <f>(G14*Calculos!$C$28)/(0.4)</f>
        <v>18.55752734</v>
      </c>
      <c r="I14" s="215">
        <f t="shared" si="3"/>
        <v>0.4028115332</v>
      </c>
      <c r="J14" s="124">
        <f>-ln(1-I14/2*Calculos!$D$34)</f>
        <v>0.2187202468</v>
      </c>
      <c r="K14" s="215">
        <f>Calculos!$D$34-I14/2</f>
        <v>0.7740058211</v>
      </c>
    </row>
    <row r="15">
      <c r="A15" s="213">
        <v>5.0</v>
      </c>
      <c r="B15" s="213">
        <v>58.00000000000001</v>
      </c>
      <c r="C15" s="212">
        <v>400.0</v>
      </c>
      <c r="D15" s="213">
        <f t="shared" si="4"/>
        <v>4340</v>
      </c>
      <c r="E15" s="213">
        <f t="shared" si="5"/>
        <v>1798</v>
      </c>
      <c r="F15" s="214">
        <f t="shared" si="2"/>
        <v>17.73333333</v>
      </c>
      <c r="G15" s="215">
        <f>(D15/1000)/(Calculos!$A$28*Calculos!$B$28)</f>
        <v>0.1774824421</v>
      </c>
      <c r="H15" s="215">
        <f>(G15*Calculos!$C$28)/(0.4)</f>
        <v>20.44154026</v>
      </c>
      <c r="I15" s="215">
        <f t="shared" si="3"/>
        <v>0.4437061051</v>
      </c>
      <c r="J15" s="124">
        <f>-ln(1-I15/2*Calculos!$D$34)</f>
        <v>0.2438540894</v>
      </c>
      <c r="K15" s="215">
        <f>Calculos!$D$34-I15/2</f>
        <v>0.7535585352</v>
      </c>
    </row>
    <row r="16">
      <c r="A16" s="213">
        <v>6.0</v>
      </c>
      <c r="B16" s="213">
        <v>43.00000000000001</v>
      </c>
      <c r="C16" s="212">
        <v>400.0</v>
      </c>
      <c r="D16" s="213">
        <f t="shared" si="4"/>
        <v>4740</v>
      </c>
      <c r="E16" s="213">
        <f t="shared" si="5"/>
        <v>1843</v>
      </c>
      <c r="F16" s="214">
        <f t="shared" si="2"/>
        <v>18.48333333</v>
      </c>
      <c r="G16" s="215">
        <f>(D16/1000)/(Calculos!$A$28*Calculos!$B$28)</f>
        <v>0.1938402708</v>
      </c>
      <c r="H16" s="215">
        <f>(G16*Calculos!$C$28)/(0.4)</f>
        <v>22.32555319</v>
      </c>
      <c r="I16" s="215">
        <f t="shared" si="3"/>
        <v>0.484600677</v>
      </c>
      <c r="J16" s="124">
        <f>-ln(1-I16/2*Calculos!$D$34)</f>
        <v>0.2696359646</v>
      </c>
      <c r="K16" s="215">
        <f>Calculos!$D$34-I16/2</f>
        <v>0.7331112492</v>
      </c>
    </row>
    <row r="17">
      <c r="A17" s="213">
        <v>7.0</v>
      </c>
      <c r="B17" s="213">
        <v>28.000000000000007</v>
      </c>
      <c r="C17" s="212">
        <v>400.0</v>
      </c>
      <c r="D17" s="213">
        <f t="shared" si="4"/>
        <v>5140</v>
      </c>
      <c r="E17" s="213">
        <f t="shared" si="5"/>
        <v>1888</v>
      </c>
      <c r="F17" s="214">
        <f t="shared" si="2"/>
        <v>19.23333333</v>
      </c>
      <c r="G17" s="215">
        <f>(D17/1000)/(Calculos!$A$28*Calculos!$B$28)</f>
        <v>0.2101980996</v>
      </c>
      <c r="H17" s="215">
        <f>(G17*Calculos!$C$28)/(0.4)</f>
        <v>24.20956612</v>
      </c>
      <c r="I17" s="215">
        <f t="shared" si="3"/>
        <v>0.5254952489</v>
      </c>
      <c r="J17" s="124">
        <f>-ln(1-I17/2*Calculos!$D$34)</f>
        <v>0.2961001755</v>
      </c>
      <c r="K17" s="215">
        <f>Calculos!$D$34-I17/2</f>
        <v>0.7126639633</v>
      </c>
    </row>
    <row r="18">
      <c r="A18" s="213">
        <v>8.0</v>
      </c>
      <c r="B18" s="213">
        <v>13.000000000000007</v>
      </c>
      <c r="C18" s="212">
        <v>400.0</v>
      </c>
      <c r="D18" s="213">
        <f t="shared" si="4"/>
        <v>5540</v>
      </c>
      <c r="E18" s="213">
        <f t="shared" si="5"/>
        <v>1933</v>
      </c>
      <c r="F18" s="214">
        <f t="shared" si="2"/>
        <v>19.98333333</v>
      </c>
      <c r="G18" s="215">
        <f>(D18/1000)/(Calculos!$A$28*Calculos!$B$28)</f>
        <v>0.2265559283</v>
      </c>
      <c r="H18" s="215">
        <f>(G18*Calculos!$C$28)/(0.4)</f>
        <v>26.09357905</v>
      </c>
      <c r="I18" s="215">
        <f t="shared" si="3"/>
        <v>0.5663898208</v>
      </c>
      <c r="J18" s="124">
        <f>-ln(1-I18/2*Calculos!$D$34)</f>
        <v>0.3232838234</v>
      </c>
      <c r="K18" s="215">
        <f>Calculos!$D$34-I18/2</f>
        <v>0.6922166773</v>
      </c>
    </row>
    <row r="19">
      <c r="A19" s="213">
        <v>8.0</v>
      </c>
      <c r="B19" s="213">
        <v>58.00000000000001</v>
      </c>
      <c r="C19" s="212">
        <v>400.0</v>
      </c>
      <c r="D19" s="213">
        <f t="shared" si="4"/>
        <v>5940</v>
      </c>
      <c r="E19" s="213">
        <f t="shared" si="5"/>
        <v>1978</v>
      </c>
      <c r="F19" s="214">
        <f t="shared" si="2"/>
        <v>20.73333333</v>
      </c>
      <c r="G19" s="215">
        <f>(D19/1000)/(Calculos!$A$28*Calculos!$B$28)</f>
        <v>0.2429137571</v>
      </c>
      <c r="H19" s="215">
        <f>(G19*Calculos!$C$28)/(0.4)</f>
        <v>27.97759197</v>
      </c>
      <c r="I19" s="215">
        <f t="shared" si="3"/>
        <v>0.6072843927</v>
      </c>
      <c r="J19" s="124">
        <f>-ln(1-I19/2*Calculos!$D$34)</f>
        <v>0.3512271201</v>
      </c>
      <c r="K19" s="215">
        <f>Calculos!$D$34-I19/2</f>
        <v>0.6717693914</v>
      </c>
    </row>
    <row r="20">
      <c r="A20" s="213">
        <v>9.0</v>
      </c>
      <c r="B20" s="213">
        <v>43.00000000000001</v>
      </c>
      <c r="C20" s="212">
        <v>400.0</v>
      </c>
      <c r="D20" s="213">
        <f t="shared" si="4"/>
        <v>6340</v>
      </c>
      <c r="E20" s="213">
        <f t="shared" si="5"/>
        <v>2023</v>
      </c>
      <c r="F20" s="214">
        <f t="shared" si="2"/>
        <v>21.48333333</v>
      </c>
      <c r="G20" s="215">
        <f>(D20/1000)/(Calculos!$A$28*Calculos!$B$28)</f>
        <v>0.2592715859</v>
      </c>
      <c r="H20" s="215">
        <f>(G20*Calculos!$C$28)/(0.4)</f>
        <v>29.8616049</v>
      </c>
      <c r="I20" s="215">
        <f t="shared" si="3"/>
        <v>0.6481789646</v>
      </c>
      <c r="J20" s="124">
        <f>-ln(1-I20/2*Calculos!$D$34)</f>
        <v>0.3799737461</v>
      </c>
      <c r="K20" s="215">
        <f>Calculos!$D$34-I20/2</f>
        <v>0.6513221054</v>
      </c>
    </row>
    <row r="21">
      <c r="A21" s="216">
        <v>9.0</v>
      </c>
      <c r="B21" s="216">
        <v>55.0</v>
      </c>
      <c r="C21" s="212">
        <v>100.0</v>
      </c>
      <c r="D21" s="213">
        <f t="shared" si="4"/>
        <v>6440</v>
      </c>
      <c r="E21" s="213">
        <f t="shared" si="5"/>
        <v>2035</v>
      </c>
      <c r="F21" s="214">
        <f t="shared" si="2"/>
        <v>21.68333333</v>
      </c>
      <c r="G21" s="215">
        <f>(D21/1000)/(Calculos!$A$28*Calculos!$B$28)</f>
        <v>0.263361043</v>
      </c>
      <c r="H21" s="215">
        <f>(G21*Calculos!$C$28)/(0.4)</f>
        <v>30.33260813</v>
      </c>
      <c r="I21" s="215">
        <f t="shared" si="3"/>
        <v>0.6584026076</v>
      </c>
      <c r="J21" s="124">
        <f>-ln(1-I21/2*Calculos!$D$34)</f>
        <v>0.3872914045</v>
      </c>
      <c r="K21" s="215">
        <f>Calculos!$D$34-I21/2</f>
        <v>0.6462102839</v>
      </c>
    </row>
    <row r="22">
      <c r="A22" s="216">
        <v>10.0</v>
      </c>
      <c r="B22" s="216">
        <v>42.0</v>
      </c>
      <c r="C22" s="212">
        <v>405.0</v>
      </c>
      <c r="D22" s="213">
        <f t="shared" si="4"/>
        <v>6845</v>
      </c>
      <c r="E22" s="213">
        <f t="shared" si="5"/>
        <v>2082</v>
      </c>
      <c r="F22" s="214">
        <f t="shared" si="2"/>
        <v>22.46666667</v>
      </c>
      <c r="G22" s="215">
        <f>(D22/1000)/(Calculos!$A$28*Calculos!$B$28)</f>
        <v>0.2799233447</v>
      </c>
      <c r="H22" s="215">
        <f>(G22*Calculos!$C$28)/(0.4)</f>
        <v>32.24017122</v>
      </c>
      <c r="I22" s="215">
        <f t="shared" si="3"/>
        <v>0.6998083617</v>
      </c>
      <c r="J22" s="124">
        <f>-ln(1-I22/2*Calculos!$D$34)</f>
        <v>0.417487983</v>
      </c>
      <c r="K22" s="215">
        <f>Calculos!$D$34-I22/2</f>
        <v>0.6255074069</v>
      </c>
    </row>
    <row r="23">
      <c r="A23" s="216">
        <v>11.0</v>
      </c>
      <c r="B23" s="216">
        <v>21.0</v>
      </c>
      <c r="C23" s="212">
        <v>300.0</v>
      </c>
      <c r="D23" s="213">
        <f t="shared" si="4"/>
        <v>7145</v>
      </c>
      <c r="E23" s="213">
        <f t="shared" si="5"/>
        <v>2121</v>
      </c>
      <c r="F23" s="214">
        <f t="shared" si="2"/>
        <v>23.11666667</v>
      </c>
      <c r="G23" s="215">
        <f>(D23/1000)/(Calculos!$A$28*Calculos!$B$28)</f>
        <v>0.2921917162</v>
      </c>
      <c r="H23" s="215">
        <f>(G23*Calculos!$C$28)/(0.4)</f>
        <v>33.65318092</v>
      </c>
      <c r="I23" s="215">
        <f t="shared" si="3"/>
        <v>0.7304792906</v>
      </c>
      <c r="J23" s="124">
        <f>-ln(1-I23/2*Calculos!$D$34)</f>
        <v>0.4404587802</v>
      </c>
      <c r="K23" s="215">
        <f>Calculos!$D$34-I23/2</f>
        <v>0.6101719424</v>
      </c>
    </row>
    <row r="24">
      <c r="A24" s="216">
        <v>12.0</v>
      </c>
      <c r="B24" s="216">
        <v>17.0</v>
      </c>
      <c r="C24" s="212">
        <v>400.0</v>
      </c>
      <c r="D24" s="213">
        <f t="shared" si="4"/>
        <v>7545</v>
      </c>
      <c r="E24" s="213">
        <f t="shared" si="5"/>
        <v>2177</v>
      </c>
      <c r="F24" s="214">
        <f t="shared" si="2"/>
        <v>24.05</v>
      </c>
      <c r="G24" s="215">
        <f>(D24/1000)/(Calculos!$A$28*Calculos!$B$28)</f>
        <v>0.308549545</v>
      </c>
      <c r="H24" s="215">
        <f>(G24*Calculos!$C$28)/(0.4)</f>
        <v>35.53719384</v>
      </c>
      <c r="I24" s="215">
        <f t="shared" si="3"/>
        <v>0.7713738625</v>
      </c>
      <c r="J24" s="124">
        <f>-ln(1-I24/2*Calculos!$D$34)</f>
        <v>0.4719310888</v>
      </c>
      <c r="K24" s="215">
        <f>Calculos!$D$34-I24/2</f>
        <v>0.5897246565</v>
      </c>
    </row>
    <row r="25">
      <c r="A25" s="216">
        <v>13.0</v>
      </c>
      <c r="B25" s="216">
        <v>21.0</v>
      </c>
      <c r="C25" s="212">
        <v>400.0</v>
      </c>
      <c r="D25" s="213">
        <f t="shared" si="4"/>
        <v>7945</v>
      </c>
      <c r="E25" s="213">
        <f t="shared" si="5"/>
        <v>2241</v>
      </c>
      <c r="F25" s="214">
        <f t="shared" si="2"/>
        <v>25.11666667</v>
      </c>
      <c r="G25" s="215">
        <f>(D25/1000)/(Calculos!$A$28*Calculos!$B$28)</f>
        <v>0.3249073738</v>
      </c>
      <c r="H25" s="215">
        <f>(G25*Calculos!$C$28)/(0.4)</f>
        <v>37.42120677</v>
      </c>
      <c r="I25" s="215">
        <f t="shared" si="3"/>
        <v>0.8122684344</v>
      </c>
      <c r="J25" s="124">
        <f>-ln(1-I25/2*Calculos!$D$34)</f>
        <v>0.50442618</v>
      </c>
      <c r="K25" s="215">
        <f>Calculos!$D$34-I25/2</f>
        <v>0.5692773705</v>
      </c>
    </row>
    <row r="26">
      <c r="A26" s="217">
        <v>14.0</v>
      </c>
      <c r="B26" s="217">
        <v>37.0</v>
      </c>
      <c r="C26" s="135">
        <v>300.0</v>
      </c>
      <c r="D26" s="175">
        <f t="shared" si="4"/>
        <v>8245</v>
      </c>
      <c r="E26" s="175">
        <f t="shared" si="5"/>
        <v>2317</v>
      </c>
      <c r="F26" s="211">
        <f t="shared" si="2"/>
        <v>26.38333333</v>
      </c>
      <c r="G26" s="124">
        <f>(D26/1000)/(Calculos!$A$28*Calculos!$B$28)</f>
        <v>0.3371757453</v>
      </c>
      <c r="H26" s="124">
        <f>(G26*Calculos!$C$28)/(0.4)</f>
        <v>38.83421647</v>
      </c>
      <c r="I26" s="124">
        <f t="shared" si="3"/>
        <v>0.8429393633</v>
      </c>
      <c r="J26" s="124">
        <f>-ln(1-I26/2*Calculos!$D$34)</f>
        <v>0.5295097761</v>
      </c>
      <c r="K26" s="124">
        <f>Calculos!$D$34-I26/2</f>
        <v>0.5539419061</v>
      </c>
    </row>
    <row r="27">
      <c r="A27" s="217">
        <v>16.0</v>
      </c>
      <c r="B27" s="217">
        <v>46.0</v>
      </c>
      <c r="C27" s="135">
        <v>450.0</v>
      </c>
      <c r="D27" s="175">
        <f t="shared" si="4"/>
        <v>8695</v>
      </c>
      <c r="E27" s="175">
        <f t="shared" si="5"/>
        <v>2446</v>
      </c>
      <c r="F27" s="211">
        <f t="shared" si="2"/>
        <v>28.53333333</v>
      </c>
      <c r="G27" s="124">
        <f>(D27/1000)/(Calculos!$A$28*Calculos!$B$28)</f>
        <v>0.3555783027</v>
      </c>
      <c r="H27" s="124">
        <f>(G27*Calculos!$C$28)/(0.4)</f>
        <v>40.95373101</v>
      </c>
      <c r="I27" s="124">
        <f t="shared" si="3"/>
        <v>0.8889457567</v>
      </c>
      <c r="J27" s="124">
        <f>-ln(1-I27/2*Calculos!$D$34)</f>
        <v>0.5683558643</v>
      </c>
      <c r="K27" s="124">
        <f>Calculos!$D$34-I27/2</f>
        <v>0.5309387094</v>
      </c>
    </row>
    <row r="28">
      <c r="A28" s="217">
        <v>22.0</v>
      </c>
      <c r="B28" s="217">
        <v>5.0</v>
      </c>
      <c r="C28" s="135">
        <v>300.0</v>
      </c>
      <c r="D28" s="175">
        <f t="shared" si="4"/>
        <v>8995</v>
      </c>
      <c r="E28" s="175">
        <f t="shared" si="5"/>
        <v>2765</v>
      </c>
      <c r="F28" s="211">
        <f t="shared" si="2"/>
        <v>33.85</v>
      </c>
      <c r="G28" s="124">
        <f>(D28/1000)/(Calculos!$A$28*Calculos!$B$28)</f>
        <v>0.3678466742</v>
      </c>
      <c r="H28" s="124">
        <f>(G28*Calculos!$C$28)/(0.4)</f>
        <v>42.36674071</v>
      </c>
      <c r="I28" s="124">
        <f t="shared" si="3"/>
        <v>0.9196166856</v>
      </c>
      <c r="J28" s="124">
        <f>-ln(1-I28/2*Calculos!$D$34)</f>
        <v>0.5951177662</v>
      </c>
      <c r="K28" s="124">
        <f>Calculos!$D$34-I28/2</f>
        <v>0.5156032449</v>
      </c>
    </row>
    <row r="29">
      <c r="A29" s="217">
        <v>23.0</v>
      </c>
      <c r="B29" s="217">
        <v>42.0</v>
      </c>
      <c r="C29" s="135">
        <v>50.0</v>
      </c>
      <c r="D29" s="175">
        <f t="shared" si="4"/>
        <v>9045</v>
      </c>
      <c r="E29" s="175">
        <f t="shared" si="5"/>
        <v>2862</v>
      </c>
      <c r="F29" s="211">
        <f t="shared" si="2"/>
        <v>35.46666667</v>
      </c>
      <c r="G29" s="124">
        <f>(D29/1000)/(Calculos!$A$28*Calculos!$B$28)</f>
        <v>0.3698914028</v>
      </c>
      <c r="H29" s="124">
        <f>(G29*Calculos!$C$28)/(0.4)</f>
        <v>42.60224232</v>
      </c>
      <c r="I29" s="124">
        <f t="shared" si="3"/>
        <v>0.9247285071</v>
      </c>
      <c r="J29" s="124">
        <f>-ln(1-I29/2*Calculos!$D$34)</f>
        <v>0.5996485509</v>
      </c>
      <c r="K29" s="124">
        <f>Calculos!$D$34-I29/2</f>
        <v>0.5130473342</v>
      </c>
    </row>
    <row r="30">
      <c r="A30" s="217">
        <v>0.0</v>
      </c>
      <c r="B30" s="217">
        <v>27.0</v>
      </c>
      <c r="C30" s="135">
        <v>35.0</v>
      </c>
      <c r="D30" s="175">
        <f t="shared" si="4"/>
        <v>9080</v>
      </c>
      <c r="E30" s="175">
        <f>A30*60+B30+2*24*60</f>
        <v>2907</v>
      </c>
      <c r="F30" s="211">
        <f t="shared" si="2"/>
        <v>36.21666667</v>
      </c>
      <c r="G30" s="124">
        <f>(D30/1000)/(Calculos!$A$28*Calculos!$B$28)</f>
        <v>0.3713227129</v>
      </c>
      <c r="H30" s="124">
        <f>(G30*Calculos!$C$28)/(0.4)</f>
        <v>42.76709345</v>
      </c>
      <c r="I30" s="124">
        <f t="shared" si="3"/>
        <v>0.9283067822</v>
      </c>
      <c r="J30" s="124">
        <f>-ln(1-I30/2*Calculos!$D$34)</f>
        <v>0.6028323589</v>
      </c>
      <c r="K30" s="124">
        <f>Calculos!$D$34-I30/2</f>
        <v>0.5112581967</v>
      </c>
    </row>
    <row r="105">
      <c r="B105" s="124" t="str">
        <f t="shared" ref="B105:B108" si="6">F45</f>
        <v/>
      </c>
      <c r="C105" s="124" t="str">
        <f t="shared" ref="C105:C108" si="7">J45</f>
        <v/>
      </c>
    </row>
    <row r="106">
      <c r="B106" s="124" t="str">
        <f t="shared" si="6"/>
        <v/>
      </c>
      <c r="C106" s="124" t="str">
        <f t="shared" si="7"/>
        <v/>
      </c>
    </row>
    <row r="107">
      <c r="B107" s="124" t="str">
        <f t="shared" si="6"/>
        <v/>
      </c>
      <c r="C107" s="124" t="str">
        <f t="shared" si="7"/>
        <v/>
      </c>
    </row>
    <row r="108">
      <c r="B108" s="124" t="str">
        <f t="shared" si="6"/>
        <v/>
      </c>
      <c r="C108" s="124" t="str">
        <f t="shared" si="7"/>
        <v/>
      </c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8" t="s">
        <v>101</v>
      </c>
      <c r="B1" s="219" t="s">
        <v>84</v>
      </c>
      <c r="C1" s="220" t="s">
        <v>102</v>
      </c>
      <c r="D1" s="221" t="s">
        <v>91</v>
      </c>
      <c r="E1" s="220" t="s">
        <v>92</v>
      </c>
      <c r="F1" s="220" t="s">
        <v>103</v>
      </c>
      <c r="G1" s="220" t="s">
        <v>104</v>
      </c>
      <c r="H1" s="220" t="s">
        <v>95</v>
      </c>
      <c r="I1" s="220" t="s">
        <v>105</v>
      </c>
      <c r="K1" s="25"/>
      <c r="L1" s="25"/>
    </row>
    <row r="2">
      <c r="A2" s="222">
        <v>0.0</v>
      </c>
      <c r="B2" s="222">
        <v>281.0</v>
      </c>
      <c r="C2" s="124">
        <f>B2/60</f>
        <v>4.683333333</v>
      </c>
      <c r="D2" s="124">
        <f>(A2/1000)/(Calculos!$A$28*Calculos!$B$28)</f>
        <v>0</v>
      </c>
      <c r="E2" s="124">
        <f>(D2*Calculos!$C$28)/(0.4)</f>
        <v>0</v>
      </c>
      <c r="F2" s="124">
        <f>D2/0.4</f>
        <v>0</v>
      </c>
      <c r="G2" s="124">
        <f>-ln(1-F2/2*Calculos!$D$34)</f>
        <v>0</v>
      </c>
      <c r="H2" s="124">
        <f>Calculos!$D$34-F2/2</f>
        <v>0.9754115877</v>
      </c>
      <c r="I2" s="124">
        <f>slope(G6:G24,C6:C24)</f>
        <v>0.03720973212</v>
      </c>
    </row>
    <row r="3">
      <c r="A3" s="222">
        <v>275.0</v>
      </c>
      <c r="B3" s="222">
        <v>468.0</v>
      </c>
      <c r="C3" s="124">
        <f>(B3/60)</f>
        <v>7.8</v>
      </c>
      <c r="D3" s="124">
        <f>(A3/1000)/(Calculos!$A$28*Calculos!$B$28)</f>
        <v>0.01124600727</v>
      </c>
      <c r="E3" s="124">
        <f>(D3*Calculos!$C$28)/(0.4)</f>
        <v>1.295258888</v>
      </c>
      <c r="F3" s="124">
        <f>D3/0.4</f>
        <v>0.02811501818</v>
      </c>
      <c r="G3" s="124">
        <f>-ln(1-F3/2*Calculos!$D$34)</f>
        <v>0.01380673306</v>
      </c>
      <c r="H3" s="124">
        <f>Calculos!$D$34-F3/2</f>
        <v>0.9613540786</v>
      </c>
      <c r="K3" s="223"/>
    </row>
    <row r="4">
      <c r="A4" s="222">
        <v>655.0</v>
      </c>
      <c r="B4" s="222">
        <v>613.0</v>
      </c>
      <c r="C4" s="124">
        <f t="shared" ref="C4:C33" si="1">B4/60</f>
        <v>10.21666667</v>
      </c>
      <c r="D4" s="124">
        <f>(A4/1000)/(Calculos!$A$28*Calculos!$B$28)</f>
        <v>0.0267859446</v>
      </c>
      <c r="E4" s="124">
        <f>(D4*Calculos!$C$28)/(0.4)</f>
        <v>3.085071169</v>
      </c>
      <c r="F4" s="124">
        <f>D4/0.4</f>
        <v>0.06696486149</v>
      </c>
      <c r="G4" s="124">
        <f>-ln(1-F4/2*Calculos!$D$34)</f>
        <v>0.0332043647</v>
      </c>
      <c r="H4" s="124">
        <f>Calculos!$D$34-F4/2</f>
        <v>0.941929157</v>
      </c>
      <c r="K4" s="223"/>
    </row>
    <row r="5">
      <c r="A5" s="222">
        <v>1105.0</v>
      </c>
      <c r="B5" s="222">
        <v>722.0</v>
      </c>
      <c r="C5" s="124">
        <f t="shared" si="1"/>
        <v>12.03333333</v>
      </c>
      <c r="D5" s="124">
        <f>(A5/1000)/(Calculos!$A$28*Calculos!$B$28)</f>
        <v>0.04518850195</v>
      </c>
      <c r="E5" s="124">
        <f>(D5*Calculos!$C$28)/(0.4)</f>
        <v>5.204585712</v>
      </c>
      <c r="F5" s="124">
        <f>D5/0.4</f>
        <v>0.1129712549</v>
      </c>
      <c r="G5" s="124">
        <f>-ln(1-F5/2*Calculos!$D$34)</f>
        <v>0.05667272238</v>
      </c>
      <c r="H5" s="124">
        <f>Calculos!$D$34-F5/2</f>
        <v>0.9189259603</v>
      </c>
      <c r="K5" s="223"/>
    </row>
    <row r="6">
      <c r="A6" s="224">
        <v>1455.0</v>
      </c>
      <c r="B6" s="224">
        <v>784.0</v>
      </c>
      <c r="C6" s="208">
        <f t="shared" si="1"/>
        <v>13.06666667</v>
      </c>
      <c r="D6" s="208">
        <f>(A6/1000)/(Calculos!$A$28*Calculos!$B$28)</f>
        <v>0.05950160212</v>
      </c>
      <c r="E6" s="208">
        <f>(D6*Calculos!$C$28)/(0.4)</f>
        <v>6.853097024</v>
      </c>
      <c r="F6" s="208">
        <f>D6/0.4</f>
        <v>0.1487540053</v>
      </c>
      <c r="G6" s="124">
        <f>-ln(1-F6/2*Calculos!$D$34)</f>
        <v>0.07531444298</v>
      </c>
      <c r="H6" s="208">
        <f>Calculos!$D$34-F6/2</f>
        <v>0.9010345851</v>
      </c>
      <c r="K6" s="223"/>
    </row>
    <row r="7">
      <c r="A7" s="224">
        <v>1825.0</v>
      </c>
      <c r="B7" s="224">
        <v>836.0</v>
      </c>
      <c r="C7" s="208">
        <f t="shared" si="1"/>
        <v>13.93333333</v>
      </c>
      <c r="D7" s="208">
        <f>(A7/1000)/(Calculos!$A$28*Calculos!$B$28)</f>
        <v>0.07463259372</v>
      </c>
      <c r="E7" s="208">
        <f>(D7*Calculos!$C$28)/(0.4)</f>
        <v>8.595808982</v>
      </c>
      <c r="F7" s="208">
        <f>D7/0.4</f>
        <v>0.1865814843</v>
      </c>
      <c r="G7" s="124">
        <f>-ln(1-F7/2*Calculos!$D$34)</f>
        <v>0.09540674248</v>
      </c>
      <c r="H7" s="208">
        <f>Calculos!$D$34-F7/2</f>
        <v>0.8821208456</v>
      </c>
      <c r="K7" s="223"/>
    </row>
    <row r="8">
      <c r="A8" s="224">
        <v>2175.0</v>
      </c>
      <c r="B8" s="224">
        <v>879.0</v>
      </c>
      <c r="C8" s="208">
        <f t="shared" si="1"/>
        <v>14.65</v>
      </c>
      <c r="D8" s="208">
        <f>(A8/1000)/(Calculos!$A$28*Calculos!$B$28)</f>
        <v>0.08894569388</v>
      </c>
      <c r="E8" s="208">
        <f>(D8*Calculos!$C$28)/(0.4)</f>
        <v>10.24432029</v>
      </c>
      <c r="F8" s="208">
        <f>D8/0.4</f>
        <v>0.2223642347</v>
      </c>
      <c r="G8" s="124">
        <f>-ln(1-F8/2*Calculos!$D$34)</f>
        <v>0.1147918799</v>
      </c>
      <c r="H8" s="208">
        <f>Calculos!$D$34-F8/2</f>
        <v>0.8642294704</v>
      </c>
      <c r="K8" s="223"/>
    </row>
    <row r="9">
      <c r="A9" s="224">
        <v>2552.0</v>
      </c>
      <c r="B9" s="224">
        <v>921.0</v>
      </c>
      <c r="C9" s="208">
        <f t="shared" si="1"/>
        <v>15.35</v>
      </c>
      <c r="D9" s="208">
        <f>(A9/1000)/(Calculos!$A$28*Calculos!$B$28)</f>
        <v>0.1043629475</v>
      </c>
      <c r="E9" s="208">
        <f>(D9*Calculos!$C$28)/(0.4)</f>
        <v>12.02000248</v>
      </c>
      <c r="F9" s="208">
        <f>D9/0.4</f>
        <v>0.2609073687</v>
      </c>
      <c r="G9" s="124">
        <f>-ln(1-F9/2*Calculos!$D$34)</f>
        <v>0.1361015903</v>
      </c>
      <c r="H9" s="208">
        <f>Calculos!$D$34-F9/2</f>
        <v>0.8449579034</v>
      </c>
      <c r="K9" s="223"/>
    </row>
    <row r="10">
      <c r="A10" s="224">
        <v>2907.0</v>
      </c>
      <c r="B10" s="224">
        <v>959.0</v>
      </c>
      <c r="C10" s="208">
        <f t="shared" si="1"/>
        <v>15.98333333</v>
      </c>
      <c r="D10" s="208">
        <f>(A10/1000)/(Calculos!$A$28*Calculos!$B$28)</f>
        <v>0.1188805205</v>
      </c>
      <c r="E10" s="208">
        <f>(D10*Calculos!$C$28)/(0.4)</f>
        <v>13.69206395</v>
      </c>
      <c r="F10" s="208">
        <f>D10/0.4</f>
        <v>0.2972013013</v>
      </c>
      <c r="G10" s="124">
        <f>-ln(1-F10/2*Calculos!$D$34)</f>
        <v>0.1565915858</v>
      </c>
      <c r="H10" s="208">
        <f>Calculos!$D$34-F10/2</f>
        <v>0.8268109371</v>
      </c>
      <c r="K10" s="223"/>
    </row>
    <row r="11">
      <c r="A11" s="224">
        <v>3282.0</v>
      </c>
      <c r="B11" s="224">
        <v>997.0</v>
      </c>
      <c r="C11" s="208">
        <f t="shared" si="1"/>
        <v>16.61666667</v>
      </c>
      <c r="D11" s="208">
        <f>(A11/1000)/(Calculos!$A$28*Calculos!$B$28)</f>
        <v>0.134215985</v>
      </c>
      <c r="E11" s="208">
        <f>(D11*Calculos!$C$28)/(0.4)</f>
        <v>15.45832607</v>
      </c>
      <c r="F11" s="208">
        <f>D11/0.4</f>
        <v>0.3355399624</v>
      </c>
      <c r="G11" s="124">
        <f>-ln(1-F11/2*Calculos!$D$34)</f>
        <v>0.1787018563</v>
      </c>
      <c r="H11" s="208">
        <f>Calculos!$D$34-F11/2</f>
        <v>0.8076416065</v>
      </c>
      <c r="K11" s="223"/>
    </row>
    <row r="12">
      <c r="A12" s="224">
        <v>3662.0</v>
      </c>
      <c r="B12" s="224">
        <v>1035.0</v>
      </c>
      <c r="C12" s="208">
        <f t="shared" si="1"/>
        <v>17.25</v>
      </c>
      <c r="D12" s="208">
        <f>(A12/1000)/(Calculos!$A$28*Calculos!$B$28)</f>
        <v>0.1497559223</v>
      </c>
      <c r="E12" s="208">
        <f>(D12*Calculos!$C$28)/(0.4)</f>
        <v>17.24813835</v>
      </c>
      <c r="F12" s="208">
        <f>D12/0.4</f>
        <v>0.3743898058</v>
      </c>
      <c r="G12" s="124">
        <f>-ln(1-F12/2*Calculos!$D$34)</f>
        <v>0.2016170155</v>
      </c>
      <c r="H12" s="208">
        <f>Calculos!$D$34-F12/2</f>
        <v>0.7882166849</v>
      </c>
      <c r="K12" s="223"/>
    </row>
    <row r="13">
      <c r="A13" s="224">
        <v>4112.0</v>
      </c>
      <c r="B13" s="224">
        <v>1079.0</v>
      </c>
      <c r="C13" s="208">
        <f t="shared" si="1"/>
        <v>17.98333333</v>
      </c>
      <c r="D13" s="208">
        <f>(A13/1000)/(Calculos!$A$28*Calculos!$B$28)</f>
        <v>0.1681584797</v>
      </c>
      <c r="E13" s="208">
        <f>(D13*Calculos!$C$28)/(0.4)</f>
        <v>19.36765289</v>
      </c>
      <c r="F13" s="208">
        <f>D13/0.4</f>
        <v>0.4203961991</v>
      </c>
      <c r="G13" s="124">
        <f>-ln(1-F13/2*Calculos!$D$34)</f>
        <v>0.2294504758</v>
      </c>
      <c r="H13" s="208">
        <f>Calculos!$D$34-F13/2</f>
        <v>0.7652134882</v>
      </c>
      <c r="K13" s="223"/>
    </row>
    <row r="14">
      <c r="A14" s="224">
        <v>4662.0</v>
      </c>
      <c r="B14" s="224">
        <v>1133.0</v>
      </c>
      <c r="C14" s="208">
        <f t="shared" si="1"/>
        <v>18.88333333</v>
      </c>
      <c r="D14" s="208">
        <f>(A14/1000)/(Calculos!$A$28*Calculos!$B$28)</f>
        <v>0.1906504942</v>
      </c>
      <c r="E14" s="208">
        <f>(D14*Calculos!$C$28)/(0.4)</f>
        <v>21.95817067</v>
      </c>
      <c r="F14" s="208">
        <f>D14/0.4</f>
        <v>0.4766262355</v>
      </c>
      <c r="G14" s="124">
        <f>-ln(1-F14/2*Calculos!$D$34)</f>
        <v>0.2645560542</v>
      </c>
      <c r="H14" s="208">
        <f>Calculos!$D$34-F14/2</f>
        <v>0.73709847</v>
      </c>
      <c r="K14" s="223"/>
    </row>
    <row r="15">
      <c r="A15" s="224">
        <v>5032.0</v>
      </c>
      <c r="B15" s="224">
        <v>1170.0</v>
      </c>
      <c r="C15" s="208">
        <f t="shared" si="1"/>
        <v>19.5</v>
      </c>
      <c r="D15" s="208">
        <f>(A15/1000)/(Calculos!$A$28*Calculos!$B$28)</f>
        <v>0.2057814858</v>
      </c>
      <c r="E15" s="208">
        <f>(D15*Calculos!$C$28)/(0.4)</f>
        <v>23.70088263</v>
      </c>
      <c r="F15" s="208">
        <f>D15/0.4</f>
        <v>0.5144537145</v>
      </c>
      <c r="G15" s="124">
        <f>-ln(1-F15/2*Calculos!$D$34)</f>
        <v>0.2888855393</v>
      </c>
      <c r="H15" s="208">
        <f>Calculos!$D$34-F15/2</f>
        <v>0.7181847305</v>
      </c>
      <c r="K15" s="223"/>
    </row>
    <row r="16">
      <c r="A16" s="224">
        <v>5339.0</v>
      </c>
      <c r="B16" s="224">
        <v>1201.0</v>
      </c>
      <c r="C16" s="208">
        <f t="shared" si="1"/>
        <v>20.01666667</v>
      </c>
      <c r="D16" s="208">
        <f>(A16/1000)/(Calculos!$A$28*Calculos!$B$28)</f>
        <v>0.2183361194</v>
      </c>
      <c r="E16" s="208">
        <f>(D16*Calculos!$C$28)/(0.4)</f>
        <v>25.14686255</v>
      </c>
      <c r="F16" s="208">
        <f>D16/0.4</f>
        <v>0.5458402984</v>
      </c>
      <c r="G16" s="124">
        <f>-ln(1-F16/2*Calculos!$D$34)</f>
        <v>0.3095316809</v>
      </c>
      <c r="H16" s="208">
        <f>Calculos!$D$34-F16/2</f>
        <v>0.7024914385</v>
      </c>
      <c r="K16" s="223"/>
    </row>
    <row r="17">
      <c r="A17" s="224">
        <v>5684.0</v>
      </c>
      <c r="B17" s="224">
        <v>1236.0</v>
      </c>
      <c r="C17" s="208">
        <f t="shared" si="1"/>
        <v>20.6</v>
      </c>
      <c r="D17" s="208">
        <f>(A17/1000)/(Calculos!$A$28*Calculos!$B$28)</f>
        <v>0.2324447467</v>
      </c>
      <c r="E17" s="208">
        <f>(D17*Calculos!$C$28)/(0.4)</f>
        <v>26.7718237</v>
      </c>
      <c r="F17" s="208">
        <f>D17/0.4</f>
        <v>0.5811118667</v>
      </c>
      <c r="G17" s="124">
        <f>-ln(1-F17/2*Calculos!$D$34)</f>
        <v>0.3332536957</v>
      </c>
      <c r="H17" s="208">
        <f>Calculos!$D$34-F17/2</f>
        <v>0.6848556544</v>
      </c>
      <c r="K17" s="223"/>
    </row>
    <row r="18">
      <c r="A18" s="224">
        <v>6059.0</v>
      </c>
      <c r="B18" s="224">
        <v>1277.0</v>
      </c>
      <c r="C18" s="208">
        <f t="shared" si="1"/>
        <v>21.28333333</v>
      </c>
      <c r="D18" s="208">
        <f>(A18/1000)/(Calculos!$A$28*Calculos!$B$28)</f>
        <v>0.2477802111</v>
      </c>
      <c r="E18" s="208">
        <f>(D18*Calculos!$C$28)/(0.4)</f>
        <v>28.53808582</v>
      </c>
      <c r="F18" s="208">
        <f>D18/0.4</f>
        <v>0.6194505279</v>
      </c>
      <c r="G18" s="124">
        <f>-ln(1-F18/2*Calculos!$D$34)</f>
        <v>0.359693225</v>
      </c>
      <c r="H18" s="208">
        <f>Calculos!$D$34-F18/2</f>
        <v>0.6656863238</v>
      </c>
      <c r="K18" s="223"/>
    </row>
    <row r="19">
      <c r="A19" s="224">
        <v>6469.0</v>
      </c>
      <c r="B19" s="224">
        <v>1321.0</v>
      </c>
      <c r="C19" s="208">
        <f t="shared" si="1"/>
        <v>22.01666667</v>
      </c>
      <c r="D19" s="208">
        <f>(A19/1000)/(Calculos!$A$28*Calculos!$B$28)</f>
        <v>0.2645469856</v>
      </c>
      <c r="E19" s="208">
        <f>(D19*Calculos!$C$28)/(0.4)</f>
        <v>30.46919907</v>
      </c>
      <c r="F19" s="208">
        <f>D19/0.4</f>
        <v>0.6613674641</v>
      </c>
      <c r="G19" s="124">
        <f>-ln(1-F19/2*Calculos!$D$34)</f>
        <v>0.3894235803</v>
      </c>
      <c r="H19" s="208">
        <f>Calculos!$D$34-F19/2</f>
        <v>0.6447278557</v>
      </c>
      <c r="K19" s="223"/>
    </row>
    <row r="20">
      <c r="A20" s="224">
        <v>6844.0</v>
      </c>
      <c r="B20" s="224">
        <v>1362.0</v>
      </c>
      <c r="C20" s="208">
        <f t="shared" si="1"/>
        <v>22.7</v>
      </c>
      <c r="D20" s="208">
        <f>(A20/1000)/(Calculos!$A$28*Calculos!$B$28)</f>
        <v>0.2798824501</v>
      </c>
      <c r="E20" s="208">
        <f>(D20*Calculos!$C$28)/(0.4)</f>
        <v>32.23546119</v>
      </c>
      <c r="F20" s="208">
        <f>D20/0.4</f>
        <v>0.6997061252</v>
      </c>
      <c r="G20" s="124">
        <f>-ln(1-F20/2*Calculos!$D$34)</f>
        <v>0.4174122892</v>
      </c>
      <c r="H20" s="208">
        <f>Calculos!$D$34-F20/2</f>
        <v>0.6255585251</v>
      </c>
    </row>
    <row r="21">
      <c r="A21" s="224">
        <v>7244.0</v>
      </c>
      <c r="B21" s="224">
        <v>1407.0</v>
      </c>
      <c r="C21" s="208">
        <f t="shared" si="1"/>
        <v>23.45</v>
      </c>
      <c r="D21" s="208">
        <f>(A21/1000)/(Calculos!$A$28*Calculos!$B$28)</f>
        <v>0.2962402789</v>
      </c>
      <c r="E21" s="208">
        <f>(D21*Calculos!$C$28)/(0.4)</f>
        <v>34.11947412</v>
      </c>
      <c r="F21" s="208">
        <f>D21/0.4</f>
        <v>0.7406006971</v>
      </c>
      <c r="G21" s="124">
        <f>-ln(1-F21/2*Calculos!$D$34)</f>
        <v>0.4481564283</v>
      </c>
      <c r="H21" s="208">
        <f>Calculos!$D$34-F21/2</f>
        <v>0.6051112392</v>
      </c>
    </row>
    <row r="22">
      <c r="A22" s="224">
        <v>7664.0</v>
      </c>
      <c r="B22" s="224">
        <v>1460.0</v>
      </c>
      <c r="C22" s="208">
        <f t="shared" si="1"/>
        <v>24.33333333</v>
      </c>
      <c r="D22" s="208">
        <f>(A22/1000)/(Calculos!$A$28*Calculos!$B$28)</f>
        <v>0.313415999</v>
      </c>
      <c r="E22" s="208">
        <f>(D22*Calculos!$C$28)/(0.4)</f>
        <v>36.09768769</v>
      </c>
      <c r="F22" s="208">
        <f>D22/0.4</f>
        <v>0.7835399976</v>
      </c>
      <c r="G22" s="124">
        <f>-ln(1-F22/2*Calculos!$D$34)</f>
        <v>0.4814885234</v>
      </c>
      <c r="H22" s="208">
        <f>Calculos!$D$34-F22/2</f>
        <v>0.5836415889</v>
      </c>
    </row>
    <row r="23">
      <c r="A23" s="224">
        <v>8079.0</v>
      </c>
      <c r="B23" s="224">
        <v>1519.0</v>
      </c>
      <c r="C23" s="208">
        <f t="shared" si="1"/>
        <v>25.31666667</v>
      </c>
      <c r="D23" s="208">
        <f>(A23/1000)/(Calculos!$A$28*Calculos!$B$28)</f>
        <v>0.3303872464</v>
      </c>
      <c r="E23" s="208">
        <f>(D23*Calculos!$C$28)/(0.4)</f>
        <v>38.0523511</v>
      </c>
      <c r="F23" s="208">
        <f>D23/0.4</f>
        <v>0.825968116</v>
      </c>
      <c r="G23" s="124">
        <f>-ln(1-F23/2*Calculos!$D$34)</f>
        <v>0.5155525041</v>
      </c>
      <c r="H23" s="208">
        <f>Calculos!$D$34-F23/2</f>
        <v>0.5624275297</v>
      </c>
    </row>
    <row r="24">
      <c r="A24" s="224">
        <v>8499.0</v>
      </c>
      <c r="B24" s="224">
        <v>1589.0</v>
      </c>
      <c r="C24" s="208">
        <f t="shared" si="1"/>
        <v>26.48333333</v>
      </c>
      <c r="D24" s="208">
        <f>(A24/1000)/(Calculos!$A$28*Calculos!$B$28)</f>
        <v>0.3475629666</v>
      </c>
      <c r="E24" s="208">
        <f>(D24*Calculos!$C$28)/(0.4)</f>
        <v>40.03056468</v>
      </c>
      <c r="F24" s="208">
        <f>D24/0.4</f>
        <v>0.8689074165</v>
      </c>
      <c r="G24" s="124">
        <f>-ln(1-F24/2*Calculos!$D$34)</f>
        <v>0.5512504426</v>
      </c>
      <c r="H24" s="208">
        <f>Calculos!$D$34-F24/2</f>
        <v>0.5409578795</v>
      </c>
    </row>
    <row r="25">
      <c r="A25" s="222">
        <v>8859.0</v>
      </c>
      <c r="B25" s="222">
        <v>1663.0</v>
      </c>
      <c r="C25" s="124">
        <f t="shared" si="1"/>
        <v>27.71666667</v>
      </c>
      <c r="D25" s="124">
        <f>(A25/1000)/(Calculos!$A$28*Calculos!$B$28)</f>
        <v>0.3622850125</v>
      </c>
      <c r="E25" s="124">
        <f>(D25*Calculos!$C$28)/(0.4)</f>
        <v>41.72617631</v>
      </c>
      <c r="F25" s="124">
        <f>D25/0.4</f>
        <v>0.9057125312</v>
      </c>
      <c r="G25" s="124">
        <f>-ln(1-F25/2*Calculos!$D$34)</f>
        <v>0.5828968876</v>
      </c>
      <c r="H25" s="124">
        <f>Calculos!$D$34-F25/2</f>
        <v>0.5225553221</v>
      </c>
    </row>
    <row r="26">
      <c r="A26" s="222">
        <v>9244.0</v>
      </c>
      <c r="B26" s="222">
        <v>1774.0</v>
      </c>
      <c r="C26" s="124">
        <f t="shared" si="1"/>
        <v>29.56666667</v>
      </c>
      <c r="D26" s="124">
        <f>(A26/1000)/(Calculos!$A$28*Calculos!$B$28)</f>
        <v>0.3780294227</v>
      </c>
      <c r="E26" s="124">
        <f>(D26*Calculos!$C$28)/(0.4)</f>
        <v>43.53953875</v>
      </c>
      <c r="F26" s="124">
        <f>D26/0.4</f>
        <v>0.9450735566</v>
      </c>
      <c r="G26" s="124">
        <f>-ln(1-F26/2*Calculos!$D$34)</f>
        <v>0.6178873063</v>
      </c>
      <c r="H26" s="124">
        <f>Calculos!$D$34-F26/2</f>
        <v>0.5028748094</v>
      </c>
    </row>
    <row r="27">
      <c r="A27" s="222">
        <v>9584.0</v>
      </c>
      <c r="B27" s="222">
        <v>1952.0</v>
      </c>
      <c r="C27" s="124">
        <f t="shared" si="1"/>
        <v>32.53333333</v>
      </c>
      <c r="D27" s="124">
        <f>(A27/1000)/(Calculos!$A$28*Calculos!$B$28)</f>
        <v>0.3919335771</v>
      </c>
      <c r="E27" s="124">
        <f>(D27*Calculos!$C$28)/(0.4)</f>
        <v>45.14094974</v>
      </c>
      <c r="F27" s="124">
        <f>D27/0.4</f>
        <v>0.9798339427</v>
      </c>
      <c r="G27" s="124">
        <f>-ln(1-F27/2*Calculos!$D$34)</f>
        <v>0.6498400032</v>
      </c>
      <c r="H27" s="124">
        <f>Calculos!$D$34-F27/2</f>
        <v>0.4854946164</v>
      </c>
    </row>
    <row r="28">
      <c r="A28" s="222">
        <v>9699.0</v>
      </c>
      <c r="B28" s="222">
        <v>2121.0</v>
      </c>
      <c r="C28" s="124">
        <f t="shared" si="1"/>
        <v>35.35</v>
      </c>
      <c r="D28" s="124">
        <f>(A28/1000)/(Calculos!$A$28*Calculos!$B$28)</f>
        <v>0.3966364529</v>
      </c>
      <c r="E28" s="124">
        <f>(D28*Calculos!$C$28)/(0.4)</f>
        <v>45.68260346</v>
      </c>
      <c r="F28" s="124">
        <f>D28/0.4</f>
        <v>0.9915911322</v>
      </c>
      <c r="G28" s="124">
        <f>-ln(1-F28/2*Calculos!$D$34)</f>
        <v>0.6608827996</v>
      </c>
      <c r="H28" s="124">
        <f>Calculos!$D$34-F28/2</f>
        <v>0.4796160216</v>
      </c>
    </row>
    <row r="29">
      <c r="A29" s="222">
        <v>9939.0</v>
      </c>
      <c r="B29" s="222">
        <v>2671.0</v>
      </c>
      <c r="C29" s="124">
        <f t="shared" si="1"/>
        <v>44.51666667</v>
      </c>
      <c r="D29" s="124">
        <f>(A29/1000)/(Calculos!$A$28*Calculos!$B$28)</f>
        <v>0.4064511501</v>
      </c>
      <c r="E29" s="124">
        <f>(D29*Calculos!$C$28)/(0.4)</f>
        <v>46.81301122</v>
      </c>
      <c r="F29" s="124">
        <f>D29/0.4</f>
        <v>1.016127875</v>
      </c>
      <c r="G29" s="124">
        <f>-ln(1-F29/2*Calculos!$D$34)</f>
        <v>0.6843290788</v>
      </c>
      <c r="H29" s="124">
        <f>Calculos!$D$34-F29/2</f>
        <v>0.4673476501</v>
      </c>
    </row>
    <row r="30">
      <c r="A30" s="222">
        <v>10119.0</v>
      </c>
      <c r="B30" s="222">
        <v>3171.0</v>
      </c>
      <c r="C30" s="124">
        <f t="shared" si="1"/>
        <v>52.85</v>
      </c>
      <c r="D30" s="124">
        <f>(A30/1000)/(Calculos!$A$28*Calculos!$B$28)</f>
        <v>0.4138121731</v>
      </c>
      <c r="E30" s="124">
        <f>(D30*Calculos!$C$28)/(0.4)</f>
        <v>47.66081703</v>
      </c>
      <c r="F30" s="124">
        <f>D30/0.4</f>
        <v>1.034530433</v>
      </c>
      <c r="G30" s="124">
        <f>-ln(1-F30/2*Calculos!$D$34)</f>
        <v>0.7022817458</v>
      </c>
      <c r="H30" s="124">
        <f>Calculos!$D$34-F30/2</f>
        <v>0.4581463714</v>
      </c>
    </row>
    <row r="31">
      <c r="A31" s="222">
        <v>10264.0</v>
      </c>
      <c r="B31" s="222">
        <v>4555.0</v>
      </c>
      <c r="C31" s="124">
        <f t="shared" si="1"/>
        <v>75.91666667</v>
      </c>
      <c r="D31" s="124">
        <f>(A31/1000)/(Calculos!$A$28*Calculos!$B$28)</f>
        <v>0.419741886</v>
      </c>
      <c r="E31" s="124">
        <f>(D31*Calculos!$C$28)/(0.4)</f>
        <v>48.34377172</v>
      </c>
      <c r="F31" s="124">
        <f>D31/0.4</f>
        <v>1.049354715</v>
      </c>
      <c r="G31" s="124">
        <f>-ln(1-F31/2*Calculos!$D$34)</f>
        <v>0.7169817287</v>
      </c>
      <c r="H31" s="124">
        <f>Calculos!$D$34-F31/2</f>
        <v>0.4507342302</v>
      </c>
    </row>
    <row r="32">
      <c r="A32" s="222">
        <v>10444.0</v>
      </c>
      <c r="B32" s="222">
        <v>6191.0</v>
      </c>
      <c r="C32" s="124">
        <f t="shared" si="1"/>
        <v>103.1833333</v>
      </c>
      <c r="D32" s="124">
        <f>(A32/1000)/(Calculos!$A$28*Calculos!$B$28)</f>
        <v>0.4271029089</v>
      </c>
      <c r="E32" s="124">
        <f>(D32*Calculos!$C$28)/(0.4)</f>
        <v>49.19157754</v>
      </c>
      <c r="F32" s="124">
        <f>D32/0.4</f>
        <v>1.067757272</v>
      </c>
      <c r="G32" s="124">
        <f>-ln(1-F32/2*Calculos!$D$34)</f>
        <v>0.7355358353</v>
      </c>
      <c r="H32" s="124">
        <f>Calculos!$D$34-F32/2</f>
        <v>0.4415329516</v>
      </c>
    </row>
    <row r="33">
      <c r="A33" s="222">
        <v>10539.0</v>
      </c>
      <c r="B33" s="222">
        <v>7565.0</v>
      </c>
      <c r="C33" s="124">
        <f t="shared" si="1"/>
        <v>126.0833333</v>
      </c>
      <c r="D33" s="124">
        <f>(A33/1000)/(Calculos!$A$28*Calculos!$B$28)</f>
        <v>0.4309878933</v>
      </c>
      <c r="E33" s="124">
        <f>(D33*Calculos!$C$28)/(0.4)</f>
        <v>49.63903061</v>
      </c>
      <c r="F33" s="124">
        <f>D33/0.4</f>
        <v>1.077469733</v>
      </c>
      <c r="G33" s="124">
        <f>-ln(1-F33/2*Calculos!$D$34)</f>
        <v>0.7454688595</v>
      </c>
      <c r="H33" s="124">
        <f>Calculos!$D$34-F33/2</f>
        <v>0.4366767212</v>
      </c>
    </row>
    <row r="34">
      <c r="A34" s="222">
        <v>10564.0</v>
      </c>
      <c r="B34" s="222">
        <v>9852.0</v>
      </c>
    </row>
    <row r="37">
      <c r="A37" s="196" t="s">
        <v>84</v>
      </c>
      <c r="B37" s="196" t="s">
        <v>106</v>
      </c>
    </row>
    <row r="38">
      <c r="A38" s="222">
        <v>281.0</v>
      </c>
      <c r="B38" s="222">
        <v>0.0</v>
      </c>
    </row>
    <row r="39">
      <c r="A39" s="222">
        <v>468.0</v>
      </c>
      <c r="B39" s="222">
        <v>275.0</v>
      </c>
    </row>
    <row r="40">
      <c r="A40" s="222">
        <v>613.0</v>
      </c>
      <c r="B40" s="222">
        <v>655.0</v>
      </c>
    </row>
    <row r="41">
      <c r="A41" s="222">
        <v>722.0</v>
      </c>
      <c r="B41" s="222">
        <v>1105.0</v>
      </c>
    </row>
    <row r="42">
      <c r="A42" s="222">
        <v>784.0</v>
      </c>
      <c r="B42" s="222">
        <v>1455.0</v>
      </c>
    </row>
    <row r="43">
      <c r="A43" s="222">
        <v>836.0</v>
      </c>
      <c r="B43" s="222">
        <v>1825.0</v>
      </c>
    </row>
    <row r="44">
      <c r="A44" s="222">
        <v>879.0</v>
      </c>
      <c r="B44" s="222">
        <v>2175.0</v>
      </c>
    </row>
    <row r="45">
      <c r="A45" s="222">
        <v>921.0</v>
      </c>
      <c r="B45" s="222">
        <v>2552.0</v>
      </c>
    </row>
    <row r="46">
      <c r="A46" s="222">
        <v>959.0</v>
      </c>
      <c r="B46" s="222">
        <v>2907.0</v>
      </c>
    </row>
    <row r="47">
      <c r="A47" s="222">
        <v>997.0</v>
      </c>
      <c r="B47" s="222">
        <v>3282.0</v>
      </c>
    </row>
    <row r="48">
      <c r="A48" s="222">
        <v>1035.0</v>
      </c>
      <c r="B48" s="222">
        <v>3662.0</v>
      </c>
    </row>
    <row r="49">
      <c r="A49" s="222">
        <v>1079.0</v>
      </c>
      <c r="B49" s="222">
        <v>4112.0</v>
      </c>
    </row>
    <row r="50">
      <c r="A50" s="225">
        <v>1133.0</v>
      </c>
      <c r="B50" s="225">
        <v>4662.0</v>
      </c>
    </row>
    <row r="51">
      <c r="A51" s="222">
        <v>1170.0</v>
      </c>
      <c r="B51" s="222">
        <v>5032.0</v>
      </c>
    </row>
    <row r="52">
      <c r="A52" s="222">
        <v>1201.0</v>
      </c>
      <c r="B52" s="222">
        <v>5339.0</v>
      </c>
    </row>
    <row r="53">
      <c r="A53" s="222">
        <v>1236.0</v>
      </c>
      <c r="B53" s="222">
        <v>5684.0</v>
      </c>
    </row>
    <row r="54">
      <c r="A54" s="222">
        <v>1277.0</v>
      </c>
      <c r="B54" s="222">
        <v>6059.0</v>
      </c>
    </row>
    <row r="55">
      <c r="A55" s="222">
        <v>1321.0</v>
      </c>
      <c r="B55" s="222">
        <v>6469.0</v>
      </c>
    </row>
    <row r="56">
      <c r="A56" s="222">
        <v>1362.0</v>
      </c>
      <c r="B56" s="222">
        <v>6844.0</v>
      </c>
    </row>
    <row r="57">
      <c r="A57" s="222">
        <v>1407.0</v>
      </c>
      <c r="B57" s="222">
        <v>7244.0</v>
      </c>
    </row>
    <row r="58">
      <c r="A58" s="222">
        <v>1460.0</v>
      </c>
      <c r="B58" s="222">
        <v>7664.0</v>
      </c>
    </row>
    <row r="59">
      <c r="A59" s="222">
        <v>1519.0</v>
      </c>
      <c r="B59" s="222">
        <v>8079.0</v>
      </c>
    </row>
    <row r="60">
      <c r="A60" s="222">
        <v>1589.0</v>
      </c>
      <c r="B60" s="222">
        <v>8499.0</v>
      </c>
    </row>
    <row r="61">
      <c r="A61" s="222">
        <v>1663.0</v>
      </c>
      <c r="B61" s="222">
        <v>8859.0</v>
      </c>
    </row>
    <row r="62">
      <c r="A62" s="222">
        <v>1774.0</v>
      </c>
      <c r="B62" s="222">
        <v>9244.0</v>
      </c>
    </row>
    <row r="63">
      <c r="A63" s="222">
        <v>1952.0</v>
      </c>
      <c r="B63" s="222">
        <v>9584.0</v>
      </c>
    </row>
    <row r="64">
      <c r="A64" s="222">
        <v>2121.0</v>
      </c>
      <c r="B64" s="222">
        <v>9699.0</v>
      </c>
    </row>
    <row r="65">
      <c r="A65" s="222">
        <v>2671.0</v>
      </c>
      <c r="B65" s="222">
        <v>9939.0</v>
      </c>
    </row>
    <row r="66">
      <c r="A66" s="222">
        <v>3171.0</v>
      </c>
      <c r="B66" s="222">
        <v>10119.0</v>
      </c>
    </row>
    <row r="67">
      <c r="A67" s="222">
        <v>4555.0</v>
      </c>
      <c r="B67" s="222">
        <v>10264.0</v>
      </c>
    </row>
    <row r="68">
      <c r="A68" s="222">
        <v>6191.0</v>
      </c>
      <c r="B68" s="222">
        <v>10444.0</v>
      </c>
    </row>
    <row r="69">
      <c r="A69" s="222">
        <v>7565.0</v>
      </c>
      <c r="B69" s="222">
        <v>10539.0</v>
      </c>
    </row>
    <row r="70">
      <c r="A70" s="222">
        <v>9852.0</v>
      </c>
      <c r="B70" s="222">
        <v>10564.0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2" max="2" width="17.71"/>
    <col customWidth="1" min="4" max="4" width="16.57"/>
    <col customWidth="1" min="5" max="5" width="15.57"/>
  </cols>
  <sheetData>
    <row r="1" ht="39.0" customHeight="1">
      <c r="A1" s="198" t="s">
        <v>107</v>
      </c>
      <c r="B1" s="198" t="s">
        <v>83</v>
      </c>
      <c r="C1" s="198" t="s">
        <v>108</v>
      </c>
      <c r="D1" s="198" t="s">
        <v>109</v>
      </c>
      <c r="E1" s="226" t="s">
        <v>110</v>
      </c>
      <c r="F1" s="198" t="s">
        <v>111</v>
      </c>
      <c r="G1" s="198" t="s">
        <v>91</v>
      </c>
      <c r="H1" s="198" t="s">
        <v>92</v>
      </c>
      <c r="I1" s="198" t="s">
        <v>103</v>
      </c>
      <c r="J1" s="198" t="s">
        <v>104</v>
      </c>
      <c r="K1" s="198" t="s">
        <v>95</v>
      </c>
      <c r="L1" s="198" t="s">
        <v>105</v>
      </c>
    </row>
    <row r="2">
      <c r="A2" s="227">
        <v>0.0</v>
      </c>
      <c r="B2" s="227">
        <v>12.0</v>
      </c>
      <c r="C2" s="228">
        <v>25.0</v>
      </c>
      <c r="D2" s="228">
        <f>A2*24+B2+C2/60</f>
        <v>12.41666667</v>
      </c>
      <c r="E2" s="223">
        <v>0.0</v>
      </c>
      <c r="F2" s="223">
        <f>E2</f>
        <v>0</v>
      </c>
      <c r="G2" s="124">
        <f>(F2/1000)/(Calculos!$A$28*Calculos!$B$28)</f>
        <v>0</v>
      </c>
      <c r="H2" s="124">
        <f>(G2*Calculos!$C$28)/(0.4)</f>
        <v>0</v>
      </c>
      <c r="I2" s="124">
        <f>G2/0.4</f>
        <v>0</v>
      </c>
      <c r="J2" s="124">
        <f>-ln(1-I2/2*Calculos!$D$34)</f>
        <v>0</v>
      </c>
      <c r="K2" s="124">
        <f>Calculos!$D$34-I2/2</f>
        <v>0.9754115877</v>
      </c>
      <c r="L2" s="124">
        <f>slope(J5:J19,D5:D19)</f>
        <v>0.02454413751</v>
      </c>
      <c r="P2" s="229"/>
      <c r="S2" s="230"/>
      <c r="T2" s="231"/>
      <c r="U2" s="231"/>
      <c r="V2" s="232"/>
      <c r="W2" s="231"/>
      <c r="X2" s="233"/>
    </row>
    <row r="3">
      <c r="B3" s="234">
        <v>18.0</v>
      </c>
      <c r="C3" s="234">
        <v>48.0</v>
      </c>
      <c r="D3" s="124">
        <f t="shared" ref="D3:D8" si="1">(A3*24+B3+C3/60)-$D$2</f>
        <v>6.383333333</v>
      </c>
      <c r="E3" s="136">
        <v>202.0</v>
      </c>
      <c r="F3" s="223">
        <f t="shared" ref="F3:F4" si="2">F2+E3</f>
        <v>202</v>
      </c>
      <c r="P3" s="235"/>
      <c r="S3" s="236"/>
      <c r="T3" s="236"/>
      <c r="U3" s="236"/>
      <c r="V3" s="236"/>
      <c r="W3" s="236"/>
      <c r="X3" s="149"/>
    </row>
    <row r="4">
      <c r="A4" s="136">
        <v>0.0</v>
      </c>
      <c r="B4" s="136">
        <v>21.0</v>
      </c>
      <c r="C4" s="124">
        <v>4.0</v>
      </c>
      <c r="D4" s="124">
        <f t="shared" si="1"/>
        <v>8.65</v>
      </c>
      <c r="E4" s="223">
        <v>405.0</v>
      </c>
      <c r="F4" s="223">
        <f t="shared" si="2"/>
        <v>607</v>
      </c>
      <c r="G4" s="124">
        <f>(F4/1000)/(Calculos!$A$28*Calculos!$B$28)</f>
        <v>0.02482300514</v>
      </c>
      <c r="H4" s="124">
        <f>(G4*Calculos!$C$28)/(0.4)</f>
        <v>2.858989617</v>
      </c>
      <c r="I4" s="124">
        <f>G4/0.4</f>
        <v>0.06205751286</v>
      </c>
      <c r="J4" s="124">
        <f>-ln(1-I4/2*Calculos!$D$34)</f>
        <v>0.0307332745</v>
      </c>
      <c r="K4" s="124">
        <f>Calculos!$D$34-I4/2</f>
        <v>0.9443828313</v>
      </c>
      <c r="P4" s="235"/>
      <c r="S4" s="236"/>
      <c r="T4" s="236"/>
      <c r="U4" s="236"/>
      <c r="V4" s="236"/>
      <c r="W4" s="236"/>
      <c r="X4" s="147"/>
    </row>
    <row r="5">
      <c r="A5" s="237">
        <v>1.0</v>
      </c>
      <c r="B5" s="237">
        <v>1.0</v>
      </c>
      <c r="C5" s="238">
        <v>38.0</v>
      </c>
      <c r="D5" s="239">
        <f t="shared" si="1"/>
        <v>13.21666667</v>
      </c>
      <c r="E5" s="240">
        <v>700.0</v>
      </c>
      <c r="F5" s="240">
        <f>F4+E5</f>
        <v>1307</v>
      </c>
      <c r="G5" s="239">
        <f>(F5/1000)/(Calculos!$A$28*Calculos!$B$28)</f>
        <v>0.05344920547</v>
      </c>
      <c r="H5" s="239">
        <f>(G5*Calculos!$C$28)/(0.4)</f>
        <v>6.156012241</v>
      </c>
      <c r="I5" s="239">
        <f>G5/0.4</f>
        <v>0.1336230137</v>
      </c>
      <c r="J5" s="124">
        <f>-ln(1-I5/2*Calculos!$D$34)</f>
        <v>0.067389213</v>
      </c>
      <c r="K5" s="239">
        <f>Calculos!$D$34-I5/2</f>
        <v>0.9086000809</v>
      </c>
      <c r="P5" s="235"/>
      <c r="S5" s="236"/>
      <c r="T5" s="236"/>
      <c r="U5" s="236"/>
      <c r="V5" s="236"/>
      <c r="W5" s="236"/>
      <c r="X5" s="147"/>
    </row>
    <row r="6">
      <c r="A6" s="237">
        <v>1.0</v>
      </c>
      <c r="B6" s="237">
        <v>2.0</v>
      </c>
      <c r="C6" s="238">
        <v>27.0</v>
      </c>
      <c r="D6" s="239">
        <f t="shared" si="1"/>
        <v>14.03333333</v>
      </c>
      <c r="E6" s="240">
        <v>400.0</v>
      </c>
      <c r="F6" s="240">
        <f>F5+E6</f>
        <v>1707</v>
      </c>
      <c r="G6" s="239">
        <f>(F6/1000)/(Calculos!$A$28*Calculos!$B$28)</f>
        <v>0.06980703424</v>
      </c>
      <c r="H6" s="239">
        <f>(G6*Calculos!$C$28)/(0.4)</f>
        <v>8.040025168</v>
      </c>
      <c r="I6" s="239">
        <f>G6/0.4</f>
        <v>0.1745175856</v>
      </c>
      <c r="J6" s="124">
        <f>-ln(1-I6/2*Calculos!$D$34)</f>
        <v>0.08895497833</v>
      </c>
      <c r="K6" s="239">
        <f>Calculos!$D$34-I6/2</f>
        <v>0.8881527949</v>
      </c>
      <c r="P6" s="235"/>
      <c r="S6" s="236"/>
      <c r="T6" s="236"/>
      <c r="U6" s="236"/>
      <c r="V6" s="236"/>
      <c r="W6" s="236"/>
      <c r="X6" s="147"/>
    </row>
    <row r="7">
      <c r="A7" s="237">
        <v>1.0</v>
      </c>
      <c r="B7" s="237">
        <v>3.0</v>
      </c>
      <c r="C7" s="238">
        <v>10.0</v>
      </c>
      <c r="D7" s="239">
        <f t="shared" si="1"/>
        <v>14.75</v>
      </c>
      <c r="E7" s="240">
        <v>366.0</v>
      </c>
      <c r="F7" s="240">
        <f>F6+E7</f>
        <v>2073</v>
      </c>
      <c r="G7" s="239">
        <f>(F7/1000)/(Calculos!$A$28*Calculos!$B$28)</f>
        <v>0.08477444755</v>
      </c>
      <c r="H7" s="239">
        <f>(G7*Calculos!$C$28)/(0.4)</f>
        <v>9.763896997</v>
      </c>
      <c r="I7" s="239">
        <f>G7/0.4</f>
        <v>0.2119361189</v>
      </c>
      <c r="J7" s="124">
        <f>-ln(1-I7/2*Calculos!$D$34)</f>
        <v>0.1091035935</v>
      </c>
      <c r="K7" s="239">
        <f>Calculos!$D$34-I7/2</f>
        <v>0.8694435283</v>
      </c>
      <c r="P7" s="235"/>
      <c r="S7" s="236"/>
      <c r="T7" s="236"/>
      <c r="U7" s="236"/>
      <c r="V7" s="236"/>
      <c r="W7" s="236"/>
      <c r="X7" s="147"/>
    </row>
    <row r="8">
      <c r="A8" s="237">
        <v>1.0</v>
      </c>
      <c r="B8" s="237">
        <v>3.0</v>
      </c>
      <c r="C8" s="238">
        <v>53.0</v>
      </c>
      <c r="D8" s="239">
        <f t="shared" si="1"/>
        <v>15.46666667</v>
      </c>
      <c r="E8" s="240">
        <v>420.0</v>
      </c>
      <c r="F8" s="240">
        <f>F7+E8</f>
        <v>2493</v>
      </c>
      <c r="G8" s="239">
        <f>(F8/1000)/(Calculos!$A$28*Calculos!$B$28)</f>
        <v>0.1019501677</v>
      </c>
      <c r="H8" s="239">
        <f>(G8*Calculos!$C$28)/(0.4)</f>
        <v>11.74211057</v>
      </c>
      <c r="I8" s="239">
        <f>G8/0.4</f>
        <v>0.2548754194</v>
      </c>
      <c r="J8" s="124">
        <f>-ln(1-I8/2*Calculos!$D$34)</f>
        <v>0.13273653</v>
      </c>
      <c r="K8" s="239">
        <f>Calculos!$D$34-I8/2</f>
        <v>0.847973878</v>
      </c>
      <c r="P8" s="235"/>
      <c r="S8" s="236"/>
      <c r="T8" s="236"/>
      <c r="U8" s="236"/>
      <c r="V8" s="236"/>
      <c r="W8" s="236"/>
      <c r="X8" s="147"/>
    </row>
    <row r="9">
      <c r="A9" s="237">
        <v>1.0</v>
      </c>
      <c r="B9" s="237">
        <v>4.0</v>
      </c>
      <c r="C9" s="238">
        <v>10.0</v>
      </c>
      <c r="D9" s="239">
        <f t="shared" ref="D9:D23" si="3">A9*24+B9+C9/60-$D$2</f>
        <v>15.75</v>
      </c>
      <c r="E9" s="240">
        <v>150.0</v>
      </c>
      <c r="F9" s="240">
        <f>F8+E9</f>
        <v>2643</v>
      </c>
      <c r="G9" s="239">
        <f>(F9/1000)/(Calculos!$A$28*Calculos!$B$28)</f>
        <v>0.1080843535</v>
      </c>
      <c r="H9" s="239">
        <f>(G9*Calculos!$C$28)/(0.4)</f>
        <v>12.44861542</v>
      </c>
      <c r="I9" s="239">
        <f>G9/0.4</f>
        <v>0.2702108838</v>
      </c>
      <c r="J9" s="124">
        <f>-ln(1-I9/2*Calculos!$D$34)</f>
        <v>0.141314072</v>
      </c>
      <c r="K9" s="239">
        <f>Calculos!$D$34-I9/2</f>
        <v>0.8403061458</v>
      </c>
      <c r="P9" s="235"/>
      <c r="S9" s="236"/>
      <c r="T9" s="236"/>
      <c r="U9" s="236"/>
      <c r="V9" s="236"/>
      <c r="W9" s="236"/>
      <c r="X9" s="147"/>
    </row>
    <row r="10">
      <c r="A10" s="237">
        <v>1.0</v>
      </c>
      <c r="B10" s="237">
        <v>5.0</v>
      </c>
      <c r="C10" s="238">
        <v>12.0</v>
      </c>
      <c r="D10" s="239">
        <f t="shared" si="3"/>
        <v>16.78333333</v>
      </c>
      <c r="E10" s="240">
        <v>425.0</v>
      </c>
      <c r="F10" s="240">
        <f>F9+E10</f>
        <v>3068</v>
      </c>
      <c r="G10" s="239">
        <f>(F10/1000)/(Calculos!$A$28*Calculos!$B$28)</f>
        <v>0.1254645466</v>
      </c>
      <c r="H10" s="239">
        <f>(G10*Calculos!$C$28)/(0.4)</f>
        <v>14.45037915</v>
      </c>
      <c r="I10" s="239">
        <f>G10/0.4</f>
        <v>0.3136613665</v>
      </c>
      <c r="J10" s="124">
        <f>-ln(1-I10/2*Calculos!$D$34)</f>
        <v>0.1660244381</v>
      </c>
      <c r="K10" s="239">
        <f>Calculos!$D$34-I10/2</f>
        <v>0.8185809045</v>
      </c>
      <c r="P10" s="235"/>
      <c r="S10" s="236"/>
      <c r="T10" s="236"/>
      <c r="U10" s="236"/>
      <c r="V10" s="236"/>
      <c r="W10" s="236"/>
      <c r="X10" s="147"/>
    </row>
    <row r="11">
      <c r="A11" s="237">
        <v>1.0</v>
      </c>
      <c r="B11" s="237">
        <v>6.0</v>
      </c>
      <c r="C11" s="238">
        <v>16.0</v>
      </c>
      <c r="D11" s="239">
        <f t="shared" si="3"/>
        <v>17.85</v>
      </c>
      <c r="E11" s="240">
        <v>352.0</v>
      </c>
      <c r="F11" s="240">
        <f>F10+E11</f>
        <v>3420</v>
      </c>
      <c r="G11" s="239">
        <f>(F11/1000)/(Calculos!$A$28*Calculos!$B$28)</f>
        <v>0.1398594359</v>
      </c>
      <c r="H11" s="239">
        <f>(G11*Calculos!$C$28)/(0.4)</f>
        <v>16.10831053</v>
      </c>
      <c r="I11" s="239">
        <f>G11/0.4</f>
        <v>0.3496485898</v>
      </c>
      <c r="J11" s="124">
        <f>-ln(1-I11/2*Calculos!$D$34)</f>
        <v>0.1869630837</v>
      </c>
      <c r="K11" s="239">
        <f>Calculos!$D$34-I11/2</f>
        <v>0.8005872929</v>
      </c>
      <c r="P11" s="235"/>
      <c r="S11" s="236"/>
      <c r="T11" s="236"/>
      <c r="U11" s="236"/>
      <c r="V11" s="236"/>
      <c r="W11" s="236"/>
      <c r="X11" s="147"/>
    </row>
    <row r="12">
      <c r="A12" s="237">
        <v>1.0</v>
      </c>
      <c r="B12" s="237">
        <v>8.0</v>
      </c>
      <c r="C12" s="238">
        <v>21.0</v>
      </c>
      <c r="D12" s="239">
        <f t="shared" si="3"/>
        <v>19.93333333</v>
      </c>
      <c r="E12" s="240">
        <v>440.0</v>
      </c>
      <c r="F12" s="240">
        <f>F11+E12</f>
        <v>3860</v>
      </c>
      <c r="G12" s="239">
        <f>(F12/1000)/(Calculos!$A$28*Calculos!$B$28)</f>
        <v>0.1578530475</v>
      </c>
      <c r="H12" s="239">
        <f>(G12*Calculos!$C$28)/(0.4)</f>
        <v>18.18072475</v>
      </c>
      <c r="I12" s="239">
        <f>G12/0.4</f>
        <v>0.3946326188</v>
      </c>
      <c r="J12" s="124">
        <f>-ln(1-I12/2*Calculos!$D$34)</f>
        <v>0.213768404</v>
      </c>
      <c r="K12" s="239">
        <f>Calculos!$D$34-I12/2</f>
        <v>0.7780952783</v>
      </c>
      <c r="P12" s="235"/>
      <c r="S12" s="236"/>
      <c r="T12" s="236"/>
      <c r="U12" s="236"/>
      <c r="V12" s="236"/>
      <c r="W12" s="236"/>
      <c r="X12" s="147"/>
    </row>
    <row r="13">
      <c r="A13" s="237">
        <v>1.0</v>
      </c>
      <c r="B13" s="237">
        <v>9.0</v>
      </c>
      <c r="C13" s="238">
        <v>21.0</v>
      </c>
      <c r="D13" s="239">
        <f t="shared" si="3"/>
        <v>20.93333333</v>
      </c>
      <c r="E13" s="240">
        <v>440.0</v>
      </c>
      <c r="F13" s="240">
        <f>F12+E13</f>
        <v>4300</v>
      </c>
      <c r="G13" s="239">
        <f>(F13/1000)/(Calculos!$A$28*Calculos!$B$28)</f>
        <v>0.1758466592</v>
      </c>
      <c r="H13" s="239">
        <f>(G13*Calculos!$C$28)/(0.4)</f>
        <v>20.25313897</v>
      </c>
      <c r="I13" s="239">
        <f>G13/0.4</f>
        <v>0.4396166479</v>
      </c>
      <c r="J13" s="124">
        <f>-ln(1-I13/2*Calculos!$D$34)</f>
        <v>0.241312087</v>
      </c>
      <c r="K13" s="239">
        <f>Calculos!$D$34-I13/2</f>
        <v>0.7556032638</v>
      </c>
      <c r="P13" s="235"/>
      <c r="S13" s="236"/>
      <c r="T13" s="236"/>
      <c r="U13" s="236"/>
      <c r="V13" s="236"/>
      <c r="W13" s="236"/>
      <c r="X13" s="147"/>
    </row>
    <row r="14">
      <c r="A14" s="237">
        <v>1.0</v>
      </c>
      <c r="B14" s="237">
        <v>10.0</v>
      </c>
      <c r="C14" s="238">
        <v>15.0</v>
      </c>
      <c r="D14" s="239">
        <f t="shared" si="3"/>
        <v>21.83333333</v>
      </c>
      <c r="E14" s="240">
        <v>425.0</v>
      </c>
      <c r="F14" s="240">
        <f>F13+E14</f>
        <v>4725</v>
      </c>
      <c r="G14" s="239">
        <f>(F14/1000)/(Calculos!$A$28*Calculos!$B$28)</f>
        <v>0.1932268522</v>
      </c>
      <c r="H14" s="239">
        <f>(G14*Calculos!$C$28)/(0.4)</f>
        <v>22.25490271</v>
      </c>
      <c r="I14" s="239">
        <f>G14/0.4</f>
        <v>0.4830671306</v>
      </c>
      <c r="J14" s="124">
        <f>-ln(1-I14/2*Calculos!$D$34)</f>
        <v>0.2686570525</v>
      </c>
      <c r="K14" s="239">
        <f>Calculos!$D$34-I14/2</f>
        <v>0.7338780224</v>
      </c>
      <c r="P14" s="235"/>
      <c r="S14" s="236"/>
      <c r="T14" s="236"/>
      <c r="U14" s="236"/>
      <c r="V14" s="236"/>
      <c r="W14" s="236"/>
      <c r="X14" s="147"/>
    </row>
    <row r="15">
      <c r="A15" s="237">
        <v>1.0</v>
      </c>
      <c r="B15" s="237">
        <v>11.0</v>
      </c>
      <c r="C15" s="238">
        <v>11.0</v>
      </c>
      <c r="D15" s="239">
        <f t="shared" si="3"/>
        <v>22.76666667</v>
      </c>
      <c r="E15" s="240">
        <v>440.0</v>
      </c>
      <c r="F15" s="240">
        <f>F14+E15</f>
        <v>5165</v>
      </c>
      <c r="G15" s="239">
        <f>(F15/1000)/(Calculos!$A$28*Calculos!$B$28)</f>
        <v>0.2112204639</v>
      </c>
      <c r="H15" s="239">
        <f>(G15*Calculos!$C$28)/(0.4)</f>
        <v>24.32731693</v>
      </c>
      <c r="I15" s="239">
        <f>G15/0.4</f>
        <v>0.5280511597</v>
      </c>
      <c r="J15" s="124">
        <f>-ln(1-I15/2*Calculos!$D$34)</f>
        <v>0.2977776754</v>
      </c>
      <c r="K15" s="239">
        <f>Calculos!$D$34-I15/2</f>
        <v>0.7113860079</v>
      </c>
      <c r="P15" s="235"/>
      <c r="S15" s="236"/>
      <c r="T15" s="236"/>
      <c r="U15" s="236"/>
      <c r="V15" s="236"/>
      <c r="W15" s="236"/>
      <c r="X15" s="147"/>
    </row>
    <row r="16">
      <c r="A16" s="237">
        <v>1.0</v>
      </c>
      <c r="B16" s="237">
        <v>12.0</v>
      </c>
      <c r="C16" s="238">
        <v>8.0</v>
      </c>
      <c r="D16" s="239">
        <f t="shared" si="3"/>
        <v>23.71666667</v>
      </c>
      <c r="E16" s="240">
        <v>426.0</v>
      </c>
      <c r="F16" s="240">
        <f>F15+E16</f>
        <v>5591</v>
      </c>
      <c r="G16" s="239">
        <f>(F16/1000)/(Calculos!$A$28*Calculos!$B$28)</f>
        <v>0.2286415515</v>
      </c>
      <c r="H16" s="239">
        <f>(G16*Calculos!$C$28)/(0.4)</f>
        <v>26.33379069</v>
      </c>
      <c r="I16" s="239">
        <f>G16/0.4</f>
        <v>0.5716038787</v>
      </c>
      <c r="J16" s="124">
        <f>-ln(1-I16/2*Calculos!$D$34)</f>
        <v>0.3268034631</v>
      </c>
      <c r="K16" s="239">
        <f>Calculos!$D$34-I16/2</f>
        <v>0.6896096484</v>
      </c>
      <c r="P16" s="235"/>
      <c r="S16" s="236"/>
      <c r="T16" s="236"/>
      <c r="U16" s="236"/>
      <c r="V16" s="236"/>
      <c r="W16" s="236"/>
      <c r="X16" s="147"/>
    </row>
    <row r="17">
      <c r="A17" s="237">
        <v>1.0</v>
      </c>
      <c r="B17" s="237">
        <v>13.0</v>
      </c>
      <c r="C17" s="238">
        <v>6.0</v>
      </c>
      <c r="D17" s="239">
        <f t="shared" si="3"/>
        <v>24.68333333</v>
      </c>
      <c r="E17" s="240">
        <v>435.0</v>
      </c>
      <c r="F17" s="240">
        <f>F16+E17</f>
        <v>6026</v>
      </c>
      <c r="G17" s="239">
        <f>(F17/1000)/(Calculos!$A$28*Calculos!$B$28)</f>
        <v>0.2464306903</v>
      </c>
      <c r="H17" s="239">
        <f>(G17*Calculos!$C$28)/(0.4)</f>
        <v>28.38265475</v>
      </c>
      <c r="I17" s="239">
        <f>G17/0.4</f>
        <v>0.6160767257</v>
      </c>
      <c r="J17" s="124">
        <f>-ln(1-I17/2*Calculos!$D$34)</f>
        <v>0.3573382905</v>
      </c>
      <c r="K17" s="239">
        <f>Calculos!$D$34-I17/2</f>
        <v>0.6673732249</v>
      </c>
      <c r="P17" s="235"/>
      <c r="S17" s="236"/>
      <c r="T17" s="236"/>
      <c r="U17" s="236"/>
      <c r="V17" s="236"/>
      <c r="W17" s="236"/>
      <c r="X17" s="147"/>
    </row>
    <row r="18">
      <c r="A18" s="237">
        <v>1.0</v>
      </c>
      <c r="B18" s="237">
        <v>14.0</v>
      </c>
      <c r="C18" s="238">
        <v>13.0</v>
      </c>
      <c r="D18" s="239">
        <f t="shared" si="3"/>
        <v>25.8</v>
      </c>
      <c r="E18" s="240">
        <v>450.0</v>
      </c>
      <c r="F18" s="240">
        <f>F17+E18</f>
        <v>6476</v>
      </c>
      <c r="G18" s="239">
        <f>(F18/1000)/(Calculos!$A$28*Calculos!$B$28)</f>
        <v>0.2648332476</v>
      </c>
      <c r="H18" s="239">
        <f>(G18*Calculos!$C$28)/(0.4)</f>
        <v>30.5021693</v>
      </c>
      <c r="I18" s="239">
        <f>G18/0.4</f>
        <v>0.6620831191</v>
      </c>
      <c r="J18" s="124">
        <f>-ln(1-I18/2*Calculos!$D$34)</f>
        <v>0.3899389253</v>
      </c>
      <c r="K18" s="239">
        <f>Calculos!$D$34-I18/2</f>
        <v>0.6443700282</v>
      </c>
      <c r="P18" s="235"/>
      <c r="S18" s="236"/>
      <c r="T18" s="236"/>
      <c r="U18" s="236"/>
      <c r="V18" s="236"/>
      <c r="W18" s="236"/>
      <c r="X18" s="147"/>
    </row>
    <row r="19">
      <c r="A19" s="237">
        <v>1.0</v>
      </c>
      <c r="B19" s="237">
        <v>15.0</v>
      </c>
      <c r="C19" s="238">
        <v>26.0</v>
      </c>
      <c r="D19" s="239">
        <f t="shared" si="3"/>
        <v>27.01666667</v>
      </c>
      <c r="E19" s="240">
        <v>370.0</v>
      </c>
      <c r="F19" s="240">
        <f>F18+E19</f>
        <v>6846</v>
      </c>
      <c r="G19" s="239">
        <f>(F19/1000)/(Calculos!$A$28*Calculos!$B$28)</f>
        <v>0.2799642392</v>
      </c>
      <c r="H19" s="239">
        <f>(G19*Calculos!$C$28)/(0.4)</f>
        <v>32.24488125</v>
      </c>
      <c r="I19" s="239">
        <f>G19/0.4</f>
        <v>0.6999105981</v>
      </c>
      <c r="J19" s="124">
        <f>-ln(1-I19/2*Calculos!$D$34)</f>
        <v>0.4175636824</v>
      </c>
      <c r="K19" s="239">
        <f>Calculos!$D$34-I19/2</f>
        <v>0.6254562887</v>
      </c>
    </row>
    <row r="20">
      <c r="A20" s="234">
        <v>1.0</v>
      </c>
      <c r="B20" s="234">
        <v>18.0</v>
      </c>
      <c r="C20">
        <v>6.0</v>
      </c>
      <c r="D20" s="124">
        <f t="shared" si="3"/>
        <v>29.68333333</v>
      </c>
      <c r="E20" s="223">
        <v>385.0</v>
      </c>
      <c r="F20" s="223">
        <f t="shared" ref="F20:F23" si="4">F19+E20</f>
        <v>7231</v>
      </c>
      <c r="G20" s="124">
        <f>(F20/1000)/(Calculos!$A$28*Calculos!$B$28)</f>
        <v>0.2957086494</v>
      </c>
      <c r="H20" s="124">
        <f>(G20*Calculos!$C$28)/(0.4)</f>
        <v>34.0582437</v>
      </c>
      <c r="I20" s="124">
        <f>G20/0.4</f>
        <v>0.7392716235</v>
      </c>
      <c r="J20" s="124">
        <f>-ln(1-I20/2*Calculos!$D$34)</f>
        <v>0.4471422401</v>
      </c>
      <c r="K20" s="124">
        <f>Calculos!$D$34-I20/2</f>
        <v>0.605775776</v>
      </c>
    </row>
    <row r="21">
      <c r="A21" s="234">
        <v>1.0</v>
      </c>
      <c r="B21" s="234">
        <v>22.0</v>
      </c>
      <c r="C21">
        <v>43.0</v>
      </c>
      <c r="D21" s="124">
        <f t="shared" si="3"/>
        <v>34.3</v>
      </c>
      <c r="E21" s="223">
        <v>240.0</v>
      </c>
      <c r="F21" s="223">
        <f t="shared" si="4"/>
        <v>7471</v>
      </c>
      <c r="G21" s="124">
        <f>(F21/1000)/(Calculos!$A$28*Calculos!$B$28)</f>
        <v>0.3055233467</v>
      </c>
      <c r="H21" s="124">
        <f>(G21*Calculos!$C$28)/(0.4)</f>
        <v>35.18865145</v>
      </c>
      <c r="I21" s="124">
        <f>G21/0.4</f>
        <v>0.7638083667</v>
      </c>
      <c r="J21" s="124">
        <f>-ln(1-I21/2*Calculos!$D$34)</f>
        <v>0.4660335458</v>
      </c>
      <c r="K21" s="124">
        <f>Calculos!$D$34-I21/2</f>
        <v>0.5935074044</v>
      </c>
    </row>
    <row r="22">
      <c r="A22" s="234">
        <v>2.0</v>
      </c>
      <c r="B22" s="234">
        <v>15.0</v>
      </c>
      <c r="C22">
        <v>40.0</v>
      </c>
      <c r="D22" s="124">
        <f t="shared" si="3"/>
        <v>51.25</v>
      </c>
      <c r="E22" s="223">
        <v>205.0</v>
      </c>
      <c r="F22" s="223">
        <f t="shared" si="4"/>
        <v>7676</v>
      </c>
      <c r="G22" s="124">
        <f>(F22/1000)/(Calculos!$A$28*Calculos!$B$28)</f>
        <v>0.3139067339</v>
      </c>
      <c r="H22" s="124">
        <f>(G22*Calculos!$C$28)/(0.4)</f>
        <v>36.15420808</v>
      </c>
      <c r="I22" s="124">
        <f>G22/0.4</f>
        <v>0.7847668348</v>
      </c>
      <c r="J22" s="124">
        <f>-ln(1-I22/2*Calculos!$D$34)</f>
        <v>0.4824573878</v>
      </c>
      <c r="K22" s="124">
        <f>Calculos!$D$34-I22/2</f>
        <v>0.5830281703</v>
      </c>
    </row>
    <row r="23">
      <c r="A23" s="136">
        <v>3.0</v>
      </c>
      <c r="B23" s="136">
        <v>23.0</v>
      </c>
      <c r="C23" s="124">
        <v>5.0</v>
      </c>
      <c r="D23" s="124">
        <f t="shared" si="3"/>
        <v>82.66666667</v>
      </c>
      <c r="E23" s="223">
        <f>350+20</f>
        <v>370</v>
      </c>
      <c r="F23" s="223">
        <f t="shared" si="4"/>
        <v>8046</v>
      </c>
      <c r="G23" s="124">
        <f>(F23/1000)/(Calculos!$A$28*Calculos!$B$28)</f>
        <v>0.3290377255</v>
      </c>
      <c r="H23" s="124">
        <f>(G23*Calculos!$C$28)/(0.4)</f>
        <v>37.89692004</v>
      </c>
      <c r="I23" s="124">
        <f>G23/0.4</f>
        <v>0.8225943138</v>
      </c>
      <c r="J23" s="124">
        <f>-ln(1-I23/2*Calculos!$D$34)</f>
        <v>0.5128009281</v>
      </c>
      <c r="K23" s="124">
        <f>Calculos!$D$34-I23/2</f>
        <v>0.5641144308</v>
      </c>
    </row>
    <row r="24">
      <c r="D24" s="241"/>
    </row>
    <row r="32">
      <c r="K32" s="241"/>
    </row>
    <row r="33">
      <c r="A33" s="242"/>
    </row>
    <row r="34">
      <c r="A34" s="241"/>
    </row>
    <row r="35">
      <c r="A35" s="241"/>
    </row>
    <row r="36">
      <c r="A36" s="241"/>
    </row>
    <row r="37">
      <c r="A37" s="241"/>
    </row>
    <row r="38">
      <c r="A38" s="241"/>
    </row>
    <row r="39">
      <c r="A39" s="241"/>
    </row>
    <row r="40">
      <c r="A40" s="241"/>
    </row>
    <row r="41">
      <c r="A41" s="241"/>
    </row>
    <row r="42">
      <c r="A42" s="241"/>
    </row>
    <row r="43">
      <c r="A43" s="241"/>
      <c r="E43" s="149"/>
      <c r="F43" s="149"/>
      <c r="G43" s="149"/>
      <c r="H43" s="149"/>
      <c r="I43" s="149"/>
      <c r="J43" s="147"/>
    </row>
    <row r="44">
      <c r="A44" s="241"/>
      <c r="D44" s="241"/>
      <c r="E44" s="149"/>
      <c r="F44" s="149"/>
      <c r="G44" s="149"/>
      <c r="H44" s="149"/>
      <c r="I44" s="149"/>
      <c r="J44" s="147"/>
    </row>
    <row r="45">
      <c r="A45" s="241"/>
      <c r="D45" s="241"/>
      <c r="E45" s="149"/>
      <c r="F45" s="149"/>
      <c r="G45" s="149"/>
      <c r="H45" s="149"/>
      <c r="I45" s="149"/>
      <c r="J45" s="147"/>
    </row>
    <row r="46">
      <c r="A46" s="241"/>
      <c r="D46" s="241"/>
      <c r="E46" s="149"/>
      <c r="F46" s="149"/>
      <c r="G46" s="149"/>
      <c r="H46" s="149"/>
      <c r="I46" s="149"/>
      <c r="J46" s="147"/>
    </row>
    <row r="47">
      <c r="A47" s="241"/>
      <c r="D47" s="241"/>
      <c r="E47" s="149"/>
      <c r="F47" s="149"/>
      <c r="G47" s="149"/>
      <c r="H47" s="149"/>
      <c r="I47" s="149"/>
      <c r="J47" s="147"/>
    </row>
    <row r="48">
      <c r="B48" s="241" t="str">
        <f t="shared" ref="B48:C48" si="5">D24</f>
        <v/>
      </c>
      <c r="C48" s="124" t="str">
        <f t="shared" si="5"/>
        <v/>
      </c>
    </row>
    <row r="49">
      <c r="B49" s="124" t="str">
        <f t="shared" ref="B49:C49" si="6">D25</f>
        <v/>
      </c>
      <c r="C49" s="124" t="str">
        <f t="shared" si="6"/>
        <v/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43" t="s">
        <v>112</v>
      </c>
      <c r="B1" s="243" t="s">
        <v>113</v>
      </c>
      <c r="C1" s="136" t="s">
        <v>114</v>
      </c>
      <c r="D1" s="136" t="s">
        <v>115</v>
      </c>
      <c r="E1" s="243" t="s">
        <v>116</v>
      </c>
      <c r="F1" s="243" t="s">
        <v>117</v>
      </c>
      <c r="G1" s="198" t="s">
        <v>91</v>
      </c>
      <c r="H1" s="25" t="s">
        <v>92</v>
      </c>
      <c r="I1" s="25" t="s">
        <v>103</v>
      </c>
      <c r="J1" s="25" t="s">
        <v>104</v>
      </c>
      <c r="K1" s="25" t="s">
        <v>95</v>
      </c>
      <c r="L1" s="232" t="s">
        <v>118</v>
      </c>
    </row>
    <row r="2">
      <c r="A2" s="244">
        <v>44482.506944444445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124">
        <f>SLOPE(J6:J25,D6:D25)</f>
        <v>0.02573265207</v>
      </c>
    </row>
    <row r="3">
      <c r="A3" s="246">
        <v>44483.145833333336</v>
      </c>
      <c r="B3" s="247">
        <f t="shared" ref="B3:B33" si="1">A3-$A$2</f>
        <v>0.6388888889</v>
      </c>
      <c r="C3" s="248">
        <f t="shared" ref="C3:C33" si="2">D3*60</f>
        <v>920</v>
      </c>
      <c r="D3" s="249">
        <f t="shared" ref="D3:D11" si="3">hour(B3) + MINUTE(B3)/60</f>
        <v>15.33333333</v>
      </c>
      <c r="E3" s="250">
        <v>500.0</v>
      </c>
      <c r="F3" s="250">
        <f>E3</f>
        <v>500</v>
      </c>
      <c r="G3" s="251">
        <f>(F3/1000)/(Calculos!$A$28*Calculos!$B$28)</f>
        <v>0.02044728595</v>
      </c>
      <c r="H3" s="245">
        <f>(G3*Calculos!$C$28)/(0.4)</f>
        <v>2.355016159</v>
      </c>
      <c r="I3" s="245">
        <f t="shared" ref="I3:I33" si="4">G3/0.4</f>
        <v>0.05111821488</v>
      </c>
      <c r="J3" s="245">
        <f>-ln(1-I3/2*Calculos!$D$34)</f>
        <v>0.02524668186</v>
      </c>
      <c r="K3" s="245">
        <f>Calculos!$D$34-I3/2</f>
        <v>0.9498524803</v>
      </c>
    </row>
    <row r="4">
      <c r="A4" s="246">
        <v>44483.208333333336</v>
      </c>
      <c r="B4" s="247">
        <f t="shared" si="1"/>
        <v>0.7013888889</v>
      </c>
      <c r="C4" s="248">
        <f t="shared" si="2"/>
        <v>1010</v>
      </c>
      <c r="D4" s="249">
        <f t="shared" si="3"/>
        <v>16.83333333</v>
      </c>
      <c r="E4" s="250">
        <v>170.0</v>
      </c>
      <c r="F4" s="250">
        <f t="shared" ref="F4:F33" si="5">E4+F3</f>
        <v>670</v>
      </c>
      <c r="G4" s="251">
        <f>(F4/1000)/(Calculos!$A$28*Calculos!$B$28)</f>
        <v>0.02739936317</v>
      </c>
      <c r="H4" s="245">
        <f>(G4*Calculos!$C$28)/(0.4)</f>
        <v>3.155721654</v>
      </c>
      <c r="I4" s="245">
        <f t="shared" si="4"/>
        <v>0.06849840793</v>
      </c>
      <c r="J4" s="245">
        <f>-ln(1-I4/2*Calculos!$D$34)</f>
        <v>0.03397783433</v>
      </c>
      <c r="K4" s="245">
        <f>Calculos!$D$34-I4/2</f>
        <v>0.9411623838</v>
      </c>
      <c r="L4" s="147"/>
    </row>
    <row r="5">
      <c r="A5" s="246">
        <v>44483.270833333336</v>
      </c>
      <c r="B5" s="247">
        <f t="shared" si="1"/>
        <v>0.7638888889</v>
      </c>
      <c r="C5" s="248">
        <f t="shared" si="2"/>
        <v>1100</v>
      </c>
      <c r="D5" s="249">
        <f t="shared" si="3"/>
        <v>18.33333333</v>
      </c>
      <c r="E5" s="250">
        <v>290.0</v>
      </c>
      <c r="F5" s="250">
        <f t="shared" si="5"/>
        <v>960</v>
      </c>
      <c r="G5" s="251">
        <f>(F5/1000)/(Calculos!$A$28*Calculos!$B$28)</f>
        <v>0.03925878902</v>
      </c>
      <c r="H5" s="245">
        <f>(G5*Calculos!$C$28)/(0.4)</f>
        <v>4.521631026</v>
      </c>
      <c r="I5" s="245">
        <f t="shared" si="4"/>
        <v>0.09814697256</v>
      </c>
      <c r="J5" s="245">
        <f>-ln(1-I5/2*Calculos!$D$34)</f>
        <v>0.04905038755</v>
      </c>
      <c r="K5" s="245">
        <f>Calculos!$D$34-I5/2</f>
        <v>0.9263381015</v>
      </c>
    </row>
    <row r="6">
      <c r="A6" s="252">
        <v>44483.333333333336</v>
      </c>
      <c r="B6" s="253">
        <f t="shared" si="1"/>
        <v>0.8263888889</v>
      </c>
      <c r="C6" s="254">
        <f t="shared" si="2"/>
        <v>1190</v>
      </c>
      <c r="D6" s="255">
        <f t="shared" si="3"/>
        <v>19.83333333</v>
      </c>
      <c r="E6" s="256">
        <v>500.0</v>
      </c>
      <c r="F6" s="256">
        <f t="shared" si="5"/>
        <v>1460</v>
      </c>
      <c r="G6" s="257">
        <f>(F6/1000)/(Calculos!$A$28*Calculos!$B$28)</f>
        <v>0.05970607498</v>
      </c>
      <c r="H6" s="258">
        <f>(G6*Calculos!$C$28)/(0.4)</f>
        <v>6.876647185</v>
      </c>
      <c r="I6" s="258">
        <f t="shared" si="4"/>
        <v>0.1492651874</v>
      </c>
      <c r="J6" s="245">
        <f>-ln(1-I6/2*Calculos!$D$34)</f>
        <v>0.07558328715</v>
      </c>
      <c r="K6" s="258">
        <f>Calculos!$D$34-I6/2</f>
        <v>0.900778994</v>
      </c>
    </row>
    <row r="7">
      <c r="A7" s="252">
        <v>44483.364583333336</v>
      </c>
      <c r="B7" s="253">
        <f t="shared" si="1"/>
        <v>0.8576388889</v>
      </c>
      <c r="C7" s="254">
        <f t="shared" si="2"/>
        <v>1235</v>
      </c>
      <c r="D7" s="255">
        <f t="shared" si="3"/>
        <v>20.58333333</v>
      </c>
      <c r="E7" s="256">
        <v>200.0</v>
      </c>
      <c r="F7" s="256">
        <f t="shared" si="5"/>
        <v>1660</v>
      </c>
      <c r="G7" s="257">
        <f>(F7/1000)/(Calculos!$A$28*Calculos!$B$28)</f>
        <v>0.06788498936</v>
      </c>
      <c r="H7" s="258">
        <f>(G7*Calculos!$C$28)/(0.4)</f>
        <v>7.818653649</v>
      </c>
      <c r="I7" s="258">
        <f t="shared" si="4"/>
        <v>0.1697124734</v>
      </c>
      <c r="J7" s="245">
        <f>-ln(1-I7/2*Calculos!$D$34)</f>
        <v>0.08639675489</v>
      </c>
      <c r="K7" s="258">
        <f>Calculos!$D$34-I7/2</f>
        <v>0.890555351</v>
      </c>
    </row>
    <row r="8">
      <c r="A8" s="252">
        <v>44483.40625</v>
      </c>
      <c r="B8" s="253">
        <f t="shared" si="1"/>
        <v>0.8993055556</v>
      </c>
      <c r="C8" s="254">
        <f t="shared" si="2"/>
        <v>1295</v>
      </c>
      <c r="D8" s="255">
        <f t="shared" si="3"/>
        <v>21.58333333</v>
      </c>
      <c r="E8" s="256">
        <v>350.0</v>
      </c>
      <c r="F8" s="256">
        <f t="shared" si="5"/>
        <v>2010</v>
      </c>
      <c r="G8" s="257">
        <f>(F8/1000)/(Calculos!$A$28*Calculos!$B$28)</f>
        <v>0.08219808952</v>
      </c>
      <c r="H8" s="258">
        <f>(G8*Calculos!$C$28)/(0.4)</f>
        <v>9.467164961</v>
      </c>
      <c r="I8" s="258">
        <f t="shared" si="4"/>
        <v>0.2054952238</v>
      </c>
      <c r="J8" s="245">
        <f>-ln(1-I8/2*Calculos!$D$34)</f>
        <v>0.1056063362</v>
      </c>
      <c r="K8" s="258">
        <f>Calculos!$D$34-I8/2</f>
        <v>0.8726639758</v>
      </c>
    </row>
    <row r="9">
      <c r="A9" s="252">
        <v>44483.44097222222</v>
      </c>
      <c r="B9" s="253">
        <f t="shared" si="1"/>
        <v>0.9340277778</v>
      </c>
      <c r="C9" s="254">
        <f t="shared" si="2"/>
        <v>1345</v>
      </c>
      <c r="D9" s="255">
        <f t="shared" si="3"/>
        <v>22.41666667</v>
      </c>
      <c r="E9" s="256">
        <v>300.0</v>
      </c>
      <c r="F9" s="256">
        <f t="shared" si="5"/>
        <v>2310</v>
      </c>
      <c r="G9" s="257">
        <f>(F9/1000)/(Calculos!$A$28*Calculos!$B$28)</f>
        <v>0.09446646109</v>
      </c>
      <c r="H9" s="258">
        <f>(G9*Calculos!$C$28)/(0.4)</f>
        <v>10.88017466</v>
      </c>
      <c r="I9" s="258">
        <f t="shared" si="4"/>
        <v>0.2361661527</v>
      </c>
      <c r="J9" s="245">
        <f>-ln(1-I9/2*Calculos!$D$34)</f>
        <v>0.1223705936</v>
      </c>
      <c r="K9" s="258">
        <f>Calculos!$D$34-I9/2</f>
        <v>0.8573285114</v>
      </c>
    </row>
    <row r="10">
      <c r="A10" s="252">
        <v>44483.46875</v>
      </c>
      <c r="B10" s="253">
        <f t="shared" si="1"/>
        <v>0.9618055556</v>
      </c>
      <c r="C10" s="254">
        <f t="shared" si="2"/>
        <v>1385</v>
      </c>
      <c r="D10" s="255">
        <f t="shared" si="3"/>
        <v>23.08333333</v>
      </c>
      <c r="E10" s="256">
        <v>260.0</v>
      </c>
      <c r="F10" s="256">
        <f t="shared" si="5"/>
        <v>2570</v>
      </c>
      <c r="G10" s="257">
        <f>(F10/1000)/(Calculos!$A$28*Calculos!$B$28)</f>
        <v>0.1050990498</v>
      </c>
      <c r="H10" s="258">
        <f>(G10*Calculos!$C$28)/(0.4)</f>
        <v>12.10478306</v>
      </c>
      <c r="I10" s="258">
        <f t="shared" si="4"/>
        <v>0.2627476245</v>
      </c>
      <c r="J10" s="245">
        <f>-ln(1-I10/2*Calculos!$D$34)</f>
        <v>0.1371304773</v>
      </c>
      <c r="K10" s="258">
        <f>Calculos!$D$34-I10/2</f>
        <v>0.8440377755</v>
      </c>
    </row>
    <row r="11">
      <c r="A11" s="252">
        <v>44483.5</v>
      </c>
      <c r="B11" s="253">
        <f t="shared" si="1"/>
        <v>0.9930555556</v>
      </c>
      <c r="C11" s="254">
        <f t="shared" si="2"/>
        <v>1430</v>
      </c>
      <c r="D11" s="255">
        <f t="shared" si="3"/>
        <v>23.83333333</v>
      </c>
      <c r="E11" s="256">
        <v>290.0</v>
      </c>
      <c r="F11" s="256">
        <f t="shared" si="5"/>
        <v>2860</v>
      </c>
      <c r="G11" s="257">
        <f>(F11/1000)/(Calculos!$A$28*Calculos!$B$28)</f>
        <v>0.1169584756</v>
      </c>
      <c r="H11" s="258">
        <f>(G11*Calculos!$C$28)/(0.4)</f>
        <v>13.47069243</v>
      </c>
      <c r="I11" s="258">
        <f t="shared" si="4"/>
        <v>0.2923961891</v>
      </c>
      <c r="J11" s="245">
        <f>-ln(1-I11/2*Calculos!$D$34)</f>
        <v>0.1538545918</v>
      </c>
      <c r="K11" s="258">
        <f>Calculos!$D$34-I11/2</f>
        <v>0.8292134932</v>
      </c>
    </row>
    <row r="12">
      <c r="A12" s="252">
        <v>44483.53125</v>
      </c>
      <c r="B12" s="253">
        <f t="shared" si="1"/>
        <v>1.024305556</v>
      </c>
      <c r="C12" s="254">
        <f t="shared" si="2"/>
        <v>1475</v>
      </c>
      <c r="D12" s="255">
        <f t="shared" ref="D12:D29" si="6">hour(B12) + MINUTE(B12)/60 + 24</f>
        <v>24.58333333</v>
      </c>
      <c r="E12" s="256">
        <v>340.0</v>
      </c>
      <c r="F12" s="256">
        <f t="shared" si="5"/>
        <v>3200</v>
      </c>
      <c r="G12" s="257">
        <f>(F12/1000)/(Calculos!$A$28*Calculos!$B$28)</f>
        <v>0.1308626301</v>
      </c>
      <c r="H12" s="258">
        <f>(G12*Calculos!$C$28)/(0.4)</f>
        <v>15.07210342</v>
      </c>
      <c r="I12" s="258">
        <f t="shared" si="4"/>
        <v>0.3271565752</v>
      </c>
      <c r="J12" s="245">
        <f>-ln(1-I12/2*Calculos!$D$34)</f>
        <v>0.1738251424</v>
      </c>
      <c r="K12" s="258">
        <f>Calculos!$D$34-I12/2</f>
        <v>0.8118333001</v>
      </c>
    </row>
    <row r="13">
      <c r="A13" s="252">
        <v>44483.55902777778</v>
      </c>
      <c r="B13" s="253">
        <f t="shared" si="1"/>
        <v>1.052083333</v>
      </c>
      <c r="C13" s="254">
        <f t="shared" si="2"/>
        <v>1515</v>
      </c>
      <c r="D13" s="255">
        <f t="shared" si="6"/>
        <v>25.25</v>
      </c>
      <c r="E13" s="256">
        <v>315.0</v>
      </c>
      <c r="F13" s="256">
        <f t="shared" si="5"/>
        <v>3515</v>
      </c>
      <c r="G13" s="257">
        <f>(F13/1000)/(Calculos!$A$28*Calculos!$B$28)</f>
        <v>0.1437444202</v>
      </c>
      <c r="H13" s="258">
        <f>(G13*Calculos!$C$28)/(0.4)</f>
        <v>16.5557636</v>
      </c>
      <c r="I13" s="258">
        <f t="shared" si="4"/>
        <v>0.3593610506</v>
      </c>
      <c r="J13" s="245">
        <f>-ln(1-I13/2*Calculos!$D$34)</f>
        <v>0.1926900844</v>
      </c>
      <c r="K13" s="258">
        <f>Calculos!$D$34-I13/2</f>
        <v>0.7957310624</v>
      </c>
    </row>
    <row r="14">
      <c r="A14" s="252">
        <v>44483.59722222222</v>
      </c>
      <c r="B14" s="253">
        <f t="shared" si="1"/>
        <v>1.090277778</v>
      </c>
      <c r="C14" s="254">
        <f t="shared" si="2"/>
        <v>1570</v>
      </c>
      <c r="D14" s="255">
        <f t="shared" si="6"/>
        <v>26.16666667</v>
      </c>
      <c r="E14" s="256">
        <v>400.0</v>
      </c>
      <c r="F14" s="256">
        <f t="shared" si="5"/>
        <v>3915</v>
      </c>
      <c r="G14" s="257">
        <f>(F14/1000)/(Calculos!$A$28*Calculos!$B$28)</f>
        <v>0.160102249</v>
      </c>
      <c r="H14" s="258">
        <f>(G14*Calculos!$C$28)/(0.4)</f>
        <v>18.43977653</v>
      </c>
      <c r="I14" s="258">
        <f t="shared" si="4"/>
        <v>0.4002556225</v>
      </c>
      <c r="J14" s="245">
        <f>-ln(1-I14/2*Calculos!$D$34)</f>
        <v>0.2171701602</v>
      </c>
      <c r="K14" s="258">
        <f>Calculos!$D$34-I14/2</f>
        <v>0.7752837765</v>
      </c>
    </row>
    <row r="15">
      <c r="A15" s="252">
        <v>44483.62847222222</v>
      </c>
      <c r="B15" s="253">
        <f t="shared" si="1"/>
        <v>1.121527778</v>
      </c>
      <c r="C15" s="254">
        <f t="shared" si="2"/>
        <v>1615</v>
      </c>
      <c r="D15" s="255">
        <f t="shared" si="6"/>
        <v>26.91666667</v>
      </c>
      <c r="E15" s="256">
        <v>340.0</v>
      </c>
      <c r="F15" s="256">
        <f t="shared" si="5"/>
        <v>4255</v>
      </c>
      <c r="G15" s="257">
        <f>(F15/1000)/(Calculos!$A$28*Calculos!$B$28)</f>
        <v>0.1740064034</v>
      </c>
      <c r="H15" s="258">
        <f>(G15*Calculos!$C$28)/(0.4)</f>
        <v>20.04118752</v>
      </c>
      <c r="I15" s="258">
        <f t="shared" si="4"/>
        <v>0.4350160086</v>
      </c>
      <c r="J15" s="245">
        <f>-ln(1-I15/2*Calculos!$D$34)</f>
        <v>0.2384600369</v>
      </c>
      <c r="K15" s="258">
        <f>Calculos!$D$34-I15/2</f>
        <v>0.7579035834</v>
      </c>
    </row>
    <row r="16">
      <c r="A16" s="252">
        <v>44483.649305555555</v>
      </c>
      <c r="B16" s="253">
        <f t="shared" si="1"/>
        <v>1.142361111</v>
      </c>
      <c r="C16" s="254">
        <f t="shared" si="2"/>
        <v>1645</v>
      </c>
      <c r="D16" s="255">
        <f t="shared" si="6"/>
        <v>27.41666667</v>
      </c>
      <c r="E16" s="256">
        <v>240.0</v>
      </c>
      <c r="F16" s="256">
        <f t="shared" si="5"/>
        <v>4495</v>
      </c>
      <c r="G16" s="257">
        <f>(F16/1000)/(Calculos!$A$28*Calculos!$B$28)</f>
        <v>0.1838211007</v>
      </c>
      <c r="H16" s="258">
        <f>(G16*Calculos!$C$28)/(0.4)</f>
        <v>21.17159527</v>
      </c>
      <c r="I16" s="258">
        <f t="shared" si="4"/>
        <v>0.4595527517</v>
      </c>
      <c r="J16" s="245">
        <f>-ln(1-I16/2*Calculos!$D$34)</f>
        <v>0.2537658386</v>
      </c>
      <c r="K16" s="258">
        <f>Calculos!$D$34-I16/2</f>
        <v>0.7456352119</v>
      </c>
    </row>
    <row r="17">
      <c r="A17" s="252">
        <v>44483.69097222222</v>
      </c>
      <c r="B17" s="253">
        <f t="shared" si="1"/>
        <v>1.184027778</v>
      </c>
      <c r="C17" s="254">
        <f t="shared" si="2"/>
        <v>1705</v>
      </c>
      <c r="D17" s="255">
        <f t="shared" si="6"/>
        <v>28.41666667</v>
      </c>
      <c r="E17" s="256">
        <v>375.0</v>
      </c>
      <c r="F17" s="256">
        <f t="shared" si="5"/>
        <v>4870</v>
      </c>
      <c r="G17" s="257">
        <f>(F17/1000)/(Calculos!$A$28*Calculos!$B$28)</f>
        <v>0.1991565652</v>
      </c>
      <c r="H17" s="258">
        <f>(G17*Calculos!$C$28)/(0.4)</f>
        <v>22.93785739</v>
      </c>
      <c r="I17" s="258">
        <f t="shared" si="4"/>
        <v>0.4978914129</v>
      </c>
      <c r="J17" s="245">
        <f>-ln(1-I17/2*Calculos!$D$34)</f>
        <v>0.2781602516</v>
      </c>
      <c r="K17" s="258">
        <f>Calculos!$D$34-I17/2</f>
        <v>0.7264658813</v>
      </c>
    </row>
    <row r="18">
      <c r="A18" s="252">
        <v>44483.71875</v>
      </c>
      <c r="B18" s="253">
        <f t="shared" si="1"/>
        <v>1.211805556</v>
      </c>
      <c r="C18" s="254">
        <f t="shared" si="2"/>
        <v>1745</v>
      </c>
      <c r="D18" s="255">
        <f t="shared" si="6"/>
        <v>29.08333333</v>
      </c>
      <c r="E18" s="256">
        <v>260.0</v>
      </c>
      <c r="F18" s="256">
        <f t="shared" si="5"/>
        <v>5130</v>
      </c>
      <c r="G18" s="257">
        <f>(F18/1000)/(Calculos!$A$28*Calculos!$B$28)</f>
        <v>0.2097891539</v>
      </c>
      <c r="H18" s="258">
        <f>(G18*Calculos!$C$28)/(0.4)</f>
        <v>24.16246579</v>
      </c>
      <c r="I18" s="258">
        <f t="shared" si="4"/>
        <v>0.5244728846</v>
      </c>
      <c r="J18" s="245">
        <f>-ln(1-I18/2*Calculos!$D$34)</f>
        <v>0.2954299627</v>
      </c>
      <c r="K18" s="258">
        <f>Calculos!$D$34-I18/2</f>
        <v>0.7131751454</v>
      </c>
    </row>
    <row r="19">
      <c r="A19" s="252">
        <v>44483.75</v>
      </c>
      <c r="B19" s="253">
        <f t="shared" si="1"/>
        <v>1.243055556</v>
      </c>
      <c r="C19" s="254">
        <f t="shared" si="2"/>
        <v>1790</v>
      </c>
      <c r="D19" s="255">
        <f t="shared" si="6"/>
        <v>29.83333333</v>
      </c>
      <c r="E19" s="256">
        <v>315.0</v>
      </c>
      <c r="F19" s="256">
        <f t="shared" si="5"/>
        <v>5445</v>
      </c>
      <c r="G19" s="257">
        <f>(F19/1000)/(Calculos!$A$28*Calculos!$B$28)</f>
        <v>0.222670944</v>
      </c>
      <c r="H19" s="258">
        <f>(G19*Calculos!$C$28)/(0.4)</f>
        <v>25.64612598</v>
      </c>
      <c r="I19" s="258">
        <f t="shared" si="4"/>
        <v>0.55667736</v>
      </c>
      <c r="J19" s="245">
        <f>-ln(1-I19/2*Calculos!$D$34)</f>
        <v>0.3167604794</v>
      </c>
      <c r="K19" s="258">
        <f>Calculos!$D$34-I19/2</f>
        <v>0.6970729077</v>
      </c>
    </row>
    <row r="20">
      <c r="A20" s="252">
        <v>44483.77777777778</v>
      </c>
      <c r="B20" s="253">
        <f t="shared" si="1"/>
        <v>1.270833333</v>
      </c>
      <c r="C20" s="254">
        <f t="shared" si="2"/>
        <v>1830</v>
      </c>
      <c r="D20" s="255">
        <f t="shared" si="6"/>
        <v>30.5</v>
      </c>
      <c r="E20" s="256">
        <v>240.0</v>
      </c>
      <c r="F20" s="256">
        <f t="shared" si="5"/>
        <v>5685</v>
      </c>
      <c r="G20" s="257">
        <f>(F20/1000)/(Calculos!$A$28*Calculos!$B$28)</f>
        <v>0.2324856413</v>
      </c>
      <c r="H20" s="258">
        <f>(G20*Calculos!$C$28)/(0.4)</f>
        <v>26.77653373</v>
      </c>
      <c r="I20" s="258">
        <f t="shared" si="4"/>
        <v>0.5812141031</v>
      </c>
      <c r="J20" s="245">
        <f>-ln(1-I20/2*Calculos!$D$34)</f>
        <v>0.3333232796</v>
      </c>
      <c r="K20" s="258">
        <f>Calculos!$D$34-I20/2</f>
        <v>0.6848045362</v>
      </c>
    </row>
    <row r="21">
      <c r="A21" s="252">
        <v>44483.81597222222</v>
      </c>
      <c r="B21" s="253">
        <f t="shared" si="1"/>
        <v>1.309027778</v>
      </c>
      <c r="C21" s="254">
        <f t="shared" si="2"/>
        <v>1885</v>
      </c>
      <c r="D21" s="255">
        <f t="shared" si="6"/>
        <v>31.41666667</v>
      </c>
      <c r="E21" s="256">
        <v>375.0</v>
      </c>
      <c r="F21" s="256">
        <f t="shared" si="5"/>
        <v>6060</v>
      </c>
      <c r="G21" s="257">
        <f>(F21/1000)/(Calculos!$A$28*Calculos!$B$28)</f>
        <v>0.2478211057</v>
      </c>
      <c r="H21" s="258">
        <f>(G21*Calculos!$C$28)/(0.4)</f>
        <v>28.54279585</v>
      </c>
      <c r="I21" s="258">
        <f t="shared" si="4"/>
        <v>0.6195527643</v>
      </c>
      <c r="J21" s="245">
        <f>-ln(1-I21/2*Calculos!$D$34)</f>
        <v>0.3597646733</v>
      </c>
      <c r="K21" s="258">
        <f>Calculos!$D$34-I21/2</f>
        <v>0.6656352056</v>
      </c>
    </row>
    <row r="22">
      <c r="A22" s="252">
        <v>44483.854166666664</v>
      </c>
      <c r="B22" s="253">
        <f t="shared" si="1"/>
        <v>1.347222222</v>
      </c>
      <c r="C22" s="254">
        <f t="shared" si="2"/>
        <v>1940</v>
      </c>
      <c r="D22" s="255">
        <f t="shared" si="6"/>
        <v>32.33333333</v>
      </c>
      <c r="E22" s="256">
        <v>350.0</v>
      </c>
      <c r="F22" s="256">
        <f t="shared" si="5"/>
        <v>6410</v>
      </c>
      <c r="G22" s="257">
        <f>(F22/1000)/(Calculos!$A$28*Calculos!$B$28)</f>
        <v>0.2621342059</v>
      </c>
      <c r="H22" s="258">
        <f>(G22*Calculos!$C$28)/(0.4)</f>
        <v>30.19130716</v>
      </c>
      <c r="I22" s="258">
        <f t="shared" si="4"/>
        <v>0.6553355147</v>
      </c>
      <c r="J22" s="245">
        <f>-ln(1-I22/2*Calculos!$D$34)</f>
        <v>0.3850904789</v>
      </c>
      <c r="K22" s="258">
        <f>Calculos!$D$34-I22/2</f>
        <v>0.6477438304</v>
      </c>
    </row>
    <row r="23">
      <c r="A23" s="252">
        <v>44483.89236111111</v>
      </c>
      <c r="B23" s="253">
        <f t="shared" si="1"/>
        <v>1.385416667</v>
      </c>
      <c r="C23" s="254">
        <f t="shared" si="2"/>
        <v>1995</v>
      </c>
      <c r="D23" s="255">
        <f t="shared" si="6"/>
        <v>33.25</v>
      </c>
      <c r="E23" s="256">
        <v>300.0</v>
      </c>
      <c r="F23" s="256">
        <f t="shared" si="5"/>
        <v>6710</v>
      </c>
      <c r="G23" s="257">
        <f>(F23/1000)/(Calculos!$A$28*Calculos!$B$28)</f>
        <v>0.2744025775</v>
      </c>
      <c r="H23" s="258">
        <f>(G23*Calculos!$C$28)/(0.4)</f>
        <v>31.60431686</v>
      </c>
      <c r="I23" s="258">
        <f t="shared" si="4"/>
        <v>0.6860064436</v>
      </c>
      <c r="J23" s="245">
        <f>-ln(1-I23/2*Calculos!$D$34)</f>
        <v>0.4073208046</v>
      </c>
      <c r="K23" s="258">
        <f>Calculos!$D$34-I23/2</f>
        <v>0.6324083659</v>
      </c>
    </row>
    <row r="24">
      <c r="A24" s="252">
        <v>44483.94097222222</v>
      </c>
      <c r="B24" s="253">
        <f t="shared" si="1"/>
        <v>1.434027778</v>
      </c>
      <c r="C24" s="254">
        <f t="shared" si="2"/>
        <v>2065</v>
      </c>
      <c r="D24" s="255">
        <f t="shared" si="6"/>
        <v>34.41666667</v>
      </c>
      <c r="E24" s="256">
        <v>425.0</v>
      </c>
      <c r="F24" s="256">
        <f t="shared" si="5"/>
        <v>7135</v>
      </c>
      <c r="G24" s="257">
        <f>(F24/1000)/(Calculos!$A$28*Calculos!$B$28)</f>
        <v>0.2917827705</v>
      </c>
      <c r="H24" s="258">
        <f>(G24*Calculos!$C$28)/(0.4)</f>
        <v>33.60608059</v>
      </c>
      <c r="I24" s="258">
        <f t="shared" si="4"/>
        <v>0.7294569263</v>
      </c>
      <c r="J24" s="245">
        <f>-ln(1-I24/2*Calculos!$D$34)</f>
        <v>0.4396845248</v>
      </c>
      <c r="K24" s="258">
        <f>Calculos!$D$34-I24/2</f>
        <v>0.6106831246</v>
      </c>
    </row>
    <row r="25">
      <c r="A25" s="252">
        <v>44483.961805555555</v>
      </c>
      <c r="B25" s="253">
        <f t="shared" si="1"/>
        <v>1.454861111</v>
      </c>
      <c r="C25" s="254">
        <f t="shared" si="2"/>
        <v>2095</v>
      </c>
      <c r="D25" s="255">
        <f t="shared" si="6"/>
        <v>34.91666667</v>
      </c>
      <c r="E25" s="256">
        <v>90.0</v>
      </c>
      <c r="F25" s="256">
        <f t="shared" si="5"/>
        <v>7225</v>
      </c>
      <c r="G25" s="257">
        <f>(F25/1000)/(Calculos!$A$28*Calculos!$B$28)</f>
        <v>0.295463282</v>
      </c>
      <c r="H25" s="258">
        <f>(G25*Calculos!$C$28)/(0.4)</f>
        <v>34.0299835</v>
      </c>
      <c r="I25" s="258">
        <f t="shared" si="4"/>
        <v>0.738658205</v>
      </c>
      <c r="J25" s="245">
        <f>-ln(1-I25/2*Calculos!$D$34)</f>
        <v>0.4466744999</v>
      </c>
      <c r="K25" s="258">
        <f>Calculos!$D$34-I25/2</f>
        <v>0.6060824853</v>
      </c>
    </row>
    <row r="26">
      <c r="A26" s="246">
        <v>44484.09027777778</v>
      </c>
      <c r="B26" s="247">
        <f t="shared" si="1"/>
        <v>1.583333333</v>
      </c>
      <c r="C26" s="248">
        <f t="shared" si="2"/>
        <v>2280</v>
      </c>
      <c r="D26" s="249">
        <f t="shared" si="6"/>
        <v>38</v>
      </c>
      <c r="E26" s="250">
        <v>500.0</v>
      </c>
      <c r="F26" s="250">
        <f t="shared" si="5"/>
        <v>7725</v>
      </c>
      <c r="G26" s="251">
        <f>(F26/1000)/(Calculos!$A$28*Calculos!$B$28)</f>
        <v>0.3159105679</v>
      </c>
      <c r="H26" s="245">
        <f>(G26*Calculos!$C$28)/(0.4)</f>
        <v>36.38499966</v>
      </c>
      <c r="I26" s="245">
        <f t="shared" si="4"/>
        <v>0.7897764198</v>
      </c>
      <c r="J26" s="245">
        <f>-ln(1-I26/2*Calculos!$D$34)</f>
        <v>0.4864233555</v>
      </c>
      <c r="K26" s="245">
        <f>Calculos!$D$34-I26/2</f>
        <v>0.5805233778</v>
      </c>
    </row>
    <row r="27">
      <c r="A27" s="246">
        <v>44484.13888888889</v>
      </c>
      <c r="B27" s="247">
        <f t="shared" si="1"/>
        <v>1.631944444</v>
      </c>
      <c r="C27" s="248">
        <f t="shared" si="2"/>
        <v>2350</v>
      </c>
      <c r="D27" s="249">
        <f t="shared" si="6"/>
        <v>39.16666667</v>
      </c>
      <c r="E27" s="250">
        <v>140.0</v>
      </c>
      <c r="F27" s="250">
        <f t="shared" si="5"/>
        <v>7865</v>
      </c>
      <c r="G27" s="251">
        <f>(F27/1000)/(Calculos!$A$28*Calculos!$B$28)</f>
        <v>0.321635808</v>
      </c>
      <c r="H27" s="245">
        <f>(G27*Calculos!$C$28)/(0.4)</f>
        <v>37.04440419</v>
      </c>
      <c r="I27" s="245">
        <f t="shared" si="4"/>
        <v>0.80408952</v>
      </c>
      <c r="J27" s="245">
        <f>-ln(1-I27/2*Calculos!$D$34)</f>
        <v>0.497842138</v>
      </c>
      <c r="K27" s="245">
        <f>Calculos!$D$34-I27/2</f>
        <v>0.5733668277</v>
      </c>
    </row>
    <row r="28">
      <c r="A28" s="246">
        <v>44484.19097222222</v>
      </c>
      <c r="B28" s="247">
        <f t="shared" si="1"/>
        <v>1.684027778</v>
      </c>
      <c r="C28" s="248">
        <f t="shared" si="2"/>
        <v>2425</v>
      </c>
      <c r="D28" s="249">
        <f t="shared" si="6"/>
        <v>40.41666667</v>
      </c>
      <c r="E28" s="250">
        <v>100.0</v>
      </c>
      <c r="F28" s="250">
        <f t="shared" si="5"/>
        <v>7965</v>
      </c>
      <c r="G28" s="251">
        <f>(F28/1000)/(Calculos!$A$28*Calculos!$B$28)</f>
        <v>0.3257252652</v>
      </c>
      <c r="H28" s="245">
        <f>(G28*Calculos!$C$28)/(0.4)</f>
        <v>37.51540742</v>
      </c>
      <c r="I28" s="245">
        <f t="shared" si="4"/>
        <v>0.814313163</v>
      </c>
      <c r="J28" s="245">
        <f>-ln(1-I28/2*Calculos!$D$34)</f>
        <v>0.5060789862</v>
      </c>
      <c r="K28" s="245">
        <f>Calculos!$D$34-I28/2</f>
        <v>0.5682550062</v>
      </c>
    </row>
    <row r="29">
      <c r="A29" s="246">
        <v>44484.3125</v>
      </c>
      <c r="B29" s="247">
        <f t="shared" si="1"/>
        <v>1.805555556</v>
      </c>
      <c r="C29" s="248">
        <f t="shared" si="2"/>
        <v>2600</v>
      </c>
      <c r="D29" s="249">
        <f t="shared" si="6"/>
        <v>43.33333333</v>
      </c>
      <c r="E29" s="250">
        <v>180.0</v>
      </c>
      <c r="F29" s="250">
        <f t="shared" si="5"/>
        <v>8145</v>
      </c>
      <c r="G29" s="251">
        <f>(F29/1000)/(Calculos!$A$28*Calculos!$B$28)</f>
        <v>0.3330862881</v>
      </c>
      <c r="H29" s="245">
        <f>(G29*Calculos!$C$28)/(0.4)</f>
        <v>38.36321324</v>
      </c>
      <c r="I29" s="245">
        <f t="shared" si="4"/>
        <v>0.8327157203</v>
      </c>
      <c r="J29" s="245">
        <f>-ln(1-I29/2*Calculos!$D$34)</f>
        <v>0.5210784742</v>
      </c>
      <c r="K29" s="245">
        <f>Calculos!$D$34-I29/2</f>
        <v>0.5590537276</v>
      </c>
    </row>
    <row r="30">
      <c r="A30" s="246">
        <v>44484.51388888889</v>
      </c>
      <c r="B30" s="247">
        <f t="shared" si="1"/>
        <v>2.006944444</v>
      </c>
      <c r="C30" s="248">
        <f t="shared" si="2"/>
        <v>2890</v>
      </c>
      <c r="D30" s="249">
        <f t="shared" ref="D30:D31" si="7">hour(B30) + MINUTE(B30)/60 + 48</f>
        <v>48.16666667</v>
      </c>
      <c r="E30" s="250">
        <v>100.0</v>
      </c>
      <c r="F30" s="250">
        <f t="shared" si="5"/>
        <v>8245</v>
      </c>
      <c r="G30" s="251">
        <f>(F30/1000)/(Calculos!$A$28*Calculos!$B$28)</f>
        <v>0.3371757453</v>
      </c>
      <c r="H30" s="245">
        <f>(G30*Calculos!$C$28)/(0.4)</f>
        <v>38.83421647</v>
      </c>
      <c r="I30" s="245">
        <f t="shared" si="4"/>
        <v>0.8429393633</v>
      </c>
      <c r="J30" s="245">
        <f>-ln(1-I30/2*Calculos!$D$34)</f>
        <v>0.5295097761</v>
      </c>
      <c r="K30" s="245">
        <f>Calculos!$D$34-I30/2</f>
        <v>0.5539419061</v>
      </c>
    </row>
    <row r="31">
      <c r="A31" s="246">
        <v>44485.44097222222</v>
      </c>
      <c r="B31" s="247">
        <f t="shared" si="1"/>
        <v>2.934027778</v>
      </c>
      <c r="C31" s="248">
        <f t="shared" si="2"/>
        <v>4225</v>
      </c>
      <c r="D31" s="249">
        <f t="shared" si="7"/>
        <v>70.41666667</v>
      </c>
      <c r="E31" s="250">
        <v>340.0</v>
      </c>
      <c r="F31" s="250">
        <f t="shared" si="5"/>
        <v>8585</v>
      </c>
      <c r="G31" s="251">
        <f>(F31/1000)/(Calculos!$A$28*Calculos!$B$28)</f>
        <v>0.3510798998</v>
      </c>
      <c r="H31" s="245">
        <f>(G31*Calculos!$C$28)/(0.4)</f>
        <v>40.43562746</v>
      </c>
      <c r="I31" s="245">
        <f t="shared" si="4"/>
        <v>0.8776997494</v>
      </c>
      <c r="J31" s="245">
        <f>-ln(1-I31/2*Calculos!$D$34)</f>
        <v>0.5587198823</v>
      </c>
      <c r="K31" s="245">
        <f>Calculos!$D$34-I31/2</f>
        <v>0.536561713</v>
      </c>
    </row>
    <row r="32">
      <c r="A32" s="246">
        <v>44486.57986111111</v>
      </c>
      <c r="B32" s="247">
        <f t="shared" si="1"/>
        <v>4.072916667</v>
      </c>
      <c r="C32" s="248">
        <f t="shared" si="2"/>
        <v>4425</v>
      </c>
      <c r="D32" s="249">
        <f t="shared" ref="D32:D33" si="8">hour(B32) + MINUTE(B32)/60 + 72</f>
        <v>73.75</v>
      </c>
      <c r="E32" s="250">
        <v>270.0</v>
      </c>
      <c r="F32" s="250">
        <f t="shared" si="5"/>
        <v>8855</v>
      </c>
      <c r="G32" s="251">
        <f>(F32/1000)/(Calculos!$A$28*Calculos!$B$28)</f>
        <v>0.3621214342</v>
      </c>
      <c r="H32" s="245">
        <f>(G32*Calculos!$C$28)/(0.4)</f>
        <v>41.70733618</v>
      </c>
      <c r="I32" s="245">
        <f t="shared" si="4"/>
        <v>0.9053035855</v>
      </c>
      <c r="J32" s="245">
        <f>-ln(1-I32/2*Calculos!$D$34)</f>
        <v>0.5825397012</v>
      </c>
      <c r="K32" s="245">
        <f>Calculos!$D$34-I32/2</f>
        <v>0.522759795</v>
      </c>
    </row>
    <row r="33">
      <c r="A33" s="246">
        <v>44489.302083333336</v>
      </c>
      <c r="B33" s="247">
        <f t="shared" si="1"/>
        <v>6.795138889</v>
      </c>
      <c r="C33" s="248">
        <f t="shared" si="2"/>
        <v>5465</v>
      </c>
      <c r="D33" s="249">
        <f t="shared" si="8"/>
        <v>91.08333333</v>
      </c>
      <c r="E33" s="250">
        <v>280.0</v>
      </c>
      <c r="F33" s="250">
        <f t="shared" si="5"/>
        <v>9135</v>
      </c>
      <c r="G33" s="251">
        <f>(F33/1000)/(Calculos!$A$28*Calculos!$B$28)</f>
        <v>0.3735719143</v>
      </c>
      <c r="H33" s="245">
        <f>(G33*Calculos!$C$28)/(0.4)</f>
        <v>43.02614523</v>
      </c>
      <c r="I33" s="245">
        <f t="shared" si="4"/>
        <v>0.9339297858</v>
      </c>
      <c r="J33" s="245">
        <f>-ln(1-I33/2*Calculos!$D$34)</f>
        <v>0.6078560563</v>
      </c>
      <c r="K33" s="245">
        <f>Calculos!$D$34-I33/2</f>
        <v>0.5084466948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6" t="s">
        <v>119</v>
      </c>
      <c r="B1" s="136" t="s">
        <v>97</v>
      </c>
      <c r="C1" s="136" t="s">
        <v>98</v>
      </c>
      <c r="D1" s="136" t="s">
        <v>99</v>
      </c>
      <c r="E1" s="136" t="s">
        <v>100</v>
      </c>
      <c r="F1" s="136" t="s">
        <v>98</v>
      </c>
      <c r="G1" s="136" t="s">
        <v>120</v>
      </c>
      <c r="H1" s="198" t="s">
        <v>91</v>
      </c>
      <c r="I1" s="25" t="s">
        <v>92</v>
      </c>
      <c r="J1" s="25" t="s">
        <v>103</v>
      </c>
      <c r="K1" s="25" t="s">
        <v>95</v>
      </c>
      <c r="L1" s="230" t="s">
        <v>91</v>
      </c>
      <c r="M1" s="231" t="s">
        <v>92</v>
      </c>
      <c r="N1" s="231" t="s">
        <v>103</v>
      </c>
      <c r="O1" s="231" t="s">
        <v>94</v>
      </c>
      <c r="P1" s="231" t="s">
        <v>95</v>
      </c>
      <c r="R1" s="233" t="s">
        <v>96</v>
      </c>
    </row>
    <row r="2">
      <c r="A2" s="259">
        <v>0.0</v>
      </c>
      <c r="B2" s="206">
        <v>12.0</v>
      </c>
      <c r="C2" s="206">
        <v>17.0</v>
      </c>
      <c r="D2" s="206">
        <v>0.0</v>
      </c>
      <c r="E2" s="206">
        <v>0.0</v>
      </c>
      <c r="F2" s="207">
        <f>60*B2+C2</f>
        <v>737</v>
      </c>
      <c r="G2" s="259"/>
      <c r="H2" s="208"/>
      <c r="I2" s="208"/>
      <c r="J2" s="208"/>
      <c r="K2" s="208">
        <f>Calculos!$D$34-J2</f>
        <v>0.9754115877</v>
      </c>
      <c r="L2" s="149">
        <f>(E2/1000)/(Calculos!$A$28*Calculos!$B$28)</f>
        <v>0</v>
      </c>
      <c r="M2" s="149">
        <f>(L2*Calculos!$C$28)/(0.4)</f>
        <v>0</v>
      </c>
      <c r="N2" s="149">
        <f t="shared" ref="N2:N26" si="1">L2/0.4</f>
        <v>0</v>
      </c>
      <c r="O2" s="149">
        <f>-ln(1-N2/2*Calculos!$D$34)</f>
        <v>0</v>
      </c>
      <c r="P2" s="149">
        <f>Calculos!$D$34-N2/2</f>
        <v>0.9754115877</v>
      </c>
      <c r="R2" s="260">
        <f>SLOPE(O7:O22,G7:G22)</f>
        <v>0.02890245695</v>
      </c>
    </row>
    <row r="3">
      <c r="A3" s="136">
        <v>0.0</v>
      </c>
      <c r="B3" s="135">
        <v>21.0</v>
      </c>
      <c r="C3" s="135">
        <v>10.0</v>
      </c>
      <c r="D3" s="135">
        <v>260.0</v>
      </c>
      <c r="E3" s="175">
        <f t="shared" ref="E3:E26" si="2">D3+E2</f>
        <v>260</v>
      </c>
      <c r="F3" s="175">
        <f t="shared" ref="F3:F26" si="3">60*B3+C3-$F$2+24*60*A3</f>
        <v>533</v>
      </c>
      <c r="G3" s="124">
        <f t="shared" ref="G3:G26" si="4">F3/60</f>
        <v>8.883333333</v>
      </c>
      <c r="H3" s="124">
        <f>(E3/1000)/(Calculos!$A$28*Calculos!$B$28)</f>
        <v>0.01063258869</v>
      </c>
      <c r="I3" s="124">
        <f>(H3*Calculos!$C$28)/(0.4)</f>
        <v>1.224608403</v>
      </c>
      <c r="J3" s="124">
        <f t="shared" ref="J3:J26" si="5">H3/0.4</f>
        <v>0.02658147174</v>
      </c>
      <c r="K3" s="124">
        <f>Calculos!$D$34-H3</f>
        <v>0.964778999</v>
      </c>
      <c r="L3" s="149">
        <f>(E3/1000)/(Calculos!$A$28*Calculos!$B$28)</f>
        <v>0.01063258869</v>
      </c>
      <c r="M3" s="149">
        <f>(L3*Calculos!$C$28)/(0.4)</f>
        <v>1.224608403</v>
      </c>
      <c r="N3" s="149">
        <f t="shared" si="1"/>
        <v>0.02658147174</v>
      </c>
      <c r="O3" s="149">
        <f>-ln(1-N3/2*Calculos!$D$34)</f>
        <v>0.01304870301</v>
      </c>
      <c r="P3" s="149">
        <f>Calculos!$D$34-N3/2</f>
        <v>0.9621208519</v>
      </c>
    </row>
    <row r="4">
      <c r="A4" s="136">
        <v>0.0</v>
      </c>
      <c r="B4" s="135">
        <v>22.0</v>
      </c>
      <c r="C4" s="135">
        <v>15.0</v>
      </c>
      <c r="D4" s="135">
        <v>120.0</v>
      </c>
      <c r="E4" s="175">
        <f t="shared" si="2"/>
        <v>380</v>
      </c>
      <c r="F4" s="175">
        <f t="shared" si="3"/>
        <v>598</v>
      </c>
      <c r="G4" s="124">
        <f t="shared" si="4"/>
        <v>9.966666667</v>
      </c>
      <c r="H4" s="124">
        <f>(E4/1000)/(Calculos!$A$28*Calculos!$B$28)</f>
        <v>0.01553993732</v>
      </c>
      <c r="I4" s="124">
        <f>(H4*Calculos!$C$28)/(0.4)</f>
        <v>1.789812281</v>
      </c>
      <c r="J4" s="124">
        <f t="shared" si="5"/>
        <v>0.03884984331</v>
      </c>
      <c r="K4" s="124">
        <f>Calculos!$D$34-H4</f>
        <v>0.9598716504</v>
      </c>
      <c r="L4" s="149">
        <f>(E4/1000)/(Calculos!$A$28*Calculos!$B$28)</f>
        <v>0.01553993732</v>
      </c>
      <c r="M4" s="149">
        <f>(L4*Calculos!$C$28)/(0.4)</f>
        <v>1.789812281</v>
      </c>
      <c r="N4" s="149">
        <f t="shared" si="1"/>
        <v>0.03884984331</v>
      </c>
      <c r="O4" s="149">
        <f>-ln(1-N4/2*Calculos!$D$34)</f>
        <v>0.01912909372</v>
      </c>
      <c r="P4" s="149">
        <f>Calculos!$D$34-N4/2</f>
        <v>0.9559866661</v>
      </c>
    </row>
    <row r="5">
      <c r="A5" s="136">
        <v>1.0</v>
      </c>
      <c r="B5" s="135">
        <v>0.0</v>
      </c>
      <c r="C5" s="135">
        <v>23.0</v>
      </c>
      <c r="D5" s="135">
        <v>155.0</v>
      </c>
      <c r="E5" s="175">
        <f t="shared" si="2"/>
        <v>535</v>
      </c>
      <c r="F5" s="175">
        <f t="shared" si="3"/>
        <v>726</v>
      </c>
      <c r="G5" s="124">
        <f t="shared" si="4"/>
        <v>12.1</v>
      </c>
      <c r="H5" s="124">
        <f>(E5/1000)/(Calculos!$A$28*Calculos!$B$28)</f>
        <v>0.02187859597</v>
      </c>
      <c r="I5" s="124">
        <f>(H5*Calculos!$C$28)/(0.4)</f>
        <v>2.519867291</v>
      </c>
      <c r="J5" s="124">
        <f t="shared" si="5"/>
        <v>0.05469648992</v>
      </c>
      <c r="K5" s="124">
        <f>Calculos!$D$34-H5</f>
        <v>0.9535329918</v>
      </c>
      <c r="L5" s="149">
        <f>(E5/1000)/(Calculos!$A$28*Calculos!$B$28)</f>
        <v>0.02187859597</v>
      </c>
      <c r="M5" s="149">
        <f>(L5*Calculos!$C$28)/(0.4)</f>
        <v>2.519867291</v>
      </c>
      <c r="N5" s="149">
        <f t="shared" si="1"/>
        <v>0.05469648992</v>
      </c>
      <c r="O5" s="149">
        <f>-ln(1-N5/2*Calculos!$D$34)</f>
        <v>0.02703805089</v>
      </c>
      <c r="P5" s="149">
        <f>Calculos!$D$34-N5/2</f>
        <v>0.9480633428</v>
      </c>
    </row>
    <row r="6">
      <c r="A6" s="136">
        <v>1.0</v>
      </c>
      <c r="B6" s="135">
        <v>1.0</v>
      </c>
      <c r="C6" s="135">
        <v>44.0</v>
      </c>
      <c r="D6" s="135">
        <v>100.0</v>
      </c>
      <c r="E6" s="175">
        <f t="shared" si="2"/>
        <v>635</v>
      </c>
      <c r="F6" s="175">
        <f t="shared" si="3"/>
        <v>807</v>
      </c>
      <c r="G6" s="124">
        <f t="shared" si="4"/>
        <v>13.45</v>
      </c>
      <c r="H6" s="124">
        <f>(E6/1000)/(Calculos!$A$28*Calculos!$B$28)</f>
        <v>0.02596805316</v>
      </c>
      <c r="I6" s="124">
        <f>(H6*Calculos!$C$28)/(0.4)</f>
        <v>2.990870522</v>
      </c>
      <c r="J6" s="124">
        <f t="shared" si="5"/>
        <v>0.06492013289</v>
      </c>
      <c r="K6" s="124">
        <f>Calculos!$D$34-H6</f>
        <v>0.9494435346</v>
      </c>
      <c r="L6" s="149">
        <f>(E6/1000)/(Calculos!$A$28*Calculos!$B$28)</f>
        <v>0.02596805316</v>
      </c>
      <c r="M6" s="149">
        <f>(L6*Calculos!$C$28)/(0.4)</f>
        <v>2.990870522</v>
      </c>
      <c r="N6" s="149">
        <f t="shared" si="1"/>
        <v>0.06492013289</v>
      </c>
      <c r="O6" s="149">
        <f>-ln(1-N6/2*Calculos!$D$34)</f>
        <v>0.0321740016</v>
      </c>
      <c r="P6" s="149">
        <f>Calculos!$D$34-N6/2</f>
        <v>0.9429515213</v>
      </c>
    </row>
    <row r="7">
      <c r="A7" s="261">
        <v>1.0</v>
      </c>
      <c r="B7" s="212">
        <v>3.0</v>
      </c>
      <c r="C7" s="212">
        <v>23.0</v>
      </c>
      <c r="D7" s="212">
        <v>405.0</v>
      </c>
      <c r="E7" s="213">
        <f t="shared" si="2"/>
        <v>1040</v>
      </c>
      <c r="F7" s="213">
        <f t="shared" si="3"/>
        <v>906</v>
      </c>
      <c r="G7" s="215">
        <f t="shared" si="4"/>
        <v>15.1</v>
      </c>
      <c r="H7" s="215">
        <f>(E7/1000)/(Calculos!$A$28*Calculos!$B$28)</f>
        <v>0.04253035478</v>
      </c>
      <c r="I7" s="215">
        <f>(H7*Calculos!$C$28)/(0.4)</f>
        <v>4.898433611</v>
      </c>
      <c r="J7" s="215">
        <f t="shared" si="5"/>
        <v>0.1063258869</v>
      </c>
      <c r="K7" s="215">
        <f>Calculos!$D$34-H7</f>
        <v>0.932881233</v>
      </c>
      <c r="L7" s="262">
        <f>(E7/1000)/(Calculos!$A$28*Calculos!$B$28)</f>
        <v>0.04253035478</v>
      </c>
      <c r="M7" s="262">
        <f>(L7*Calculos!$C$28)/(0.4)</f>
        <v>4.898433611</v>
      </c>
      <c r="N7" s="262">
        <f t="shared" si="1"/>
        <v>0.1063258869</v>
      </c>
      <c r="O7" s="149">
        <f>-ln(1-N7/2*Calculos!$D$34)</f>
        <v>0.05324862702</v>
      </c>
      <c r="P7" s="262">
        <f>Calculos!$D$34-N7/2</f>
        <v>0.9222486443</v>
      </c>
    </row>
    <row r="8">
      <c r="A8" s="261">
        <v>1.0</v>
      </c>
      <c r="B8" s="212">
        <v>4.0</v>
      </c>
      <c r="C8" s="212">
        <v>12.0</v>
      </c>
      <c r="D8" s="212">
        <v>395.0</v>
      </c>
      <c r="E8" s="213">
        <f t="shared" si="2"/>
        <v>1435</v>
      </c>
      <c r="F8" s="213">
        <f t="shared" si="3"/>
        <v>955</v>
      </c>
      <c r="G8" s="215">
        <f t="shared" si="4"/>
        <v>15.91666667</v>
      </c>
      <c r="H8" s="215">
        <f>(E8/1000)/(Calculos!$A$28*Calculos!$B$28)</f>
        <v>0.05868371068</v>
      </c>
      <c r="I8" s="215">
        <f>(H8*Calculos!$C$28)/(0.4)</f>
        <v>6.758896377</v>
      </c>
      <c r="J8" s="215">
        <f t="shared" si="5"/>
        <v>0.1467092767</v>
      </c>
      <c r="K8" s="215">
        <f>Calculos!$D$34-H8</f>
        <v>0.9167278771</v>
      </c>
      <c r="L8" s="262">
        <f>(E8/1000)/(Calculos!$A$28*Calculos!$B$28)</f>
        <v>0.05868371068</v>
      </c>
      <c r="M8" s="262">
        <f>(L8*Calculos!$C$28)/(0.4)</f>
        <v>6.758896377</v>
      </c>
      <c r="N8" s="262">
        <f t="shared" si="1"/>
        <v>0.1467092767</v>
      </c>
      <c r="O8" s="149">
        <f>-ln(1-N8/2*Calculos!$D$34)</f>
        <v>0.0742397885</v>
      </c>
      <c r="P8" s="262">
        <f>Calculos!$D$34-N8/2</f>
        <v>0.9020569494</v>
      </c>
    </row>
    <row r="9">
      <c r="A9" s="261">
        <v>1.0</v>
      </c>
      <c r="B9" s="212">
        <v>4.0</v>
      </c>
      <c r="C9" s="212">
        <v>55.0</v>
      </c>
      <c r="D9" s="212">
        <v>400.0</v>
      </c>
      <c r="E9" s="213">
        <f t="shared" si="2"/>
        <v>1835</v>
      </c>
      <c r="F9" s="213">
        <f t="shared" si="3"/>
        <v>998</v>
      </c>
      <c r="G9" s="215">
        <f t="shared" si="4"/>
        <v>16.63333333</v>
      </c>
      <c r="H9" s="215">
        <f>(E9/1000)/(Calculos!$A$28*Calculos!$B$28)</f>
        <v>0.07504153944</v>
      </c>
      <c r="I9" s="215">
        <f>(H9*Calculos!$C$28)/(0.4)</f>
        <v>8.642909305</v>
      </c>
      <c r="J9" s="215">
        <f t="shared" si="5"/>
        <v>0.1876038486</v>
      </c>
      <c r="K9" s="215">
        <f>Calculos!$D$34-H9</f>
        <v>0.9003700483</v>
      </c>
      <c r="L9" s="262">
        <f>(E9/1000)/(Calculos!$A$28*Calculos!$B$28)</f>
        <v>0.07504153944</v>
      </c>
      <c r="M9" s="262">
        <f>(L9*Calculos!$C$28)/(0.4)</f>
        <v>8.642909305</v>
      </c>
      <c r="N9" s="262">
        <f t="shared" si="1"/>
        <v>0.1876038486</v>
      </c>
      <c r="O9" s="149">
        <f>-ln(1-N9/2*Calculos!$D$34)</f>
        <v>0.09595542023</v>
      </c>
      <c r="P9" s="262">
        <f>Calculos!$D$34-N9/2</f>
        <v>0.8816096634</v>
      </c>
    </row>
    <row r="10">
      <c r="A10" s="261">
        <v>1.0</v>
      </c>
      <c r="B10" s="212">
        <v>5.0</v>
      </c>
      <c r="C10" s="212">
        <v>36.0</v>
      </c>
      <c r="D10" s="212">
        <v>320.0</v>
      </c>
      <c r="E10" s="213">
        <f t="shared" si="2"/>
        <v>2155</v>
      </c>
      <c r="F10" s="213">
        <f t="shared" si="3"/>
        <v>1039</v>
      </c>
      <c r="G10" s="215">
        <f t="shared" si="4"/>
        <v>17.31666667</v>
      </c>
      <c r="H10" s="215">
        <f>(E10/1000)/(Calculos!$A$28*Calculos!$B$28)</f>
        <v>0.08812780245</v>
      </c>
      <c r="I10" s="215">
        <f>(H10*Calculos!$C$28)/(0.4)</f>
        <v>10.15011965</v>
      </c>
      <c r="J10" s="215">
        <f t="shared" si="5"/>
        <v>0.2203195061</v>
      </c>
      <c r="K10" s="215">
        <f>Calculos!$D$34-H10</f>
        <v>0.8872837853</v>
      </c>
      <c r="L10" s="262">
        <f>(E10/1000)/(Calculos!$A$28*Calculos!$B$28)</f>
        <v>0.08812780245</v>
      </c>
      <c r="M10" s="262">
        <f>(L10*Calculos!$C$28)/(0.4)</f>
        <v>10.15011965</v>
      </c>
      <c r="N10" s="262">
        <f t="shared" si="1"/>
        <v>0.2203195061</v>
      </c>
      <c r="O10" s="149">
        <f>-ln(1-N10/2*Calculos!$D$34)</f>
        <v>0.1136739765</v>
      </c>
      <c r="P10" s="262">
        <f>Calculos!$D$34-N10/2</f>
        <v>0.8652518347</v>
      </c>
    </row>
    <row r="11">
      <c r="A11" s="261">
        <v>1.0</v>
      </c>
      <c r="B11" s="212">
        <v>6.0</v>
      </c>
      <c r="C11" s="212">
        <v>21.0</v>
      </c>
      <c r="D11" s="212">
        <v>350.0</v>
      </c>
      <c r="E11" s="213">
        <f t="shared" si="2"/>
        <v>2505</v>
      </c>
      <c r="F11" s="213">
        <f t="shared" si="3"/>
        <v>1084</v>
      </c>
      <c r="G11" s="215">
        <f t="shared" si="4"/>
        <v>18.06666667</v>
      </c>
      <c r="H11" s="215">
        <f>(E11/1000)/(Calculos!$A$28*Calculos!$B$28)</f>
        <v>0.1024409026</v>
      </c>
      <c r="I11" s="215">
        <f>(H11*Calculos!$C$28)/(0.4)</f>
        <v>11.79863096</v>
      </c>
      <c r="J11" s="215">
        <f t="shared" si="5"/>
        <v>0.2561022565</v>
      </c>
      <c r="K11" s="215">
        <f>Calculos!$D$34-H11</f>
        <v>0.8729706851</v>
      </c>
      <c r="L11" s="262">
        <f>(E11/1000)/(Calculos!$A$28*Calculos!$B$28)</f>
        <v>0.1024409026</v>
      </c>
      <c r="M11" s="262">
        <f>(L11*Calculos!$C$28)/(0.4)</f>
        <v>11.79863096</v>
      </c>
      <c r="N11" s="262">
        <f t="shared" si="1"/>
        <v>0.2561022565</v>
      </c>
      <c r="O11" s="149">
        <f>-ln(1-N11/2*Calculos!$D$34)</f>
        <v>0.1334200323</v>
      </c>
      <c r="P11" s="262">
        <f>Calculos!$D$34-N11/2</f>
        <v>0.8473604595</v>
      </c>
    </row>
    <row r="12">
      <c r="A12" s="261">
        <v>1.0</v>
      </c>
      <c r="B12" s="212">
        <v>7.0</v>
      </c>
      <c r="C12" s="212">
        <v>33.0</v>
      </c>
      <c r="D12" s="212">
        <v>475.0</v>
      </c>
      <c r="E12" s="213">
        <f t="shared" si="2"/>
        <v>2980</v>
      </c>
      <c r="F12" s="213">
        <f t="shared" si="3"/>
        <v>1156</v>
      </c>
      <c r="G12" s="215">
        <f t="shared" si="4"/>
        <v>19.26666667</v>
      </c>
      <c r="H12" s="215">
        <f>(E12/1000)/(Calculos!$A$28*Calculos!$B$28)</f>
        <v>0.1218658243</v>
      </c>
      <c r="I12" s="215">
        <f>(H12*Calculos!$C$28)/(0.4)</f>
        <v>14.03589631</v>
      </c>
      <c r="J12" s="215">
        <f t="shared" si="5"/>
        <v>0.3046645607</v>
      </c>
      <c r="K12" s="215">
        <f>Calculos!$D$34-H12</f>
        <v>0.8535457635</v>
      </c>
      <c r="L12" s="262">
        <f>(E12/1000)/(Calculos!$A$28*Calculos!$B$28)</f>
        <v>0.1218658243</v>
      </c>
      <c r="M12" s="262">
        <f>(L12*Calculos!$C$28)/(0.4)</f>
        <v>14.03589631</v>
      </c>
      <c r="N12" s="262">
        <f t="shared" si="1"/>
        <v>0.3046645607</v>
      </c>
      <c r="O12" s="149">
        <f>-ln(1-N12/2*Calculos!$D$34)</f>
        <v>0.1608575708</v>
      </c>
      <c r="P12" s="262">
        <f>Calculos!$D$34-N12/2</f>
        <v>0.8230793074</v>
      </c>
    </row>
    <row r="13">
      <c r="A13" s="261">
        <v>1.0</v>
      </c>
      <c r="B13" s="212">
        <v>8.0</v>
      </c>
      <c r="C13" s="212">
        <v>30.0</v>
      </c>
      <c r="D13" s="212">
        <v>390.0</v>
      </c>
      <c r="E13" s="213">
        <f t="shared" si="2"/>
        <v>3370</v>
      </c>
      <c r="F13" s="213">
        <f t="shared" si="3"/>
        <v>1213</v>
      </c>
      <c r="G13" s="215">
        <f t="shared" si="4"/>
        <v>20.21666667</v>
      </c>
      <c r="H13" s="215">
        <f>(E13/1000)/(Calculos!$A$28*Calculos!$B$28)</f>
        <v>0.1378147073</v>
      </c>
      <c r="I13" s="215">
        <f>(H13*Calculos!$C$28)/(0.4)</f>
        <v>15.87280891</v>
      </c>
      <c r="J13" s="215">
        <f t="shared" si="5"/>
        <v>0.3445367683</v>
      </c>
      <c r="K13" s="215">
        <f>Calculos!$D$34-H13</f>
        <v>0.8375968804</v>
      </c>
      <c r="L13" s="262">
        <f>(E13/1000)/(Calculos!$A$28*Calculos!$B$28)</f>
        <v>0.1378147073</v>
      </c>
      <c r="M13" s="262">
        <f>(L13*Calculos!$C$28)/(0.4)</f>
        <v>15.87280891</v>
      </c>
      <c r="N13" s="262">
        <f t="shared" si="1"/>
        <v>0.3445367683</v>
      </c>
      <c r="O13" s="149">
        <f>-ln(1-N13/2*Calculos!$D$34)</f>
        <v>0.1839619953</v>
      </c>
      <c r="P13" s="262">
        <f>Calculos!$D$34-N13/2</f>
        <v>0.8031432036</v>
      </c>
    </row>
    <row r="14">
      <c r="A14" s="261">
        <v>1.0</v>
      </c>
      <c r="B14" s="212">
        <v>9.0</v>
      </c>
      <c r="C14" s="212">
        <v>31.0</v>
      </c>
      <c r="D14" s="212">
        <v>400.0</v>
      </c>
      <c r="E14" s="213">
        <f t="shared" si="2"/>
        <v>3770</v>
      </c>
      <c r="F14" s="213">
        <f t="shared" si="3"/>
        <v>1274</v>
      </c>
      <c r="G14" s="215">
        <f t="shared" si="4"/>
        <v>21.23333333</v>
      </c>
      <c r="H14" s="215">
        <f>(E14/1000)/(Calculos!$A$28*Calculos!$B$28)</f>
        <v>0.1541725361</v>
      </c>
      <c r="I14" s="215">
        <f>(H14*Calculos!$C$28)/(0.4)</f>
        <v>17.75682184</v>
      </c>
      <c r="J14" s="215">
        <f t="shared" si="5"/>
        <v>0.3854313402</v>
      </c>
      <c r="K14" s="215">
        <f>Calculos!$D$34-H14</f>
        <v>0.8212390517</v>
      </c>
      <c r="L14" s="262">
        <f>(E14/1000)/(Calculos!$A$28*Calculos!$B$28)</f>
        <v>0.1541725361</v>
      </c>
      <c r="M14" s="262">
        <f>(L14*Calculos!$C$28)/(0.4)</f>
        <v>17.75682184</v>
      </c>
      <c r="N14" s="262">
        <f t="shared" si="1"/>
        <v>0.3854313402</v>
      </c>
      <c r="O14" s="149">
        <f>-ln(1-N14/2*Calculos!$D$34)</f>
        <v>0.2082267345</v>
      </c>
      <c r="P14" s="262">
        <f>Calculos!$D$34-N14/2</f>
        <v>0.7826959177</v>
      </c>
    </row>
    <row r="15">
      <c r="A15" s="261">
        <v>1.0</v>
      </c>
      <c r="B15" s="212">
        <v>10.0</v>
      </c>
      <c r="C15" s="212">
        <v>20.0</v>
      </c>
      <c r="D15" s="212">
        <v>375.0</v>
      </c>
      <c r="E15" s="213">
        <f t="shared" si="2"/>
        <v>4145</v>
      </c>
      <c r="F15" s="213">
        <f t="shared" si="3"/>
        <v>1323</v>
      </c>
      <c r="G15" s="215">
        <f t="shared" si="4"/>
        <v>22.05</v>
      </c>
      <c r="H15" s="215">
        <f>(E15/1000)/(Calculos!$A$28*Calculos!$B$28)</f>
        <v>0.1695080005</v>
      </c>
      <c r="I15" s="215">
        <f>(H15*Calculos!$C$28)/(0.4)</f>
        <v>19.52308396</v>
      </c>
      <c r="J15" s="215">
        <f t="shared" si="5"/>
        <v>0.4237700013</v>
      </c>
      <c r="K15" s="215">
        <f>Calculos!$D$34-H15</f>
        <v>0.8059035872</v>
      </c>
      <c r="L15" s="262">
        <f>(E15/1000)/(Calculos!$A$28*Calculos!$B$28)</f>
        <v>0.1695080005</v>
      </c>
      <c r="M15" s="262">
        <f>(L15*Calculos!$C$28)/(0.4)</f>
        <v>19.52308396</v>
      </c>
      <c r="N15" s="262">
        <f t="shared" si="1"/>
        <v>0.4237700013</v>
      </c>
      <c r="O15" s="149">
        <f>-ln(1-N15/2*Calculos!$D$34)</f>
        <v>0.2315224123</v>
      </c>
      <c r="P15" s="262">
        <f>Calculos!$D$34-N15/2</f>
        <v>0.7635265871</v>
      </c>
    </row>
    <row r="16">
      <c r="A16" s="261">
        <v>1.0</v>
      </c>
      <c r="B16" s="212">
        <v>11.0</v>
      </c>
      <c r="C16" s="212">
        <v>6.0</v>
      </c>
      <c r="D16" s="212">
        <v>390.0</v>
      </c>
      <c r="E16" s="213">
        <f t="shared" si="2"/>
        <v>4535</v>
      </c>
      <c r="F16" s="213">
        <f t="shared" si="3"/>
        <v>1369</v>
      </c>
      <c r="G16" s="215">
        <f t="shared" si="4"/>
        <v>22.81666667</v>
      </c>
      <c r="H16" s="215">
        <f>(E16/1000)/(Calculos!$A$28*Calculos!$B$28)</f>
        <v>0.1854568836</v>
      </c>
      <c r="I16" s="215">
        <f>(H16*Calculos!$C$28)/(0.4)</f>
        <v>21.35999657</v>
      </c>
      <c r="J16" s="215">
        <f t="shared" si="5"/>
        <v>0.4636422089</v>
      </c>
      <c r="K16" s="215">
        <f>Calculos!$D$34-H16</f>
        <v>0.7899547042</v>
      </c>
      <c r="L16" s="262">
        <f>(E16/1000)/(Calculos!$A$28*Calculos!$B$28)</f>
        <v>0.1854568836</v>
      </c>
      <c r="M16" s="262">
        <f>(L16*Calculos!$C$28)/(0.4)</f>
        <v>21.35999657</v>
      </c>
      <c r="N16" s="262">
        <f t="shared" si="1"/>
        <v>0.4636422089</v>
      </c>
      <c r="O16" s="149">
        <f>-ln(1-N16/2*Calculos!$D$34)</f>
        <v>0.2563397375</v>
      </c>
      <c r="P16" s="262">
        <f>Calculos!$D$34-N16/2</f>
        <v>0.7435904833</v>
      </c>
    </row>
    <row r="17">
      <c r="A17" s="261">
        <v>1.0</v>
      </c>
      <c r="B17" s="212">
        <v>12.0</v>
      </c>
      <c r="C17" s="212">
        <v>0.0</v>
      </c>
      <c r="D17" s="212">
        <v>475.0</v>
      </c>
      <c r="E17" s="213">
        <f t="shared" si="2"/>
        <v>5010</v>
      </c>
      <c r="F17" s="213">
        <f t="shared" si="3"/>
        <v>1423</v>
      </c>
      <c r="G17" s="215">
        <f t="shared" si="4"/>
        <v>23.71666667</v>
      </c>
      <c r="H17" s="215">
        <f>(E17/1000)/(Calculos!$A$28*Calculos!$B$28)</f>
        <v>0.2048818052</v>
      </c>
      <c r="I17" s="215">
        <f>(H17*Calculos!$C$28)/(0.4)</f>
        <v>23.59726192</v>
      </c>
      <c r="J17" s="215">
        <f t="shared" si="5"/>
        <v>0.5122045131</v>
      </c>
      <c r="K17" s="215">
        <f>Calculos!$D$34-H17</f>
        <v>0.7705297825</v>
      </c>
      <c r="L17" s="262">
        <f>(E17/1000)/(Calculos!$A$28*Calculos!$B$28)</f>
        <v>0.2048818052</v>
      </c>
      <c r="M17" s="262">
        <f>(L17*Calculos!$C$28)/(0.4)</f>
        <v>23.59726192</v>
      </c>
      <c r="N17" s="262">
        <f t="shared" si="1"/>
        <v>0.5122045131</v>
      </c>
      <c r="O17" s="149">
        <f>-ln(1-N17/2*Calculos!$D$34)</f>
        <v>0.2874222511</v>
      </c>
      <c r="P17" s="262">
        <f>Calculos!$D$34-N17/2</f>
        <v>0.7193093312</v>
      </c>
    </row>
    <row r="18">
      <c r="A18" s="261">
        <v>1.0</v>
      </c>
      <c r="B18" s="212">
        <v>12.0</v>
      </c>
      <c r="C18" s="212">
        <v>50.0</v>
      </c>
      <c r="D18" s="212">
        <v>495.0</v>
      </c>
      <c r="E18" s="213">
        <f t="shared" si="2"/>
        <v>5505</v>
      </c>
      <c r="F18" s="213">
        <f t="shared" si="3"/>
        <v>1473</v>
      </c>
      <c r="G18" s="215">
        <f t="shared" si="4"/>
        <v>24.55</v>
      </c>
      <c r="H18" s="215">
        <f>(E18/1000)/(Calculos!$A$28*Calculos!$B$28)</f>
        <v>0.2251246183</v>
      </c>
      <c r="I18" s="215">
        <f>(H18*Calculos!$C$28)/(0.4)</f>
        <v>25.92872791</v>
      </c>
      <c r="J18" s="215">
        <f t="shared" si="5"/>
        <v>0.5628115458</v>
      </c>
      <c r="K18" s="215">
        <f>Calculos!$D$34-H18</f>
        <v>0.7502869694</v>
      </c>
      <c r="L18" s="262">
        <f>(E18/1000)/(Calculos!$A$28*Calculos!$B$28)</f>
        <v>0.2251246183</v>
      </c>
      <c r="M18" s="262">
        <f>(L18*Calculos!$C$28)/(0.4)</f>
        <v>25.92872791</v>
      </c>
      <c r="N18" s="262">
        <f t="shared" si="1"/>
        <v>0.5628115458</v>
      </c>
      <c r="O18" s="149">
        <f>-ln(1-N18/2*Calculos!$D$34)</f>
        <v>0.3208755325</v>
      </c>
      <c r="P18" s="262">
        <f>Calculos!$D$34-N18/2</f>
        <v>0.6940058148</v>
      </c>
    </row>
    <row r="19">
      <c r="A19" s="261">
        <v>1.0</v>
      </c>
      <c r="B19" s="212">
        <v>13.0</v>
      </c>
      <c r="C19" s="212">
        <v>49.0</v>
      </c>
      <c r="D19" s="212">
        <v>400.0</v>
      </c>
      <c r="E19" s="213">
        <f t="shared" si="2"/>
        <v>5905</v>
      </c>
      <c r="F19" s="213">
        <f t="shared" si="3"/>
        <v>1532</v>
      </c>
      <c r="G19" s="215">
        <f t="shared" si="4"/>
        <v>25.53333333</v>
      </c>
      <c r="H19" s="215">
        <f>(E19/1000)/(Calculos!$A$28*Calculos!$B$28)</f>
        <v>0.2414824471</v>
      </c>
      <c r="I19" s="215">
        <f>(H19*Calculos!$C$28)/(0.4)</f>
        <v>27.81274084</v>
      </c>
      <c r="J19" s="215">
        <f t="shared" si="5"/>
        <v>0.6037061177</v>
      </c>
      <c r="K19" s="215">
        <f>Calculos!$D$34-H19</f>
        <v>0.7339291407</v>
      </c>
      <c r="L19" s="262">
        <f>(E19/1000)/(Calculos!$A$28*Calculos!$B$28)</f>
        <v>0.2414824471</v>
      </c>
      <c r="M19" s="262">
        <f>(L19*Calculos!$C$28)/(0.4)</f>
        <v>27.81274084</v>
      </c>
      <c r="N19" s="262">
        <f t="shared" si="1"/>
        <v>0.6037061177</v>
      </c>
      <c r="O19" s="149">
        <f>-ln(1-N19/2*Calculos!$D$34)</f>
        <v>0.3487506689</v>
      </c>
      <c r="P19" s="262">
        <f>Calculos!$D$34-N19/2</f>
        <v>0.6735585289</v>
      </c>
    </row>
    <row r="20">
      <c r="A20" s="261">
        <v>1.0</v>
      </c>
      <c r="B20" s="212">
        <v>14.0</v>
      </c>
      <c r="C20" s="212">
        <v>40.0</v>
      </c>
      <c r="D20" s="212">
        <v>460.0</v>
      </c>
      <c r="E20" s="213">
        <f t="shared" si="2"/>
        <v>6365</v>
      </c>
      <c r="F20" s="213">
        <f t="shared" si="3"/>
        <v>1583</v>
      </c>
      <c r="G20" s="215">
        <f t="shared" si="4"/>
        <v>26.38333333</v>
      </c>
      <c r="H20" s="215">
        <f>(E20/1000)/(Calculos!$A$28*Calculos!$B$28)</f>
        <v>0.2602939502</v>
      </c>
      <c r="I20" s="215">
        <f>(H20*Calculos!$C$28)/(0.4)</f>
        <v>29.97935571</v>
      </c>
      <c r="J20" s="215">
        <f t="shared" si="5"/>
        <v>0.6507348754</v>
      </c>
      <c r="K20" s="215">
        <f>Calculos!$D$34-H20</f>
        <v>0.7151176376</v>
      </c>
      <c r="L20" s="262">
        <f>(E20/1000)/(Calculos!$A$28*Calculos!$B$28)</f>
        <v>0.2602939502</v>
      </c>
      <c r="M20" s="262">
        <f>(L20*Calculos!$C$28)/(0.4)</f>
        <v>29.97935571</v>
      </c>
      <c r="N20" s="262">
        <f t="shared" si="1"/>
        <v>0.6507348754</v>
      </c>
      <c r="O20" s="149">
        <f>-ln(1-N20/2*Calculos!$D$34)</f>
        <v>0.3817981467</v>
      </c>
      <c r="P20" s="262">
        <f>Calculos!$D$34-N20/2</f>
        <v>0.65004415</v>
      </c>
    </row>
    <row r="21">
      <c r="A21" s="261">
        <v>1.0</v>
      </c>
      <c r="B21" s="212">
        <v>15.0</v>
      </c>
      <c r="C21" s="212">
        <v>50.0</v>
      </c>
      <c r="D21" s="212">
        <v>435.0</v>
      </c>
      <c r="E21" s="213">
        <f t="shared" si="2"/>
        <v>6800</v>
      </c>
      <c r="F21" s="213">
        <f t="shared" si="3"/>
        <v>1653</v>
      </c>
      <c r="G21" s="215">
        <f t="shared" si="4"/>
        <v>27.55</v>
      </c>
      <c r="H21" s="215">
        <f>(E21/1000)/(Calculos!$A$28*Calculos!$B$28)</f>
        <v>0.2780830889</v>
      </c>
      <c r="I21" s="215">
        <f>(H21*Calculos!$C$28)/(0.4)</f>
        <v>32.02821977</v>
      </c>
      <c r="J21" s="215">
        <f t="shared" si="5"/>
        <v>0.6952077223</v>
      </c>
      <c r="K21" s="215">
        <f>Calculos!$D$34-H21</f>
        <v>0.6973284988</v>
      </c>
      <c r="L21" s="262">
        <f>(E21/1000)/(Calculos!$A$28*Calculos!$B$28)</f>
        <v>0.2780830889</v>
      </c>
      <c r="M21" s="262">
        <f>(L21*Calculos!$C$28)/(0.4)</f>
        <v>32.02821977</v>
      </c>
      <c r="N21" s="262">
        <f t="shared" si="1"/>
        <v>0.6952077223</v>
      </c>
      <c r="O21" s="149">
        <f>-ln(1-N21/2*Calculos!$D$34)</f>
        <v>0.4140874248</v>
      </c>
      <c r="P21" s="262">
        <f>Calculos!$D$34-N21/2</f>
        <v>0.6278077266</v>
      </c>
    </row>
    <row r="22">
      <c r="A22" s="261">
        <v>1.0</v>
      </c>
      <c r="B22" s="212">
        <v>17.0</v>
      </c>
      <c r="C22" s="212">
        <v>7.0</v>
      </c>
      <c r="D22" s="212">
        <v>420.0</v>
      </c>
      <c r="E22" s="213">
        <f t="shared" si="2"/>
        <v>7220</v>
      </c>
      <c r="F22" s="213">
        <f t="shared" si="3"/>
        <v>1730</v>
      </c>
      <c r="G22" s="215">
        <f t="shared" si="4"/>
        <v>28.83333333</v>
      </c>
      <c r="H22" s="215">
        <f>(E22/1000)/(Calculos!$A$28*Calculos!$B$28)</f>
        <v>0.2952588091</v>
      </c>
      <c r="I22" s="215">
        <f>(H22*Calculos!$C$28)/(0.4)</f>
        <v>34.00643334</v>
      </c>
      <c r="J22" s="215">
        <f t="shared" si="5"/>
        <v>0.7381470228</v>
      </c>
      <c r="K22" s="215">
        <f>Calculos!$D$34-H22</f>
        <v>0.6801527786</v>
      </c>
      <c r="L22" s="262">
        <f>(E22/1000)/(Calculos!$A$28*Calculos!$B$28)</f>
        <v>0.2952588091</v>
      </c>
      <c r="M22" s="262">
        <f>(L22*Calculos!$C$28)/(0.4)</f>
        <v>34.00643334</v>
      </c>
      <c r="N22" s="262">
        <f t="shared" si="1"/>
        <v>0.7381470228</v>
      </c>
      <c r="O22" s="149">
        <f>-ln(1-N22/2*Calculos!$D$34)</f>
        <v>0.4462848835</v>
      </c>
      <c r="P22" s="262">
        <f>Calculos!$D$34-N22/2</f>
        <v>0.6063380763</v>
      </c>
    </row>
    <row r="23">
      <c r="A23" s="136">
        <v>1.0</v>
      </c>
      <c r="B23" s="135">
        <v>19.0</v>
      </c>
      <c r="C23" s="135">
        <v>13.0</v>
      </c>
      <c r="D23" s="135">
        <v>355.0</v>
      </c>
      <c r="E23" s="175">
        <f t="shared" si="2"/>
        <v>7575</v>
      </c>
      <c r="F23" s="175">
        <f t="shared" si="3"/>
        <v>1856</v>
      </c>
      <c r="G23" s="124">
        <f t="shared" si="4"/>
        <v>30.93333333</v>
      </c>
      <c r="H23" s="124">
        <f>(E23/1000)/(Calculos!$A$28*Calculos!$B$28)</f>
        <v>0.3097763822</v>
      </c>
      <c r="I23" s="124">
        <f>(H23*Calculos!$C$28)/(0.4)</f>
        <v>35.67849481</v>
      </c>
      <c r="J23" s="124">
        <f t="shared" si="5"/>
        <v>0.7744409554</v>
      </c>
      <c r="K23" s="124">
        <f>Calculos!$D$34-J23</f>
        <v>0.2009706324</v>
      </c>
      <c r="L23" s="149">
        <f>(E23/1000)/(Calculos!$A$28*Calculos!$B$28)</f>
        <v>0.3097763822</v>
      </c>
      <c r="M23" s="149">
        <f>(L23*Calculos!$C$28)/(0.4)</f>
        <v>35.67849481</v>
      </c>
      <c r="N23" s="149">
        <f t="shared" si="1"/>
        <v>0.7744409554</v>
      </c>
      <c r="O23" s="149">
        <f>-ln(1-N23/2*Calculos!$D$34)</f>
        <v>0.4743319283</v>
      </c>
      <c r="P23" s="149">
        <f>Calculos!$D$34-N23/2</f>
        <v>0.58819111</v>
      </c>
    </row>
    <row r="24">
      <c r="A24" s="136">
        <v>1.0</v>
      </c>
      <c r="B24" s="135">
        <v>22.0</v>
      </c>
      <c r="C24" s="135">
        <v>7.0</v>
      </c>
      <c r="D24" s="135">
        <v>425.0</v>
      </c>
      <c r="E24" s="175">
        <f t="shared" si="2"/>
        <v>8000</v>
      </c>
      <c r="F24" s="175">
        <f t="shared" si="3"/>
        <v>2030</v>
      </c>
      <c r="G24" s="124">
        <f t="shared" si="4"/>
        <v>33.83333333</v>
      </c>
      <c r="H24" s="124">
        <f>(E24/1000)/(Calculos!$A$28*Calculos!$B$28)</f>
        <v>0.3271565752</v>
      </c>
      <c r="I24" s="124">
        <f>(H24*Calculos!$C$28)/(0.4)</f>
        <v>37.68025855</v>
      </c>
      <c r="J24" s="124">
        <f t="shared" si="5"/>
        <v>0.817891438</v>
      </c>
      <c r="K24" s="124">
        <f>Calculos!$D$34-H24</f>
        <v>0.6482550125</v>
      </c>
      <c r="L24" s="149">
        <f>(E24/1000)/(Calculos!$A$28*Calculos!$B$28)</f>
        <v>0.3271565752</v>
      </c>
      <c r="M24" s="149">
        <f>(L24*Calculos!$C$28)/(0.4)</f>
        <v>37.68025855</v>
      </c>
      <c r="N24" s="149">
        <f t="shared" si="1"/>
        <v>0.817891438</v>
      </c>
      <c r="O24" s="149">
        <f>-ln(1-N24/2*Calculos!$D$34)</f>
        <v>0.5089779868</v>
      </c>
      <c r="P24" s="149">
        <f>Calculos!$D$34-N24/2</f>
        <v>0.5664658687</v>
      </c>
    </row>
    <row r="25">
      <c r="A25" s="136">
        <v>1.0</v>
      </c>
      <c r="B25" s="135">
        <v>23.0</v>
      </c>
      <c r="C25" s="135">
        <v>58.0</v>
      </c>
      <c r="D25" s="135">
        <v>150.0</v>
      </c>
      <c r="E25" s="175">
        <f t="shared" si="2"/>
        <v>8150</v>
      </c>
      <c r="F25" s="175">
        <f t="shared" si="3"/>
        <v>2141</v>
      </c>
      <c r="G25" s="124">
        <f t="shared" si="4"/>
        <v>35.68333333</v>
      </c>
      <c r="H25" s="124">
        <f>(E25/1000)/(Calculos!$A$28*Calculos!$B$28)</f>
        <v>0.333290761</v>
      </c>
      <c r="I25" s="124">
        <f>(H25*Calculos!$C$28)/(0.4)</f>
        <v>38.3867634</v>
      </c>
      <c r="J25" s="124">
        <f t="shared" si="5"/>
        <v>0.8332269025</v>
      </c>
      <c r="K25" s="124">
        <f>Calculos!$D$34-H25</f>
        <v>0.6421208267</v>
      </c>
      <c r="L25" s="149">
        <f>(E25/1000)/(Calculos!$A$28*Calculos!$B$28)</f>
        <v>0.333290761</v>
      </c>
      <c r="M25" s="149">
        <f>(L25*Calculos!$C$28)/(0.4)</f>
        <v>38.3867634</v>
      </c>
      <c r="N25" s="149">
        <f t="shared" si="1"/>
        <v>0.8332269025</v>
      </c>
      <c r="O25" s="149">
        <f>-ln(1-N25/2*Calculos!$D$34)</f>
        <v>0.5214983552</v>
      </c>
      <c r="P25" s="149">
        <f>Calculos!$D$34-N25/2</f>
        <v>0.5587981365</v>
      </c>
    </row>
    <row r="26">
      <c r="A26" s="136">
        <v>2.0</v>
      </c>
      <c r="B26" s="135">
        <v>15.0</v>
      </c>
      <c r="C26" s="135">
        <v>44.0</v>
      </c>
      <c r="D26" s="135">
        <v>155.0</v>
      </c>
      <c r="E26" s="175">
        <f t="shared" si="2"/>
        <v>8305</v>
      </c>
      <c r="F26" s="175">
        <f t="shared" si="3"/>
        <v>3087</v>
      </c>
      <c r="G26" s="124">
        <f t="shared" si="4"/>
        <v>51.45</v>
      </c>
      <c r="H26" s="124">
        <f>(E26/1000)/(Calculos!$A$28*Calculos!$B$28)</f>
        <v>0.3396294196</v>
      </c>
      <c r="I26" s="124">
        <f>(H26*Calculos!$C$28)/(0.4)</f>
        <v>39.11681841</v>
      </c>
      <c r="J26" s="124">
        <f t="shared" si="5"/>
        <v>0.8490735491</v>
      </c>
      <c r="K26" s="124">
        <f>Calculos!$D$34-H26</f>
        <v>0.6357821681</v>
      </c>
      <c r="L26" s="149">
        <f>(E26/1000)/(Calculos!$A$28*Calculos!$B$28)</f>
        <v>0.3396294196</v>
      </c>
      <c r="M26" s="149">
        <f>(L26*Calculos!$C$28)/(0.4)</f>
        <v>39.11681841</v>
      </c>
      <c r="N26" s="149">
        <f t="shared" si="1"/>
        <v>0.8490735491</v>
      </c>
      <c r="O26" s="149">
        <f>-ln(1-N26/2*Calculos!$D$34)</f>
        <v>0.5346028913</v>
      </c>
      <c r="P26" s="149">
        <f>Calculos!$D$34-N26/2</f>
        <v>0.5508748132</v>
      </c>
    </row>
    <row r="34">
      <c r="D34" s="230"/>
      <c r="E34" s="231"/>
      <c r="F34" s="231"/>
      <c r="G34" s="231"/>
      <c r="H34" s="231"/>
      <c r="I34" s="233"/>
    </row>
    <row r="36">
      <c r="D36" s="149"/>
      <c r="E36" s="149"/>
      <c r="F36" s="149"/>
      <c r="G36" s="149"/>
      <c r="H36" s="149"/>
      <c r="I36" s="147"/>
    </row>
    <row r="37">
      <c r="D37" s="149"/>
      <c r="E37" s="149"/>
      <c r="F37" s="149"/>
      <c r="G37" s="149"/>
      <c r="H37" s="149"/>
      <c r="I37" s="147"/>
    </row>
    <row r="38">
      <c r="D38" s="149"/>
      <c r="E38" s="149"/>
      <c r="F38" s="149"/>
      <c r="G38" s="149"/>
      <c r="H38" s="149"/>
      <c r="I38" s="147"/>
    </row>
    <row r="39">
      <c r="D39" s="149"/>
      <c r="E39" s="149"/>
      <c r="F39" s="149"/>
      <c r="G39" s="149"/>
      <c r="H39" s="149"/>
      <c r="I39" s="147"/>
    </row>
    <row r="40">
      <c r="D40" s="149"/>
      <c r="E40" s="149"/>
      <c r="F40" s="149"/>
      <c r="G40" s="149"/>
      <c r="H40" s="149"/>
      <c r="I40" s="147"/>
    </row>
    <row r="41">
      <c r="D41" s="149"/>
      <c r="E41" s="149"/>
      <c r="F41" s="149"/>
      <c r="G41" s="149"/>
      <c r="H41" s="149"/>
      <c r="I41" s="147"/>
    </row>
    <row r="42">
      <c r="D42" s="149"/>
      <c r="E42" s="149"/>
      <c r="F42" s="149"/>
      <c r="G42" s="149"/>
      <c r="H42" s="149"/>
      <c r="I42" s="147"/>
    </row>
    <row r="43">
      <c r="D43" s="149"/>
      <c r="E43" s="149"/>
      <c r="F43" s="149"/>
      <c r="G43" s="149"/>
      <c r="H43" s="149"/>
      <c r="I43" s="147"/>
    </row>
    <row r="44">
      <c r="D44" s="149"/>
      <c r="E44" s="149"/>
      <c r="F44" s="149"/>
      <c r="G44" s="149"/>
      <c r="H44" s="149"/>
      <c r="I44" s="147"/>
    </row>
    <row r="45">
      <c r="D45" s="149"/>
      <c r="E45" s="149"/>
      <c r="F45" s="149"/>
      <c r="G45" s="149"/>
      <c r="H45" s="149"/>
      <c r="I45" s="147"/>
    </row>
    <row r="46">
      <c r="D46" s="149"/>
      <c r="E46" s="149"/>
      <c r="F46" s="149"/>
      <c r="G46" s="149"/>
      <c r="H46" s="149"/>
      <c r="I46" s="147"/>
    </row>
    <row r="47">
      <c r="D47" s="149"/>
      <c r="E47" s="149"/>
      <c r="F47" s="149"/>
      <c r="G47" s="149"/>
      <c r="H47" s="149"/>
      <c r="I47" s="147"/>
    </row>
    <row r="48">
      <c r="D48" s="149"/>
      <c r="E48" s="149"/>
      <c r="F48" s="149"/>
      <c r="G48" s="149"/>
      <c r="H48" s="149"/>
      <c r="I48" s="147"/>
    </row>
    <row r="49">
      <c r="D49" s="149"/>
      <c r="E49" s="149"/>
      <c r="F49" s="149"/>
      <c r="G49" s="149"/>
      <c r="H49" s="149"/>
      <c r="I49" s="147"/>
    </row>
    <row r="50">
      <c r="D50" s="149"/>
      <c r="E50" s="149"/>
      <c r="F50" s="149"/>
      <c r="G50" s="149"/>
      <c r="H50" s="149"/>
      <c r="I50" s="147"/>
    </row>
    <row r="51">
      <c r="D51" s="149"/>
      <c r="E51" s="149"/>
      <c r="F51" s="149"/>
      <c r="G51" s="149"/>
      <c r="H51" s="149"/>
    </row>
    <row r="52">
      <c r="G52" s="149"/>
    </row>
  </sheetData>
  <drawing r:id="rId1"/>
</worksheet>
</file>