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 de Calibrado" sheetId="1" r:id="rId4"/>
    <sheet state="visible" name="Calculos" sheetId="2" r:id="rId5"/>
    <sheet state="visible" name="Corrida 1" sheetId="3" r:id="rId6"/>
    <sheet state="visible" name="Corrida 2" sheetId="4" r:id="rId7"/>
    <sheet state="visible" name="Corrida 3" sheetId="5" r:id="rId8"/>
    <sheet state="visible" name="Corrida 4" sheetId="6" r:id="rId9"/>
    <sheet state="visible" name="Corrida 5" sheetId="7" r:id="rId10"/>
    <sheet state="visible" name="Corrida 6" sheetId="8" r:id="rId11"/>
    <sheet state="visible" name="Corrida 7" sheetId="9" r:id="rId12"/>
    <sheet state="visible" name="Corrida 8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(moles etOH/masa mol) / vol liq kitasato
	-Juan Cruz Grave</t>
      </text>
    </comment>
  </commentList>
</comments>
</file>

<file path=xl/sharedStrings.xml><?xml version="1.0" encoding="utf-8"?>
<sst xmlns="http://schemas.openxmlformats.org/spreadsheetml/2006/main" count="139" uniqueCount="94">
  <si>
    <t>corrida</t>
  </si>
  <si>
    <t>g azucar</t>
  </si>
  <si>
    <t>ml agua</t>
  </si>
  <si>
    <t>conc g/L</t>
  </si>
  <si>
    <t>º Brix (medición)</t>
  </si>
  <si>
    <t>Corrida</t>
  </si>
  <si>
    <t>g levadura</t>
  </si>
  <si>
    <t>C levadura inic (g/L)</t>
  </si>
  <si>
    <t>oxigeno</t>
  </si>
  <si>
    <t>hora inicial</t>
  </si>
  <si>
    <t>Volumen desplazado</t>
  </si>
  <si>
    <t>moles CO2</t>
  </si>
  <si>
    <t>moles de C5H5OH</t>
  </si>
  <si>
    <t>k [h ^-1]</t>
  </si>
  <si>
    <t>Brix</t>
  </si>
  <si>
    <t>Conc. de Glucosa g/L</t>
  </si>
  <si>
    <t>Conc. Teórica</t>
  </si>
  <si>
    <t>Eficiencia</t>
  </si>
  <si>
    <t>Inicial</t>
  </si>
  <si>
    <t>DE</t>
  </si>
  <si>
    <t>final</t>
  </si>
  <si>
    <t>Final</t>
  </si>
  <si>
    <t>mol/L</t>
  </si>
  <si>
    <t>g/L</t>
  </si>
  <si>
    <t>Teorico</t>
  </si>
  <si>
    <t>Originales</t>
  </si>
  <si>
    <t>aireado</t>
  </si>
  <si>
    <t>Duplicados</t>
  </si>
  <si>
    <t>Medición de Brix antes de la inoculación</t>
  </si>
  <si>
    <t>Medición de Brix al finalizar la reacción</t>
  </si>
  <si>
    <t>sin revolver</t>
  </si>
  <si>
    <t>Brix1</t>
  </si>
  <si>
    <t>Brix2</t>
  </si>
  <si>
    <t>Brix3</t>
  </si>
  <si>
    <t>prom</t>
  </si>
  <si>
    <t>desvio</t>
  </si>
  <si>
    <t>revuelto</t>
  </si>
  <si>
    <t>revuelto 2</t>
  </si>
  <si>
    <t>Peso molecular Glucosa</t>
  </si>
  <si>
    <t>g/mol</t>
  </si>
  <si>
    <t>revuelto 3</t>
  </si>
  <si>
    <t>revuelto 4</t>
  </si>
  <si>
    <t>Valor Promedio</t>
  </si>
  <si>
    <t>Desvío</t>
  </si>
  <si>
    <t>R [L atm / K mol]</t>
  </si>
  <si>
    <t>T [K]</t>
  </si>
  <si>
    <t>M mol etOH</t>
  </si>
  <si>
    <t>M mol glucosa</t>
  </si>
  <si>
    <t>conc glucosa</t>
  </si>
  <si>
    <t>ºBrix</t>
  </si>
  <si>
    <t>g gluc/L</t>
  </si>
  <si>
    <t>mol gluc/L</t>
  </si>
  <si>
    <t>1º filtrado</t>
  </si>
  <si>
    <t>2º filtrado</t>
  </si>
  <si>
    <t>luego de la coccion</t>
  </si>
  <si>
    <t>Reactor</t>
  </si>
  <si>
    <t>hora</t>
  </si>
  <si>
    <t>min</t>
  </si>
  <si>
    <t>Vol medido</t>
  </si>
  <si>
    <t>Vtot</t>
  </si>
  <si>
    <t>h</t>
  </si>
  <si>
    <t>moles CO2 = moles etOH</t>
  </si>
  <si>
    <t xml:space="preserve">g et / L </t>
  </si>
  <si>
    <t>mol etOH/L mosto</t>
  </si>
  <si>
    <t>-ln(1-(pt/r0) )</t>
  </si>
  <si>
    <t>conc glucosa(t)</t>
  </si>
  <si>
    <t>k cinetica [h^ -1]</t>
  </si>
  <si>
    <t>Día</t>
  </si>
  <si>
    <t>Hora</t>
  </si>
  <si>
    <t>minutos</t>
  </si>
  <si>
    <t>Tiempo total (hr)</t>
  </si>
  <si>
    <t>Volumenes [mL]</t>
  </si>
  <si>
    <t>Vol desplazado [mL]</t>
  </si>
  <si>
    <t>mol etOH/L</t>
  </si>
  <si>
    <t>-ln(1-(eta/glu) )</t>
  </si>
  <si>
    <t>k cinetica [h^-1]</t>
  </si>
  <si>
    <t>Tiempo real</t>
  </si>
  <si>
    <t>H transcurridas</t>
  </si>
  <si>
    <t>t (min)</t>
  </si>
  <si>
    <t>t (h)</t>
  </si>
  <si>
    <t>Vol medido (mL)</t>
  </si>
  <si>
    <t>Vacum (mL)</t>
  </si>
  <si>
    <t>k cinetica [h-1]</t>
  </si>
  <si>
    <t>Dia</t>
  </si>
  <si>
    <t>Tiempo en horas</t>
  </si>
  <si>
    <t>Volumen Desplazado [mL]</t>
  </si>
  <si>
    <t>Tiempo (min)</t>
  </si>
  <si>
    <t>Tiempo [h]</t>
  </si>
  <si>
    <t>tiempo inicial</t>
  </si>
  <si>
    <t>Tiempo (hr)</t>
  </si>
  <si>
    <t>tiempo (min)</t>
  </si>
  <si>
    <t>Vol medido [mL]</t>
  </si>
  <si>
    <t>Vol total [mL]</t>
  </si>
  <si>
    <t>K cinética hr^(-1)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</si>
</sst>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.000"/>
    <numFmt numFmtId="165" formatCode="#,##0.0"/>
    <numFmt numFmtId="166" formatCode="[mm]"/>
    <numFmt numFmtId="167" formatCode="d/m/yyyy h:mm"/>
    <numFmt numFmtId="168" formatCode="d/MM/yyyy H:mm:ss"/>
    <numFmt numFmtId="169" formatCode="0.00000"/>
    <numFmt numFmtId="170" formatCode="d/m/yyyy h:mm:ss"/>
    <numFmt numFmtId="171" formatCode="0.0000"/>
    <numFmt numFmtId="172" formatCode="0.000000"/>
  </numFmts>
  <fonts count="22">
    <font>
      <sz val="10.0"/>
      <color rgb="FF000000"/>
      <name val="Arial"/>
    </font>
    <font>
      <sz val="11.0"/>
      <name val="Helvetica Neue"/>
    </font>
    <font>
      <b/>
      <sz val="11.0"/>
      <name val="Helvetica Neue"/>
    </font>
    <font>
      <sz val="11.0"/>
      <color theme="1"/>
      <name val="Helvetica Neue"/>
    </font>
    <font>
      <color theme="1"/>
      <name val="Arial"/>
    </font>
    <font/>
    <font>
      <b/>
      <sz val="10.0"/>
      <color rgb="FF000000"/>
      <name val="Arial"/>
    </font>
    <font>
      <name val="Arial"/>
    </font>
    <font>
      <b/>
      <color theme="1"/>
      <name val="Arial"/>
    </font>
    <font>
      <b/>
      <name val="Arial"/>
    </font>
    <font>
      <sz val="11.0"/>
      <color rgb="FF202124"/>
      <name val="Arial"/>
    </font>
    <font>
      <sz val="11.0"/>
      <color rgb="FF3C4043"/>
      <name val="Arial"/>
    </font>
    <font>
      <b/>
    </font>
    <font>
      <b/>
      <sz val="11.0"/>
      <color rgb="FF000000"/>
      <name val="Calibri"/>
    </font>
    <font>
      <sz val="11.0"/>
      <color rgb="FF000000"/>
      <name val="Calibri"/>
    </font>
    <font>
      <name val="Helvetica Neue"/>
    </font>
    <font>
      <color theme="1"/>
      <name val="Helvetica Neue"/>
    </font>
    <font>
      <sz val="11.0"/>
      <color rgb="FF000000"/>
      <name val="Helvetica Neue"/>
    </font>
    <font>
      <b/>
      <sz val="11.0"/>
      <name val="Calibri"/>
    </font>
    <font>
      <sz val="11.0"/>
      <color theme="1"/>
      <name val="Calibri"/>
    </font>
    <font>
      <sz val="11.0"/>
      <name val="Calibri"/>
    </font>
    <font>
      <sz val="11.0"/>
      <color rgb="FF000000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4" xfId="0" applyAlignment="1" applyBorder="1" applyFont="1" applyNumberForma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1" numFmtId="0" xfId="0" applyAlignment="1" applyBorder="1" applyFont="1">
      <alignment horizontal="right" vertical="bottom"/>
    </xf>
    <xf borderId="2" fillId="0" fontId="3" numFmtId="0" xfId="0" applyAlignment="1" applyBorder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3" numFmtId="0" xfId="0" applyAlignment="1" applyBorder="1" applyFont="1">
      <alignment horizontal="right" vertical="bottom"/>
    </xf>
    <xf borderId="0" fillId="0" fontId="1" numFmtId="0" xfId="0" applyAlignment="1" applyFont="1">
      <alignment readingOrder="0" vertical="bottom"/>
    </xf>
    <xf borderId="4" fillId="0" fontId="1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3" numFmtId="0" xfId="0" applyAlignment="1" applyFont="1">
      <alignment vertical="bottom"/>
    </xf>
    <xf borderId="2" fillId="2" fontId="4" numFmtId="0" xfId="0" applyBorder="1" applyFill="1" applyFont="1"/>
    <xf borderId="2" fillId="2" fontId="4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" fillId="2" fontId="5" numFmtId="0" xfId="0" applyBorder="1" applyFont="1"/>
    <xf borderId="5" fillId="2" fontId="5" numFmtId="0" xfId="0" applyBorder="1" applyFont="1"/>
    <xf borderId="6" fillId="2" fontId="4" numFmtId="0" xfId="0" applyAlignment="1" applyBorder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6" fillId="2" fontId="4" numFmtId="0" xfId="0" applyAlignment="1" applyBorder="1" applyFont="1">
      <alignment horizontal="center" readingOrder="0" shrinkToFit="0" wrapText="1"/>
    </xf>
    <xf borderId="4" fillId="0" fontId="5" numFmtId="0" xfId="0" applyBorder="1" applyFont="1"/>
    <xf borderId="4" fillId="2" fontId="5" numFmtId="0" xfId="0" applyBorder="1" applyFont="1"/>
    <xf borderId="9" fillId="3" fontId="5" numFmtId="0" xfId="0" applyAlignment="1" applyBorder="1" applyFill="1" applyFont="1">
      <alignment readingOrder="0"/>
    </xf>
    <xf borderId="10" fillId="3" fontId="5" numFmtId="0" xfId="0" applyAlignment="1" applyBorder="1" applyFont="1">
      <alignment readingOrder="0"/>
    </xf>
    <xf borderId="1" fillId="3" fontId="5" numFmtId="0" xfId="0" applyAlignment="1" applyBorder="1" applyFont="1">
      <alignment readingOrder="0"/>
    </xf>
    <xf borderId="1" fillId="3" fontId="4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2" fillId="4" fontId="5" numFmtId="0" xfId="0" applyBorder="1" applyFill="1" applyFont="1"/>
    <xf borderId="2" fillId="4" fontId="4" numFmtId="0" xfId="0" applyBorder="1" applyFont="1"/>
    <xf borderId="2" fillId="4" fontId="4" numFmtId="2" xfId="0" applyBorder="1" applyFont="1" applyNumberFormat="1"/>
    <xf borderId="10" fillId="4" fontId="4" numFmtId="2" xfId="0" applyBorder="1" applyFont="1" applyNumberFormat="1"/>
    <xf borderId="11" fillId="4" fontId="4" numFmtId="2" xfId="0" applyBorder="1" applyFont="1" applyNumberFormat="1"/>
    <xf borderId="12" fillId="4" fontId="4" numFmtId="2" xfId="0" applyBorder="1" applyFont="1" applyNumberFormat="1"/>
    <xf borderId="12" fillId="4" fontId="4" numFmtId="0" xfId="0" applyBorder="1" applyFont="1"/>
    <xf borderId="12" fillId="4" fontId="5" numFmtId="0" xfId="0" applyBorder="1" applyFont="1"/>
    <xf borderId="1" fillId="4" fontId="5" numFmtId="0" xfId="0" applyBorder="1" applyFont="1"/>
    <xf borderId="1" fillId="0" fontId="4" numFmtId="0" xfId="0" applyBorder="1" applyFont="1"/>
    <xf borderId="11" fillId="4" fontId="4" numFmtId="0" xfId="0" applyBorder="1" applyFont="1"/>
    <xf borderId="3" fillId="4" fontId="5" numFmtId="0" xfId="0" applyBorder="1" applyFont="1"/>
    <xf borderId="3" fillId="4" fontId="4" numFmtId="0" xfId="0" applyBorder="1" applyFont="1"/>
    <xf borderId="3" fillId="4" fontId="4" numFmtId="2" xfId="0" applyBorder="1" applyFont="1" applyNumberFormat="1"/>
    <xf borderId="1" fillId="4" fontId="4" numFmtId="0" xfId="0" applyBorder="1" applyFont="1"/>
    <xf borderId="10" fillId="4" fontId="4" numFmtId="0" xfId="0" applyBorder="1" applyFont="1"/>
    <xf borderId="4" fillId="4" fontId="5" numFmtId="0" xfId="0" applyBorder="1" applyFont="1"/>
    <xf borderId="4" fillId="4" fontId="4" numFmtId="0" xfId="0" applyBorder="1" applyFont="1"/>
    <xf borderId="4" fillId="4" fontId="4" numFmtId="2" xfId="0" applyBorder="1" applyFont="1" applyNumberFormat="1"/>
    <xf borderId="3" fillId="5" fontId="5" numFmtId="0" xfId="0" applyBorder="1" applyFill="1" applyFont="1"/>
    <xf borderId="3" fillId="5" fontId="4" numFmtId="0" xfId="0" applyBorder="1" applyFont="1"/>
    <xf borderId="2" fillId="5" fontId="4" numFmtId="2" xfId="0" applyBorder="1" applyFont="1" applyNumberFormat="1"/>
    <xf borderId="3" fillId="5" fontId="4" numFmtId="2" xfId="0" applyBorder="1" applyFont="1" applyNumberFormat="1"/>
    <xf borderId="4" fillId="5" fontId="4" numFmtId="0" xfId="0" applyBorder="1" applyFont="1"/>
    <xf borderId="4" fillId="5" fontId="5" numFmtId="0" xfId="0" applyBorder="1" applyFont="1"/>
    <xf borderId="4" fillId="5" fontId="4" numFmtId="2" xfId="0" applyBorder="1" applyFont="1" applyNumberFormat="1"/>
    <xf borderId="1" fillId="0" fontId="7" numFmtId="0" xfId="0" applyAlignment="1" applyBorder="1" applyFont="1">
      <alignment readingOrder="0" shrinkToFit="0" vertical="bottom" wrapText="0"/>
    </xf>
    <xf borderId="1" fillId="0" fontId="7" numFmtId="0" xfId="0" applyAlignment="1" applyBorder="1" applyFont="1">
      <alignment vertical="bottom"/>
    </xf>
    <xf borderId="1" fillId="2" fontId="7" numFmtId="0" xfId="0" applyAlignment="1" applyBorder="1" applyFont="1">
      <alignment vertical="bottom"/>
    </xf>
    <xf borderId="0" fillId="0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4" fontId="8" numFmtId="0" xfId="0" applyBorder="1" applyFont="1"/>
    <xf borderId="6" fillId="6" fontId="9" numFmtId="0" xfId="0" applyAlignment="1" applyBorder="1" applyFill="1" applyFont="1">
      <alignment readingOrder="0" vertical="bottom"/>
    </xf>
    <xf borderId="0" fillId="0" fontId="4" numFmtId="0" xfId="0" applyFont="1"/>
    <xf borderId="0" fillId="2" fontId="8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7" fontId="10" numFmtId="0" xfId="0" applyAlignment="1" applyFill="1" applyFont="1">
      <alignment horizontal="left" readingOrder="0"/>
    </xf>
    <xf borderId="0" fillId="7" fontId="11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4" numFmtId="0" xfId="0" applyFont="1"/>
    <xf borderId="0" fillId="2" fontId="12" numFmtId="0" xfId="0" applyAlignment="1" applyFont="1">
      <alignment readingOrder="0"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6" fillId="0" fontId="7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8" fontId="5" numFmtId="0" xfId="0" applyAlignment="1" applyFill="1" applyFont="1">
      <alignment horizontal="center" readingOrder="0"/>
    </xf>
    <xf borderId="0" fillId="8" fontId="4" numFmtId="0" xfId="0" applyAlignment="1" applyFont="1">
      <alignment horizontal="center"/>
    </xf>
    <xf borderId="0" fillId="8" fontId="4" numFmtId="164" xfId="0" applyAlignment="1" applyFont="1" applyNumberFormat="1">
      <alignment horizontal="center"/>
    </xf>
    <xf borderId="0" fillId="8" fontId="4" numFmtId="0" xfId="0" applyFont="1"/>
    <xf borderId="0" fillId="8" fontId="5" numFmtId="0" xfId="0" applyAlignment="1" applyFont="1">
      <alignment horizontal="center"/>
    </xf>
    <xf borderId="0" fillId="8" fontId="5" numFmtId="0" xfId="0" applyAlignment="1" applyFont="1">
      <alignment horizontal="center"/>
    </xf>
    <xf borderId="0" fillId="8" fontId="5" numFmtId="2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0"/>
    </xf>
    <xf borderId="0" fillId="9" fontId="5" numFmtId="0" xfId="0" applyAlignment="1" applyFill="1" applyFont="1">
      <alignment readingOrder="0"/>
    </xf>
    <xf borderId="0" fillId="9" fontId="5" numFmtId="0" xfId="0" applyFont="1"/>
    <xf borderId="0" fillId="9" fontId="4" numFmtId="0" xfId="0" applyFont="1"/>
    <xf borderId="0" fillId="0" fontId="14" numFmtId="0" xfId="0" applyAlignment="1" applyFont="1">
      <alignment horizontal="right" readingOrder="0" shrinkToFit="0" vertical="bottom" wrapText="0"/>
    </xf>
    <xf borderId="0" fillId="0" fontId="5" numFmtId="165" xfId="0" applyFont="1" applyNumberFormat="1"/>
    <xf borderId="0" fillId="0" fontId="9" numFmtId="0" xfId="0" applyAlignment="1" applyFont="1">
      <alignment shrinkToFit="0" vertical="bottom" wrapText="1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3" fillId="0" fontId="9" numFmtId="0" xfId="0" applyAlignment="1" applyBorder="1" applyFont="1">
      <alignment shrinkToFit="0" vertical="bottom" wrapText="0"/>
    </xf>
    <xf borderId="0" fillId="0" fontId="5" numFmtId="165" xfId="0" applyAlignment="1" applyFont="1" applyNumberFormat="1">
      <alignment readingOrder="0"/>
    </xf>
    <xf borderId="0" fillId="0" fontId="7" numFmtId="2" xfId="0" applyAlignment="1" applyFont="1" applyNumberFormat="1">
      <alignment horizontal="right" vertical="bottom"/>
    </xf>
    <xf borderId="0" fillId="8" fontId="14" numFmtId="0" xfId="0" applyAlignment="1" applyFont="1">
      <alignment horizontal="right" readingOrder="0" shrinkToFit="0" vertical="bottom" wrapText="0"/>
    </xf>
    <xf borderId="0" fillId="0" fontId="5" numFmtId="166" xfId="0" applyFont="1" applyNumberFormat="1"/>
    <xf borderId="0" fillId="0" fontId="4" numFmtId="166" xfId="0" applyFont="1" applyNumberFormat="1"/>
    <xf borderId="0" fillId="0" fontId="4" numFmtId="4" xfId="0" applyFont="1" applyNumberFormat="1"/>
    <xf borderId="0" fillId="0" fontId="4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12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15" numFmtId="167" xfId="0" applyAlignment="1" applyFont="1" applyNumberFormat="1">
      <alignment horizontal="right" readingOrder="0" vertical="bottom"/>
    </xf>
    <xf borderId="0" fillId="0" fontId="15" numFmtId="0" xfId="0" applyFont="1"/>
    <xf borderId="0" fillId="0" fontId="15" numFmtId="167" xfId="0" applyAlignment="1" applyFont="1" applyNumberFormat="1">
      <alignment horizontal="right" vertical="bottom"/>
    </xf>
    <xf borderId="0" fillId="0" fontId="16" numFmtId="46" xfId="0" applyAlignment="1" applyFont="1" applyNumberFormat="1">
      <alignment horizontal="right" vertical="bottom"/>
    </xf>
    <xf borderId="0" fillId="0" fontId="16" numFmtId="0" xfId="0" applyAlignment="1" applyFont="1">
      <alignment readingOrder="0"/>
    </xf>
    <xf borderId="0" fillId="0" fontId="16" numFmtId="4" xfId="0" applyFont="1" applyNumberFormat="1"/>
    <xf borderId="0" fillId="0" fontId="15" numFmtId="0" xfId="0" applyAlignment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7" fontId="17" numFmtId="0" xfId="0" applyFont="1"/>
    <xf borderId="0" fillId="0" fontId="16" numFmtId="0" xfId="0" applyFont="1"/>
    <xf borderId="0" fillId="0" fontId="8" numFmtId="0" xfId="0" applyAlignment="1" applyFont="1">
      <alignment readingOrder="0" vertical="bottom"/>
    </xf>
    <xf borderId="0" fillId="8" fontId="15" numFmtId="167" xfId="0" applyAlignment="1" applyFont="1" applyNumberFormat="1">
      <alignment horizontal="right" vertical="bottom"/>
    </xf>
    <xf borderId="0" fillId="8" fontId="16" numFmtId="46" xfId="0" applyAlignment="1" applyFont="1" applyNumberFormat="1">
      <alignment horizontal="right" vertical="bottom"/>
    </xf>
    <xf borderId="0" fillId="8" fontId="16" numFmtId="0" xfId="0" applyAlignment="1" applyFont="1">
      <alignment readingOrder="0"/>
    </xf>
    <xf borderId="0" fillId="8" fontId="16" numFmtId="4" xfId="0" applyFont="1" applyNumberFormat="1"/>
    <xf borderId="0" fillId="8" fontId="15" numFmtId="0" xfId="0" applyAlignment="1" applyFont="1">
      <alignment horizontal="right" vertical="bottom"/>
    </xf>
    <xf borderId="0" fillId="8" fontId="16" numFmtId="0" xfId="0" applyAlignment="1" applyFont="1">
      <alignment horizontal="right" vertical="bottom"/>
    </xf>
    <xf borderId="0" fillId="8" fontId="17" numFmtId="0" xfId="0" applyFont="1"/>
    <xf borderId="0" fillId="8" fontId="16" numFmtId="0" xfId="0" applyFont="1"/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10" fontId="5" numFmtId="0" xfId="0" applyAlignment="1" applyFill="1" applyFont="1">
      <alignment readingOrder="0"/>
    </xf>
    <xf borderId="0" fillId="10" fontId="5" numFmtId="0" xfId="0" applyAlignment="1" applyFont="1">
      <alignment horizontal="center" readingOrder="0"/>
    </xf>
    <xf borderId="0" fillId="10" fontId="4" numFmtId="0" xfId="0" applyAlignment="1" applyFont="1">
      <alignment horizontal="center"/>
    </xf>
    <xf borderId="0" fillId="10" fontId="5" numFmtId="0" xfId="0" applyFont="1"/>
    <xf borderId="0" fillId="10" fontId="4" numFmtId="0" xfId="0" applyFont="1"/>
    <xf borderId="0" fillId="8" fontId="5" numFmtId="0" xfId="0" applyAlignment="1" applyFont="1">
      <alignment readingOrder="0"/>
    </xf>
    <xf borderId="0" fillId="8" fontId="4" numFmtId="0" xfId="0" applyAlignment="1" applyFont="1">
      <alignment horizontal="right" vertical="bottom"/>
    </xf>
    <xf borderId="13" fillId="0" fontId="8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readingOrder="0" shrinkToFit="0" vertical="bottom" wrapText="1"/>
    </xf>
    <xf borderId="0" fillId="0" fontId="4" numFmtId="168" xfId="0" applyAlignment="1" applyFont="1" applyNumberFormat="1">
      <alignment horizontal="right" vertical="bottom"/>
    </xf>
    <xf borderId="0" fillId="0" fontId="4" numFmtId="46" xfId="0" applyAlignment="1" applyFont="1" applyNumberFormat="1">
      <alignment horizontal="right" vertical="bottom"/>
    </xf>
    <xf borderId="0" fillId="0" fontId="4" numFmtId="169" xfId="0" applyFont="1" applyNumberFormat="1"/>
    <xf borderId="0" fillId="0" fontId="4" numFmtId="168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horizontal="right" vertical="bottom"/>
    </xf>
    <xf borderId="0" fillId="8" fontId="7" numFmtId="170" xfId="0" applyAlignment="1" applyFont="1" applyNumberFormat="1">
      <alignment horizontal="right" vertical="bottom"/>
    </xf>
    <xf borderId="0" fillId="8" fontId="4" numFmtId="46" xfId="0" applyAlignment="1" applyFont="1" applyNumberFormat="1">
      <alignment horizontal="right" vertical="bottom"/>
    </xf>
    <xf borderId="0" fillId="8" fontId="7" numFmtId="0" xfId="0" applyAlignment="1" applyFont="1">
      <alignment horizontal="right" vertical="bottom"/>
    </xf>
    <xf borderId="0" fillId="8" fontId="4" numFmtId="0" xfId="0" applyAlignment="1" applyFont="1">
      <alignment readingOrder="0"/>
    </xf>
    <xf borderId="0" fillId="8" fontId="4" numFmtId="4" xfId="0" applyFont="1" applyNumberFormat="1"/>
    <xf borderId="0" fillId="8" fontId="4" numFmtId="169" xfId="0" applyFont="1" applyNumberFormat="1"/>
    <xf borderId="0" fillId="8" fontId="7" numFmtId="167" xfId="0" applyAlignment="1" applyFont="1" applyNumberFormat="1">
      <alignment horizontal="right" vertical="bottom"/>
    </xf>
    <xf borderId="0" fillId="0" fontId="4" numFmtId="170" xfId="0" applyAlignment="1" applyFont="1" applyNumberFormat="1">
      <alignment horizontal="right" vertical="bottom"/>
    </xf>
    <xf borderId="0" fillId="11" fontId="12" numFmtId="0" xfId="0" applyAlignment="1" applyFill="1" applyFont="1">
      <alignment readingOrder="0"/>
    </xf>
    <xf borderId="0" fillId="11" fontId="12" numFmtId="0" xfId="0" applyAlignment="1" applyFont="1">
      <alignment readingOrder="0" shrinkToFit="0" wrapText="1"/>
    </xf>
    <xf borderId="0" fillId="11" fontId="18" numFmtId="0" xfId="0" applyAlignment="1" applyFont="1">
      <alignment readingOrder="0" shrinkToFit="0" vertical="bottom" wrapText="1"/>
    </xf>
    <xf borderId="0" fillId="11" fontId="18" numFmtId="0" xfId="0" applyAlignment="1" applyFont="1">
      <alignment shrinkToFit="0" vertical="bottom" wrapText="1"/>
    </xf>
    <xf borderId="0" fillId="10" fontId="4" numFmtId="171" xfId="0" applyAlignment="1" applyFont="1" applyNumberFormat="1">
      <alignment readingOrder="0"/>
    </xf>
    <xf borderId="0" fillId="0" fontId="4" numFmtId="171" xfId="0" applyFont="1" applyNumberFormat="1"/>
    <xf borderId="0" fillId="0" fontId="19" numFmtId="0" xfId="0" applyAlignment="1" applyFont="1">
      <alignment horizontal="right" vertical="bottom"/>
    </xf>
    <xf borderId="0" fillId="0" fontId="20" numFmtId="0" xfId="0" applyAlignment="1" applyFont="1">
      <alignment horizontal="right" vertical="bottom"/>
    </xf>
    <xf borderId="0" fillId="7" fontId="21" numFmtId="172" xfId="0" applyFont="1" applyNumberFormat="1"/>
    <xf borderId="0" fillId="0" fontId="4" numFmtId="172" xfId="0" applyFont="1" applyNumberFormat="1"/>
    <xf borderId="0" fillId="8" fontId="4" numFmtId="171" xfId="0" applyFont="1" applyNumberFormat="1"/>
    <xf borderId="0" fillId="8" fontId="19" numFmtId="0" xfId="0" applyAlignment="1" applyFont="1">
      <alignment horizontal="right" vertical="bottom"/>
    </xf>
    <xf borderId="0" fillId="8" fontId="20" numFmtId="0" xfId="0" applyAlignment="1" applyFont="1">
      <alignment horizontal="right" vertical="bottom"/>
    </xf>
    <xf borderId="0" fillId="8" fontId="21" numFmtId="172" xfId="0" applyFont="1" applyNumberFormat="1"/>
    <xf borderId="0" fillId="8" fontId="4" numFmtId="172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">
    <tableStyle count="3" pivot="0" name="Calcul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Concentración de glucosa vs °Brix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Curva de calibrado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'Curva de Calibrado'!$E$3:$E$15</c:f>
            </c:numRef>
          </c:xVal>
          <c:yVal>
            <c:numRef>
              <c:f>'Curva de Calibrado'!$D$3:$D$15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20728"/>
        <c:axId val="1316312432"/>
      </c:scatterChart>
      <c:valAx>
        <c:axId val="12237207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°Brix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312432"/>
      </c:valAx>
      <c:valAx>
        <c:axId val="1316312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Concentración de glucosa [g/L]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37207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7'!$D$1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7'!$F$2:$F$29</c:f>
            </c:numRef>
          </c:xVal>
          <c:yVal>
            <c:numRef>
              <c:f>'Corrida 7'!$D$2:$D$29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45777"/>
        <c:axId val="1759710664"/>
      </c:scatterChart>
      <c:valAx>
        <c:axId val="10157457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710664"/>
      </c:valAx>
      <c:valAx>
        <c:axId val="175971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45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7'!$F$4:$F$23</c:f>
            </c:numRef>
          </c:xVal>
          <c:yVal>
            <c:numRef>
              <c:f>'Corrida 7'!$J$4:$J$23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991577"/>
        <c:axId val="1709839809"/>
      </c:scatterChart>
      <c:valAx>
        <c:axId val="18979915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839809"/>
      </c:valAx>
      <c:valAx>
        <c:axId val="1709839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7991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8'!$G$1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8'!$D$2:$D$22</c:f>
            </c:numRef>
          </c:xVal>
          <c:yVal>
            <c:numRef>
              <c:f>'Corrida 8'!$G$2:$G$22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36851"/>
        <c:axId val="833716244"/>
      </c:scatterChart>
      <c:valAx>
        <c:axId val="15187368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3716244"/>
      </c:valAx>
      <c:valAx>
        <c:axId val="833716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736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8'!$D$5:$D$20</c:f>
            </c:numRef>
          </c:xVal>
          <c:yVal>
            <c:numRef>
              <c:f>'Corrida 8'!$K$5:$K$20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680083"/>
        <c:axId val="580549889"/>
      </c:scatterChart>
      <c:valAx>
        <c:axId val="273680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49889"/>
      </c:valAx>
      <c:valAx>
        <c:axId val="580549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3680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2'!$D$1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2'!$F$2:$F$45</c:f>
            </c:numRef>
          </c:xVal>
          <c:yVal>
            <c:numRef>
              <c:f>'Corrida 2'!$D$2:$D$30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757930"/>
        <c:axId val="1560258463"/>
      </c:scatterChart>
      <c:valAx>
        <c:axId val="1819757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258463"/>
      </c:valAx>
      <c:valAx>
        <c:axId val="1560258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7579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2'!$F$8:$F$25</c:f>
            </c:numRef>
          </c:xVal>
          <c:yVal>
            <c:numRef>
              <c:f>'Corrida 2'!$J$8:$J$25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92400"/>
        <c:axId val="97730735"/>
      </c:scatterChart>
      <c:valAx>
        <c:axId val="1025924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730735"/>
      </c:valAx>
      <c:valAx>
        <c:axId val="97730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592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4'!$D$4:$D$18</c:f>
            </c:numRef>
          </c:xVal>
          <c:yVal>
            <c:numRef>
              <c:f>'Corrida 4'!$J$4:$J$18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23380"/>
        <c:axId val="1828499981"/>
      </c:scatterChart>
      <c:valAx>
        <c:axId val="5183233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499981"/>
      </c:valAx>
      <c:valAx>
        <c:axId val="1828499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3233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4'!$D$3:$D$22</c:f>
            </c:numRef>
          </c:xVal>
          <c:yVal>
            <c:numRef>
              <c:f>'Corrida 4'!$F$3:$F$22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19002"/>
        <c:axId val="2096880011"/>
      </c:scatterChart>
      <c:valAx>
        <c:axId val="19097190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880011"/>
      </c:valAx>
      <c:valAx>
        <c:axId val="2096880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7190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5'!$F$1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5'!$D$2:$D$33</c:f>
            </c:numRef>
          </c:xVal>
          <c:yVal>
            <c:numRef>
              <c:f>'Corrida 5'!$F$2:$F$33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544871"/>
        <c:axId val="784397123"/>
      </c:scatterChart>
      <c:valAx>
        <c:axId val="13625448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397123"/>
      </c:valAx>
      <c:valAx>
        <c:axId val="784397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acumulado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2544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5'!$D$6:$D$25</c:f>
            </c:numRef>
          </c:xVal>
          <c:yVal>
            <c:numRef>
              <c:f>'Corrida 5'!$J$6:$J$25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68172"/>
        <c:axId val="1287603123"/>
      </c:scatterChart>
      <c:valAx>
        <c:axId val="1026868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603123"/>
      </c:valAx>
      <c:valAx>
        <c:axId val="128760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686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6'!$G$2:$G$26</c:f>
            </c:numRef>
          </c:xVal>
          <c:yVal>
            <c:numRef>
              <c:f>'Corrida 6'!$E$2:$E$26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745252"/>
        <c:axId val="2127211952"/>
      </c:scatterChart>
      <c:valAx>
        <c:axId val="1394745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7211952"/>
      </c:valAx>
      <c:valAx>
        <c:axId val="212721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745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6'!$G$7:$G$22</c:f>
            </c:numRef>
          </c:xVal>
          <c:yVal>
            <c:numRef>
              <c:f>'Corrida 6'!$O$7:$O$22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173320"/>
        <c:axId val="479933437"/>
      </c:scatterChart>
      <c:valAx>
        <c:axId val="3471733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933437"/>
      </c:valAx>
      <c:valAx>
        <c:axId val="47993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173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22</xdr:row>
      <xdr:rowOff>123825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22</xdr:row>
      <xdr:rowOff>123825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85725</xdr:colOff>
      <xdr:row>17</xdr:row>
      <xdr:rowOff>66675</xdr:rowOff>
    </xdr:from>
    <xdr:ext cx="5857875" cy="50768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152400</xdr:colOff>
      <xdr:row>11</xdr:row>
      <xdr:rowOff>19050</xdr:rowOff>
    </xdr:from>
    <xdr:ext cx="2600325" cy="3619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400050</xdr:colOff>
      <xdr:row>0</xdr:row>
      <xdr:rowOff>0</xdr:rowOff>
    </xdr:from>
    <xdr:ext cx="7248525" cy="39338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400050</xdr:colOff>
      <xdr:row>18</xdr:row>
      <xdr:rowOff>180975</xdr:rowOff>
    </xdr:from>
    <xdr:ext cx="5419725" cy="39338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304800</xdr:colOff>
      <xdr:row>3</xdr:row>
      <xdr:rowOff>76200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19</xdr:row>
      <xdr:rowOff>104775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771525</xdr:colOff>
      <xdr:row>0</xdr:row>
      <xdr:rowOff>238125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771525</xdr:colOff>
      <xdr:row>16</xdr:row>
      <xdr:rowOff>152400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28</xdr:row>
      <xdr:rowOff>19050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28</xdr:row>
      <xdr:rowOff>19050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190500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30</xdr:row>
      <xdr:rowOff>190500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D13:I21" displayName="Table_1" id="1">
  <tableColumns count="6">
    <tableColumn name="Corrida" id="1"/>
    <tableColumn name="Brix1" id="2"/>
    <tableColumn name="Brix2" id="3"/>
    <tableColumn name="Brix3" id="4"/>
    <tableColumn name="prom" id="5"/>
    <tableColumn name="desvio" id="6"/>
  </tableColumns>
  <tableStyleInfo name="Calcul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4" width="12.57"/>
    <col customWidth="1" min="5" max="5" width="17.0"/>
    <col customWidth="1" min="6" max="10" width="12.57"/>
  </cols>
  <sheetData>
    <row r="1">
      <c r="A1" s="1"/>
      <c r="B1" s="2"/>
      <c r="C1" s="2"/>
      <c r="D1" s="2"/>
      <c r="E1" s="2"/>
      <c r="F1" s="2"/>
    </row>
    <row r="2">
      <c r="A2" s="3" t="s">
        <v>0</v>
      </c>
      <c r="B2" s="4" t="s">
        <v>1</v>
      </c>
      <c r="C2" s="4" t="s">
        <v>2</v>
      </c>
      <c r="D2" s="5" t="s">
        <v>3</v>
      </c>
      <c r="E2" s="6" t="s">
        <v>4</v>
      </c>
      <c r="F2" s="7"/>
    </row>
    <row r="3">
      <c r="A3" s="8">
        <v>1.0</v>
      </c>
      <c r="B3" s="9">
        <v>10.0071</v>
      </c>
      <c r="C3" s="9">
        <v>100.0</v>
      </c>
      <c r="D3" s="10">
        <f t="shared" ref="D3:D14" si="1">B3/(C3/1000)</f>
        <v>100.071</v>
      </c>
      <c r="E3" s="9">
        <v>9.0</v>
      </c>
      <c r="F3" s="7"/>
    </row>
    <row r="4" ht="16.5" customHeight="1">
      <c r="A4" s="8">
        <v>2.0</v>
      </c>
      <c r="B4" s="11">
        <v>9.0959</v>
      </c>
      <c r="C4" s="11">
        <v>100.0</v>
      </c>
      <c r="D4" s="12">
        <f t="shared" si="1"/>
        <v>90.959</v>
      </c>
      <c r="E4" s="11">
        <v>8.5</v>
      </c>
      <c r="F4" s="7"/>
    </row>
    <row r="5">
      <c r="A5" s="8">
        <v>3.0</v>
      </c>
      <c r="B5" s="11">
        <v>8.3316</v>
      </c>
      <c r="C5" s="11">
        <v>100.0</v>
      </c>
      <c r="D5" s="12">
        <f t="shared" si="1"/>
        <v>83.316</v>
      </c>
      <c r="E5" s="11">
        <v>8.05</v>
      </c>
      <c r="F5" s="7"/>
    </row>
    <row r="6">
      <c r="A6" s="8">
        <v>4.0</v>
      </c>
      <c r="B6" s="11">
        <v>6.6695</v>
      </c>
      <c r="C6" s="11">
        <v>100.0</v>
      </c>
      <c r="D6" s="12">
        <f t="shared" si="1"/>
        <v>66.695</v>
      </c>
      <c r="E6" s="11">
        <v>6.4</v>
      </c>
      <c r="F6" s="13"/>
    </row>
    <row r="7">
      <c r="A7" s="8">
        <v>5.0</v>
      </c>
      <c r="B7" s="11">
        <v>5.0001</v>
      </c>
      <c r="C7" s="11">
        <v>100.0</v>
      </c>
      <c r="D7" s="12">
        <f t="shared" si="1"/>
        <v>50.001</v>
      </c>
      <c r="E7" s="11">
        <v>4.9</v>
      </c>
      <c r="F7" s="7"/>
    </row>
    <row r="8">
      <c r="A8" s="8">
        <v>6.0</v>
      </c>
      <c r="B8" s="11">
        <v>15.071</v>
      </c>
      <c r="C8" s="11">
        <v>100.0</v>
      </c>
      <c r="D8" s="12">
        <f t="shared" si="1"/>
        <v>150.71</v>
      </c>
      <c r="E8" s="11">
        <v>14.5</v>
      </c>
      <c r="F8" s="7"/>
    </row>
    <row r="9">
      <c r="A9" s="8">
        <v>7.0</v>
      </c>
      <c r="B9" s="11">
        <v>3.3423</v>
      </c>
      <c r="C9" s="11">
        <v>100.0</v>
      </c>
      <c r="D9" s="12">
        <f t="shared" si="1"/>
        <v>33.423</v>
      </c>
      <c r="E9" s="11">
        <v>3.5</v>
      </c>
      <c r="F9" s="7"/>
    </row>
    <row r="10">
      <c r="A10" s="8">
        <v>8.0</v>
      </c>
      <c r="B10" s="11">
        <v>2.5136</v>
      </c>
      <c r="C10" s="11">
        <v>100.0</v>
      </c>
      <c r="D10" s="12">
        <f t="shared" si="1"/>
        <v>25.136</v>
      </c>
      <c r="E10" s="11">
        <v>3.0</v>
      </c>
      <c r="F10" s="7"/>
    </row>
    <row r="11">
      <c r="A11" s="8">
        <v>9.0</v>
      </c>
      <c r="B11" s="11">
        <v>2.06</v>
      </c>
      <c r="C11" s="11">
        <v>100.0</v>
      </c>
      <c r="D11" s="12">
        <f t="shared" si="1"/>
        <v>20.6</v>
      </c>
      <c r="E11" s="11">
        <v>1.0</v>
      </c>
      <c r="F11" s="7"/>
    </row>
    <row r="12">
      <c r="A12" s="8">
        <v>10.0</v>
      </c>
      <c r="B12" s="11">
        <v>21.5895</v>
      </c>
      <c r="C12" s="11">
        <v>100.0</v>
      </c>
      <c r="D12" s="12">
        <f t="shared" si="1"/>
        <v>215.895</v>
      </c>
      <c r="E12" s="11">
        <v>19.9</v>
      </c>
      <c r="F12" s="7"/>
    </row>
    <row r="13">
      <c r="A13" s="8">
        <v>11.0</v>
      </c>
      <c r="B13" s="11">
        <v>1.2494</v>
      </c>
      <c r="C13" s="11">
        <v>100.0</v>
      </c>
      <c r="D13" s="12">
        <f t="shared" si="1"/>
        <v>12.494</v>
      </c>
      <c r="E13" s="11">
        <v>0.95</v>
      </c>
      <c r="F13" s="7"/>
    </row>
    <row r="14">
      <c r="A14" s="8">
        <v>12.0</v>
      </c>
      <c r="B14" s="14">
        <v>0.0637</v>
      </c>
      <c r="C14" s="14">
        <v>250.0</v>
      </c>
      <c r="D14" s="15">
        <f t="shared" si="1"/>
        <v>0.2548</v>
      </c>
      <c r="E14" s="14">
        <v>0.1</v>
      </c>
    </row>
    <row r="15">
      <c r="A15" s="16"/>
      <c r="B15" s="16"/>
      <c r="C15" s="17"/>
      <c r="D15" s="18"/>
      <c r="E15" s="19"/>
      <c r="G15" s="2"/>
      <c r="H15" s="2"/>
      <c r="I15" s="2"/>
      <c r="J15" s="2"/>
      <c r="K15" s="2"/>
      <c r="L15" s="2"/>
    </row>
    <row r="17">
      <c r="C17" s="20"/>
      <c r="D17" s="20"/>
      <c r="E17" s="20"/>
      <c r="F17" s="20"/>
    </row>
    <row r="18">
      <c r="F18" s="20"/>
    </row>
    <row r="19">
      <c r="F19" s="20"/>
      <c r="H19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1.29"/>
  </cols>
  <sheetData>
    <row r="1">
      <c r="A1" s="163" t="s">
        <v>67</v>
      </c>
      <c r="B1" s="163" t="s">
        <v>68</v>
      </c>
      <c r="C1" s="163" t="s">
        <v>57</v>
      </c>
      <c r="D1" s="164" t="s">
        <v>89</v>
      </c>
      <c r="E1" s="165" t="s">
        <v>90</v>
      </c>
      <c r="F1" s="166" t="s">
        <v>91</v>
      </c>
      <c r="G1" s="166" t="s">
        <v>92</v>
      </c>
      <c r="H1" s="164" t="s">
        <v>61</v>
      </c>
      <c r="I1" s="164" t="s">
        <v>62</v>
      </c>
      <c r="J1" s="164" t="s">
        <v>73</v>
      </c>
      <c r="K1" s="164" t="s">
        <v>74</v>
      </c>
      <c r="L1" s="164" t="s">
        <v>65</v>
      </c>
      <c r="M1" s="164" t="s">
        <v>93</v>
      </c>
    </row>
    <row r="2">
      <c r="A2" s="141">
        <v>0.0</v>
      </c>
      <c r="B2" s="141">
        <v>12.0</v>
      </c>
      <c r="C2" s="141">
        <v>28.0</v>
      </c>
      <c r="D2" s="167">
        <f>A2*24+B2+C2*(1/60)</f>
        <v>12.46666667</v>
      </c>
    </row>
    <row r="3">
      <c r="A3" s="69">
        <v>0.0</v>
      </c>
      <c r="B3" s="69">
        <v>21.0</v>
      </c>
      <c r="C3" s="69">
        <v>3.0</v>
      </c>
      <c r="D3" s="168">
        <f t="shared" ref="D3:D22" si="1">A3*24+B3+C3*(1/60)-$D$2</f>
        <v>8.583333333</v>
      </c>
      <c r="E3" s="169">
        <f t="shared" ref="E3:E22" si="2">D3*60</f>
        <v>515</v>
      </c>
      <c r="F3" s="170">
        <v>450.0</v>
      </c>
      <c r="G3" s="169">
        <f>F3</f>
        <v>450</v>
      </c>
      <c r="H3" s="171">
        <f>(G3/1000)/(Calculos!$A$28*Calculos!$B$28)</f>
        <v>0.01840255736</v>
      </c>
      <c r="I3" s="172">
        <f>(H3*Calculos!$C$28)/(0.4)</f>
        <v>2.119514543</v>
      </c>
      <c r="J3" s="172">
        <f>H3/0.4</f>
        <v>0.04600639339</v>
      </c>
      <c r="K3" s="172">
        <f>-ln(1-J3/Calculos!$D$34)</f>
        <v>0.04831471763</v>
      </c>
      <c r="L3" s="172">
        <f>Calculos!$D$34-J3*(1/2)</f>
        <v>0.952408391</v>
      </c>
      <c r="M3" s="72">
        <f>SLOPE(K5:K20,D5:D20)</f>
        <v>0.09595912135</v>
      </c>
    </row>
    <row r="4">
      <c r="A4" s="69">
        <v>0.0</v>
      </c>
      <c r="B4" s="69">
        <v>23.0</v>
      </c>
      <c r="C4" s="69">
        <v>9.0</v>
      </c>
      <c r="D4" s="168">
        <f t="shared" si="1"/>
        <v>10.68333333</v>
      </c>
      <c r="E4" s="169">
        <f t="shared" si="2"/>
        <v>641</v>
      </c>
      <c r="F4" s="170">
        <v>500.0</v>
      </c>
      <c r="G4" s="169">
        <f t="shared" ref="G4:G22" si="3">G3+F4</f>
        <v>950</v>
      </c>
      <c r="H4" s="171">
        <f>(G4/1000)/(Calculos!$A$28*Calculos!$B$28)</f>
        <v>0.03884984331</v>
      </c>
      <c r="I4" s="172">
        <f>(H4*Calculos!$C$28)/(0.4)</f>
        <v>4.474530703</v>
      </c>
      <c r="J4" s="172">
        <f>H4/0.4</f>
        <v>0.09712460826</v>
      </c>
      <c r="K4" s="172">
        <f>-ln(1-J4/Calculos!$D$34)</f>
        <v>0.1048861271</v>
      </c>
      <c r="L4" s="172">
        <f>Calculos!$D$34-J4*(1/2)</f>
        <v>0.9268492836</v>
      </c>
    </row>
    <row r="5">
      <c r="A5" s="146">
        <v>1.0</v>
      </c>
      <c r="B5" s="146">
        <v>0.0</v>
      </c>
      <c r="C5" s="146">
        <v>29.0</v>
      </c>
      <c r="D5" s="173">
        <f t="shared" si="1"/>
        <v>12.01666667</v>
      </c>
      <c r="E5" s="174">
        <f t="shared" si="2"/>
        <v>721</v>
      </c>
      <c r="F5" s="175">
        <v>500.0</v>
      </c>
      <c r="G5" s="174">
        <f t="shared" si="3"/>
        <v>1450</v>
      </c>
      <c r="H5" s="176">
        <f>(G5/1000)/(Calculos!$A$28*Calculos!$B$28)</f>
        <v>0.05929712926</v>
      </c>
      <c r="I5" s="177">
        <f>(H5*Calculos!$C$28)/(0.4)</f>
        <v>6.829546862</v>
      </c>
      <c r="J5" s="177">
        <f>H5/0.4</f>
        <v>0.1482428231</v>
      </c>
      <c r="K5" s="177">
        <f>-ln(1-J5/Calculos!$D$34)</f>
        <v>0.1648507806</v>
      </c>
      <c r="L5" s="177">
        <f>Calculos!$D$34-J5*(1/2)</f>
        <v>0.9012901762</v>
      </c>
    </row>
    <row r="6">
      <c r="A6" s="146">
        <v>1.0</v>
      </c>
      <c r="B6" s="146">
        <v>1.0</v>
      </c>
      <c r="C6" s="146">
        <v>31.0</v>
      </c>
      <c r="D6" s="173">
        <f t="shared" si="1"/>
        <v>13.05</v>
      </c>
      <c r="E6" s="174">
        <f t="shared" si="2"/>
        <v>783</v>
      </c>
      <c r="F6" s="175">
        <v>500.0</v>
      </c>
      <c r="G6" s="174">
        <f t="shared" si="3"/>
        <v>1950</v>
      </c>
      <c r="H6" s="176">
        <f>(G6/1000)/(Calculos!$A$28*Calculos!$B$28)</f>
        <v>0.07974441521</v>
      </c>
      <c r="I6" s="177">
        <f>(H6*Calculos!$C$28)/(0.4)</f>
        <v>9.184563021</v>
      </c>
      <c r="J6" s="177">
        <f>H6/0.4</f>
        <v>0.199361038</v>
      </c>
      <c r="K6" s="177">
        <f>-ln(1-J6/Calculos!$D$34)</f>
        <v>0.2286418637</v>
      </c>
      <c r="L6" s="177">
        <f>Calculos!$D$34-J6*(1/2)</f>
        <v>0.8757310687</v>
      </c>
    </row>
    <row r="7">
      <c r="A7" s="146">
        <v>1.0</v>
      </c>
      <c r="B7" s="146">
        <v>2.0</v>
      </c>
      <c r="C7" s="146">
        <v>31.0</v>
      </c>
      <c r="D7" s="173">
        <f t="shared" si="1"/>
        <v>14.05</v>
      </c>
      <c r="E7" s="174">
        <f t="shared" si="2"/>
        <v>843</v>
      </c>
      <c r="F7" s="175">
        <v>500.0</v>
      </c>
      <c r="G7" s="174">
        <f t="shared" si="3"/>
        <v>2450</v>
      </c>
      <c r="H7" s="176">
        <f>(G7/1000)/(Calculos!$A$28*Calculos!$B$28)</f>
        <v>0.1001917012</v>
      </c>
      <c r="I7" s="177">
        <f>(H7*Calculos!$C$28)/(0.4)</f>
        <v>11.53957918</v>
      </c>
      <c r="J7" s="177">
        <f>H7/0.4</f>
        <v>0.2504792529</v>
      </c>
      <c r="K7" s="177">
        <f>-ln(1-J7/Calculos!$D$34)</f>
        <v>0.2967812039</v>
      </c>
      <c r="L7" s="177">
        <f>Calculos!$D$34-J7*(1/2)</f>
        <v>0.8501719613</v>
      </c>
    </row>
    <row r="8">
      <c r="A8" s="146">
        <v>1.0</v>
      </c>
      <c r="B8" s="146">
        <v>3.0</v>
      </c>
      <c r="C8" s="146">
        <v>39.0</v>
      </c>
      <c r="D8" s="173">
        <f t="shared" si="1"/>
        <v>15.18333333</v>
      </c>
      <c r="E8" s="174">
        <f t="shared" si="2"/>
        <v>911</v>
      </c>
      <c r="F8" s="175">
        <v>500.0</v>
      </c>
      <c r="G8" s="174">
        <f t="shared" si="3"/>
        <v>2950</v>
      </c>
      <c r="H8" s="176">
        <f>(G8/1000)/(Calculos!$A$28*Calculos!$B$28)</f>
        <v>0.1206389871</v>
      </c>
      <c r="I8" s="177">
        <f>(H8*Calculos!$C$28)/(0.4)</f>
        <v>13.89459534</v>
      </c>
      <c r="J8" s="177">
        <f>H8/0.4</f>
        <v>0.3015974678</v>
      </c>
      <c r="K8" s="177">
        <f>-ln(1-J8/Calculos!$D$34)</f>
        <v>0.3699052367</v>
      </c>
      <c r="L8" s="177">
        <f>Calculos!$D$34-J8*(1/2)</f>
        <v>0.8246128538</v>
      </c>
    </row>
    <row r="9">
      <c r="A9" s="146">
        <v>1.0</v>
      </c>
      <c r="B9" s="146">
        <v>4.0</v>
      </c>
      <c r="C9" s="146">
        <v>30.0</v>
      </c>
      <c r="D9" s="173">
        <f t="shared" si="1"/>
        <v>16.03333333</v>
      </c>
      <c r="E9" s="174">
        <f t="shared" si="2"/>
        <v>962</v>
      </c>
      <c r="F9" s="175">
        <v>500.0</v>
      </c>
      <c r="G9" s="174">
        <f t="shared" si="3"/>
        <v>3450</v>
      </c>
      <c r="H9" s="176">
        <f>(G9/1000)/(Calculos!$A$28*Calculos!$B$28)</f>
        <v>0.1410862731</v>
      </c>
      <c r="I9" s="177">
        <f>(H9*Calculos!$C$28)/(0.4)</f>
        <v>16.2496115</v>
      </c>
      <c r="J9" s="177">
        <f>H9/0.4</f>
        <v>0.3527156826</v>
      </c>
      <c r="K9" s="177">
        <f>-ln(1-J9/Calculos!$D$34)</f>
        <v>0.4488012374</v>
      </c>
      <c r="L9" s="177">
        <f>Calculos!$D$34-J9*(1/2)</f>
        <v>0.7990537464</v>
      </c>
    </row>
    <row r="10">
      <c r="A10" s="146">
        <v>1.0</v>
      </c>
      <c r="B10" s="146">
        <v>5.0</v>
      </c>
      <c r="C10" s="146">
        <v>30.0</v>
      </c>
      <c r="D10" s="173">
        <f t="shared" si="1"/>
        <v>17.03333333</v>
      </c>
      <c r="E10" s="174">
        <f t="shared" si="2"/>
        <v>1022</v>
      </c>
      <c r="F10" s="175">
        <v>450.0</v>
      </c>
      <c r="G10" s="174">
        <f t="shared" si="3"/>
        <v>3900</v>
      </c>
      <c r="H10" s="176">
        <f>(G10/1000)/(Calculos!$A$28*Calculos!$B$28)</f>
        <v>0.1594888304</v>
      </c>
      <c r="I10" s="177">
        <f>(H10*Calculos!$C$28)/(0.4)</f>
        <v>18.36912604</v>
      </c>
      <c r="J10" s="177">
        <f>H10/0.4</f>
        <v>0.398722076</v>
      </c>
      <c r="K10" s="177">
        <f>-ln(1-J10/Calculos!$D$34)</f>
        <v>0.5255555095</v>
      </c>
      <c r="L10" s="177">
        <f>Calculos!$D$34-J10*(1/2)</f>
        <v>0.7760505497</v>
      </c>
    </row>
    <row r="11">
      <c r="A11" s="146">
        <v>1.0</v>
      </c>
      <c r="B11" s="146">
        <v>6.0</v>
      </c>
      <c r="C11" s="146">
        <v>21.0</v>
      </c>
      <c r="D11" s="173">
        <f t="shared" si="1"/>
        <v>17.88333333</v>
      </c>
      <c r="E11" s="174">
        <f t="shared" si="2"/>
        <v>1073</v>
      </c>
      <c r="F11" s="175">
        <v>450.0</v>
      </c>
      <c r="G11" s="174">
        <f t="shared" si="3"/>
        <v>4350</v>
      </c>
      <c r="H11" s="176">
        <f>(G11/1000)/(Calculos!$A$28*Calculos!$B$28)</f>
        <v>0.1778913878</v>
      </c>
      <c r="I11" s="177">
        <f>(H11*Calculos!$C$28)/(0.4)</f>
        <v>20.48864059</v>
      </c>
      <c r="J11" s="177">
        <f>H11/0.4</f>
        <v>0.4447284694</v>
      </c>
      <c r="K11" s="177">
        <f>-ln(1-J11/Calculos!$D$34)</f>
        <v>0.6086944441</v>
      </c>
      <c r="L11" s="177">
        <f>Calculos!$D$34-J11*(1/2)</f>
        <v>0.753047353</v>
      </c>
    </row>
    <row r="12">
      <c r="A12" s="146">
        <v>1.0</v>
      </c>
      <c r="B12" s="146">
        <v>7.0</v>
      </c>
      <c r="C12" s="146">
        <v>3.0</v>
      </c>
      <c r="D12" s="173">
        <f t="shared" si="1"/>
        <v>18.58333333</v>
      </c>
      <c r="E12" s="174">
        <f t="shared" si="2"/>
        <v>1115</v>
      </c>
      <c r="F12" s="175">
        <v>700.0</v>
      </c>
      <c r="G12" s="174">
        <f t="shared" si="3"/>
        <v>5050</v>
      </c>
      <c r="H12" s="176">
        <f>(G12/1000)/(Calculos!$A$28*Calculos!$B$28)</f>
        <v>0.2065175881</v>
      </c>
      <c r="I12" s="177">
        <f>(H12*Calculos!$C$28)/(0.4)</f>
        <v>23.78566321</v>
      </c>
      <c r="J12" s="177">
        <f>H12/0.4</f>
        <v>0.5162939703</v>
      </c>
      <c r="K12" s="177">
        <f>-ln(1-J12/Calculos!$D$34)</f>
        <v>0.7535530987</v>
      </c>
      <c r="L12" s="177">
        <f>Calculos!$D$34-J12*(1/2)</f>
        <v>0.7172646026</v>
      </c>
    </row>
    <row r="13">
      <c r="A13" s="146">
        <v>1.0</v>
      </c>
      <c r="B13" s="146">
        <v>10.0</v>
      </c>
      <c r="C13" s="146">
        <v>0.0</v>
      </c>
      <c r="D13" s="173">
        <f t="shared" si="1"/>
        <v>21.53333333</v>
      </c>
      <c r="E13" s="174">
        <f t="shared" si="2"/>
        <v>1292</v>
      </c>
      <c r="F13" s="175">
        <v>450.0</v>
      </c>
      <c r="G13" s="174">
        <f t="shared" si="3"/>
        <v>5500</v>
      </c>
      <c r="H13" s="176">
        <f>(G13/1000)/(Calculos!$A$28*Calculos!$B$28)</f>
        <v>0.2249201455</v>
      </c>
      <c r="I13" s="177">
        <f>(H13*Calculos!$C$28)/(0.4)</f>
        <v>25.90517775</v>
      </c>
      <c r="J13" s="177">
        <f>H13/0.4</f>
        <v>0.5623003636</v>
      </c>
      <c r="K13" s="177">
        <f>-ln(1-J13/Calculos!$D$34)</f>
        <v>0.8591426587</v>
      </c>
      <c r="L13" s="177">
        <f>Calculos!$D$34-J13*(1/2)</f>
        <v>0.6942614059</v>
      </c>
    </row>
    <row r="14">
      <c r="A14" s="146">
        <v>1.0</v>
      </c>
      <c r="B14" s="146">
        <v>10.0</v>
      </c>
      <c r="C14" s="146">
        <v>40.0</v>
      </c>
      <c r="D14" s="173">
        <f t="shared" si="1"/>
        <v>22.2</v>
      </c>
      <c r="E14" s="174">
        <f t="shared" si="2"/>
        <v>1332</v>
      </c>
      <c r="F14" s="175">
        <v>350.0</v>
      </c>
      <c r="G14" s="174">
        <f t="shared" si="3"/>
        <v>5850</v>
      </c>
      <c r="H14" s="176">
        <f>(G14/1000)/(Calculos!$A$28*Calculos!$B$28)</f>
        <v>0.2392332456</v>
      </c>
      <c r="I14" s="177">
        <f>(H14*Calculos!$C$28)/(0.4)</f>
        <v>27.55368906</v>
      </c>
      <c r="J14" s="177">
        <f>H14/0.4</f>
        <v>0.5980831141</v>
      </c>
      <c r="K14" s="177">
        <f>-ln(1-J14/Calculos!$D$34)</f>
        <v>0.9497434321</v>
      </c>
      <c r="L14" s="177">
        <f>Calculos!$D$34-J14*(1/2)</f>
        <v>0.6763700307</v>
      </c>
    </row>
    <row r="15">
      <c r="A15" s="146">
        <v>1.0</v>
      </c>
      <c r="B15" s="146">
        <v>11.0</v>
      </c>
      <c r="C15" s="146">
        <v>30.0</v>
      </c>
      <c r="D15" s="173">
        <f t="shared" si="1"/>
        <v>23.03333333</v>
      </c>
      <c r="E15" s="174">
        <f t="shared" si="2"/>
        <v>1382</v>
      </c>
      <c r="F15" s="175">
        <v>400.0</v>
      </c>
      <c r="G15" s="174">
        <f t="shared" si="3"/>
        <v>6250</v>
      </c>
      <c r="H15" s="176">
        <f>(G15/1000)/(Calculos!$A$28*Calculos!$B$28)</f>
        <v>0.2555910744</v>
      </c>
      <c r="I15" s="177">
        <f>(H15*Calculos!$C$28)/(0.4)</f>
        <v>29.43770199</v>
      </c>
      <c r="J15" s="177">
        <f>H15/0.4</f>
        <v>0.638977686</v>
      </c>
      <c r="K15" s="177">
        <f>-ln(1-J15/Calculos!$D$34)</f>
        <v>1.064457822</v>
      </c>
      <c r="L15" s="177">
        <f>Calculos!$D$34-J15*(1/2)</f>
        <v>0.6559227448</v>
      </c>
    </row>
    <row r="16">
      <c r="A16" s="146">
        <v>1.0</v>
      </c>
      <c r="B16" s="146">
        <v>12.0</v>
      </c>
      <c r="C16" s="146">
        <v>45.0</v>
      </c>
      <c r="D16" s="173">
        <f t="shared" si="1"/>
        <v>24.28333333</v>
      </c>
      <c r="E16" s="174">
        <f t="shared" si="2"/>
        <v>1457</v>
      </c>
      <c r="F16" s="175">
        <v>450.0</v>
      </c>
      <c r="G16" s="174">
        <f t="shared" si="3"/>
        <v>6700</v>
      </c>
      <c r="H16" s="176">
        <f>(G16/1000)/(Calculos!$A$28*Calculos!$B$28)</f>
        <v>0.2739936317</v>
      </c>
      <c r="I16" s="177">
        <f>(H16*Calculos!$C$28)/(0.4)</f>
        <v>31.55721654</v>
      </c>
      <c r="J16" s="177">
        <f>H16/0.4</f>
        <v>0.6849840793</v>
      </c>
      <c r="K16" s="177">
        <f>-ln(1-J16/Calculos!$D$34)</f>
        <v>1.211505519</v>
      </c>
      <c r="L16" s="177">
        <f>Calculos!$D$34-J16*(1/2)</f>
        <v>0.6329195481</v>
      </c>
    </row>
    <row r="17">
      <c r="A17" s="146">
        <v>1.0</v>
      </c>
      <c r="B17" s="146">
        <v>13.0</v>
      </c>
      <c r="C17" s="146">
        <v>52.0</v>
      </c>
      <c r="D17" s="173">
        <f t="shared" si="1"/>
        <v>25.4</v>
      </c>
      <c r="E17" s="174">
        <f t="shared" si="2"/>
        <v>1524</v>
      </c>
      <c r="F17" s="175">
        <v>400.0</v>
      </c>
      <c r="G17" s="174">
        <f t="shared" si="3"/>
        <v>7100</v>
      </c>
      <c r="H17" s="176">
        <f>(G17/1000)/(Calculos!$A$28*Calculos!$B$28)</f>
        <v>0.2903514605</v>
      </c>
      <c r="I17" s="177">
        <f>(H17*Calculos!$C$28)/(0.4)</f>
        <v>33.44122946</v>
      </c>
      <c r="J17" s="177">
        <f>H17/0.4</f>
        <v>0.7258786512</v>
      </c>
      <c r="K17" s="177">
        <f>-ln(1-J17/Calculos!$D$34)</f>
        <v>1.363268607</v>
      </c>
      <c r="L17" s="177">
        <f>Calculos!$D$34-J17*(1/2)</f>
        <v>0.6124722621</v>
      </c>
    </row>
    <row r="18">
      <c r="A18" s="146">
        <v>1.0</v>
      </c>
      <c r="B18" s="146">
        <v>15.0</v>
      </c>
      <c r="C18" s="146">
        <v>17.0</v>
      </c>
      <c r="D18" s="173">
        <f t="shared" si="1"/>
        <v>26.81666667</v>
      </c>
      <c r="E18" s="174">
        <f t="shared" si="2"/>
        <v>1609</v>
      </c>
      <c r="F18" s="175">
        <v>450.0</v>
      </c>
      <c r="G18" s="174">
        <f t="shared" si="3"/>
        <v>7550</v>
      </c>
      <c r="H18" s="176">
        <f>(G18/1000)/(Calculos!$A$28*Calculos!$B$28)</f>
        <v>0.3087540179</v>
      </c>
      <c r="I18" s="177">
        <f>(H18*Calculos!$C$28)/(0.4)</f>
        <v>35.56074401</v>
      </c>
      <c r="J18" s="177">
        <f>H18/0.4</f>
        <v>0.7718850446</v>
      </c>
      <c r="K18" s="177">
        <f>-ln(1-J18/Calculos!$D$34)</f>
        <v>1.567063094</v>
      </c>
      <c r="L18" s="177">
        <f>Calculos!$D$34-J18*(1/2)</f>
        <v>0.5894690654</v>
      </c>
    </row>
    <row r="19">
      <c r="A19" s="146">
        <v>1.0</v>
      </c>
      <c r="B19" s="146">
        <v>17.0</v>
      </c>
      <c r="C19" s="146">
        <v>15.0</v>
      </c>
      <c r="D19" s="173">
        <f t="shared" si="1"/>
        <v>28.78333333</v>
      </c>
      <c r="E19" s="174">
        <f t="shared" si="2"/>
        <v>1727</v>
      </c>
      <c r="F19" s="175">
        <v>425.0</v>
      </c>
      <c r="G19" s="174">
        <f t="shared" si="3"/>
        <v>7975</v>
      </c>
      <c r="H19" s="176">
        <f>(G19/1000)/(Calculos!$A$28*Calculos!$B$28)</f>
        <v>0.3261342109</v>
      </c>
      <c r="I19" s="177">
        <f>(H19*Calculos!$C$28)/(0.4)</f>
        <v>37.56250774</v>
      </c>
      <c r="J19" s="177">
        <f>H19/0.4</f>
        <v>0.8153355273</v>
      </c>
      <c r="K19" s="177">
        <f>-ln(1-J19/Calculos!$D$34)</f>
        <v>1.807210443</v>
      </c>
      <c r="L19" s="177">
        <f>Calculos!$D$34-J19*(1/2)</f>
        <v>0.5677438241</v>
      </c>
    </row>
    <row r="20">
      <c r="A20" s="146">
        <v>1.0</v>
      </c>
      <c r="B20" s="146">
        <v>21.0</v>
      </c>
      <c r="C20" s="146">
        <v>22.0</v>
      </c>
      <c r="D20" s="173">
        <f t="shared" si="1"/>
        <v>32.9</v>
      </c>
      <c r="E20" s="174">
        <f t="shared" si="2"/>
        <v>1974</v>
      </c>
      <c r="F20" s="175">
        <v>400.0</v>
      </c>
      <c r="G20" s="174">
        <f t="shared" si="3"/>
        <v>8375</v>
      </c>
      <c r="H20" s="176">
        <f>(G20/1000)/(Calculos!$A$28*Calculos!$B$28)</f>
        <v>0.3424920397</v>
      </c>
      <c r="I20" s="177">
        <f>(H20*Calculos!$C$28)/(0.4)</f>
        <v>39.44652067</v>
      </c>
      <c r="J20" s="177">
        <f>H20/0.4</f>
        <v>0.8562300992</v>
      </c>
      <c r="K20" s="177">
        <f>-ln(1-J20/Calculos!$D$34)</f>
        <v>2.102212078</v>
      </c>
      <c r="L20" s="177">
        <f>Calculos!$D$34-J20*(1/2)</f>
        <v>0.5472965381</v>
      </c>
    </row>
    <row r="21">
      <c r="A21" s="69">
        <v>2.0</v>
      </c>
      <c r="B21" s="69">
        <v>7.0</v>
      </c>
      <c r="C21" s="69">
        <v>0.0</v>
      </c>
      <c r="D21" s="168">
        <f t="shared" si="1"/>
        <v>42.53333333</v>
      </c>
      <c r="E21" s="169">
        <f t="shared" si="2"/>
        <v>2552</v>
      </c>
      <c r="F21" s="170">
        <v>300.0</v>
      </c>
      <c r="G21" s="169">
        <f t="shared" si="3"/>
        <v>8675</v>
      </c>
      <c r="H21" s="171">
        <f>(G21/1000)/(Calculos!$A$28*Calculos!$B$28)</f>
        <v>0.3547604112</v>
      </c>
      <c r="I21" s="172">
        <f>(H21*Calculos!$C$28)/(0.4)</f>
        <v>40.85953036</v>
      </c>
      <c r="J21" s="172">
        <f>H21/0.4</f>
        <v>0.8869010281</v>
      </c>
      <c r="K21" s="172">
        <f>-ln(1-J21/Calculos!$D$34)</f>
        <v>2.39973766</v>
      </c>
      <c r="L21" s="172">
        <f>Calculos!$D$34-J21*(1/2)</f>
        <v>0.5319610737</v>
      </c>
    </row>
    <row r="22">
      <c r="A22" s="23">
        <v>3.0</v>
      </c>
      <c r="B22" s="23">
        <v>5.0</v>
      </c>
      <c r="C22" s="23">
        <v>30.0</v>
      </c>
      <c r="D22" s="168">
        <f t="shared" si="1"/>
        <v>65.03333333</v>
      </c>
      <c r="E22" s="169">
        <f t="shared" si="2"/>
        <v>3902</v>
      </c>
      <c r="F22" s="169">
        <v>300.0</v>
      </c>
      <c r="G22" s="169">
        <f t="shared" si="3"/>
        <v>8975</v>
      </c>
      <c r="H22" s="171">
        <f>(G22/1000)/(Calculos!$A$28*Calculos!$B$28)</f>
        <v>0.3670287828</v>
      </c>
      <c r="I22" s="172">
        <f>(H22*Calculos!$C$28)/(0.4)</f>
        <v>42.27254006</v>
      </c>
      <c r="J22" s="172">
        <f>H22/0.4</f>
        <v>0.917571957</v>
      </c>
      <c r="K22" s="172">
        <f>-ln(1-J22/Calculos!$D$34)</f>
        <v>2.82518533</v>
      </c>
      <c r="L22" s="172">
        <f>Calculos!$D$34-J22*(1/2)</f>
        <v>0.5166256092</v>
      </c>
    </row>
    <row r="24">
      <c r="A24" s="86"/>
      <c r="B24" s="86"/>
      <c r="C24" s="86"/>
      <c r="D24" s="86"/>
      <c r="E24" s="8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9.43"/>
    <col customWidth="1" min="4" max="4" width="8.43"/>
    <col customWidth="1" min="5" max="5" width="13.71"/>
    <col customWidth="1" min="6" max="6" width="18.29"/>
    <col customWidth="1" min="9" max="10" width="7.71"/>
    <col customWidth="1" min="11" max="11" width="17.14"/>
    <col customWidth="1" min="12" max="12" width="12.0"/>
    <col customWidth="1" min="13" max="13" width="11.86"/>
    <col customWidth="1" min="14" max="14" width="10.14"/>
  </cols>
  <sheetData>
    <row r="1">
      <c r="A1" s="21" t="s">
        <v>5</v>
      </c>
      <c r="B1" s="21" t="s">
        <v>6</v>
      </c>
      <c r="C1" s="22" t="s">
        <v>7</v>
      </c>
      <c r="D1" s="21" t="s">
        <v>8</v>
      </c>
      <c r="E1" s="21" t="s">
        <v>9</v>
      </c>
      <c r="F1" s="23" t="s">
        <v>10</v>
      </c>
      <c r="G1" s="24" t="s">
        <v>11</v>
      </c>
      <c r="H1" s="25" t="s">
        <v>12</v>
      </c>
      <c r="I1" s="25" t="s">
        <v>13</v>
      </c>
      <c r="J1" s="26" t="s">
        <v>14</v>
      </c>
      <c r="K1" s="27"/>
      <c r="L1" s="27"/>
      <c r="M1" s="28"/>
      <c r="N1" s="26" t="s">
        <v>15</v>
      </c>
      <c r="O1" s="28"/>
      <c r="P1" s="26" t="s">
        <v>16</v>
      </c>
      <c r="Q1" s="28"/>
      <c r="R1" s="29" t="s">
        <v>17</v>
      </c>
      <c r="S1" s="28"/>
    </row>
    <row r="2">
      <c r="A2" s="30"/>
      <c r="B2" s="30"/>
      <c r="C2" s="30"/>
      <c r="D2" s="30"/>
      <c r="E2" s="30"/>
      <c r="H2" s="31"/>
      <c r="I2" s="31"/>
      <c r="J2" s="32" t="s">
        <v>18</v>
      </c>
      <c r="K2" s="32" t="s">
        <v>19</v>
      </c>
      <c r="L2" s="33" t="s">
        <v>20</v>
      </c>
      <c r="M2" s="33" t="s">
        <v>19</v>
      </c>
      <c r="N2" s="34" t="s">
        <v>18</v>
      </c>
      <c r="O2" s="34" t="s">
        <v>21</v>
      </c>
      <c r="P2" s="34" t="s">
        <v>22</v>
      </c>
      <c r="Q2" s="34" t="s">
        <v>23</v>
      </c>
      <c r="R2" s="35"/>
      <c r="S2" s="34" t="s">
        <v>24</v>
      </c>
      <c r="T2" s="36"/>
    </row>
    <row r="3">
      <c r="A3" s="37">
        <v>1.0</v>
      </c>
      <c r="B3" s="37">
        <v>0.0853</v>
      </c>
      <c r="C3" s="38">
        <f t="shared" ref="C3:C10" si="2">B3/(0.4)</f>
        <v>0.21325</v>
      </c>
      <c r="D3" s="37"/>
      <c r="E3" s="37">
        <v>0.5048611111111111</v>
      </c>
      <c r="F3" s="38"/>
      <c r="G3" s="38">
        <f t="shared" ref="G3:G10" si="3">F3/($A$28*$B$28)</f>
        <v>0</v>
      </c>
      <c r="H3" s="38">
        <f t="shared" ref="H3:H10" si="4">G3</f>
        <v>0</v>
      </c>
      <c r="I3" s="37"/>
      <c r="J3" s="39">
        <f t="shared" ref="J3:J10" si="5">$A$18</f>
        <v>16.4375</v>
      </c>
      <c r="K3" s="40">
        <f t="shared" ref="K3:K10" si="6">$A$19</f>
        <v>0.1493039406</v>
      </c>
      <c r="L3" s="41">
        <f t="shared" ref="L3:M3" si="1">G14</f>
        <v>8.5</v>
      </c>
      <c r="M3" s="41">
        <f t="shared" si="1"/>
        <v>8.166666667</v>
      </c>
      <c r="N3" s="42">
        <f t="shared" ref="N3:N10" si="8">10.7*J3 + -0.155</f>
        <v>175.72625</v>
      </c>
      <c r="O3" s="43">
        <f t="shared" ref="O3:O10" si="9">10.7*L3 + -0.155</f>
        <v>90.795</v>
      </c>
      <c r="P3" s="43"/>
      <c r="Q3" s="44"/>
      <c r="R3" s="45"/>
      <c r="S3" s="46"/>
      <c r="T3" s="47" t="s">
        <v>25</v>
      </c>
    </row>
    <row r="4">
      <c r="A4" s="48">
        <v>2.0</v>
      </c>
      <c r="B4" s="48">
        <v>0.2054</v>
      </c>
      <c r="C4" s="49">
        <f t="shared" si="2"/>
        <v>0.5135</v>
      </c>
      <c r="D4" s="48"/>
      <c r="E4" s="48">
        <v>0.5097222222222222</v>
      </c>
      <c r="F4" s="49">
        <f>'Corrida 2'!D30/1000</f>
        <v>9.08</v>
      </c>
      <c r="G4" s="38">
        <f t="shared" si="3"/>
        <v>0.3713227129</v>
      </c>
      <c r="H4" s="49">
        <f t="shared" si="4"/>
        <v>0.3713227129</v>
      </c>
      <c r="I4" s="49">
        <f>'Corrida 2'!L2</f>
        <v>0.1273572877</v>
      </c>
      <c r="J4" s="50">
        <f t="shared" si="5"/>
        <v>16.4375</v>
      </c>
      <c r="K4" s="40">
        <f t="shared" si="6"/>
        <v>0.1493039406</v>
      </c>
      <c r="L4" s="40">
        <f t="shared" ref="L4:M4" si="7">G15</f>
        <v>8</v>
      </c>
      <c r="M4" s="40">
        <f t="shared" si="7"/>
        <v>8</v>
      </c>
      <c r="N4" s="42">
        <f t="shared" si="8"/>
        <v>175.72625</v>
      </c>
      <c r="O4" s="43">
        <f t="shared" si="9"/>
        <v>85.445</v>
      </c>
      <c r="P4" s="43">
        <f>'Corrida 2'!K30</f>
        <v>0.5112581967</v>
      </c>
      <c r="Q4" s="43">
        <f>P4*$M$15</f>
        <v>92.10827671</v>
      </c>
      <c r="R4" s="51">
        <f>1-ABS((Q4-N4)/(O4-N4))</f>
        <v>0.07380576487</v>
      </c>
      <c r="S4" s="46"/>
      <c r="T4" s="52"/>
    </row>
    <row r="5">
      <c r="A5" s="48">
        <v>3.0</v>
      </c>
      <c r="B5" s="48">
        <v>0.2806</v>
      </c>
      <c r="C5" s="49">
        <f t="shared" si="2"/>
        <v>0.7015</v>
      </c>
      <c r="D5" s="48"/>
      <c r="E5" s="48">
        <v>0.5131944444444444</v>
      </c>
      <c r="F5" s="49"/>
      <c r="G5" s="38">
        <f t="shared" si="3"/>
        <v>0</v>
      </c>
      <c r="H5" s="49">
        <f t="shared" si="4"/>
        <v>0</v>
      </c>
      <c r="I5" s="48"/>
      <c r="J5" s="50">
        <f t="shared" si="5"/>
        <v>16.4375</v>
      </c>
      <c r="K5" s="42">
        <f t="shared" si="6"/>
        <v>0.1493039406</v>
      </c>
      <c r="L5" s="40">
        <f t="shared" ref="L5:M5" si="10">G16</f>
        <v>8</v>
      </c>
      <c r="M5" s="40">
        <f t="shared" si="10"/>
        <v>8.166666667</v>
      </c>
      <c r="N5" s="42">
        <f t="shared" si="8"/>
        <v>175.72625</v>
      </c>
      <c r="O5" s="43">
        <f t="shared" si="9"/>
        <v>85.445</v>
      </c>
      <c r="P5" s="44"/>
      <c r="Q5" s="44"/>
      <c r="R5" s="45"/>
      <c r="S5" s="46"/>
      <c r="T5" s="52"/>
    </row>
    <row r="6">
      <c r="A6" s="53">
        <v>4.0</v>
      </c>
      <c r="B6" s="53">
        <v>0.2016</v>
      </c>
      <c r="C6" s="54">
        <f t="shared" si="2"/>
        <v>0.504</v>
      </c>
      <c r="D6" s="53" t="s">
        <v>26</v>
      </c>
      <c r="E6" s="53">
        <v>0.517361111111111</v>
      </c>
      <c r="F6" s="54">
        <f>'Corrida 4'!F22/1000</f>
        <v>7.844</v>
      </c>
      <c r="G6" s="38">
        <f t="shared" si="3"/>
        <v>0.320777022</v>
      </c>
      <c r="H6" s="54">
        <f t="shared" si="4"/>
        <v>0.320777022</v>
      </c>
      <c r="I6" s="54" t="str">
        <f>'Corrida 4'!X3</f>
        <v/>
      </c>
      <c r="J6" s="55">
        <f t="shared" si="5"/>
        <v>16.4375</v>
      </c>
      <c r="K6" s="40">
        <f t="shared" si="6"/>
        <v>0.1493039406</v>
      </c>
      <c r="L6" s="42">
        <f t="shared" ref="L6:M6" si="11">G17</f>
        <v>7</v>
      </c>
      <c r="M6" s="42">
        <f t="shared" si="11"/>
        <v>7.5</v>
      </c>
      <c r="N6" s="42">
        <f t="shared" si="8"/>
        <v>175.72625</v>
      </c>
      <c r="O6" s="43">
        <f t="shared" si="9"/>
        <v>74.745</v>
      </c>
      <c r="P6" s="43">
        <f>'Corrida 4'!K22</f>
        <v>0.5744403102</v>
      </c>
      <c r="Q6" s="43">
        <f t="shared" ref="Q6:Q10" si="13">P6*$M$15</f>
        <v>103.4911663</v>
      </c>
      <c r="R6" s="51">
        <f t="shared" ref="R6:R10" si="14">ABS((Q6-N6)/(O6-N6))</f>
        <v>0.7153316453</v>
      </c>
      <c r="S6" s="46"/>
      <c r="T6" s="43"/>
    </row>
    <row r="7">
      <c r="A7" s="56">
        <v>5.0</v>
      </c>
      <c r="B7" s="56">
        <v>0.0847</v>
      </c>
      <c r="C7" s="57">
        <f t="shared" si="2"/>
        <v>0.21175</v>
      </c>
      <c r="D7" s="56"/>
      <c r="E7" s="56">
        <v>0.5069444444444444</v>
      </c>
      <c r="F7" s="57"/>
      <c r="G7" s="38">
        <f t="shared" si="3"/>
        <v>0</v>
      </c>
      <c r="H7" s="57">
        <f t="shared" si="4"/>
        <v>0</v>
      </c>
      <c r="I7" s="57">
        <f>'Corrida 5'!L6</f>
        <v>0.0841754822</v>
      </c>
      <c r="J7" s="58">
        <f t="shared" si="5"/>
        <v>16.4375</v>
      </c>
      <c r="K7" s="58">
        <f t="shared" si="6"/>
        <v>0.1493039406</v>
      </c>
      <c r="L7" s="58">
        <f t="shared" ref="L7:M7" si="12">G18</f>
        <v>8.5</v>
      </c>
      <c r="M7" s="58">
        <f t="shared" si="12"/>
        <v>8.166666667</v>
      </c>
      <c r="N7" s="58">
        <f t="shared" si="8"/>
        <v>175.72625</v>
      </c>
      <c r="O7" s="58">
        <f t="shared" si="9"/>
        <v>90.795</v>
      </c>
      <c r="P7" s="58">
        <f>'Corrida 5'!K33</f>
        <v>0.5084466948</v>
      </c>
      <c r="Q7" s="58">
        <f t="shared" si="13"/>
        <v>91.60175654</v>
      </c>
      <c r="R7" s="58">
        <f t="shared" si="14"/>
        <v>0.9905010636</v>
      </c>
      <c r="S7" s="46"/>
      <c r="T7" s="58" t="s">
        <v>27</v>
      </c>
    </row>
    <row r="8">
      <c r="A8" s="56">
        <v>6.0</v>
      </c>
      <c r="B8" s="56">
        <v>0.2006</v>
      </c>
      <c r="C8" s="57">
        <f t="shared" si="2"/>
        <v>0.5015</v>
      </c>
      <c r="D8" s="56"/>
      <c r="E8" s="56">
        <v>0.5118055555555555</v>
      </c>
      <c r="F8" s="57">
        <f>'Corrida 6'!E26/1000</f>
        <v>8.305</v>
      </c>
      <c r="G8" s="38">
        <f t="shared" si="3"/>
        <v>0.3396294196</v>
      </c>
      <c r="H8" s="57">
        <f t="shared" si="4"/>
        <v>0.3396294196</v>
      </c>
      <c r="I8" s="57">
        <f>'Corrida 6'!P2</f>
        <v>0.9754115877</v>
      </c>
      <c r="J8" s="59">
        <f t="shared" si="5"/>
        <v>16.4375</v>
      </c>
      <c r="K8" s="58">
        <f t="shared" si="6"/>
        <v>0.1493039406</v>
      </c>
      <c r="L8" s="58">
        <f t="shared" ref="L8:M8" si="15">G19</f>
        <v>7.5</v>
      </c>
      <c r="M8" s="58">
        <f t="shared" si="15"/>
        <v>8</v>
      </c>
      <c r="N8" s="58">
        <f t="shared" si="8"/>
        <v>175.72625</v>
      </c>
      <c r="O8" s="58">
        <f t="shared" si="9"/>
        <v>80.095</v>
      </c>
      <c r="P8" s="58">
        <f>'Corrida 6'!K26</f>
        <v>0.6357821681</v>
      </c>
      <c r="Q8" s="58">
        <f t="shared" si="13"/>
        <v>114.5425154</v>
      </c>
      <c r="R8" s="58">
        <f t="shared" si="14"/>
        <v>0.6397880881</v>
      </c>
      <c r="S8" s="46"/>
      <c r="T8" s="58"/>
    </row>
    <row r="9">
      <c r="A9" s="56">
        <v>7.0</v>
      </c>
      <c r="B9" s="56">
        <v>0.2816</v>
      </c>
      <c r="C9" s="57">
        <f t="shared" si="2"/>
        <v>0.704</v>
      </c>
      <c r="D9" s="56"/>
      <c r="E9" s="56">
        <v>0.5159722222222222</v>
      </c>
      <c r="F9" s="57">
        <f>'Corrida 7'!D29/1000</f>
        <v>8.785</v>
      </c>
      <c r="G9" s="38">
        <f t="shared" si="3"/>
        <v>0.3592588142</v>
      </c>
      <c r="H9" s="57">
        <f t="shared" si="4"/>
        <v>0.3592588142</v>
      </c>
      <c r="I9" s="56"/>
      <c r="J9" s="59">
        <f t="shared" si="5"/>
        <v>16.4375</v>
      </c>
      <c r="K9" s="58">
        <f t="shared" si="6"/>
        <v>0.1493039406</v>
      </c>
      <c r="L9" s="58">
        <f t="shared" ref="L9:M9" si="16">G20</f>
        <v>7.5</v>
      </c>
      <c r="M9" s="58">
        <f t="shared" si="16"/>
        <v>7.333333333</v>
      </c>
      <c r="N9" s="58">
        <f t="shared" si="8"/>
        <v>175.72625</v>
      </c>
      <c r="O9" s="58">
        <f t="shared" si="9"/>
        <v>80.095</v>
      </c>
      <c r="P9" s="58">
        <f>'Corrida 7'!K29</f>
        <v>0.52633807</v>
      </c>
      <c r="Q9" s="58">
        <f t="shared" si="13"/>
        <v>94.8250667</v>
      </c>
      <c r="R9" s="58">
        <f t="shared" si="14"/>
        <v>0.8459701541</v>
      </c>
      <c r="S9" s="46"/>
      <c r="T9" s="58"/>
    </row>
    <row r="10">
      <c r="A10" s="60">
        <v>8.0</v>
      </c>
      <c r="B10" s="60">
        <v>0.201</v>
      </c>
      <c r="C10" s="60">
        <f t="shared" si="2"/>
        <v>0.5025</v>
      </c>
      <c r="D10" s="60" t="s">
        <v>26</v>
      </c>
      <c r="E10" s="56">
        <v>0.5194444444444445</v>
      </c>
      <c r="F10" s="57">
        <f>'Corrida 8'!G22/1000</f>
        <v>8.975</v>
      </c>
      <c r="G10" s="38">
        <f t="shared" si="3"/>
        <v>0.3670287828</v>
      </c>
      <c r="H10" s="60">
        <f t="shared" si="4"/>
        <v>0.3670287828</v>
      </c>
      <c r="I10" s="61"/>
      <c r="J10" s="62">
        <f t="shared" si="5"/>
        <v>16.4375</v>
      </c>
      <c r="K10" s="58">
        <f t="shared" si="6"/>
        <v>0.1493039406</v>
      </c>
      <c r="L10" s="58">
        <f t="shared" ref="L10:M10" si="17">G21</f>
        <v>8</v>
      </c>
      <c r="M10" s="58">
        <f t="shared" si="17"/>
        <v>7.666666667</v>
      </c>
      <c r="N10" s="58">
        <f t="shared" si="8"/>
        <v>175.72625</v>
      </c>
      <c r="O10" s="58">
        <f t="shared" si="9"/>
        <v>85.445</v>
      </c>
      <c r="P10" s="58">
        <f>'Corrida 8'!L22</f>
        <v>0.5166256092</v>
      </c>
      <c r="Q10" s="58">
        <f t="shared" si="13"/>
        <v>93.07526976</v>
      </c>
      <c r="R10" s="58">
        <f t="shared" si="14"/>
        <v>0.9154833395</v>
      </c>
      <c r="S10" s="46"/>
      <c r="T10" s="58"/>
    </row>
    <row r="12">
      <c r="A12" s="63" t="s">
        <v>28</v>
      </c>
      <c r="B12" s="64"/>
      <c r="D12" s="23" t="s">
        <v>29</v>
      </c>
    </row>
    <row r="13">
      <c r="A13" s="56">
        <v>16.2</v>
      </c>
      <c r="B13" s="65" t="s">
        <v>30</v>
      </c>
      <c r="D13" s="66" t="s">
        <v>5</v>
      </c>
      <c r="E13" s="66" t="s">
        <v>31</v>
      </c>
      <c r="F13" s="66" t="s">
        <v>32</v>
      </c>
      <c r="G13" s="66" t="s">
        <v>33</v>
      </c>
      <c r="H13" s="66" t="s">
        <v>34</v>
      </c>
      <c r="I13" s="66" t="s">
        <v>35</v>
      </c>
    </row>
    <row r="14">
      <c r="A14" s="56">
        <v>16.5</v>
      </c>
      <c r="B14" s="65" t="s">
        <v>36</v>
      </c>
      <c r="D14" s="67">
        <v>1.0</v>
      </c>
      <c r="E14" s="68">
        <v>8.0</v>
      </c>
      <c r="F14" s="68">
        <v>8.0</v>
      </c>
      <c r="G14" s="68">
        <v>8.5</v>
      </c>
      <c r="H14" s="68">
        <f t="shared" ref="H14:H21" si="18">AVERAGE(E14:G14)</f>
        <v>8.166666667</v>
      </c>
      <c r="I14" s="68">
        <f t="shared" ref="I14:I21" si="19">STDEV(E14:G14)</f>
        <v>0.2886751346</v>
      </c>
    </row>
    <row r="15">
      <c r="A15" s="56">
        <v>16.25</v>
      </c>
      <c r="B15" s="65" t="s">
        <v>37</v>
      </c>
      <c r="D15" s="67">
        <v>2.0</v>
      </c>
      <c r="E15" s="68">
        <v>8.0</v>
      </c>
      <c r="F15" s="68">
        <v>8.0</v>
      </c>
      <c r="G15" s="68">
        <v>8.0</v>
      </c>
      <c r="H15" s="68">
        <f t="shared" si="18"/>
        <v>8</v>
      </c>
      <c r="I15" s="68">
        <f t="shared" si="19"/>
        <v>0</v>
      </c>
      <c r="K15" s="69" t="s">
        <v>38</v>
      </c>
      <c r="M15" s="69">
        <v>180.16</v>
      </c>
      <c r="N15" s="23" t="s">
        <v>39</v>
      </c>
    </row>
    <row r="16">
      <c r="A16" s="56">
        <v>16.4</v>
      </c>
      <c r="B16" s="65" t="s">
        <v>40</v>
      </c>
      <c r="D16" s="67">
        <v>3.0</v>
      </c>
      <c r="E16" s="68">
        <v>8.5</v>
      </c>
      <c r="F16" s="68">
        <v>8.0</v>
      </c>
      <c r="G16" s="68">
        <v>8.0</v>
      </c>
      <c r="H16" s="68">
        <f t="shared" si="18"/>
        <v>8.166666667</v>
      </c>
      <c r="I16" s="68">
        <f t="shared" si="19"/>
        <v>0.2886751346</v>
      </c>
    </row>
    <row r="17">
      <c r="A17" s="48">
        <v>16.6</v>
      </c>
      <c r="B17" s="65" t="s">
        <v>41</v>
      </c>
      <c r="D17" s="67">
        <v>4.0</v>
      </c>
      <c r="E17" s="68">
        <v>7.5</v>
      </c>
      <c r="F17" s="68">
        <v>8.0</v>
      </c>
      <c r="G17" s="68">
        <v>7.0</v>
      </c>
      <c r="H17" s="68">
        <f t="shared" si="18"/>
        <v>7.5</v>
      </c>
      <c r="I17" s="68">
        <f t="shared" si="19"/>
        <v>0.5</v>
      </c>
    </row>
    <row r="18">
      <c r="A18" s="70">
        <f>AVERAGE(A14:A17)</f>
        <v>16.4375</v>
      </c>
      <c r="B18" s="71" t="s">
        <v>42</v>
      </c>
      <c r="D18" s="67">
        <v>5.0</v>
      </c>
      <c r="E18" s="68">
        <v>8.0</v>
      </c>
      <c r="F18" s="68">
        <v>8.0</v>
      </c>
      <c r="G18" s="68">
        <v>8.5</v>
      </c>
      <c r="H18" s="68">
        <f t="shared" si="18"/>
        <v>8.166666667</v>
      </c>
      <c r="I18" s="68">
        <f t="shared" si="19"/>
        <v>0.2886751346</v>
      </c>
    </row>
    <row r="19">
      <c r="A19" s="72">
        <f>STDEV(A14:A17)</f>
        <v>0.1493039406</v>
      </c>
      <c r="B19" s="23" t="s">
        <v>43</v>
      </c>
      <c r="D19" s="67">
        <v>6.0</v>
      </c>
      <c r="E19" s="68">
        <v>8.0</v>
      </c>
      <c r="F19" s="68">
        <v>8.5</v>
      </c>
      <c r="G19" s="68">
        <v>7.5</v>
      </c>
      <c r="H19" s="68">
        <f t="shared" si="18"/>
        <v>8</v>
      </c>
      <c r="I19" s="68">
        <f t="shared" si="19"/>
        <v>0.5</v>
      </c>
    </row>
    <row r="20">
      <c r="D20" s="67">
        <v>7.0</v>
      </c>
      <c r="E20" s="68">
        <v>7.5</v>
      </c>
      <c r="F20" s="68">
        <v>7.0</v>
      </c>
      <c r="G20" s="68">
        <v>7.5</v>
      </c>
      <c r="H20" s="68">
        <f t="shared" si="18"/>
        <v>7.333333333</v>
      </c>
      <c r="I20" s="68">
        <f t="shared" si="19"/>
        <v>0.2886751346</v>
      </c>
    </row>
    <row r="21">
      <c r="D21" s="67">
        <v>8.0</v>
      </c>
      <c r="E21" s="68">
        <v>7.5</v>
      </c>
      <c r="F21" s="68">
        <v>7.5</v>
      </c>
      <c r="G21" s="68">
        <v>8.0</v>
      </c>
      <c r="H21" s="68">
        <f t="shared" si="18"/>
        <v>7.666666667</v>
      </c>
      <c r="I21" s="68">
        <f t="shared" si="19"/>
        <v>0.2886751346</v>
      </c>
    </row>
    <row r="27">
      <c r="A27" s="73" t="s">
        <v>44</v>
      </c>
      <c r="B27" s="73" t="s">
        <v>45</v>
      </c>
      <c r="C27" s="73" t="s">
        <v>46</v>
      </c>
      <c r="D27" s="73" t="s">
        <v>47</v>
      </c>
    </row>
    <row r="28">
      <c r="A28" s="74">
        <v>0.08205746</v>
      </c>
      <c r="B28" s="74">
        <v>298.0</v>
      </c>
      <c r="C28" s="75">
        <v>46.07</v>
      </c>
      <c r="D28" s="76">
        <v>180.156</v>
      </c>
    </row>
    <row r="30">
      <c r="A30" s="77" t="s">
        <v>48</v>
      </c>
    </row>
    <row r="31">
      <c r="A31" s="78"/>
      <c r="B31" s="79" t="s">
        <v>49</v>
      </c>
      <c r="C31" s="79" t="s">
        <v>50</v>
      </c>
      <c r="D31" s="79" t="s">
        <v>51</v>
      </c>
    </row>
    <row r="32">
      <c r="A32" s="23" t="s">
        <v>52</v>
      </c>
      <c r="B32" s="69">
        <v>15.0</v>
      </c>
      <c r="C32" s="72">
        <f t="shared" ref="C32:C34" si="20">10.7*B32-0.155</f>
        <v>160.345</v>
      </c>
      <c r="D32" s="72">
        <f t="shared" ref="D32:D34" si="21">C32/$D$28</f>
        <v>0.8900341926</v>
      </c>
    </row>
    <row r="33">
      <c r="A33" s="23" t="s">
        <v>53</v>
      </c>
      <c r="B33" s="69">
        <v>6.0</v>
      </c>
      <c r="C33" s="72">
        <f t="shared" si="20"/>
        <v>64.045</v>
      </c>
      <c r="D33" s="72">
        <f t="shared" si="21"/>
        <v>0.3554974578</v>
      </c>
    </row>
    <row r="34">
      <c r="A34" s="23" t="s">
        <v>54</v>
      </c>
      <c r="B34" s="72">
        <f>A18</f>
        <v>16.4375</v>
      </c>
      <c r="C34" s="72">
        <f t="shared" si="20"/>
        <v>175.72625</v>
      </c>
      <c r="D34" s="72">
        <f t="shared" si="21"/>
        <v>0.9754115877</v>
      </c>
    </row>
    <row r="35">
      <c r="A35" s="23" t="s">
        <v>55</v>
      </c>
    </row>
    <row r="37">
      <c r="A37" s="80"/>
      <c r="B37" s="81"/>
      <c r="C37" s="82"/>
      <c r="D37" s="81"/>
    </row>
    <row r="38">
      <c r="D38" s="83"/>
    </row>
    <row r="39">
      <c r="D39" s="83"/>
      <c r="E39" s="83"/>
    </row>
    <row r="40">
      <c r="D40" s="83"/>
      <c r="E40" s="84"/>
    </row>
    <row r="41">
      <c r="D41" s="83"/>
      <c r="E41" s="83"/>
    </row>
    <row r="42">
      <c r="D42" s="83"/>
      <c r="E42" s="83"/>
    </row>
    <row r="43">
      <c r="D43" s="85"/>
      <c r="E43" s="85"/>
    </row>
    <row r="54">
      <c r="A54" s="86"/>
      <c r="B54" s="81"/>
      <c r="C54" s="81"/>
      <c r="D54" s="83"/>
      <c r="E54" s="84"/>
    </row>
    <row r="55">
      <c r="A55" s="86"/>
      <c r="B55" s="81"/>
      <c r="C55" s="81"/>
      <c r="D55" s="83"/>
      <c r="E55" s="84"/>
    </row>
    <row r="56">
      <c r="A56" s="86"/>
      <c r="B56" s="86"/>
      <c r="C56" s="86"/>
      <c r="D56" s="85"/>
      <c r="E56" s="85"/>
    </row>
  </sheetData>
  <mergeCells count="9">
    <mergeCell ref="N1:O1"/>
    <mergeCell ref="J1:M1"/>
    <mergeCell ref="A1:A2"/>
    <mergeCell ref="B1:B2"/>
    <mergeCell ref="C1:C2"/>
    <mergeCell ref="D1:D2"/>
    <mergeCell ref="E1:E2"/>
    <mergeCell ref="R1:S1"/>
    <mergeCell ref="P1:Q1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2.57"/>
    <col customWidth="1" min="3" max="3" width="14.29"/>
    <col customWidth="1" min="4" max="4" width="9.86"/>
    <col customWidth="1" min="5" max="5" width="8.14"/>
    <col customWidth="1" min="6" max="6" width="7.86"/>
    <col customWidth="1" min="7" max="7" width="18.14"/>
  </cols>
  <sheetData>
    <row r="1">
      <c r="A1" s="87" t="s">
        <v>56</v>
      </c>
      <c r="B1" s="87" t="s">
        <v>57</v>
      </c>
      <c r="C1" s="87" t="s">
        <v>58</v>
      </c>
      <c r="D1" s="87" t="s">
        <v>59</v>
      </c>
      <c r="E1" s="87" t="s">
        <v>57</v>
      </c>
      <c r="F1" s="87" t="s">
        <v>60</v>
      </c>
      <c r="G1" s="88" t="s">
        <v>61</v>
      </c>
      <c r="H1" s="77" t="s">
        <v>62</v>
      </c>
      <c r="I1" s="77" t="s">
        <v>63</v>
      </c>
      <c r="J1" s="77" t="s">
        <v>64</v>
      </c>
      <c r="K1" s="77" t="s">
        <v>65</v>
      </c>
      <c r="L1" s="77" t="s">
        <v>66</v>
      </c>
    </row>
    <row r="2">
      <c r="A2" s="74">
        <v>12.0</v>
      </c>
      <c r="B2" s="74">
        <v>14.0</v>
      </c>
      <c r="C2" s="74">
        <v>0.0</v>
      </c>
      <c r="D2" s="89">
        <f>SUM($C2)</f>
        <v>0</v>
      </c>
      <c r="E2" s="89">
        <f t="shared" ref="E2:E6" si="1">A2*60+B2</f>
        <v>734</v>
      </c>
      <c r="F2" s="90">
        <f t="shared" ref="F2:F30" si="2">(E2-$E$2)/60</f>
        <v>0</v>
      </c>
      <c r="G2" s="72">
        <f>(D2/1000)/(Calculos!$A$28*Calculos!$B$28)</f>
        <v>0</v>
      </c>
      <c r="H2" s="72">
        <f>(G2*Calculos!$C$28)/(0.4)</f>
        <v>0</v>
      </c>
      <c r="I2" s="72">
        <f t="shared" ref="I2:I30" si="3">G2/0.4</f>
        <v>0</v>
      </c>
      <c r="J2" s="72">
        <f>-ln(1-I2/Calculos!$D$34)</f>
        <v>0</v>
      </c>
      <c r="K2" s="72">
        <f>Calculos!$D$34-I2/2</f>
        <v>0.9754115877</v>
      </c>
      <c r="L2" s="72">
        <f>SLOPE(J8:J25,F8:F25)</f>
        <v>0.1273572877</v>
      </c>
    </row>
    <row r="3">
      <c r="A3" s="74">
        <v>19.0</v>
      </c>
      <c r="B3" s="74">
        <v>15.0</v>
      </c>
      <c r="C3" s="74">
        <v>205.0</v>
      </c>
      <c r="D3" s="89">
        <f t="shared" ref="D3:D30" si="4">SUM($C$3:C3)</f>
        <v>205</v>
      </c>
      <c r="E3" s="89">
        <f t="shared" si="1"/>
        <v>1155</v>
      </c>
      <c r="F3" s="90">
        <f t="shared" si="2"/>
        <v>7.016666667</v>
      </c>
      <c r="G3" s="72">
        <f>(D3/1000)/(Calculos!$A$28*Calculos!$B$28)</f>
        <v>0.00838338724</v>
      </c>
      <c r="H3" s="72">
        <f>(G3*Calculos!$C$28)/(0.4)</f>
        <v>0.9655566253</v>
      </c>
      <c r="I3" s="72">
        <f t="shared" si="3"/>
        <v>0.0209584681</v>
      </c>
      <c r="J3" s="72">
        <f>-ln(1-I3/Calculos!$D$34)</f>
        <v>0.02172099633</v>
      </c>
      <c r="K3" s="72">
        <f>Calculos!$D$34-I3/2</f>
        <v>0.9649323537</v>
      </c>
    </row>
    <row r="4">
      <c r="A4" s="74">
        <v>20.0</v>
      </c>
      <c r="B4" s="74">
        <v>40.0</v>
      </c>
      <c r="C4" s="74">
        <v>200.0</v>
      </c>
      <c r="D4" s="89">
        <f t="shared" si="4"/>
        <v>405</v>
      </c>
      <c r="E4" s="89">
        <f t="shared" si="1"/>
        <v>1240</v>
      </c>
      <c r="F4" s="90">
        <f t="shared" si="2"/>
        <v>8.433333333</v>
      </c>
      <c r="G4" s="72">
        <f>(D4/1000)/(Calculos!$A$28*Calculos!$B$28)</f>
        <v>0.01656230162</v>
      </c>
      <c r="H4" s="72">
        <f>(G4*Calculos!$C$28)/(0.4)</f>
        <v>1.907563089</v>
      </c>
      <c r="I4" s="72">
        <f t="shared" si="3"/>
        <v>0.04140575405</v>
      </c>
      <c r="J4" s="72">
        <f>-ln(1-I4/Calculos!$D$34)</f>
        <v>0.04337683906</v>
      </c>
      <c r="K4" s="72">
        <f>Calculos!$D$34-I4/2</f>
        <v>0.9547087107</v>
      </c>
    </row>
    <row r="5">
      <c r="A5" s="74">
        <v>22.0</v>
      </c>
      <c r="B5" s="74">
        <v>0.0</v>
      </c>
      <c r="C5" s="89">
        <f>400</f>
        <v>400</v>
      </c>
      <c r="D5" s="89">
        <f t="shared" si="4"/>
        <v>805</v>
      </c>
      <c r="E5" s="89">
        <f t="shared" si="1"/>
        <v>1320</v>
      </c>
      <c r="F5" s="90">
        <f t="shared" si="2"/>
        <v>9.766666667</v>
      </c>
      <c r="G5" s="72">
        <f>(D5/1000)/(Calculos!$A$28*Calculos!$B$28)</f>
        <v>0.03292013038</v>
      </c>
      <c r="H5" s="72">
        <f>(G5*Calculos!$C$28)/(0.4)</f>
        <v>3.791576017</v>
      </c>
      <c r="I5" s="72">
        <f t="shared" si="3"/>
        <v>0.08230032595</v>
      </c>
      <c r="J5" s="72">
        <f>-ln(1-I5/Calculos!$D$34)</f>
        <v>0.08814835681</v>
      </c>
      <c r="K5" s="72">
        <f>Calculos!$D$34-I5/2</f>
        <v>0.9342614248</v>
      </c>
    </row>
    <row r="6">
      <c r="A6" s="74">
        <v>23.0</v>
      </c>
      <c r="B6" s="74">
        <v>20.0</v>
      </c>
      <c r="C6" s="74">
        <v>400.0</v>
      </c>
      <c r="D6" s="89">
        <f t="shared" si="4"/>
        <v>1205</v>
      </c>
      <c r="E6" s="89">
        <f t="shared" si="1"/>
        <v>1400</v>
      </c>
      <c r="F6" s="90">
        <f t="shared" si="2"/>
        <v>11.1</v>
      </c>
      <c r="G6" s="72">
        <f>(D6/1000)/(Calculos!$A$28*Calculos!$B$28)</f>
        <v>0.04927795914</v>
      </c>
      <c r="H6" s="72">
        <f>(G6*Calculos!$C$28)/(0.4)</f>
        <v>5.675588944</v>
      </c>
      <c r="I6" s="72">
        <f t="shared" si="3"/>
        <v>0.1231948979</v>
      </c>
      <c r="J6" s="72">
        <f>-ln(1-I6/Calculos!$D$34)</f>
        <v>0.1350186978</v>
      </c>
      <c r="K6" s="72">
        <f>Calculos!$D$34-I6/2</f>
        <v>0.9138141388</v>
      </c>
    </row>
    <row r="7">
      <c r="A7" s="74">
        <v>0.0</v>
      </c>
      <c r="B7" s="74">
        <v>15.0</v>
      </c>
      <c r="C7" s="74">
        <v>400.0</v>
      </c>
      <c r="D7" s="89">
        <f t="shared" si="4"/>
        <v>1605</v>
      </c>
      <c r="E7" s="89">
        <f t="shared" ref="E7:E29" si="5">A7*60+B7+24*60</f>
        <v>1455</v>
      </c>
      <c r="F7" s="90">
        <f t="shared" si="2"/>
        <v>12.01666667</v>
      </c>
      <c r="G7" s="72">
        <f>(D7/1000)/(Calculos!$A$28*Calculos!$B$28)</f>
        <v>0.0656357879</v>
      </c>
      <c r="H7" s="72">
        <f>(G7*Calculos!$C$28)/(0.4)</f>
        <v>7.559601872</v>
      </c>
      <c r="I7" s="72">
        <f t="shared" si="3"/>
        <v>0.1640894698</v>
      </c>
      <c r="J7" s="72">
        <f>-ln(1-I7/Calculos!$D$34)</f>
        <v>0.1841943618</v>
      </c>
      <c r="K7" s="72">
        <f>Calculos!$D$34-I7/2</f>
        <v>0.8933668529</v>
      </c>
    </row>
    <row r="8">
      <c r="A8" s="91">
        <v>1.0</v>
      </c>
      <c r="B8" s="91">
        <v>30.0</v>
      </c>
      <c r="C8" s="91">
        <v>455.0</v>
      </c>
      <c r="D8" s="92">
        <f t="shared" si="4"/>
        <v>2060</v>
      </c>
      <c r="E8" s="92">
        <f t="shared" si="5"/>
        <v>1530</v>
      </c>
      <c r="F8" s="93">
        <f t="shared" si="2"/>
        <v>13.26666667</v>
      </c>
      <c r="G8" s="94">
        <f>(D8/1000)/(Calculos!$A$28*Calculos!$B$28)</f>
        <v>0.08424281812</v>
      </c>
      <c r="H8" s="94">
        <f>(G8*Calculos!$C$28)/(0.4)</f>
        <v>9.702666577</v>
      </c>
      <c r="I8" s="94">
        <f t="shared" si="3"/>
        <v>0.2106070453</v>
      </c>
      <c r="J8" s="94">
        <f>-ln(1-I8/Calculos!$D$34)</f>
        <v>0.2432392221</v>
      </c>
      <c r="K8" s="94">
        <f>Calculos!$D$34-I8/2</f>
        <v>0.8701080651</v>
      </c>
    </row>
    <row r="9">
      <c r="A9" s="91">
        <v>2.0</v>
      </c>
      <c r="B9" s="91">
        <v>26.0</v>
      </c>
      <c r="C9" s="91">
        <v>400.0</v>
      </c>
      <c r="D9" s="92">
        <f t="shared" si="4"/>
        <v>2460</v>
      </c>
      <c r="E9" s="92">
        <f t="shared" si="5"/>
        <v>1586</v>
      </c>
      <c r="F9" s="93">
        <f t="shared" si="2"/>
        <v>14.2</v>
      </c>
      <c r="G9" s="94">
        <f>(D9/1000)/(Calculos!$A$28*Calculos!$B$28)</f>
        <v>0.1006006469</v>
      </c>
      <c r="H9" s="94">
        <f>(G9*Calculos!$C$28)/(0.4)</f>
        <v>11.5866795</v>
      </c>
      <c r="I9" s="94">
        <f t="shared" si="3"/>
        <v>0.2515016172</v>
      </c>
      <c r="J9" s="94">
        <f>-ln(1-I9/Calculos!$D$34)</f>
        <v>0.2981924886</v>
      </c>
      <c r="K9" s="94">
        <f>Calculos!$D$34-I9/2</f>
        <v>0.8496607791</v>
      </c>
    </row>
    <row r="10">
      <c r="A10" s="91">
        <v>3.0</v>
      </c>
      <c r="B10" s="91">
        <v>14.0</v>
      </c>
      <c r="C10" s="91">
        <v>405.0</v>
      </c>
      <c r="D10" s="92">
        <f t="shared" si="4"/>
        <v>2865</v>
      </c>
      <c r="E10" s="92">
        <f t="shared" si="5"/>
        <v>1634</v>
      </c>
      <c r="F10" s="93">
        <f t="shared" si="2"/>
        <v>15</v>
      </c>
      <c r="G10" s="94">
        <f>(D10/1000)/(Calculos!$A$28*Calculos!$B$28)</f>
        <v>0.1171629485</v>
      </c>
      <c r="H10" s="94">
        <f>(G10*Calculos!$C$28)/(0.4)</f>
        <v>13.49424259</v>
      </c>
      <c r="I10" s="94">
        <f t="shared" si="3"/>
        <v>0.2929073712</v>
      </c>
      <c r="J10" s="94">
        <f>-ln(1-I10/Calculos!$D$34)</f>
        <v>0.3570908181</v>
      </c>
      <c r="K10" s="94">
        <f>Calculos!$D$34-I10/2</f>
        <v>0.8289579021</v>
      </c>
    </row>
    <row r="11">
      <c r="A11" s="91">
        <v>3.0</v>
      </c>
      <c r="B11" s="91">
        <v>51.0</v>
      </c>
      <c r="C11" s="91">
        <v>325.0</v>
      </c>
      <c r="D11" s="92">
        <f t="shared" si="4"/>
        <v>3190</v>
      </c>
      <c r="E11" s="92">
        <f t="shared" si="5"/>
        <v>1671</v>
      </c>
      <c r="F11" s="93">
        <f t="shared" si="2"/>
        <v>15.61666667</v>
      </c>
      <c r="G11" s="94">
        <f>(D11/1000)/(Calculos!$A$28*Calculos!$B$28)</f>
        <v>0.1304536844</v>
      </c>
      <c r="H11" s="94">
        <f>(G11*Calculos!$C$28)/(0.4)</f>
        <v>15.0250031</v>
      </c>
      <c r="I11" s="94">
        <f t="shared" si="3"/>
        <v>0.3261342109</v>
      </c>
      <c r="J11" s="94">
        <f>-ln(1-I11/Calculos!$D$34)</f>
        <v>0.4069995067</v>
      </c>
      <c r="K11" s="94">
        <f>Calculos!$D$34-I11/2</f>
        <v>0.8123444823</v>
      </c>
    </row>
    <row r="12">
      <c r="A12" s="91">
        <v>4.0</v>
      </c>
      <c r="B12" s="91">
        <v>1.0</v>
      </c>
      <c r="C12" s="91">
        <v>100.0</v>
      </c>
      <c r="D12" s="92">
        <f t="shared" si="4"/>
        <v>3290</v>
      </c>
      <c r="E12" s="92">
        <f t="shared" si="5"/>
        <v>1681</v>
      </c>
      <c r="F12" s="93">
        <f t="shared" si="2"/>
        <v>15.78333333</v>
      </c>
      <c r="G12" s="94">
        <f>(D12/1000)/(Calculos!$A$28*Calculos!$B$28)</f>
        <v>0.1345431416</v>
      </c>
      <c r="H12" s="94">
        <f>(G12*Calculos!$C$28)/(0.4)</f>
        <v>15.49600633</v>
      </c>
      <c r="I12" s="94">
        <f t="shared" si="3"/>
        <v>0.3363578539</v>
      </c>
      <c r="J12" s="94">
        <f>-ln(1-I12/Calculos!$D$34)</f>
        <v>0.4228709818</v>
      </c>
      <c r="K12" s="94">
        <f>Calculos!$D$34-I12/2</f>
        <v>0.8072326608</v>
      </c>
    </row>
    <row r="13">
      <c r="A13" s="91">
        <v>4.0</v>
      </c>
      <c r="B13" s="91">
        <v>28.0</v>
      </c>
      <c r="C13" s="91">
        <v>250.0</v>
      </c>
      <c r="D13" s="92">
        <f t="shared" si="4"/>
        <v>3540</v>
      </c>
      <c r="E13" s="92">
        <f t="shared" si="5"/>
        <v>1708</v>
      </c>
      <c r="F13" s="93">
        <f t="shared" si="2"/>
        <v>16.23333333</v>
      </c>
      <c r="G13" s="94">
        <f>(D13/1000)/(Calculos!$A$28*Calculos!$B$28)</f>
        <v>0.1447667845</v>
      </c>
      <c r="H13" s="94">
        <f>(G13*Calculos!$C$28)/(0.4)</f>
        <v>16.67351441</v>
      </c>
      <c r="I13" s="94">
        <f t="shared" si="3"/>
        <v>0.3619169613</v>
      </c>
      <c r="J13" s="94">
        <f>-ln(1-I13/Calculos!$D$34)</f>
        <v>0.463688018</v>
      </c>
      <c r="K13" s="94">
        <f>Calculos!$D$34-I13/2</f>
        <v>0.7944531071</v>
      </c>
    </row>
    <row r="14">
      <c r="A14" s="95">
        <v>5.0</v>
      </c>
      <c r="B14" s="95">
        <v>13.000000000000007</v>
      </c>
      <c r="C14" s="91">
        <v>400.0</v>
      </c>
      <c r="D14" s="92">
        <f t="shared" si="4"/>
        <v>3940</v>
      </c>
      <c r="E14" s="92">
        <f t="shared" si="5"/>
        <v>1753</v>
      </c>
      <c r="F14" s="93">
        <f t="shared" si="2"/>
        <v>16.98333333</v>
      </c>
      <c r="G14" s="94">
        <f>(D14/1000)/(Calculos!$A$28*Calculos!$B$28)</f>
        <v>0.1611246133</v>
      </c>
      <c r="H14" s="94">
        <f>(G14*Calculos!$C$28)/(0.4)</f>
        <v>18.55752734</v>
      </c>
      <c r="I14" s="94">
        <f t="shared" si="3"/>
        <v>0.4028115332</v>
      </c>
      <c r="J14" s="94">
        <f>-ln(1-I14/Calculos!$D$34)</f>
        <v>0.5326720353</v>
      </c>
      <c r="K14" s="94">
        <f>Calculos!$D$34-I14/2</f>
        <v>0.7740058211</v>
      </c>
    </row>
    <row r="15">
      <c r="A15" s="95">
        <v>5.0</v>
      </c>
      <c r="B15" s="95">
        <v>58.00000000000001</v>
      </c>
      <c r="C15" s="91">
        <v>400.0</v>
      </c>
      <c r="D15" s="92">
        <f t="shared" si="4"/>
        <v>4340</v>
      </c>
      <c r="E15" s="92">
        <f t="shared" si="5"/>
        <v>1798</v>
      </c>
      <c r="F15" s="93">
        <f t="shared" si="2"/>
        <v>17.73333333</v>
      </c>
      <c r="G15" s="94">
        <f>(D15/1000)/(Calculos!$A$28*Calculos!$B$28)</f>
        <v>0.1774824421</v>
      </c>
      <c r="H15" s="94">
        <f>(G15*Calculos!$C$28)/(0.4)</f>
        <v>20.44154026</v>
      </c>
      <c r="I15" s="94">
        <f t="shared" si="3"/>
        <v>0.4437061051</v>
      </c>
      <c r="J15" s="94">
        <f>-ln(1-I15/Calculos!$D$34)</f>
        <v>0.6067697913</v>
      </c>
      <c r="K15" s="94">
        <f>Calculos!$D$34-I15/2</f>
        <v>0.7535585352</v>
      </c>
    </row>
    <row r="16">
      <c r="A16" s="95">
        <v>6.0</v>
      </c>
      <c r="B16" s="95">
        <v>43.00000000000001</v>
      </c>
      <c r="C16" s="91">
        <v>400.0</v>
      </c>
      <c r="D16" s="92">
        <f t="shared" si="4"/>
        <v>4740</v>
      </c>
      <c r="E16" s="92">
        <f t="shared" si="5"/>
        <v>1843</v>
      </c>
      <c r="F16" s="93">
        <f t="shared" si="2"/>
        <v>18.48333333</v>
      </c>
      <c r="G16" s="94">
        <f>(D16/1000)/(Calculos!$A$28*Calculos!$B$28)</f>
        <v>0.1938402708</v>
      </c>
      <c r="H16" s="94">
        <f>(G16*Calculos!$C$28)/(0.4)</f>
        <v>22.32555319</v>
      </c>
      <c r="I16" s="94">
        <f t="shared" si="3"/>
        <v>0.484600677</v>
      </c>
      <c r="J16" s="94">
        <f>-ln(1-I16/Calculos!$D$34)</f>
        <v>0.6868005801</v>
      </c>
      <c r="K16" s="94">
        <f>Calculos!$D$34-I16/2</f>
        <v>0.7331112492</v>
      </c>
    </row>
    <row r="17">
      <c r="A17" s="95">
        <v>7.0</v>
      </c>
      <c r="B17" s="95">
        <v>28.000000000000007</v>
      </c>
      <c r="C17" s="91">
        <v>400.0</v>
      </c>
      <c r="D17" s="92">
        <f t="shared" si="4"/>
        <v>5140</v>
      </c>
      <c r="E17" s="92">
        <f t="shared" si="5"/>
        <v>1888</v>
      </c>
      <c r="F17" s="93">
        <f t="shared" si="2"/>
        <v>19.23333333</v>
      </c>
      <c r="G17" s="94">
        <f>(D17/1000)/(Calculos!$A$28*Calculos!$B$28)</f>
        <v>0.2101980996</v>
      </c>
      <c r="H17" s="94">
        <f>(G17*Calculos!$C$28)/(0.4)</f>
        <v>24.20956612</v>
      </c>
      <c r="I17" s="94">
        <f t="shared" si="3"/>
        <v>0.5254952489</v>
      </c>
      <c r="J17" s="94">
        <f>-ln(1-I17/Calculos!$D$34)</f>
        <v>0.7737978715</v>
      </c>
      <c r="K17" s="94">
        <f>Calculos!$D$34-I17/2</f>
        <v>0.7126639633</v>
      </c>
    </row>
    <row r="18">
      <c r="A18" s="95">
        <v>8.0</v>
      </c>
      <c r="B18" s="95">
        <v>13.000000000000007</v>
      </c>
      <c r="C18" s="91">
        <v>400.0</v>
      </c>
      <c r="D18" s="92">
        <f t="shared" si="4"/>
        <v>5540</v>
      </c>
      <c r="E18" s="92">
        <f t="shared" si="5"/>
        <v>1933</v>
      </c>
      <c r="F18" s="93">
        <f t="shared" si="2"/>
        <v>19.98333333</v>
      </c>
      <c r="G18" s="94">
        <f>(D18/1000)/(Calculos!$A$28*Calculos!$B$28)</f>
        <v>0.2265559283</v>
      </c>
      <c r="H18" s="94">
        <f>(G18*Calculos!$C$28)/(0.4)</f>
        <v>26.09357905</v>
      </c>
      <c r="I18" s="94">
        <f t="shared" si="3"/>
        <v>0.5663898208</v>
      </c>
      <c r="J18" s="94">
        <f>-ln(1-I18/Calculos!$D$34)</f>
        <v>0.8690911487</v>
      </c>
      <c r="K18" s="94">
        <f>Calculos!$D$34-I18/2</f>
        <v>0.6922166773</v>
      </c>
    </row>
    <row r="19">
      <c r="A19" s="95">
        <v>8.0</v>
      </c>
      <c r="B19" s="95">
        <v>58.00000000000001</v>
      </c>
      <c r="C19" s="91">
        <v>400.0</v>
      </c>
      <c r="D19" s="92">
        <f t="shared" si="4"/>
        <v>5940</v>
      </c>
      <c r="E19" s="92">
        <f t="shared" si="5"/>
        <v>1978</v>
      </c>
      <c r="F19" s="93">
        <f t="shared" si="2"/>
        <v>20.73333333</v>
      </c>
      <c r="G19" s="94">
        <f>(D19/1000)/(Calculos!$A$28*Calculos!$B$28)</f>
        <v>0.2429137571</v>
      </c>
      <c r="H19" s="94">
        <f>(G19*Calculos!$C$28)/(0.4)</f>
        <v>27.97759197</v>
      </c>
      <c r="I19" s="94">
        <f t="shared" si="3"/>
        <v>0.6072843927</v>
      </c>
      <c r="J19" s="94">
        <f>-ln(1-I19/Calculos!$D$34)</f>
        <v>0.9744310061</v>
      </c>
      <c r="K19" s="94">
        <f>Calculos!$D$34-I19/2</f>
        <v>0.6717693914</v>
      </c>
    </row>
    <row r="20">
      <c r="A20" s="95">
        <v>9.0</v>
      </c>
      <c r="B20" s="95">
        <v>43.00000000000001</v>
      </c>
      <c r="C20" s="91">
        <v>400.0</v>
      </c>
      <c r="D20" s="92">
        <f t="shared" si="4"/>
        <v>6340</v>
      </c>
      <c r="E20" s="92">
        <f t="shared" si="5"/>
        <v>2023</v>
      </c>
      <c r="F20" s="93">
        <f t="shared" si="2"/>
        <v>21.48333333</v>
      </c>
      <c r="G20" s="94">
        <f>(D20/1000)/(Calculos!$A$28*Calculos!$B$28)</f>
        <v>0.2592715859</v>
      </c>
      <c r="H20" s="94">
        <f>(G20*Calculos!$C$28)/(0.4)</f>
        <v>29.8616049</v>
      </c>
      <c r="I20" s="94">
        <f t="shared" si="3"/>
        <v>0.6481789646</v>
      </c>
      <c r="J20" s="94">
        <f>-ln(1-I20/Calculos!$D$34)</f>
        <v>1.09218822</v>
      </c>
      <c r="K20" s="94">
        <f>Calculos!$D$34-I20/2</f>
        <v>0.6513221054</v>
      </c>
    </row>
    <row r="21">
      <c r="A21" s="96">
        <v>9.0</v>
      </c>
      <c r="B21" s="96">
        <v>55.0</v>
      </c>
      <c r="C21" s="97">
        <v>100.0</v>
      </c>
      <c r="D21" s="92">
        <f t="shared" si="4"/>
        <v>6440</v>
      </c>
      <c r="E21" s="92">
        <f t="shared" si="5"/>
        <v>2035</v>
      </c>
      <c r="F21" s="93">
        <f t="shared" si="2"/>
        <v>21.68333333</v>
      </c>
      <c r="G21" s="94">
        <f>(D21/1000)/(Calculos!$A$28*Calculos!$B$28)</f>
        <v>0.263361043</v>
      </c>
      <c r="H21" s="94">
        <f>(G21*Calculos!$C$28)/(0.4)</f>
        <v>30.33260813</v>
      </c>
      <c r="I21" s="94">
        <f t="shared" si="3"/>
        <v>0.6584026076</v>
      </c>
      <c r="J21" s="94">
        <f>-ln(1-I21/Calculos!$D$34)</f>
        <v>1.123929421</v>
      </c>
      <c r="K21" s="94">
        <f>Calculos!$D$34-I21/2</f>
        <v>0.6462102839</v>
      </c>
    </row>
    <row r="22">
      <c r="A22" s="96">
        <v>10.0</v>
      </c>
      <c r="B22" s="96">
        <v>42.0</v>
      </c>
      <c r="C22" s="91">
        <v>405.0</v>
      </c>
      <c r="D22" s="92">
        <f t="shared" si="4"/>
        <v>6845</v>
      </c>
      <c r="E22" s="92">
        <f t="shared" si="5"/>
        <v>2082</v>
      </c>
      <c r="F22" s="93">
        <f t="shared" si="2"/>
        <v>22.46666667</v>
      </c>
      <c r="G22" s="94">
        <f>(D22/1000)/(Calculos!$A$28*Calculos!$B$28)</f>
        <v>0.2799233447</v>
      </c>
      <c r="H22" s="94">
        <f>(G22*Calculos!$C$28)/(0.4)</f>
        <v>32.24017122</v>
      </c>
      <c r="I22" s="94">
        <f t="shared" si="3"/>
        <v>0.6998083617</v>
      </c>
      <c r="J22" s="94">
        <f>-ln(1-I22/Calculos!$D$34)</f>
        <v>1.263897278</v>
      </c>
      <c r="K22" s="94">
        <f>Calculos!$D$34-I22/2</f>
        <v>0.6255074069</v>
      </c>
    </row>
    <row r="23">
      <c r="A23" s="96">
        <v>11.0</v>
      </c>
      <c r="B23" s="96">
        <v>21.0</v>
      </c>
      <c r="C23" s="91">
        <v>300.0</v>
      </c>
      <c r="D23" s="92">
        <f t="shared" si="4"/>
        <v>7145</v>
      </c>
      <c r="E23" s="92">
        <f t="shared" si="5"/>
        <v>2121</v>
      </c>
      <c r="F23" s="93">
        <f t="shared" si="2"/>
        <v>23.11666667</v>
      </c>
      <c r="G23" s="94">
        <f>(D23/1000)/(Calculos!$A$28*Calculos!$B$28)</f>
        <v>0.2921917162</v>
      </c>
      <c r="H23" s="94">
        <f>(G23*Calculos!$C$28)/(0.4)</f>
        <v>33.65318092</v>
      </c>
      <c r="I23" s="94">
        <f t="shared" si="3"/>
        <v>0.7304792906</v>
      </c>
      <c r="J23" s="94">
        <f>-ln(1-I23/Calculos!$D$34)</f>
        <v>1.381877689</v>
      </c>
      <c r="K23" s="94">
        <f>Calculos!$D$34-I23/2</f>
        <v>0.6101719424</v>
      </c>
    </row>
    <row r="24">
      <c r="A24" s="96">
        <v>12.0</v>
      </c>
      <c r="B24" s="96">
        <v>17.0</v>
      </c>
      <c r="C24" s="91">
        <v>400.0</v>
      </c>
      <c r="D24" s="92">
        <f t="shared" si="4"/>
        <v>7545</v>
      </c>
      <c r="E24" s="92">
        <f t="shared" si="5"/>
        <v>2177</v>
      </c>
      <c r="F24" s="93">
        <f t="shared" si="2"/>
        <v>24.05</v>
      </c>
      <c r="G24" s="94">
        <f>(D24/1000)/(Calculos!$A$28*Calculos!$B$28)</f>
        <v>0.308549545</v>
      </c>
      <c r="H24" s="94">
        <f>(G24*Calculos!$C$28)/(0.4)</f>
        <v>35.53719384</v>
      </c>
      <c r="I24" s="94">
        <f t="shared" si="3"/>
        <v>0.7713738625</v>
      </c>
      <c r="J24" s="94">
        <f>-ln(1-I24/Calculos!$D$34)</f>
        <v>1.564554619</v>
      </c>
      <c r="K24" s="94">
        <f>Calculos!$D$34-I24/2</f>
        <v>0.5897246565</v>
      </c>
    </row>
    <row r="25">
      <c r="A25" s="96">
        <v>13.0</v>
      </c>
      <c r="B25" s="96">
        <v>21.0</v>
      </c>
      <c r="C25" s="91">
        <v>400.0</v>
      </c>
      <c r="D25" s="92">
        <f t="shared" si="4"/>
        <v>7945</v>
      </c>
      <c r="E25" s="92">
        <f t="shared" si="5"/>
        <v>2241</v>
      </c>
      <c r="F25" s="93">
        <f t="shared" si="2"/>
        <v>25.11666667</v>
      </c>
      <c r="G25" s="94">
        <f>(D25/1000)/(Calculos!$A$28*Calculos!$B$28)</f>
        <v>0.3249073738</v>
      </c>
      <c r="H25" s="94">
        <f>(G25*Calculos!$C$28)/(0.4)</f>
        <v>37.42120677</v>
      </c>
      <c r="I25" s="94">
        <f t="shared" si="3"/>
        <v>0.8122684344</v>
      </c>
      <c r="J25" s="94">
        <f>-ln(1-I25/Calculos!$D$34)</f>
        <v>1.788231466</v>
      </c>
      <c r="K25" s="94">
        <f>Calculos!$D$34-I25/2</f>
        <v>0.5692773705</v>
      </c>
    </row>
    <row r="26">
      <c r="A26" s="98">
        <v>14.0</v>
      </c>
      <c r="B26" s="98">
        <v>37.0</v>
      </c>
      <c r="C26" s="99">
        <v>300.0</v>
      </c>
      <c r="D26" s="89">
        <f t="shared" si="4"/>
        <v>8245</v>
      </c>
      <c r="E26" s="89">
        <f t="shared" si="5"/>
        <v>2317</v>
      </c>
      <c r="F26" s="90">
        <f t="shared" si="2"/>
        <v>26.38333333</v>
      </c>
      <c r="G26" s="72">
        <f>(D26/1000)/(Calculos!$A$28*Calculos!$B$28)</f>
        <v>0.3371757453</v>
      </c>
      <c r="H26" s="72">
        <f>(G26*Calculos!$C$28)/(0.4)</f>
        <v>38.83421647</v>
      </c>
      <c r="I26" s="72">
        <f t="shared" si="3"/>
        <v>0.8429393633</v>
      </c>
      <c r="J26" s="72">
        <f>-ln(1-I26/Calculos!$D$34)</f>
        <v>1.996486527</v>
      </c>
      <c r="K26" s="72">
        <f>Calculos!$D$34-I26/2</f>
        <v>0.5539419061</v>
      </c>
    </row>
    <row r="27">
      <c r="A27" s="98">
        <v>16.0</v>
      </c>
      <c r="B27" s="98">
        <v>46.0</v>
      </c>
      <c r="C27" s="99">
        <v>450.0</v>
      </c>
      <c r="D27" s="89">
        <f t="shared" si="4"/>
        <v>8695</v>
      </c>
      <c r="E27" s="89">
        <f t="shared" si="5"/>
        <v>2446</v>
      </c>
      <c r="F27" s="90">
        <f t="shared" si="2"/>
        <v>28.53333333</v>
      </c>
      <c r="G27" s="72">
        <f>(D27/1000)/(Calculos!$A$28*Calculos!$B$28)</f>
        <v>0.3555783027</v>
      </c>
      <c r="H27" s="72">
        <f>(G27*Calculos!$C$28)/(0.4)</f>
        <v>40.95373101</v>
      </c>
      <c r="I27" s="72">
        <f t="shared" si="3"/>
        <v>0.8889457567</v>
      </c>
      <c r="J27" s="72">
        <f>-ln(1-I27/Calculos!$D$34)</f>
        <v>2.423110204</v>
      </c>
      <c r="K27" s="72">
        <f>Calculos!$D$34-I27/2</f>
        <v>0.5309387094</v>
      </c>
    </row>
    <row r="28">
      <c r="A28" s="98">
        <v>22.0</v>
      </c>
      <c r="B28" s="98">
        <v>5.0</v>
      </c>
      <c r="C28" s="99">
        <v>300.0</v>
      </c>
      <c r="D28" s="89">
        <f t="shared" si="4"/>
        <v>8995</v>
      </c>
      <c r="E28" s="89">
        <f t="shared" si="5"/>
        <v>2765</v>
      </c>
      <c r="F28" s="90">
        <f t="shared" si="2"/>
        <v>33.85</v>
      </c>
      <c r="G28" s="72">
        <f>(D28/1000)/(Calculos!$A$28*Calculos!$B$28)</f>
        <v>0.3678466742</v>
      </c>
      <c r="H28" s="72">
        <f>(G28*Calculos!$C$28)/(0.4)</f>
        <v>42.36674071</v>
      </c>
      <c r="I28" s="72">
        <f t="shared" si="3"/>
        <v>0.9196166856</v>
      </c>
      <c r="J28" s="72">
        <f>-ln(1-I28/Calculos!$D$34)</f>
        <v>2.861177018</v>
      </c>
      <c r="K28" s="72">
        <f>Calculos!$D$34-I28/2</f>
        <v>0.5156032449</v>
      </c>
    </row>
    <row r="29">
      <c r="A29" s="98">
        <v>23.0</v>
      </c>
      <c r="B29" s="98">
        <v>42.0</v>
      </c>
      <c r="C29" s="99">
        <v>50.0</v>
      </c>
      <c r="D29" s="89">
        <f t="shared" si="4"/>
        <v>9045</v>
      </c>
      <c r="E29" s="89">
        <f t="shared" si="5"/>
        <v>2862</v>
      </c>
      <c r="F29" s="90">
        <f t="shared" si="2"/>
        <v>35.46666667</v>
      </c>
      <c r="G29" s="72">
        <f>(D29/1000)/(Calculos!$A$28*Calculos!$B$28)</f>
        <v>0.3698914028</v>
      </c>
      <c r="H29" s="72">
        <f>(G29*Calculos!$C$28)/(0.4)</f>
        <v>42.60224232</v>
      </c>
      <c r="I29" s="72">
        <f t="shared" si="3"/>
        <v>0.9247285071</v>
      </c>
      <c r="J29" s="72">
        <f>-ln(1-I29/Calculos!$D$34)</f>
        <v>2.957267384</v>
      </c>
      <c r="K29" s="72">
        <f>Calculos!$D$34-I29/2</f>
        <v>0.5130473342</v>
      </c>
    </row>
    <row r="30">
      <c r="A30" s="98">
        <v>0.0</v>
      </c>
      <c r="B30" s="98">
        <v>27.0</v>
      </c>
      <c r="C30" s="99">
        <v>35.0</v>
      </c>
      <c r="D30" s="89">
        <f t="shared" si="4"/>
        <v>9080</v>
      </c>
      <c r="E30" s="89">
        <f>A30*60+B30+2*24*60</f>
        <v>2907</v>
      </c>
      <c r="F30" s="90">
        <f t="shared" si="2"/>
        <v>36.21666667</v>
      </c>
      <c r="G30" s="72">
        <f>(D30/1000)/(Calculos!$A$28*Calculos!$B$28)</f>
        <v>0.3713227129</v>
      </c>
      <c r="H30" s="72">
        <f>(G30*Calculos!$C$28)/(0.4)</f>
        <v>42.76709345</v>
      </c>
      <c r="I30" s="72">
        <f t="shared" si="3"/>
        <v>0.9283067822</v>
      </c>
      <c r="J30" s="72">
        <f>-ln(1-I30/Calculos!$D$34)</f>
        <v>3.030484498</v>
      </c>
      <c r="K30" s="72">
        <f>Calculos!$D$34-I30/2</f>
        <v>0.5112581967</v>
      </c>
    </row>
    <row r="105">
      <c r="B105" s="72" t="str">
        <f t="shared" ref="B105:B108" si="6">F45</f>
        <v/>
      </c>
      <c r="C105" s="72" t="str">
        <f t="shared" ref="C105:C108" si="7">J45</f>
        <v/>
      </c>
    </row>
    <row r="106">
      <c r="B106" s="72" t="str">
        <f t="shared" si="6"/>
        <v/>
      </c>
      <c r="C106" s="72" t="str">
        <f t="shared" si="7"/>
        <v/>
      </c>
    </row>
    <row r="107">
      <c r="B107" s="72" t="str">
        <f t="shared" si="6"/>
        <v/>
      </c>
      <c r="C107" s="72" t="str">
        <f t="shared" si="7"/>
        <v/>
      </c>
    </row>
    <row r="108">
      <c r="B108" s="72" t="str">
        <f t="shared" si="6"/>
        <v/>
      </c>
      <c r="C108" s="72" t="str">
        <f t="shared" si="7"/>
        <v/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4" max="4" width="16.57"/>
    <col customWidth="1" min="5" max="5" width="19.14"/>
  </cols>
  <sheetData>
    <row r="1">
      <c r="A1" s="77" t="s">
        <v>67</v>
      </c>
      <c r="B1" s="77" t="s">
        <v>68</v>
      </c>
      <c r="C1" s="77" t="s">
        <v>69</v>
      </c>
      <c r="D1" s="77" t="s">
        <v>70</v>
      </c>
      <c r="E1" s="100" t="s">
        <v>71</v>
      </c>
      <c r="F1" s="77" t="s">
        <v>72</v>
      </c>
      <c r="G1" s="88" t="s">
        <v>61</v>
      </c>
      <c r="H1" s="77" t="s">
        <v>62</v>
      </c>
      <c r="I1" s="77" t="s">
        <v>73</v>
      </c>
      <c r="J1" s="77" t="s">
        <v>74</v>
      </c>
      <c r="K1" s="77" t="s">
        <v>65</v>
      </c>
      <c r="L1" s="77" t="s">
        <v>75</v>
      </c>
    </row>
    <row r="2">
      <c r="A2" s="101">
        <v>0.0</v>
      </c>
      <c r="B2" s="101">
        <v>12.0</v>
      </c>
      <c r="C2" s="102">
        <v>25.0</v>
      </c>
      <c r="D2" s="103">
        <f>A2*24+B2+C2/60</f>
        <v>12.41666667</v>
      </c>
      <c r="E2" s="104">
        <v>0.0</v>
      </c>
      <c r="F2" s="104">
        <f>E2</f>
        <v>0</v>
      </c>
      <c r="G2" s="72">
        <f>(F2/1000)/(Calculos!$A$28*Calculos!$B$28)</f>
        <v>0</v>
      </c>
      <c r="H2" s="72">
        <f>(G2*Calculos!$C$28)/(0.4)</f>
        <v>0</v>
      </c>
      <c r="I2" s="72">
        <f>G2/0.4</f>
        <v>0</v>
      </c>
      <c r="J2" s="72">
        <f>-ln(1-I2/Calculos!$D$34)</f>
        <v>0</v>
      </c>
      <c r="K2" s="72">
        <f>Calculos!$D$34-I2/2</f>
        <v>0.9754115877</v>
      </c>
      <c r="L2" s="72">
        <f>slope(J4:J18,D4:D18)</f>
        <v>0.07305196775</v>
      </c>
      <c r="P2" s="105"/>
      <c r="S2" s="106"/>
      <c r="T2" s="107"/>
      <c r="U2" s="107"/>
      <c r="V2" s="108"/>
      <c r="W2" s="107"/>
      <c r="X2" s="109"/>
    </row>
    <row r="3">
      <c r="A3" s="69">
        <v>0.0</v>
      </c>
      <c r="B3" s="69">
        <v>21.0</v>
      </c>
      <c r="C3">
        <v>4.0</v>
      </c>
      <c r="D3" s="72">
        <f t="shared" ref="D3:D22" si="1">A3*24+B3+C3/60-$D$2</f>
        <v>8.65</v>
      </c>
      <c r="E3" s="104">
        <v>405.0</v>
      </c>
      <c r="F3" s="104">
        <f>F2+E3</f>
        <v>405</v>
      </c>
      <c r="G3" s="72">
        <f>(F3/1000)/(Calculos!$A$28*Calculos!$B$28)</f>
        <v>0.01656230162</v>
      </c>
      <c r="H3" s="72">
        <f>(G3*Calculos!$C$28)/(0.4)</f>
        <v>1.907563089</v>
      </c>
      <c r="I3" s="72">
        <f>G3/0.4</f>
        <v>0.04140575405</v>
      </c>
      <c r="J3" s="72">
        <f>-ln(1-I3/Calculos!$D$34)</f>
        <v>0.04337683906</v>
      </c>
      <c r="K3" s="72">
        <f>Calculos!$D$34-I3/2</f>
        <v>0.9547087107</v>
      </c>
      <c r="P3" s="110"/>
      <c r="S3" s="111"/>
      <c r="T3" s="111"/>
      <c r="U3" s="111"/>
      <c r="V3" s="111"/>
      <c r="W3" s="111"/>
      <c r="X3" s="83"/>
    </row>
    <row r="4">
      <c r="A4" s="69">
        <v>1.0</v>
      </c>
      <c r="B4" s="69">
        <v>1.0</v>
      </c>
      <c r="C4">
        <v>38.0</v>
      </c>
      <c r="D4" s="72">
        <f t="shared" si="1"/>
        <v>13.21666667</v>
      </c>
      <c r="E4" s="112">
        <v>700.0</v>
      </c>
      <c r="F4" s="112">
        <f>F3+E4</f>
        <v>1105</v>
      </c>
      <c r="G4" s="94">
        <f>(F4/1000)/(Calculos!$A$28*Calculos!$B$28)</f>
        <v>0.04518850195</v>
      </c>
      <c r="H4" s="94">
        <f>(G4*Calculos!$C$28)/(0.4)</f>
        <v>5.204585712</v>
      </c>
      <c r="I4" s="94">
        <f>G4/0.4</f>
        <v>0.1129712549</v>
      </c>
      <c r="J4" s="94">
        <f>-ln(1-I4/Calculos!$D$34)</f>
        <v>0.123093556</v>
      </c>
      <c r="K4" s="94">
        <f>Calculos!$D$34-I4/2</f>
        <v>0.9189259603</v>
      </c>
      <c r="P4" s="110"/>
      <c r="S4" s="111"/>
      <c r="T4" s="111"/>
      <c r="U4" s="111"/>
      <c r="V4" s="111"/>
      <c r="W4" s="111"/>
      <c r="X4" s="86"/>
    </row>
    <row r="5">
      <c r="A5" s="69">
        <v>1.0</v>
      </c>
      <c r="B5" s="69">
        <v>2.0</v>
      </c>
      <c r="C5">
        <v>27.0</v>
      </c>
      <c r="D5" s="72">
        <f t="shared" si="1"/>
        <v>14.03333333</v>
      </c>
      <c r="E5" s="112">
        <v>400.0</v>
      </c>
      <c r="F5" s="112">
        <f>F4+E5</f>
        <v>1505</v>
      </c>
      <c r="G5" s="94">
        <f>(F5/1000)/(Calculos!$A$28*Calculos!$B$28)</f>
        <v>0.06154633071</v>
      </c>
      <c r="H5" s="94">
        <f>(G5*Calculos!$C$28)/(0.4)</f>
        <v>7.08859864</v>
      </c>
      <c r="I5" s="94">
        <f>G5/0.4</f>
        <v>0.1538658268</v>
      </c>
      <c r="J5" s="94">
        <f>-ln(1-I5/Calculos!$D$34)</f>
        <v>0.1716718831</v>
      </c>
      <c r="K5" s="94">
        <f>Calculos!$D$34-I5/2</f>
        <v>0.8984786743</v>
      </c>
      <c r="P5" s="110"/>
      <c r="S5" s="111"/>
      <c r="T5" s="111"/>
      <c r="U5" s="111"/>
      <c r="V5" s="111"/>
      <c r="W5" s="111"/>
      <c r="X5" s="86"/>
    </row>
    <row r="6">
      <c r="A6" s="69">
        <v>1.0</v>
      </c>
      <c r="B6" s="69">
        <v>3.0</v>
      </c>
      <c r="C6">
        <v>10.0</v>
      </c>
      <c r="D6" s="72">
        <f t="shared" si="1"/>
        <v>14.75</v>
      </c>
      <c r="E6" s="112">
        <v>366.0</v>
      </c>
      <c r="F6" s="112">
        <f>F5+E6</f>
        <v>1871</v>
      </c>
      <c r="G6" s="94">
        <f>(F6/1000)/(Calculos!$A$28*Calculos!$B$28)</f>
        <v>0.07651374403</v>
      </c>
      <c r="H6" s="94">
        <f>(G6*Calculos!$C$28)/(0.4)</f>
        <v>8.812470468</v>
      </c>
      <c r="I6" s="94">
        <f>G6/0.4</f>
        <v>0.1912843601</v>
      </c>
      <c r="J6" s="94">
        <f>-ln(1-I6/Calculos!$D$34)</f>
        <v>0.2182882358</v>
      </c>
      <c r="K6" s="94">
        <f>Calculos!$D$34-I6/2</f>
        <v>0.8797694077</v>
      </c>
      <c r="P6" s="110"/>
      <c r="S6" s="111"/>
      <c r="T6" s="111"/>
      <c r="U6" s="111"/>
      <c r="V6" s="111"/>
      <c r="W6" s="111"/>
      <c r="X6" s="86"/>
    </row>
    <row r="7">
      <c r="A7" s="69">
        <v>1.0</v>
      </c>
      <c r="B7" s="69">
        <v>3.0</v>
      </c>
      <c r="C7">
        <v>53.0</v>
      </c>
      <c r="D7" s="72">
        <f t="shared" si="1"/>
        <v>15.46666667</v>
      </c>
      <c r="E7" s="112">
        <v>420.0</v>
      </c>
      <c r="F7" s="112">
        <f>F6+E7</f>
        <v>2291</v>
      </c>
      <c r="G7" s="94">
        <f>(F7/1000)/(Calculos!$A$28*Calculos!$B$28)</f>
        <v>0.09368946423</v>
      </c>
      <c r="H7" s="94">
        <f>(G7*Calculos!$C$28)/(0.4)</f>
        <v>10.79068404</v>
      </c>
      <c r="I7" s="94">
        <f>G7/0.4</f>
        <v>0.2342236606</v>
      </c>
      <c r="J7" s="94">
        <f>-ln(1-I7/Calculos!$D$34)</f>
        <v>0.2746053171</v>
      </c>
      <c r="K7" s="94">
        <f>Calculos!$D$34-I7/2</f>
        <v>0.8582997575</v>
      </c>
      <c r="P7" s="110"/>
      <c r="S7" s="111"/>
      <c r="T7" s="111"/>
      <c r="U7" s="111"/>
      <c r="V7" s="111"/>
      <c r="W7" s="111"/>
      <c r="X7" s="86"/>
    </row>
    <row r="8">
      <c r="A8" s="69">
        <v>1.0</v>
      </c>
      <c r="B8" s="69">
        <v>4.0</v>
      </c>
      <c r="C8">
        <v>10.0</v>
      </c>
      <c r="D8" s="72">
        <f t="shared" si="1"/>
        <v>15.75</v>
      </c>
      <c r="E8" s="112">
        <v>150.0</v>
      </c>
      <c r="F8" s="112">
        <f>F7+E8</f>
        <v>2441</v>
      </c>
      <c r="G8" s="94">
        <f>(F8/1000)/(Calculos!$A$28*Calculos!$B$28)</f>
        <v>0.09982365001</v>
      </c>
      <c r="H8" s="94">
        <f>(G8*Calculos!$C$28)/(0.4)</f>
        <v>11.49718889</v>
      </c>
      <c r="I8" s="94">
        <f>G8/0.4</f>
        <v>0.249559125</v>
      </c>
      <c r="J8" s="94">
        <f>-ln(1-I8/Calculos!$D$34)</f>
        <v>0.2955127484</v>
      </c>
      <c r="K8" s="94">
        <f>Calculos!$D$34-I8/2</f>
        <v>0.8506320252</v>
      </c>
      <c r="P8" s="110"/>
      <c r="S8" s="111"/>
      <c r="T8" s="111"/>
      <c r="U8" s="111"/>
      <c r="V8" s="111"/>
      <c r="W8" s="111"/>
      <c r="X8" s="86"/>
    </row>
    <row r="9">
      <c r="A9" s="69">
        <v>1.0</v>
      </c>
      <c r="B9" s="69">
        <v>5.0</v>
      </c>
      <c r="C9">
        <v>12.0</v>
      </c>
      <c r="D9" s="72">
        <f t="shared" si="1"/>
        <v>16.78333333</v>
      </c>
      <c r="E9" s="112">
        <v>425.0</v>
      </c>
      <c r="F9" s="112">
        <f>F8+E9</f>
        <v>2866</v>
      </c>
      <c r="G9" s="94">
        <f>(F9/1000)/(Calculos!$A$28*Calculos!$B$28)</f>
        <v>0.1172038431</v>
      </c>
      <c r="H9" s="94">
        <f>(G9*Calculos!$C$28)/(0.4)</f>
        <v>13.49895263</v>
      </c>
      <c r="I9" s="94">
        <f>G9/0.4</f>
        <v>0.2930096077</v>
      </c>
      <c r="J9" s="94">
        <f>-ln(1-I9/Calculos!$D$34)</f>
        <v>0.3572406254</v>
      </c>
      <c r="K9" s="94">
        <f>Calculos!$D$34-I9/2</f>
        <v>0.8289067839</v>
      </c>
      <c r="P9" s="110"/>
      <c r="S9" s="111"/>
      <c r="T9" s="111"/>
      <c r="U9" s="111"/>
      <c r="V9" s="111"/>
      <c r="W9" s="111"/>
      <c r="X9" s="86"/>
    </row>
    <row r="10">
      <c r="A10" s="69">
        <v>1.0</v>
      </c>
      <c r="B10" s="69">
        <v>6.0</v>
      </c>
      <c r="C10">
        <v>16.0</v>
      </c>
      <c r="D10" s="72">
        <f t="shared" si="1"/>
        <v>17.85</v>
      </c>
      <c r="E10" s="112">
        <v>352.0</v>
      </c>
      <c r="F10" s="112">
        <f>F9+E10</f>
        <v>3218</v>
      </c>
      <c r="G10" s="94">
        <f>(F10/1000)/(Calculos!$A$28*Calculos!$B$28)</f>
        <v>0.1315987324</v>
      </c>
      <c r="H10" s="94">
        <f>(G10*Calculos!$C$28)/(0.4)</f>
        <v>15.156884</v>
      </c>
      <c r="I10" s="94">
        <f>G10/0.4</f>
        <v>0.3289968309</v>
      </c>
      <c r="J10" s="94">
        <f>-ln(1-I10/Calculos!$D$34)</f>
        <v>0.411418187</v>
      </c>
      <c r="K10" s="94">
        <f>Calculos!$D$34-I10/2</f>
        <v>0.8109131723</v>
      </c>
      <c r="P10" s="110"/>
      <c r="S10" s="111"/>
      <c r="T10" s="111"/>
      <c r="U10" s="111"/>
      <c r="V10" s="111"/>
      <c r="W10" s="111"/>
      <c r="X10" s="86"/>
    </row>
    <row r="11">
      <c r="A11" s="69">
        <v>1.0</v>
      </c>
      <c r="B11" s="69">
        <v>8.0</v>
      </c>
      <c r="C11">
        <v>21.0</v>
      </c>
      <c r="D11" s="72">
        <f t="shared" si="1"/>
        <v>19.93333333</v>
      </c>
      <c r="E11" s="112">
        <v>440.0</v>
      </c>
      <c r="F11" s="112">
        <f>F10+E11</f>
        <v>3658</v>
      </c>
      <c r="G11" s="94">
        <f>(F11/1000)/(Calculos!$A$28*Calculos!$B$28)</f>
        <v>0.149592344</v>
      </c>
      <c r="H11" s="94">
        <f>(G11*Calculos!$C$28)/(0.4)</f>
        <v>17.22929822</v>
      </c>
      <c r="I11" s="94">
        <f>G11/0.4</f>
        <v>0.37398086</v>
      </c>
      <c r="J11" s="94">
        <f>-ln(1-I11/Calculos!$D$34)</f>
        <v>0.4835481603</v>
      </c>
      <c r="K11" s="94">
        <f>Calculos!$D$34-I11/2</f>
        <v>0.7884211577</v>
      </c>
      <c r="P11" s="110"/>
      <c r="S11" s="111"/>
      <c r="T11" s="111"/>
      <c r="U11" s="111"/>
      <c r="V11" s="111"/>
      <c r="W11" s="111"/>
      <c r="X11" s="86"/>
    </row>
    <row r="12">
      <c r="A12" s="69">
        <v>1.0</v>
      </c>
      <c r="B12" s="69">
        <v>9.0</v>
      </c>
      <c r="C12">
        <v>21.0</v>
      </c>
      <c r="D12" s="72">
        <f t="shared" si="1"/>
        <v>20.93333333</v>
      </c>
      <c r="E12" s="112">
        <v>440.0</v>
      </c>
      <c r="F12" s="112">
        <f>F11+E12</f>
        <v>4098</v>
      </c>
      <c r="G12" s="94">
        <f>(F12/1000)/(Calculos!$A$28*Calculos!$B$28)</f>
        <v>0.1675859557</v>
      </c>
      <c r="H12" s="94">
        <f>(G12*Calculos!$C$28)/(0.4)</f>
        <v>19.30171244</v>
      </c>
      <c r="I12" s="94">
        <f>G12/0.4</f>
        <v>0.4189648891</v>
      </c>
      <c r="J12" s="94">
        <f>-ln(1-I12/Calculos!$D$34)</f>
        <v>0.5612881367</v>
      </c>
      <c r="K12" s="94">
        <f>Calculos!$D$34-I12/2</f>
        <v>0.7659291432</v>
      </c>
      <c r="P12" s="110"/>
      <c r="S12" s="111"/>
      <c r="T12" s="111"/>
      <c r="U12" s="111"/>
      <c r="V12" s="111"/>
      <c r="W12" s="111"/>
      <c r="X12" s="86"/>
    </row>
    <row r="13">
      <c r="A13" s="69">
        <v>1.0</v>
      </c>
      <c r="B13" s="69">
        <v>10.0</v>
      </c>
      <c r="C13">
        <v>15.0</v>
      </c>
      <c r="D13" s="72">
        <f t="shared" si="1"/>
        <v>21.83333333</v>
      </c>
      <c r="E13" s="112">
        <v>425.0</v>
      </c>
      <c r="F13" s="112">
        <f>F12+E13</f>
        <v>4523</v>
      </c>
      <c r="G13" s="94">
        <f>(F13/1000)/(Calculos!$A$28*Calculos!$B$28)</f>
        <v>0.1849661487</v>
      </c>
      <c r="H13" s="94">
        <f>(G13*Calculos!$C$28)/(0.4)</f>
        <v>21.30347618</v>
      </c>
      <c r="I13" s="94">
        <f>G13/0.4</f>
        <v>0.4624153718</v>
      </c>
      <c r="J13" s="94">
        <f>-ln(1-I13/Calculos!$D$34)</f>
        <v>0.6425910543</v>
      </c>
      <c r="K13" s="94">
        <f>Calculos!$D$34-I13/2</f>
        <v>0.7442039018</v>
      </c>
      <c r="P13" s="110"/>
      <c r="S13" s="111"/>
      <c r="T13" s="111"/>
      <c r="U13" s="111"/>
      <c r="V13" s="111"/>
      <c r="W13" s="111"/>
      <c r="X13" s="86"/>
    </row>
    <row r="14">
      <c r="A14" s="69">
        <v>1.0</v>
      </c>
      <c r="B14" s="69">
        <v>11.0</v>
      </c>
      <c r="C14">
        <v>11.0</v>
      </c>
      <c r="D14" s="72">
        <f t="shared" si="1"/>
        <v>22.76666667</v>
      </c>
      <c r="E14" s="112">
        <v>440.0</v>
      </c>
      <c r="F14" s="112">
        <f>F13+E14</f>
        <v>4963</v>
      </c>
      <c r="G14" s="94">
        <f>(F14/1000)/(Calculos!$A$28*Calculos!$B$28)</f>
        <v>0.2029597603</v>
      </c>
      <c r="H14" s="94">
        <f>(G14*Calculos!$C$28)/(0.4)</f>
        <v>23.3758904</v>
      </c>
      <c r="I14" s="94">
        <f>G14/0.4</f>
        <v>0.5073994009</v>
      </c>
      <c r="J14" s="94">
        <f>-ln(1-I14/Calculos!$D$34)</f>
        <v>0.7343651873</v>
      </c>
      <c r="K14" s="94">
        <f>Calculos!$D$34-I14/2</f>
        <v>0.7217118873</v>
      </c>
      <c r="P14" s="110"/>
      <c r="S14" s="111"/>
      <c r="T14" s="111"/>
      <c r="U14" s="111"/>
      <c r="V14" s="111"/>
      <c r="W14" s="111"/>
      <c r="X14" s="86"/>
    </row>
    <row r="15">
      <c r="A15" s="69">
        <v>1.0</v>
      </c>
      <c r="B15" s="69">
        <v>12.0</v>
      </c>
      <c r="C15">
        <v>8.0</v>
      </c>
      <c r="D15" s="72">
        <f t="shared" si="1"/>
        <v>23.71666667</v>
      </c>
      <c r="E15" s="112">
        <v>426.0</v>
      </c>
      <c r="F15" s="112">
        <f>F14+E15</f>
        <v>5389</v>
      </c>
      <c r="G15" s="94">
        <f>(F15/1000)/(Calculos!$A$28*Calculos!$B$28)</f>
        <v>0.220380848</v>
      </c>
      <c r="H15" s="94">
        <f>(G15*Calculos!$C$28)/(0.4)</f>
        <v>25.38236417</v>
      </c>
      <c r="I15" s="94">
        <f>G15/0.4</f>
        <v>0.5509521199</v>
      </c>
      <c r="J15" s="94">
        <f>-ln(1-I15/Calculos!$D$34)</f>
        <v>0.8320430042</v>
      </c>
      <c r="K15" s="94">
        <f>Calculos!$D$34-I15/2</f>
        <v>0.6999355278</v>
      </c>
      <c r="P15" s="110"/>
      <c r="S15" s="111"/>
      <c r="T15" s="111"/>
      <c r="U15" s="111"/>
      <c r="V15" s="111"/>
      <c r="W15" s="111"/>
      <c r="X15" s="86"/>
    </row>
    <row r="16">
      <c r="A16" s="69">
        <v>1.0</v>
      </c>
      <c r="B16" s="69">
        <v>13.0</v>
      </c>
      <c r="C16">
        <v>6.0</v>
      </c>
      <c r="D16" s="72">
        <f t="shared" si="1"/>
        <v>24.68333333</v>
      </c>
      <c r="E16" s="112">
        <v>435.0</v>
      </c>
      <c r="F16" s="112">
        <f>F15+E16</f>
        <v>5824</v>
      </c>
      <c r="G16" s="94">
        <f>(F16/1000)/(Calculos!$A$28*Calculos!$B$28)</f>
        <v>0.2381699868</v>
      </c>
      <c r="H16" s="94">
        <f>(G16*Calculos!$C$28)/(0.4)</f>
        <v>27.43122822</v>
      </c>
      <c r="I16" s="94">
        <f>G16/0.4</f>
        <v>0.5954249669</v>
      </c>
      <c r="J16" s="94">
        <f>-ln(1-I16/Calculos!$D$34)</f>
        <v>0.9427234794</v>
      </c>
      <c r="K16" s="94">
        <f>Calculos!$D$34-I16/2</f>
        <v>0.6776991043</v>
      </c>
      <c r="P16" s="110"/>
      <c r="S16" s="111"/>
      <c r="T16" s="111"/>
      <c r="U16" s="111"/>
      <c r="V16" s="111"/>
      <c r="W16" s="111"/>
      <c r="X16" s="86"/>
    </row>
    <row r="17">
      <c r="A17" s="69">
        <v>1.0</v>
      </c>
      <c r="B17" s="69">
        <v>14.0</v>
      </c>
      <c r="C17">
        <v>13.0</v>
      </c>
      <c r="D17" s="72">
        <f t="shared" si="1"/>
        <v>25.8</v>
      </c>
      <c r="E17" s="112">
        <v>450.0</v>
      </c>
      <c r="F17" s="112">
        <f>F16+E17</f>
        <v>6274</v>
      </c>
      <c r="G17" s="94">
        <f>(F17/1000)/(Calculos!$A$28*Calculos!$B$28)</f>
        <v>0.2565725441</v>
      </c>
      <c r="H17" s="94">
        <f>(G17*Calculos!$C$28)/(0.4)</f>
        <v>29.55074277</v>
      </c>
      <c r="I17" s="94">
        <f>G17/0.4</f>
        <v>0.6414313603</v>
      </c>
      <c r="J17" s="94">
        <f>-ln(1-I17/Calculos!$D$34)</f>
        <v>1.071777731</v>
      </c>
      <c r="K17" s="94">
        <f>Calculos!$D$34-I17/2</f>
        <v>0.6546959076</v>
      </c>
      <c r="P17" s="110"/>
      <c r="S17" s="111"/>
      <c r="T17" s="111"/>
      <c r="U17" s="111"/>
      <c r="V17" s="111"/>
      <c r="W17" s="111"/>
      <c r="X17" s="86"/>
    </row>
    <row r="18">
      <c r="A18" s="69">
        <v>1.0</v>
      </c>
      <c r="B18" s="69">
        <v>15.0</v>
      </c>
      <c r="C18">
        <v>26.0</v>
      </c>
      <c r="D18" s="72">
        <f t="shared" si="1"/>
        <v>27.01666667</v>
      </c>
      <c r="E18" s="112">
        <v>370.0</v>
      </c>
      <c r="F18" s="112">
        <f>F17+E18</f>
        <v>6644</v>
      </c>
      <c r="G18" s="94">
        <f>(F18/1000)/(Calculos!$A$28*Calculos!$B$28)</f>
        <v>0.2717035357</v>
      </c>
      <c r="H18" s="94">
        <f>(G18*Calculos!$C$28)/(0.4)</f>
        <v>31.29345473</v>
      </c>
      <c r="I18" s="94">
        <f>G18/0.4</f>
        <v>0.6792588393</v>
      </c>
      <c r="J18" s="94">
        <f>-ln(1-I18/Calculos!$D$34)</f>
        <v>1.19198416</v>
      </c>
      <c r="K18" s="94">
        <f>Calculos!$D$34-I18/2</f>
        <v>0.6357821681</v>
      </c>
      <c r="P18" s="110"/>
      <c r="S18" s="111"/>
      <c r="T18" s="111"/>
      <c r="U18" s="111"/>
      <c r="V18" s="111"/>
      <c r="W18" s="111"/>
      <c r="X18" s="86"/>
    </row>
    <row r="19">
      <c r="A19" s="69">
        <v>1.0</v>
      </c>
      <c r="B19" s="69">
        <v>18.0</v>
      </c>
      <c r="C19">
        <v>6.0</v>
      </c>
      <c r="D19" s="72">
        <f t="shared" si="1"/>
        <v>29.68333333</v>
      </c>
      <c r="E19" s="104">
        <v>385.0</v>
      </c>
      <c r="F19" s="104">
        <f t="shared" ref="F19:F22" si="2">F18+E19</f>
        <v>7029</v>
      </c>
      <c r="G19" s="72">
        <f>(F19/1000)/(Calculos!$A$28*Calculos!$B$28)</f>
        <v>0.2874479459</v>
      </c>
      <c r="H19" s="72">
        <f>(G19*Calculos!$C$28)/(0.4)</f>
        <v>33.10681717</v>
      </c>
      <c r="I19" s="72">
        <f>G19/0.4</f>
        <v>0.7186198647</v>
      </c>
      <c r="J19" s="72">
        <f>-ln(1-I19/Calculos!$D$34)</f>
        <v>1.334594183</v>
      </c>
      <c r="K19" s="72">
        <f>Calculos!$D$34-I19/2</f>
        <v>0.6161016554</v>
      </c>
    </row>
    <row r="20">
      <c r="A20" s="69">
        <v>1.0</v>
      </c>
      <c r="B20" s="69">
        <v>22.0</v>
      </c>
      <c r="C20">
        <v>43.0</v>
      </c>
      <c r="D20" s="72">
        <f t="shared" si="1"/>
        <v>34.3</v>
      </c>
      <c r="E20" s="104">
        <v>240.0</v>
      </c>
      <c r="F20" s="104">
        <f t="shared" si="2"/>
        <v>7269</v>
      </c>
      <c r="G20" s="72">
        <f>(F20/1000)/(Calculos!$A$28*Calculos!$B$28)</f>
        <v>0.2972626431</v>
      </c>
      <c r="H20" s="72">
        <f>(G20*Calculos!$C$28)/(0.4)</f>
        <v>34.23722492</v>
      </c>
      <c r="I20" s="72">
        <f>G20/0.4</f>
        <v>0.7431566079</v>
      </c>
      <c r="J20" s="72">
        <f>-ln(1-I20/Calculos!$D$34)</f>
        <v>1.435023704</v>
      </c>
      <c r="K20" s="72">
        <f>Calculos!$D$34-I20/2</f>
        <v>0.6038332838</v>
      </c>
    </row>
    <row r="21">
      <c r="A21" s="69">
        <v>2.0</v>
      </c>
      <c r="B21" s="69">
        <v>15.0</v>
      </c>
      <c r="C21">
        <v>40.0</v>
      </c>
      <c r="D21" s="72">
        <f t="shared" si="1"/>
        <v>51.25</v>
      </c>
      <c r="E21" s="104">
        <v>205.0</v>
      </c>
      <c r="F21" s="104">
        <f t="shared" si="2"/>
        <v>7474</v>
      </c>
      <c r="G21" s="72">
        <f>(F21/1000)/(Calculos!$A$28*Calculos!$B$28)</f>
        <v>0.3056460304</v>
      </c>
      <c r="H21" s="72">
        <f>(G21*Calculos!$C$28)/(0.4)</f>
        <v>35.20278155</v>
      </c>
      <c r="I21" s="72">
        <f>G21/0.4</f>
        <v>0.764115076</v>
      </c>
      <c r="J21" s="72">
        <f>-ln(1-I21/Calculos!$D$34)</f>
        <v>1.529597107</v>
      </c>
      <c r="K21" s="72">
        <f>Calculos!$D$34-I21/2</f>
        <v>0.5933540497</v>
      </c>
    </row>
    <row r="22">
      <c r="A22" s="69">
        <v>3.0</v>
      </c>
      <c r="B22" s="69">
        <v>23.0</v>
      </c>
      <c r="C22">
        <v>5.0</v>
      </c>
      <c r="D22" s="72">
        <f t="shared" si="1"/>
        <v>82.66666667</v>
      </c>
      <c r="E22" s="104">
        <f>350+20</f>
        <v>370</v>
      </c>
      <c r="F22" s="104">
        <f t="shared" si="2"/>
        <v>7844</v>
      </c>
      <c r="G22" s="72">
        <f>(F22/1000)/(Calculos!$A$28*Calculos!$B$28)</f>
        <v>0.320777022</v>
      </c>
      <c r="H22" s="72">
        <f>(G22*Calculos!$C$28)/(0.4)</f>
        <v>36.94549351</v>
      </c>
      <c r="I22" s="72">
        <f>G22/0.4</f>
        <v>0.801942555</v>
      </c>
      <c r="J22" s="72">
        <f>-ln(1-I22/Calculos!$D$34)</f>
        <v>1.726860425</v>
      </c>
      <c r="K22" s="72">
        <f>Calculos!$D$34-I22/2</f>
        <v>0.5744403102</v>
      </c>
    </row>
    <row r="24">
      <c r="D24" s="113"/>
    </row>
    <row r="32">
      <c r="K32" s="114"/>
    </row>
    <row r="33">
      <c r="A33" s="115"/>
    </row>
    <row r="34">
      <c r="A34" s="114"/>
    </row>
    <row r="35">
      <c r="A35" s="114"/>
    </row>
    <row r="36">
      <c r="A36" s="114"/>
    </row>
    <row r="37">
      <c r="A37" s="114"/>
    </row>
    <row r="38">
      <c r="A38" s="114"/>
    </row>
    <row r="39">
      <c r="A39" s="114"/>
    </row>
    <row r="40">
      <c r="A40" s="114"/>
    </row>
    <row r="41">
      <c r="A41" s="114"/>
    </row>
    <row r="42">
      <c r="A42" s="114"/>
    </row>
    <row r="43">
      <c r="A43" s="114"/>
      <c r="E43" s="85"/>
      <c r="F43" s="85"/>
      <c r="G43" s="85"/>
      <c r="H43" s="85"/>
      <c r="I43" s="85"/>
      <c r="J43" s="86"/>
    </row>
    <row r="44">
      <c r="A44" s="114"/>
      <c r="D44" s="114"/>
      <c r="E44" s="85"/>
      <c r="F44" s="85"/>
      <c r="G44" s="85"/>
      <c r="H44" s="85"/>
      <c r="I44" s="85"/>
      <c r="J44" s="86"/>
    </row>
    <row r="45">
      <c r="A45" s="114"/>
      <c r="D45" s="114"/>
      <c r="E45" s="85"/>
      <c r="F45" s="85"/>
      <c r="G45" s="85"/>
      <c r="H45" s="85"/>
      <c r="I45" s="85"/>
      <c r="J45" s="86"/>
    </row>
    <row r="46">
      <c r="A46" s="114"/>
      <c r="D46" s="114"/>
      <c r="E46" s="85"/>
      <c r="F46" s="85"/>
      <c r="G46" s="85"/>
      <c r="H46" s="85"/>
      <c r="I46" s="85"/>
      <c r="J46" s="86"/>
    </row>
    <row r="47">
      <c r="A47" s="114"/>
      <c r="D47" s="114"/>
      <c r="E47" s="85"/>
      <c r="F47" s="85"/>
      <c r="G47" s="85"/>
      <c r="H47" s="85"/>
      <c r="I47" s="85"/>
      <c r="J47" s="86"/>
    </row>
    <row r="48">
      <c r="B48" s="114" t="str">
        <f t="shared" ref="B48:C48" si="3">D24</f>
        <v/>
      </c>
      <c r="C48" s="72" t="str">
        <f t="shared" si="3"/>
        <v/>
      </c>
    </row>
    <row r="49">
      <c r="B49" s="72" t="str">
        <f t="shared" ref="B49:C49" si="4">D25</f>
        <v/>
      </c>
      <c r="C49" s="72" t="str">
        <f t="shared" si="4"/>
        <v/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6" t="s">
        <v>76</v>
      </c>
      <c r="B1" s="116" t="s">
        <v>77</v>
      </c>
      <c r="C1" s="69" t="s">
        <v>78</v>
      </c>
      <c r="D1" s="23" t="s">
        <v>79</v>
      </c>
      <c r="E1" s="117" t="s">
        <v>80</v>
      </c>
      <c r="F1" s="117" t="s">
        <v>81</v>
      </c>
      <c r="G1" s="118" t="s">
        <v>61</v>
      </c>
      <c r="H1" s="119" t="s">
        <v>62</v>
      </c>
      <c r="I1" s="119" t="s">
        <v>73</v>
      </c>
      <c r="J1" s="119" t="s">
        <v>74</v>
      </c>
      <c r="K1" s="119" t="s">
        <v>65</v>
      </c>
    </row>
    <row r="2">
      <c r="A2" s="120">
        <v>44482.506944444445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>
      <c r="A3" s="122">
        <v>44483.145833333336</v>
      </c>
      <c r="B3" s="123">
        <f t="shared" ref="B3:B33" si="1">A3-$A$2</f>
        <v>0.6388888889</v>
      </c>
      <c r="C3" s="124">
        <f t="shared" ref="C3:C33" si="2">D3*60</f>
        <v>920</v>
      </c>
      <c r="D3" s="125">
        <f t="shared" ref="D3:D11" si="3">hour(B3) + MINUTE(B3)/60</f>
        <v>15.33333333</v>
      </c>
      <c r="E3" s="126">
        <v>500.0</v>
      </c>
      <c r="F3" s="127">
        <f>E3</f>
        <v>500</v>
      </c>
      <c r="G3" s="128">
        <f>(F3/1000)/(Calculos!$A$28*Calculos!$B$28)</f>
        <v>0.02044728595</v>
      </c>
      <c r="H3" s="129">
        <f>(G3*Calculos!$C$28)/(0.4)</f>
        <v>2.355016159</v>
      </c>
      <c r="I3" s="129">
        <f t="shared" ref="I3:I33" si="4">G3/0.4</f>
        <v>0.05111821488</v>
      </c>
      <c r="J3" s="129">
        <f>-ln(1-I3/Calculos!$D$34)</f>
        <v>0.05382999885</v>
      </c>
      <c r="K3" s="129">
        <f>Calculos!$D$34-I3/2</f>
        <v>0.9498524803</v>
      </c>
    </row>
    <row r="4">
      <c r="A4" s="122">
        <v>44483.208333333336</v>
      </c>
      <c r="B4" s="123">
        <f t="shared" si="1"/>
        <v>0.7013888889</v>
      </c>
      <c r="C4" s="124">
        <f t="shared" si="2"/>
        <v>1010</v>
      </c>
      <c r="D4" s="125">
        <f t="shared" si="3"/>
        <v>16.83333333</v>
      </c>
      <c r="E4" s="126">
        <v>170.0</v>
      </c>
      <c r="F4" s="127">
        <f t="shared" ref="F4:F33" si="5">E4+F3</f>
        <v>670</v>
      </c>
      <c r="G4" s="128">
        <f>(F4/1000)/(Calculos!$A$28*Calculos!$B$28)</f>
        <v>0.02739936317</v>
      </c>
      <c r="H4" s="129">
        <f>(G4*Calculos!$C$28)/(0.4)</f>
        <v>3.155721654</v>
      </c>
      <c r="I4" s="129">
        <f t="shared" si="4"/>
        <v>0.06849840793</v>
      </c>
      <c r="J4" s="129">
        <f>-ln(1-I4/Calculos!$D$34)</f>
        <v>0.07281280004</v>
      </c>
      <c r="K4" s="129">
        <f>Calculos!$D$34-I4/2</f>
        <v>0.9411623838</v>
      </c>
      <c r="L4" s="86"/>
    </row>
    <row r="5">
      <c r="A5" s="122">
        <v>44483.270833333336</v>
      </c>
      <c r="B5" s="123">
        <f t="shared" si="1"/>
        <v>0.7638888889</v>
      </c>
      <c r="C5" s="124">
        <f t="shared" si="2"/>
        <v>1100</v>
      </c>
      <c r="D5" s="125">
        <f t="shared" si="3"/>
        <v>18.33333333</v>
      </c>
      <c r="E5" s="126">
        <v>290.0</v>
      </c>
      <c r="F5" s="127">
        <f t="shared" si="5"/>
        <v>960</v>
      </c>
      <c r="G5" s="128">
        <f>(F5/1000)/(Calculos!$A$28*Calculos!$B$28)</f>
        <v>0.03925878902</v>
      </c>
      <c r="H5" s="129">
        <f>(G5*Calculos!$C$28)/(0.4)</f>
        <v>4.521631026</v>
      </c>
      <c r="I5" s="129">
        <f t="shared" si="4"/>
        <v>0.09814697256</v>
      </c>
      <c r="J5" s="129">
        <f>-ln(1-I5/Calculos!$D$34)</f>
        <v>0.1060508486</v>
      </c>
      <c r="K5" s="129">
        <f>Calculos!$D$34-I5/2</f>
        <v>0.9263381015</v>
      </c>
      <c r="L5" s="130" t="s">
        <v>82</v>
      </c>
    </row>
    <row r="6">
      <c r="A6" s="131">
        <v>44483.333333333336</v>
      </c>
      <c r="B6" s="132">
        <f t="shared" si="1"/>
        <v>0.8263888889</v>
      </c>
      <c r="C6" s="133">
        <f t="shared" si="2"/>
        <v>1190</v>
      </c>
      <c r="D6" s="134">
        <f t="shared" si="3"/>
        <v>19.83333333</v>
      </c>
      <c r="E6" s="135">
        <v>500.0</v>
      </c>
      <c r="F6" s="136">
        <f t="shared" si="5"/>
        <v>1460</v>
      </c>
      <c r="G6" s="137">
        <f>(F6/1000)/(Calculos!$A$28*Calculos!$B$28)</f>
        <v>0.05970607498</v>
      </c>
      <c r="H6" s="138">
        <f>(G6*Calculos!$C$28)/(0.4)</f>
        <v>6.876647185</v>
      </c>
      <c r="I6" s="138">
        <f t="shared" si="4"/>
        <v>0.1492651874</v>
      </c>
      <c r="J6" s="138">
        <f>-ln(1-I6/Calculos!$D$34)</f>
        <v>0.1660875253</v>
      </c>
      <c r="K6" s="138">
        <f>Calculos!$D$34-I6/2</f>
        <v>0.900778994</v>
      </c>
      <c r="L6" s="72">
        <f>SLOPE(J6:J25,D6:D25)</f>
        <v>0.0841754822</v>
      </c>
    </row>
    <row r="7">
      <c r="A7" s="131">
        <v>44483.364583333336</v>
      </c>
      <c r="B7" s="132">
        <f t="shared" si="1"/>
        <v>0.8576388889</v>
      </c>
      <c r="C7" s="133">
        <f t="shared" si="2"/>
        <v>1235</v>
      </c>
      <c r="D7" s="134">
        <f t="shared" si="3"/>
        <v>20.58333333</v>
      </c>
      <c r="E7" s="135">
        <v>200.0</v>
      </c>
      <c r="F7" s="136">
        <f t="shared" si="5"/>
        <v>1660</v>
      </c>
      <c r="G7" s="137">
        <f>(F7/1000)/(Calculos!$A$28*Calculos!$B$28)</f>
        <v>0.06788498936</v>
      </c>
      <c r="H7" s="138">
        <f>(G7*Calculos!$C$28)/(0.4)</f>
        <v>7.818653649</v>
      </c>
      <c r="I7" s="138">
        <f t="shared" si="4"/>
        <v>0.1697124734</v>
      </c>
      <c r="J7" s="138">
        <f>-ln(1-I7/Calculos!$D$34)</f>
        <v>0.1911491576</v>
      </c>
      <c r="K7" s="138">
        <f>Calculos!$D$34-I7/2</f>
        <v>0.890555351</v>
      </c>
    </row>
    <row r="8">
      <c r="A8" s="131">
        <v>44483.40625</v>
      </c>
      <c r="B8" s="132">
        <f t="shared" si="1"/>
        <v>0.8993055556</v>
      </c>
      <c r="C8" s="133">
        <f t="shared" si="2"/>
        <v>1295</v>
      </c>
      <c r="D8" s="134">
        <f t="shared" si="3"/>
        <v>21.58333333</v>
      </c>
      <c r="E8" s="135">
        <v>350.0</v>
      </c>
      <c r="F8" s="136">
        <f t="shared" si="5"/>
        <v>2010</v>
      </c>
      <c r="G8" s="137">
        <f>(F8/1000)/(Calculos!$A$28*Calculos!$B$28)</f>
        <v>0.08219808952</v>
      </c>
      <c r="H8" s="138">
        <f>(G8*Calculos!$C$28)/(0.4)</f>
        <v>9.467164961</v>
      </c>
      <c r="I8" s="138">
        <f t="shared" si="4"/>
        <v>0.2054952238</v>
      </c>
      <c r="J8" s="138">
        <f>-ln(1-I8/Calculos!$D$34)</f>
        <v>0.2365776325</v>
      </c>
      <c r="K8" s="138">
        <f>Calculos!$D$34-I8/2</f>
        <v>0.8726639758</v>
      </c>
    </row>
    <row r="9">
      <c r="A9" s="131">
        <v>44483.44097222222</v>
      </c>
      <c r="B9" s="132">
        <f t="shared" si="1"/>
        <v>0.9340277778</v>
      </c>
      <c r="C9" s="133">
        <f t="shared" si="2"/>
        <v>1345</v>
      </c>
      <c r="D9" s="134">
        <f t="shared" si="3"/>
        <v>22.41666667</v>
      </c>
      <c r="E9" s="135">
        <v>300.0</v>
      </c>
      <c r="F9" s="136">
        <f t="shared" si="5"/>
        <v>2310</v>
      </c>
      <c r="G9" s="137">
        <f>(F9/1000)/(Calculos!$A$28*Calculos!$B$28)</f>
        <v>0.09446646109</v>
      </c>
      <c r="H9" s="138">
        <f>(G9*Calculos!$C$28)/(0.4)</f>
        <v>10.88017466</v>
      </c>
      <c r="I9" s="138">
        <f t="shared" si="4"/>
        <v>0.2361661527</v>
      </c>
      <c r="J9" s="138">
        <f>-ln(1-I9/Calculos!$D$34)</f>
        <v>0.2772295396</v>
      </c>
      <c r="K9" s="138">
        <f>Calculos!$D$34-I9/2</f>
        <v>0.8573285114</v>
      </c>
    </row>
    <row r="10">
      <c r="A10" s="131">
        <v>44483.46875</v>
      </c>
      <c r="B10" s="132">
        <f t="shared" si="1"/>
        <v>0.9618055556</v>
      </c>
      <c r="C10" s="133">
        <f t="shared" si="2"/>
        <v>1385</v>
      </c>
      <c r="D10" s="134">
        <f t="shared" si="3"/>
        <v>23.08333333</v>
      </c>
      <c r="E10" s="135">
        <v>260.0</v>
      </c>
      <c r="F10" s="136">
        <f t="shared" si="5"/>
        <v>2570</v>
      </c>
      <c r="G10" s="137">
        <f>(F10/1000)/(Calculos!$A$28*Calculos!$B$28)</f>
        <v>0.1050990498</v>
      </c>
      <c r="H10" s="138">
        <f>(G10*Calculos!$C$28)/(0.4)</f>
        <v>12.10478306</v>
      </c>
      <c r="I10" s="138">
        <f t="shared" si="4"/>
        <v>0.2627476245</v>
      </c>
      <c r="J10" s="138">
        <f>-ln(1-I10/Calculos!$D$34)</f>
        <v>0.3138495136</v>
      </c>
      <c r="K10" s="138">
        <f>Calculos!$D$34-I10/2</f>
        <v>0.8440377755</v>
      </c>
    </row>
    <row r="11">
      <c r="A11" s="131">
        <v>44483.5</v>
      </c>
      <c r="B11" s="132">
        <f t="shared" si="1"/>
        <v>0.9930555556</v>
      </c>
      <c r="C11" s="133">
        <f t="shared" si="2"/>
        <v>1430</v>
      </c>
      <c r="D11" s="134">
        <f t="shared" si="3"/>
        <v>23.83333333</v>
      </c>
      <c r="E11" s="135">
        <v>290.0</v>
      </c>
      <c r="F11" s="136">
        <f t="shared" si="5"/>
        <v>2860</v>
      </c>
      <c r="G11" s="137">
        <f>(F11/1000)/(Calculos!$A$28*Calculos!$B$28)</f>
        <v>0.1169584756</v>
      </c>
      <c r="H11" s="138">
        <f>(G11*Calculos!$C$28)/(0.4)</f>
        <v>13.47069243</v>
      </c>
      <c r="I11" s="138">
        <f t="shared" si="4"/>
        <v>0.2923961891</v>
      </c>
      <c r="J11" s="138">
        <f>-ln(1-I11/Calculos!$D$34)</f>
        <v>0.3563421183</v>
      </c>
      <c r="K11" s="138">
        <f>Calculos!$D$34-I11/2</f>
        <v>0.8292134932</v>
      </c>
    </row>
    <row r="12">
      <c r="A12" s="131">
        <v>44483.53125</v>
      </c>
      <c r="B12" s="132">
        <f t="shared" si="1"/>
        <v>1.024305556</v>
      </c>
      <c r="C12" s="133">
        <f t="shared" si="2"/>
        <v>1475</v>
      </c>
      <c r="D12" s="134">
        <f t="shared" ref="D12:D29" si="6">hour(B12) + MINUTE(B12)/60 + 24</f>
        <v>24.58333333</v>
      </c>
      <c r="E12" s="135">
        <v>340.0</v>
      </c>
      <c r="F12" s="136">
        <f t="shared" si="5"/>
        <v>3200</v>
      </c>
      <c r="G12" s="137">
        <f>(F12/1000)/(Calculos!$A$28*Calculos!$B$28)</f>
        <v>0.1308626301</v>
      </c>
      <c r="H12" s="138">
        <f>(G12*Calculos!$C$28)/(0.4)</f>
        <v>15.07210342</v>
      </c>
      <c r="I12" s="138">
        <f t="shared" si="4"/>
        <v>0.3271565752</v>
      </c>
      <c r="J12" s="138">
        <f>-ln(1-I12/Calculos!$D$34)</f>
        <v>0.4085753664</v>
      </c>
      <c r="K12" s="138">
        <f>Calculos!$D$34-I12/2</f>
        <v>0.8118333001</v>
      </c>
    </row>
    <row r="13">
      <c r="A13" s="131">
        <v>44483.55902777778</v>
      </c>
      <c r="B13" s="132">
        <f t="shared" si="1"/>
        <v>1.052083333</v>
      </c>
      <c r="C13" s="133">
        <f t="shared" si="2"/>
        <v>1515</v>
      </c>
      <c r="D13" s="134">
        <f t="shared" si="6"/>
        <v>25.25</v>
      </c>
      <c r="E13" s="135">
        <v>315.0</v>
      </c>
      <c r="F13" s="136">
        <f t="shared" si="5"/>
        <v>3515</v>
      </c>
      <c r="G13" s="137">
        <f>(F13/1000)/(Calculos!$A$28*Calculos!$B$28)</f>
        <v>0.1437444202</v>
      </c>
      <c r="H13" s="138">
        <f>(G13*Calculos!$C$28)/(0.4)</f>
        <v>16.5557636</v>
      </c>
      <c r="I13" s="138">
        <f t="shared" si="4"/>
        <v>0.3593610506</v>
      </c>
      <c r="J13" s="138">
        <f>-ln(1-I13/Calculos!$D$34)</f>
        <v>0.4595305222</v>
      </c>
      <c r="K13" s="138">
        <f>Calculos!$D$34-I13/2</f>
        <v>0.7957310624</v>
      </c>
    </row>
    <row r="14">
      <c r="A14" s="131">
        <v>44483.59722222222</v>
      </c>
      <c r="B14" s="132">
        <f t="shared" si="1"/>
        <v>1.090277778</v>
      </c>
      <c r="C14" s="133">
        <f t="shared" si="2"/>
        <v>1570</v>
      </c>
      <c r="D14" s="134">
        <f t="shared" si="6"/>
        <v>26.16666667</v>
      </c>
      <c r="E14" s="135">
        <v>400.0</v>
      </c>
      <c r="F14" s="136">
        <f t="shared" si="5"/>
        <v>3915</v>
      </c>
      <c r="G14" s="137">
        <f>(F14/1000)/(Calculos!$A$28*Calculos!$B$28)</f>
        <v>0.160102249</v>
      </c>
      <c r="H14" s="138">
        <f>(G14*Calculos!$C$28)/(0.4)</f>
        <v>18.43977653</v>
      </c>
      <c r="I14" s="138">
        <f t="shared" si="4"/>
        <v>0.4002556225</v>
      </c>
      <c r="J14" s="138">
        <f>-ln(1-I14/Calculos!$D$34)</f>
        <v>0.5282182753</v>
      </c>
      <c r="K14" s="138">
        <f>Calculos!$D$34-I14/2</f>
        <v>0.7752837765</v>
      </c>
    </row>
    <row r="15">
      <c r="A15" s="131">
        <v>44483.62847222222</v>
      </c>
      <c r="B15" s="132">
        <f t="shared" si="1"/>
        <v>1.121527778</v>
      </c>
      <c r="C15" s="133">
        <f t="shared" si="2"/>
        <v>1615</v>
      </c>
      <c r="D15" s="134">
        <f t="shared" si="6"/>
        <v>26.91666667</v>
      </c>
      <c r="E15" s="135">
        <v>340.0</v>
      </c>
      <c r="F15" s="136">
        <f t="shared" si="5"/>
        <v>4255</v>
      </c>
      <c r="G15" s="137">
        <f>(F15/1000)/(Calculos!$A$28*Calculos!$B$28)</f>
        <v>0.1740064034</v>
      </c>
      <c r="H15" s="138">
        <f>(G15*Calculos!$C$28)/(0.4)</f>
        <v>20.04118752</v>
      </c>
      <c r="I15" s="138">
        <f t="shared" si="4"/>
        <v>0.4350160086</v>
      </c>
      <c r="J15" s="138">
        <f>-ln(1-I15/Calculos!$D$34)</f>
        <v>0.5905580979</v>
      </c>
      <c r="K15" s="138">
        <f>Calculos!$D$34-I15/2</f>
        <v>0.7579035834</v>
      </c>
    </row>
    <row r="16">
      <c r="A16" s="131">
        <v>44483.649305555555</v>
      </c>
      <c r="B16" s="132">
        <f t="shared" si="1"/>
        <v>1.142361111</v>
      </c>
      <c r="C16" s="133">
        <f t="shared" si="2"/>
        <v>1645</v>
      </c>
      <c r="D16" s="134">
        <f t="shared" si="6"/>
        <v>27.41666667</v>
      </c>
      <c r="E16" s="135">
        <v>240.0</v>
      </c>
      <c r="F16" s="136">
        <f t="shared" si="5"/>
        <v>4495</v>
      </c>
      <c r="G16" s="137">
        <f>(F16/1000)/(Calculos!$A$28*Calculos!$B$28)</f>
        <v>0.1838211007</v>
      </c>
      <c r="H16" s="138">
        <f>(G16*Calculos!$C$28)/(0.4)</f>
        <v>21.17159527</v>
      </c>
      <c r="I16" s="138">
        <f t="shared" si="4"/>
        <v>0.4595527517</v>
      </c>
      <c r="J16" s="138">
        <f>-ln(1-I16/Calculos!$D$34)</f>
        <v>0.6370263688</v>
      </c>
      <c r="K16" s="138">
        <f>Calculos!$D$34-I16/2</f>
        <v>0.7456352119</v>
      </c>
    </row>
    <row r="17">
      <c r="A17" s="131">
        <v>44483.69097222222</v>
      </c>
      <c r="B17" s="132">
        <f t="shared" si="1"/>
        <v>1.184027778</v>
      </c>
      <c r="C17" s="133">
        <f t="shared" si="2"/>
        <v>1705</v>
      </c>
      <c r="D17" s="134">
        <f t="shared" si="6"/>
        <v>28.41666667</v>
      </c>
      <c r="E17" s="135">
        <v>375.0</v>
      </c>
      <c r="F17" s="136">
        <f t="shared" si="5"/>
        <v>4870</v>
      </c>
      <c r="G17" s="137">
        <f>(F17/1000)/(Calculos!$A$28*Calculos!$B$28)</f>
        <v>0.1991565652</v>
      </c>
      <c r="H17" s="138">
        <f>(G17*Calculos!$C$28)/(0.4)</f>
        <v>22.93785739</v>
      </c>
      <c r="I17" s="138">
        <f t="shared" si="4"/>
        <v>0.4978914129</v>
      </c>
      <c r="J17" s="138">
        <f>-ln(1-I17/Calculos!$D$34)</f>
        <v>0.7142531132</v>
      </c>
      <c r="K17" s="138">
        <f>Calculos!$D$34-I17/2</f>
        <v>0.7264658813</v>
      </c>
    </row>
    <row r="18">
      <c r="A18" s="131">
        <v>44483.71875</v>
      </c>
      <c r="B18" s="132">
        <f t="shared" si="1"/>
        <v>1.211805556</v>
      </c>
      <c r="C18" s="133">
        <f t="shared" si="2"/>
        <v>1745</v>
      </c>
      <c r="D18" s="134">
        <f t="shared" si="6"/>
        <v>29.08333333</v>
      </c>
      <c r="E18" s="135">
        <v>260.0</v>
      </c>
      <c r="F18" s="136">
        <f t="shared" si="5"/>
        <v>5130</v>
      </c>
      <c r="G18" s="137">
        <f>(F18/1000)/(Calculos!$A$28*Calculos!$B$28)</f>
        <v>0.2097891539</v>
      </c>
      <c r="H18" s="138">
        <f>(G18*Calculos!$C$28)/(0.4)</f>
        <v>24.16246579</v>
      </c>
      <c r="I18" s="138">
        <f t="shared" si="4"/>
        <v>0.5244728846</v>
      </c>
      <c r="J18" s="138">
        <f>-ln(1-I18/Calculos!$D$34)</f>
        <v>0.7715281062</v>
      </c>
      <c r="K18" s="138">
        <f>Calculos!$D$34-I18/2</f>
        <v>0.7131751454</v>
      </c>
    </row>
    <row r="19">
      <c r="A19" s="131">
        <v>44483.75</v>
      </c>
      <c r="B19" s="132">
        <f t="shared" si="1"/>
        <v>1.243055556</v>
      </c>
      <c r="C19" s="133">
        <f t="shared" si="2"/>
        <v>1790</v>
      </c>
      <c r="D19" s="134">
        <f t="shared" si="6"/>
        <v>29.83333333</v>
      </c>
      <c r="E19" s="135">
        <v>315.0</v>
      </c>
      <c r="F19" s="136">
        <f t="shared" si="5"/>
        <v>5445</v>
      </c>
      <c r="G19" s="137">
        <f>(F19/1000)/(Calculos!$A$28*Calculos!$B$28)</f>
        <v>0.222670944</v>
      </c>
      <c r="H19" s="138">
        <f>(G19*Calculos!$C$28)/(0.4)</f>
        <v>25.64612598</v>
      </c>
      <c r="I19" s="138">
        <f t="shared" si="4"/>
        <v>0.55667736</v>
      </c>
      <c r="J19" s="138">
        <f>-ln(1-I19/Calculos!$D$34)</f>
        <v>0.8456231059</v>
      </c>
      <c r="K19" s="138">
        <f>Calculos!$D$34-I19/2</f>
        <v>0.6970729077</v>
      </c>
    </row>
    <row r="20">
      <c r="A20" s="131">
        <v>44483.77777777778</v>
      </c>
      <c r="B20" s="132">
        <f t="shared" si="1"/>
        <v>1.270833333</v>
      </c>
      <c r="C20" s="133">
        <f t="shared" si="2"/>
        <v>1830</v>
      </c>
      <c r="D20" s="134">
        <f t="shared" si="6"/>
        <v>30.5</v>
      </c>
      <c r="E20" s="135">
        <v>240.0</v>
      </c>
      <c r="F20" s="136">
        <f t="shared" si="5"/>
        <v>5685</v>
      </c>
      <c r="G20" s="137">
        <f>(F20/1000)/(Calculos!$A$28*Calculos!$B$28)</f>
        <v>0.2324856413</v>
      </c>
      <c r="H20" s="138">
        <f>(G20*Calculos!$C$28)/(0.4)</f>
        <v>26.77653373</v>
      </c>
      <c r="I20" s="138">
        <f t="shared" si="4"/>
        <v>0.5812141031</v>
      </c>
      <c r="J20" s="138">
        <f>-ln(1-I20/Calculos!$D$34)</f>
        <v>0.9060075095</v>
      </c>
      <c r="K20" s="138">
        <f>Calculos!$D$34-I20/2</f>
        <v>0.6848045362</v>
      </c>
    </row>
    <row r="21">
      <c r="A21" s="131">
        <v>44483.81597222222</v>
      </c>
      <c r="B21" s="132">
        <f t="shared" si="1"/>
        <v>1.309027778</v>
      </c>
      <c r="C21" s="133">
        <f t="shared" si="2"/>
        <v>1885</v>
      </c>
      <c r="D21" s="134">
        <f t="shared" si="6"/>
        <v>31.41666667</v>
      </c>
      <c r="E21" s="135">
        <v>375.0</v>
      </c>
      <c r="F21" s="136">
        <f t="shared" si="5"/>
        <v>6060</v>
      </c>
      <c r="G21" s="137">
        <f>(F21/1000)/(Calculos!$A$28*Calculos!$B$28)</f>
        <v>0.2478211057</v>
      </c>
      <c r="H21" s="138">
        <f>(G21*Calculos!$C$28)/(0.4)</f>
        <v>28.54279585</v>
      </c>
      <c r="I21" s="138">
        <f t="shared" si="4"/>
        <v>0.6195527643</v>
      </c>
      <c r="J21" s="138">
        <f>-ln(1-I21/Calculos!$D$34)</f>
        <v>1.008325434</v>
      </c>
      <c r="K21" s="138">
        <f>Calculos!$D$34-I21/2</f>
        <v>0.6656352056</v>
      </c>
    </row>
    <row r="22">
      <c r="A22" s="131">
        <v>44483.854166666664</v>
      </c>
      <c r="B22" s="132">
        <f t="shared" si="1"/>
        <v>1.347222222</v>
      </c>
      <c r="C22" s="133">
        <f t="shared" si="2"/>
        <v>1940</v>
      </c>
      <c r="D22" s="134">
        <f t="shared" si="6"/>
        <v>32.33333333</v>
      </c>
      <c r="E22" s="135">
        <v>350.0</v>
      </c>
      <c r="F22" s="136">
        <f t="shared" si="5"/>
        <v>6410</v>
      </c>
      <c r="G22" s="137">
        <f>(F22/1000)/(Calculos!$A$28*Calculos!$B$28)</f>
        <v>0.2621342059</v>
      </c>
      <c r="H22" s="138">
        <f>(G22*Calculos!$C$28)/(0.4)</f>
        <v>30.19130716</v>
      </c>
      <c r="I22" s="138">
        <f t="shared" si="4"/>
        <v>0.6553355147</v>
      </c>
      <c r="J22" s="138">
        <f>-ln(1-I22/Calculos!$D$34)</f>
        <v>1.114300827</v>
      </c>
      <c r="K22" s="138">
        <f>Calculos!$D$34-I22/2</f>
        <v>0.6477438304</v>
      </c>
    </row>
    <row r="23">
      <c r="A23" s="131">
        <v>44483.89236111111</v>
      </c>
      <c r="B23" s="132">
        <f t="shared" si="1"/>
        <v>1.385416667</v>
      </c>
      <c r="C23" s="133">
        <f t="shared" si="2"/>
        <v>1995</v>
      </c>
      <c r="D23" s="134">
        <f t="shared" si="6"/>
        <v>33.25</v>
      </c>
      <c r="E23" s="135">
        <v>300.0</v>
      </c>
      <c r="F23" s="136">
        <f t="shared" si="5"/>
        <v>6710</v>
      </c>
      <c r="G23" s="137">
        <f>(F23/1000)/(Calculos!$A$28*Calculos!$B$28)</f>
        <v>0.2744025775</v>
      </c>
      <c r="H23" s="138">
        <f>(G23*Calculos!$C$28)/(0.4)</f>
        <v>31.60431686</v>
      </c>
      <c r="I23" s="138">
        <f t="shared" si="4"/>
        <v>0.6860064436</v>
      </c>
      <c r="J23" s="138">
        <f>-ln(1-I23/Calculos!$D$34)</f>
        <v>1.215031934</v>
      </c>
      <c r="K23" s="138">
        <f>Calculos!$D$34-I23/2</f>
        <v>0.6324083659</v>
      </c>
    </row>
    <row r="24">
      <c r="A24" s="131">
        <v>44483.94097222222</v>
      </c>
      <c r="B24" s="132">
        <f t="shared" si="1"/>
        <v>1.434027778</v>
      </c>
      <c r="C24" s="133">
        <f t="shared" si="2"/>
        <v>2065</v>
      </c>
      <c r="D24" s="134">
        <f t="shared" si="6"/>
        <v>34.41666667</v>
      </c>
      <c r="E24" s="135">
        <v>425.0</v>
      </c>
      <c r="F24" s="136">
        <f t="shared" si="5"/>
        <v>7135</v>
      </c>
      <c r="G24" s="137">
        <f>(F24/1000)/(Calculos!$A$28*Calculos!$B$28)</f>
        <v>0.2917827705</v>
      </c>
      <c r="H24" s="138">
        <f>(G24*Calculos!$C$28)/(0.4)</f>
        <v>33.60608059</v>
      </c>
      <c r="I24" s="138">
        <f t="shared" si="4"/>
        <v>0.7294569263</v>
      </c>
      <c r="J24" s="138">
        <f>-ln(1-I24/Calculos!$D$34)</f>
        <v>1.377712307</v>
      </c>
      <c r="K24" s="138">
        <f>Calculos!$D$34-I24/2</f>
        <v>0.6106831246</v>
      </c>
    </row>
    <row r="25">
      <c r="A25" s="131">
        <v>44483.961805555555</v>
      </c>
      <c r="B25" s="132">
        <f t="shared" si="1"/>
        <v>1.454861111</v>
      </c>
      <c r="C25" s="133">
        <f t="shared" si="2"/>
        <v>2095</v>
      </c>
      <c r="D25" s="134">
        <f t="shared" si="6"/>
        <v>34.91666667</v>
      </c>
      <c r="E25" s="135">
        <v>90.0</v>
      </c>
      <c r="F25" s="136">
        <f t="shared" si="5"/>
        <v>7225</v>
      </c>
      <c r="G25" s="137">
        <f>(F25/1000)/(Calculos!$A$28*Calculos!$B$28)</f>
        <v>0.295463282</v>
      </c>
      <c r="H25" s="138">
        <f>(G25*Calculos!$C$28)/(0.4)</f>
        <v>34.0299835</v>
      </c>
      <c r="I25" s="138">
        <f t="shared" si="4"/>
        <v>0.738658205</v>
      </c>
      <c r="J25" s="138">
        <f>-ln(1-I25/Calculos!$D$34)</f>
        <v>1.415840503</v>
      </c>
      <c r="K25" s="138">
        <f>Calculos!$D$34-I25/2</f>
        <v>0.6060824853</v>
      </c>
    </row>
    <row r="26">
      <c r="A26" s="122">
        <v>44484.09027777778</v>
      </c>
      <c r="B26" s="123">
        <f t="shared" si="1"/>
        <v>1.583333333</v>
      </c>
      <c r="C26" s="124">
        <f t="shared" si="2"/>
        <v>2280</v>
      </c>
      <c r="D26" s="125">
        <f t="shared" si="6"/>
        <v>38</v>
      </c>
      <c r="E26" s="126">
        <v>500.0</v>
      </c>
      <c r="F26" s="127">
        <f t="shared" si="5"/>
        <v>7725</v>
      </c>
      <c r="G26" s="128">
        <f>(F26/1000)/(Calculos!$A$28*Calculos!$B$28)</f>
        <v>0.3159105679</v>
      </c>
      <c r="H26" s="129">
        <f>(G26*Calculos!$C$28)/(0.4)</f>
        <v>36.38499966</v>
      </c>
      <c r="I26" s="129">
        <f t="shared" si="4"/>
        <v>0.7897764198</v>
      </c>
      <c r="J26" s="129">
        <f>-ln(1-I26/Calculos!$D$34)</f>
        <v>1.659076239</v>
      </c>
      <c r="K26" s="129">
        <f>Calculos!$D$34-I26/2</f>
        <v>0.5805233778</v>
      </c>
    </row>
    <row r="27">
      <c r="A27" s="122">
        <v>44484.13888888889</v>
      </c>
      <c r="B27" s="123">
        <f t="shared" si="1"/>
        <v>1.631944444</v>
      </c>
      <c r="C27" s="124">
        <f t="shared" si="2"/>
        <v>2350</v>
      </c>
      <c r="D27" s="125">
        <f t="shared" si="6"/>
        <v>39.16666667</v>
      </c>
      <c r="E27" s="126">
        <v>140.0</v>
      </c>
      <c r="F27" s="127">
        <f t="shared" si="5"/>
        <v>7865</v>
      </c>
      <c r="G27" s="128">
        <f>(F27/1000)/(Calculos!$A$28*Calculos!$B$28)</f>
        <v>0.321635808</v>
      </c>
      <c r="H27" s="129">
        <f>(G27*Calculos!$C$28)/(0.4)</f>
        <v>37.04440419</v>
      </c>
      <c r="I27" s="129">
        <f t="shared" si="4"/>
        <v>0.80408952</v>
      </c>
      <c r="J27" s="129">
        <f>-ln(1-I27/Calculos!$D$34)</f>
        <v>1.739314301</v>
      </c>
      <c r="K27" s="129">
        <f>Calculos!$D$34-I27/2</f>
        <v>0.5733668277</v>
      </c>
    </row>
    <row r="28">
      <c r="A28" s="122">
        <v>44484.19097222222</v>
      </c>
      <c r="B28" s="123">
        <f t="shared" si="1"/>
        <v>1.684027778</v>
      </c>
      <c r="C28" s="124">
        <f t="shared" si="2"/>
        <v>2425</v>
      </c>
      <c r="D28" s="125">
        <f t="shared" si="6"/>
        <v>40.41666667</v>
      </c>
      <c r="E28" s="126">
        <v>100.0</v>
      </c>
      <c r="F28" s="127">
        <f t="shared" si="5"/>
        <v>7965</v>
      </c>
      <c r="G28" s="128">
        <f>(F28/1000)/(Calculos!$A$28*Calculos!$B$28)</f>
        <v>0.3257252652</v>
      </c>
      <c r="H28" s="129">
        <f>(G28*Calculos!$C$28)/(0.4)</f>
        <v>37.51540742</v>
      </c>
      <c r="I28" s="129">
        <f t="shared" si="4"/>
        <v>0.814313163</v>
      </c>
      <c r="J28" s="129">
        <f>-ln(1-I28/Calculos!$D$34)</f>
        <v>1.800844011</v>
      </c>
      <c r="K28" s="129">
        <f>Calculos!$D$34-I28/2</f>
        <v>0.5682550062</v>
      </c>
    </row>
    <row r="29">
      <c r="A29" s="122">
        <v>44484.3125</v>
      </c>
      <c r="B29" s="123">
        <f t="shared" si="1"/>
        <v>1.805555556</v>
      </c>
      <c r="C29" s="124">
        <f t="shared" si="2"/>
        <v>2600</v>
      </c>
      <c r="D29" s="125">
        <f t="shared" si="6"/>
        <v>43.33333333</v>
      </c>
      <c r="E29" s="126">
        <v>180.0</v>
      </c>
      <c r="F29" s="127">
        <f t="shared" si="5"/>
        <v>8145</v>
      </c>
      <c r="G29" s="128">
        <f>(F29/1000)/(Calculos!$A$28*Calculos!$B$28)</f>
        <v>0.3330862881</v>
      </c>
      <c r="H29" s="129">
        <f>(G29*Calculos!$C$28)/(0.4)</f>
        <v>38.36321324</v>
      </c>
      <c r="I29" s="129">
        <f t="shared" si="4"/>
        <v>0.8327157203</v>
      </c>
      <c r="J29" s="129">
        <f>-ln(1-I29/Calculos!$D$34)</f>
        <v>1.922143959</v>
      </c>
      <c r="K29" s="129">
        <f>Calculos!$D$34-I29/2</f>
        <v>0.5590537276</v>
      </c>
    </row>
    <row r="30">
      <c r="A30" s="122">
        <v>44484.51388888889</v>
      </c>
      <c r="B30" s="123">
        <f t="shared" si="1"/>
        <v>2.006944444</v>
      </c>
      <c r="C30" s="124">
        <f t="shared" si="2"/>
        <v>2890</v>
      </c>
      <c r="D30" s="125">
        <f t="shared" ref="D30:D31" si="7">hour(B30) + MINUTE(B30)/60 + 48</f>
        <v>48.16666667</v>
      </c>
      <c r="E30" s="126">
        <v>100.0</v>
      </c>
      <c r="F30" s="127">
        <f t="shared" si="5"/>
        <v>8245</v>
      </c>
      <c r="G30" s="128">
        <f>(F30/1000)/(Calculos!$A$28*Calculos!$B$28)</f>
        <v>0.3371757453</v>
      </c>
      <c r="H30" s="129">
        <f>(G30*Calculos!$C$28)/(0.4)</f>
        <v>38.83421647</v>
      </c>
      <c r="I30" s="129">
        <f t="shared" si="4"/>
        <v>0.8429393633</v>
      </c>
      <c r="J30" s="129">
        <f>-ln(1-I30/Calculos!$D$34)</f>
        <v>1.996486527</v>
      </c>
      <c r="K30" s="129">
        <f>Calculos!$D$34-I30/2</f>
        <v>0.5539419061</v>
      </c>
    </row>
    <row r="31">
      <c r="A31" s="122">
        <v>44485.44097222222</v>
      </c>
      <c r="B31" s="123">
        <f t="shared" si="1"/>
        <v>2.934027778</v>
      </c>
      <c r="C31" s="124">
        <f t="shared" si="2"/>
        <v>4225</v>
      </c>
      <c r="D31" s="125">
        <f t="shared" si="7"/>
        <v>70.41666667</v>
      </c>
      <c r="E31" s="126">
        <v>340.0</v>
      </c>
      <c r="F31" s="127">
        <f t="shared" si="5"/>
        <v>8585</v>
      </c>
      <c r="G31" s="128">
        <f>(F31/1000)/(Calculos!$A$28*Calculos!$B$28)</f>
        <v>0.3510798998</v>
      </c>
      <c r="H31" s="129">
        <f>(G31*Calculos!$C$28)/(0.4)</f>
        <v>40.43562746</v>
      </c>
      <c r="I31" s="129">
        <f t="shared" si="4"/>
        <v>0.8776997494</v>
      </c>
      <c r="J31" s="129">
        <f>-ln(1-I31/Calculos!$D$34)</f>
        <v>2.300836801</v>
      </c>
      <c r="K31" s="129">
        <f>Calculos!$D$34-I31/2</f>
        <v>0.536561713</v>
      </c>
    </row>
    <row r="32">
      <c r="A32" s="122">
        <v>44486.57986111111</v>
      </c>
      <c r="B32" s="123">
        <f t="shared" si="1"/>
        <v>4.072916667</v>
      </c>
      <c r="C32" s="124">
        <f t="shared" si="2"/>
        <v>4425</v>
      </c>
      <c r="D32" s="125">
        <f t="shared" ref="D32:D33" si="8">hour(B32) + MINUTE(B32)/60 + 72</f>
        <v>73.75</v>
      </c>
      <c r="E32" s="126">
        <v>270.0</v>
      </c>
      <c r="F32" s="127">
        <f t="shared" si="5"/>
        <v>8855</v>
      </c>
      <c r="G32" s="128">
        <f>(F32/1000)/(Calculos!$A$28*Calculos!$B$28)</f>
        <v>0.3621214342</v>
      </c>
      <c r="H32" s="129">
        <f>(G32*Calculos!$C$28)/(0.4)</f>
        <v>41.70733618</v>
      </c>
      <c r="I32" s="129">
        <f t="shared" si="4"/>
        <v>0.9053035855</v>
      </c>
      <c r="J32" s="129">
        <f>-ln(1-I32/Calculos!$D$34)</f>
        <v>2.632822581</v>
      </c>
      <c r="K32" s="129">
        <f>Calculos!$D$34-I32/2</f>
        <v>0.522759795</v>
      </c>
    </row>
    <row r="33">
      <c r="A33" s="122">
        <v>44489.302083333336</v>
      </c>
      <c r="B33" s="123">
        <f t="shared" si="1"/>
        <v>6.795138889</v>
      </c>
      <c r="C33" s="124">
        <f t="shared" si="2"/>
        <v>5465</v>
      </c>
      <c r="D33" s="125">
        <f t="shared" si="8"/>
        <v>91.08333333</v>
      </c>
      <c r="E33" s="126">
        <v>280.0</v>
      </c>
      <c r="F33" s="127">
        <f t="shared" si="5"/>
        <v>9135</v>
      </c>
      <c r="G33" s="128">
        <f>(F33/1000)/(Calculos!$A$28*Calculos!$B$28)</f>
        <v>0.3735719143</v>
      </c>
      <c r="H33" s="129">
        <f>(G33*Calculos!$C$28)/(0.4)</f>
        <v>43.02614523</v>
      </c>
      <c r="I33" s="129">
        <f t="shared" si="4"/>
        <v>0.9339297858</v>
      </c>
      <c r="J33" s="129">
        <f>-ln(1-I33/Calculos!$D$34)</f>
        <v>3.157604699</v>
      </c>
      <c r="K33" s="129">
        <f>Calculos!$D$34-I33/2</f>
        <v>0.5084466948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83</v>
      </c>
      <c r="B1" s="23" t="s">
        <v>56</v>
      </c>
      <c r="C1" s="23" t="s">
        <v>57</v>
      </c>
      <c r="D1" s="23" t="s">
        <v>58</v>
      </c>
      <c r="E1" s="23" t="s">
        <v>59</v>
      </c>
      <c r="F1" s="23" t="s">
        <v>57</v>
      </c>
      <c r="G1" s="23" t="s">
        <v>84</v>
      </c>
      <c r="H1" s="88" t="s">
        <v>61</v>
      </c>
      <c r="I1" s="77" t="s">
        <v>62</v>
      </c>
      <c r="J1" s="77" t="s">
        <v>73</v>
      </c>
      <c r="K1" s="77" t="s">
        <v>65</v>
      </c>
      <c r="L1" s="139" t="s">
        <v>61</v>
      </c>
      <c r="M1" s="140" t="s">
        <v>62</v>
      </c>
      <c r="N1" s="140" t="s">
        <v>73</v>
      </c>
      <c r="O1" s="140" t="s">
        <v>64</v>
      </c>
      <c r="P1" s="140" t="s">
        <v>65</v>
      </c>
    </row>
    <row r="2">
      <c r="A2" s="141">
        <v>0.0</v>
      </c>
      <c r="B2" s="142">
        <v>12.0</v>
      </c>
      <c r="C2" s="142">
        <v>17.0</v>
      </c>
      <c r="D2" s="142">
        <v>0.0</v>
      </c>
      <c r="E2" s="142">
        <v>0.0</v>
      </c>
      <c r="F2" s="143">
        <f>60*B2+C2</f>
        <v>737</v>
      </c>
      <c r="G2" s="141"/>
      <c r="H2" s="144"/>
      <c r="I2" s="144"/>
      <c r="J2" s="144"/>
      <c r="K2" s="145">
        <f>Calculos!$D$34-J2</f>
        <v>0.9754115877</v>
      </c>
      <c r="L2" s="85">
        <f>(E2/1000)/(Calculos!$A$28*Calculos!$B$28)</f>
        <v>0</v>
      </c>
      <c r="M2" s="85">
        <f>(L2*Calculos!$C$28)/(0.4)</f>
        <v>0</v>
      </c>
      <c r="N2" s="85">
        <f t="shared" ref="N2:N26" si="1">L2/0.4</f>
        <v>0</v>
      </c>
      <c r="O2" s="85">
        <f>-ln(1-N2/Calculos!$D$34)</f>
        <v>0</v>
      </c>
      <c r="P2" s="85">
        <f>Calculos!$D$34-N2/2</f>
        <v>0.9754115877</v>
      </c>
    </row>
    <row r="3">
      <c r="A3" s="69">
        <v>0.0</v>
      </c>
      <c r="B3" s="99">
        <v>21.0</v>
      </c>
      <c r="C3" s="99">
        <v>10.0</v>
      </c>
      <c r="D3" s="99">
        <v>260.0</v>
      </c>
      <c r="E3" s="89">
        <f t="shared" ref="E3:E26" si="2">D3+E2</f>
        <v>260</v>
      </c>
      <c r="F3" s="89">
        <f t="shared" ref="F3:F26" si="3">60*B3+C3-$F$2+24*60*A3</f>
        <v>533</v>
      </c>
      <c r="G3" s="72">
        <f t="shared" ref="G3:G26" si="4">F3/60</f>
        <v>8.883333333</v>
      </c>
      <c r="H3" s="72">
        <f>(E3/1000)/(Calculos!$A$28*Calculos!$B$28)</f>
        <v>0.01063258869</v>
      </c>
      <c r="I3" s="72">
        <f>(H3*Calculos!$C$28)/(0.4)</f>
        <v>1.224608403</v>
      </c>
      <c r="J3" s="72">
        <f t="shared" ref="J3:J26" si="5">H3/0.4</f>
        <v>0.02658147174</v>
      </c>
      <c r="K3" s="72">
        <f>Calculos!$D$34-H3</f>
        <v>0.964778999</v>
      </c>
      <c r="L3" s="85">
        <f>(E3/1000)/(Calculos!$A$28*Calculos!$B$28)</f>
        <v>0.01063258869</v>
      </c>
      <c r="M3" s="85">
        <f>(L3*Calculos!$C$28)/(0.4)</f>
        <v>1.224608403</v>
      </c>
      <c r="N3" s="85">
        <f t="shared" si="1"/>
        <v>0.02658147174</v>
      </c>
      <c r="O3" s="85">
        <f>-ln(1-N3/Calculos!$D$34)</f>
        <v>0.0276297543</v>
      </c>
      <c r="P3" s="85">
        <f>Calculos!$D$34-N3/2</f>
        <v>0.9621208519</v>
      </c>
    </row>
    <row r="4">
      <c r="A4" s="69">
        <v>0.0</v>
      </c>
      <c r="B4" s="99">
        <v>22.0</v>
      </c>
      <c r="C4" s="99">
        <v>15.0</v>
      </c>
      <c r="D4" s="99">
        <v>120.0</v>
      </c>
      <c r="E4" s="89">
        <f t="shared" si="2"/>
        <v>380</v>
      </c>
      <c r="F4" s="89">
        <f t="shared" si="3"/>
        <v>598</v>
      </c>
      <c r="G4" s="72">
        <f t="shared" si="4"/>
        <v>9.966666667</v>
      </c>
      <c r="H4" s="72">
        <f>(E4/1000)/(Calculos!$A$28*Calculos!$B$28)</f>
        <v>0.01553993732</v>
      </c>
      <c r="I4" s="72">
        <f>(H4*Calculos!$C$28)/(0.4)</f>
        <v>1.789812281</v>
      </c>
      <c r="J4" s="72">
        <f t="shared" si="5"/>
        <v>0.03884984331</v>
      </c>
      <c r="K4" s="72">
        <f>Calculos!$D$34-H4</f>
        <v>0.9598716504</v>
      </c>
      <c r="L4" s="85">
        <f>(E4/1000)/(Calculos!$A$28*Calculos!$B$28)</f>
        <v>0.01553993732</v>
      </c>
      <c r="M4" s="85">
        <f>(L4*Calculos!$C$28)/(0.4)</f>
        <v>1.789812281</v>
      </c>
      <c r="N4" s="85">
        <f t="shared" si="1"/>
        <v>0.03884984331</v>
      </c>
      <c r="O4" s="85">
        <f>-ln(1-N4/Calculos!$D$34)</f>
        <v>0.04064407243</v>
      </c>
      <c r="P4" s="85">
        <f>Calculos!$D$34-N4/2</f>
        <v>0.9559866661</v>
      </c>
    </row>
    <row r="5">
      <c r="A5" s="69">
        <v>1.0</v>
      </c>
      <c r="B5" s="99">
        <v>0.0</v>
      </c>
      <c r="C5" s="99">
        <v>23.0</v>
      </c>
      <c r="D5" s="99">
        <v>155.0</v>
      </c>
      <c r="E5" s="89">
        <f t="shared" si="2"/>
        <v>535</v>
      </c>
      <c r="F5" s="89">
        <f t="shared" si="3"/>
        <v>726</v>
      </c>
      <c r="G5" s="72">
        <f t="shared" si="4"/>
        <v>12.1</v>
      </c>
      <c r="H5" s="72">
        <f>(E5/1000)/(Calculos!$A$28*Calculos!$B$28)</f>
        <v>0.02187859597</v>
      </c>
      <c r="I5" s="72">
        <f>(H5*Calculos!$C$28)/(0.4)</f>
        <v>2.519867291</v>
      </c>
      <c r="J5" s="72">
        <f t="shared" si="5"/>
        <v>0.05469648992</v>
      </c>
      <c r="K5" s="72">
        <f>Calculos!$D$34-H5</f>
        <v>0.9535329918</v>
      </c>
      <c r="L5" s="85">
        <f>(E5/1000)/(Calculos!$A$28*Calculos!$B$28)</f>
        <v>0.02187859597</v>
      </c>
      <c r="M5" s="85">
        <f>(L5*Calculos!$C$28)/(0.4)</f>
        <v>2.519867291</v>
      </c>
      <c r="N5" s="85">
        <f t="shared" si="1"/>
        <v>0.05469648992</v>
      </c>
      <c r="O5" s="85">
        <f>-ln(1-N5/Calculos!$D$34)</f>
        <v>0.05770887483</v>
      </c>
      <c r="P5" s="85">
        <f>Calculos!$D$34-N5/2</f>
        <v>0.9480633428</v>
      </c>
    </row>
    <row r="6">
      <c r="A6" s="69">
        <v>1.0</v>
      </c>
      <c r="B6" s="99">
        <v>1.0</v>
      </c>
      <c r="C6" s="99">
        <v>44.0</v>
      </c>
      <c r="D6" s="99">
        <v>100.0</v>
      </c>
      <c r="E6" s="89">
        <f t="shared" si="2"/>
        <v>635</v>
      </c>
      <c r="F6" s="89">
        <f t="shared" si="3"/>
        <v>807</v>
      </c>
      <c r="G6" s="72">
        <f t="shared" si="4"/>
        <v>13.45</v>
      </c>
      <c r="H6" s="72">
        <f>(E6/1000)/(Calculos!$A$28*Calculos!$B$28)</f>
        <v>0.02596805316</v>
      </c>
      <c r="I6" s="72">
        <f>(H6*Calculos!$C$28)/(0.4)</f>
        <v>2.990870522</v>
      </c>
      <c r="J6" s="72">
        <f t="shared" si="5"/>
        <v>0.06492013289</v>
      </c>
      <c r="K6" s="72">
        <f>Calculos!$D$34-H6</f>
        <v>0.9494435346</v>
      </c>
      <c r="L6" s="85">
        <f>(E6/1000)/(Calculos!$A$28*Calculos!$B$28)</f>
        <v>0.02596805316</v>
      </c>
      <c r="M6" s="85">
        <f>(L6*Calculos!$C$28)/(0.4)</f>
        <v>2.990870522</v>
      </c>
      <c r="N6" s="85">
        <f t="shared" si="1"/>
        <v>0.06492013289</v>
      </c>
      <c r="O6" s="85">
        <f>-ln(1-N6/Calculos!$D$34)</f>
        <v>0.06887500919</v>
      </c>
      <c r="P6" s="85">
        <f>Calculos!$D$34-N6/2</f>
        <v>0.9429515213</v>
      </c>
    </row>
    <row r="7">
      <c r="A7" s="146">
        <v>1.0</v>
      </c>
      <c r="B7" s="91">
        <v>3.0</v>
      </c>
      <c r="C7" s="91">
        <v>23.0</v>
      </c>
      <c r="D7" s="91">
        <v>405.0</v>
      </c>
      <c r="E7" s="92">
        <f t="shared" si="2"/>
        <v>1040</v>
      </c>
      <c r="F7" s="92">
        <f t="shared" si="3"/>
        <v>906</v>
      </c>
      <c r="G7" s="94">
        <f t="shared" si="4"/>
        <v>15.1</v>
      </c>
      <c r="H7" s="94">
        <f>(E7/1000)/(Calculos!$A$28*Calculos!$B$28)</f>
        <v>0.04253035478</v>
      </c>
      <c r="I7" s="94">
        <f>(H7*Calculos!$C$28)/(0.4)</f>
        <v>4.898433611</v>
      </c>
      <c r="J7" s="94">
        <f t="shared" si="5"/>
        <v>0.1063258869</v>
      </c>
      <c r="K7" s="94">
        <f>Calculos!$D$34-H7</f>
        <v>0.932881233</v>
      </c>
      <c r="L7" s="147">
        <f>(E7/1000)/(Calculos!$A$28*Calculos!$B$28)</f>
        <v>0.04253035478</v>
      </c>
      <c r="M7" s="147">
        <f>(L7*Calculos!$C$28)/(0.4)</f>
        <v>4.898433611</v>
      </c>
      <c r="N7" s="147">
        <f t="shared" si="1"/>
        <v>0.1063258869</v>
      </c>
      <c r="O7" s="147">
        <f>-ln(1-N7/Calculos!$D$34)</f>
        <v>0.1154177828</v>
      </c>
      <c r="P7" s="147">
        <f>Calculos!$D$34-N7/2</f>
        <v>0.9222486443</v>
      </c>
      <c r="Q7" s="148" t="s">
        <v>66</v>
      </c>
    </row>
    <row r="8">
      <c r="A8" s="146">
        <v>1.0</v>
      </c>
      <c r="B8" s="91">
        <v>4.0</v>
      </c>
      <c r="C8" s="91">
        <v>12.0</v>
      </c>
      <c r="D8" s="91">
        <v>395.0</v>
      </c>
      <c r="E8" s="92">
        <f t="shared" si="2"/>
        <v>1435</v>
      </c>
      <c r="F8" s="92">
        <f t="shared" si="3"/>
        <v>955</v>
      </c>
      <c r="G8" s="94">
        <f t="shared" si="4"/>
        <v>15.91666667</v>
      </c>
      <c r="H8" s="94">
        <f>(E8/1000)/(Calculos!$A$28*Calculos!$B$28)</f>
        <v>0.05868371068</v>
      </c>
      <c r="I8" s="94">
        <f>(H8*Calculos!$C$28)/(0.4)</f>
        <v>6.758896377</v>
      </c>
      <c r="J8" s="94">
        <f t="shared" si="5"/>
        <v>0.1467092767</v>
      </c>
      <c r="K8" s="94">
        <f>Calculos!$D$34-H8</f>
        <v>0.9167278771</v>
      </c>
      <c r="L8" s="147">
        <f>(E8/1000)/(Calculos!$A$28*Calculos!$B$28)</f>
        <v>0.05868371068</v>
      </c>
      <c r="M8" s="147">
        <f>(L8*Calculos!$C$28)/(0.4)</f>
        <v>6.758896377</v>
      </c>
      <c r="N8" s="147">
        <f t="shared" si="1"/>
        <v>0.1467092767</v>
      </c>
      <c r="O8" s="147">
        <f>-ln(1-N8/Calculos!$D$34)</f>
        <v>0.1629985266</v>
      </c>
      <c r="P8" s="147">
        <f>Calculos!$D$34-N8/2</f>
        <v>0.9020569494</v>
      </c>
      <c r="Q8" s="85">
        <f>SLOPE(O7:O22,G7:G22)</f>
        <v>0.09173787842</v>
      </c>
    </row>
    <row r="9">
      <c r="A9" s="146">
        <v>1.0</v>
      </c>
      <c r="B9" s="91">
        <v>4.0</v>
      </c>
      <c r="C9" s="91">
        <v>55.0</v>
      </c>
      <c r="D9" s="91">
        <v>400.0</v>
      </c>
      <c r="E9" s="92">
        <f t="shared" si="2"/>
        <v>1835</v>
      </c>
      <c r="F9" s="92">
        <f t="shared" si="3"/>
        <v>998</v>
      </c>
      <c r="G9" s="94">
        <f t="shared" si="4"/>
        <v>16.63333333</v>
      </c>
      <c r="H9" s="94">
        <f>(E9/1000)/(Calculos!$A$28*Calculos!$B$28)</f>
        <v>0.07504153944</v>
      </c>
      <c r="I9" s="94">
        <f>(H9*Calculos!$C$28)/(0.4)</f>
        <v>8.642909305</v>
      </c>
      <c r="J9" s="94">
        <f t="shared" si="5"/>
        <v>0.1876038486</v>
      </c>
      <c r="K9" s="94">
        <f>Calculos!$D$34-H9</f>
        <v>0.9003700483</v>
      </c>
      <c r="L9" s="147">
        <f>(E9/1000)/(Calculos!$A$28*Calculos!$B$28)</f>
        <v>0.07504153944</v>
      </c>
      <c r="M9" s="147">
        <f>(L9*Calculos!$C$28)/(0.4)</f>
        <v>8.642909305</v>
      </c>
      <c r="N9" s="147">
        <f t="shared" si="1"/>
        <v>0.1876038486</v>
      </c>
      <c r="O9" s="147">
        <f>-ln(1-N9/Calculos!$D$34)</f>
        <v>0.213605449</v>
      </c>
      <c r="P9" s="147">
        <f>Calculos!$D$34-N9/2</f>
        <v>0.8816096634</v>
      </c>
    </row>
    <row r="10">
      <c r="A10" s="146">
        <v>1.0</v>
      </c>
      <c r="B10" s="91">
        <v>5.0</v>
      </c>
      <c r="C10" s="91">
        <v>36.0</v>
      </c>
      <c r="D10" s="91">
        <v>320.0</v>
      </c>
      <c r="E10" s="92">
        <f t="shared" si="2"/>
        <v>2155</v>
      </c>
      <c r="F10" s="92">
        <f t="shared" si="3"/>
        <v>1039</v>
      </c>
      <c r="G10" s="94">
        <f t="shared" si="4"/>
        <v>17.31666667</v>
      </c>
      <c r="H10" s="94">
        <f>(E10/1000)/(Calculos!$A$28*Calculos!$B$28)</f>
        <v>0.08812780245</v>
      </c>
      <c r="I10" s="94">
        <f>(H10*Calculos!$C$28)/(0.4)</f>
        <v>10.15011965</v>
      </c>
      <c r="J10" s="94">
        <f t="shared" si="5"/>
        <v>0.2203195061</v>
      </c>
      <c r="K10" s="94">
        <f>Calculos!$D$34-H10</f>
        <v>0.8872837853</v>
      </c>
      <c r="L10" s="147">
        <f>(E10/1000)/(Calculos!$A$28*Calculos!$B$28)</f>
        <v>0.08812780245</v>
      </c>
      <c r="M10" s="147">
        <f>(L10*Calculos!$C$28)/(0.4)</f>
        <v>10.15011965</v>
      </c>
      <c r="N10" s="147">
        <f t="shared" si="1"/>
        <v>0.2203195061</v>
      </c>
      <c r="O10" s="147">
        <f>-ln(1-N10/Calculos!$D$34)</f>
        <v>0.256019819</v>
      </c>
      <c r="P10" s="147">
        <f>Calculos!$D$34-N10/2</f>
        <v>0.8652518347</v>
      </c>
    </row>
    <row r="11">
      <c r="A11" s="146">
        <v>1.0</v>
      </c>
      <c r="B11" s="91">
        <v>6.0</v>
      </c>
      <c r="C11" s="91">
        <v>21.0</v>
      </c>
      <c r="D11" s="91">
        <v>350.0</v>
      </c>
      <c r="E11" s="92">
        <f t="shared" si="2"/>
        <v>2505</v>
      </c>
      <c r="F11" s="92">
        <f t="shared" si="3"/>
        <v>1084</v>
      </c>
      <c r="G11" s="94">
        <f t="shared" si="4"/>
        <v>18.06666667</v>
      </c>
      <c r="H11" s="94">
        <f>(E11/1000)/(Calculos!$A$28*Calculos!$B$28)</f>
        <v>0.1024409026</v>
      </c>
      <c r="I11" s="94">
        <f>(H11*Calculos!$C$28)/(0.4)</f>
        <v>11.79863096</v>
      </c>
      <c r="J11" s="94">
        <f t="shared" si="5"/>
        <v>0.2561022565</v>
      </c>
      <c r="K11" s="94">
        <f>Calculos!$D$34-H11</f>
        <v>0.8729706851</v>
      </c>
      <c r="L11" s="147">
        <f>(E11/1000)/(Calculos!$A$28*Calculos!$B$28)</f>
        <v>0.1024409026</v>
      </c>
      <c r="M11" s="147">
        <f>(L11*Calculos!$C$28)/(0.4)</f>
        <v>11.79863096</v>
      </c>
      <c r="N11" s="147">
        <f t="shared" si="1"/>
        <v>0.2561022565</v>
      </c>
      <c r="O11" s="147">
        <f>-ln(1-N11/Calculos!$D$34)</f>
        <v>0.3045680338</v>
      </c>
      <c r="P11" s="147">
        <f>Calculos!$D$34-N11/2</f>
        <v>0.8473604595</v>
      </c>
    </row>
    <row r="12">
      <c r="A12" s="146">
        <v>1.0</v>
      </c>
      <c r="B12" s="91">
        <v>7.0</v>
      </c>
      <c r="C12" s="91">
        <v>33.0</v>
      </c>
      <c r="D12" s="91">
        <v>475.0</v>
      </c>
      <c r="E12" s="92">
        <f t="shared" si="2"/>
        <v>2980</v>
      </c>
      <c r="F12" s="92">
        <f t="shared" si="3"/>
        <v>1156</v>
      </c>
      <c r="G12" s="94">
        <f t="shared" si="4"/>
        <v>19.26666667</v>
      </c>
      <c r="H12" s="94">
        <f>(E12/1000)/(Calculos!$A$28*Calculos!$B$28)</f>
        <v>0.1218658243</v>
      </c>
      <c r="I12" s="94">
        <f>(H12*Calculos!$C$28)/(0.4)</f>
        <v>14.03589631</v>
      </c>
      <c r="J12" s="94">
        <f t="shared" si="5"/>
        <v>0.3046645607</v>
      </c>
      <c r="K12" s="94">
        <f>Calculos!$D$34-H12</f>
        <v>0.8535457635</v>
      </c>
      <c r="L12" s="147">
        <f>(E12/1000)/(Calculos!$A$28*Calculos!$B$28)</f>
        <v>0.1218658243</v>
      </c>
      <c r="M12" s="147">
        <f>(L12*Calculos!$C$28)/(0.4)</f>
        <v>14.03589631</v>
      </c>
      <c r="N12" s="147">
        <f t="shared" si="1"/>
        <v>0.3046645607</v>
      </c>
      <c r="O12" s="147">
        <f>-ln(1-N12/Calculos!$D$34)</f>
        <v>0.3744674661</v>
      </c>
      <c r="P12" s="147">
        <f>Calculos!$D$34-N12/2</f>
        <v>0.8230793074</v>
      </c>
    </row>
    <row r="13">
      <c r="A13" s="146">
        <v>1.0</v>
      </c>
      <c r="B13" s="91">
        <v>8.0</v>
      </c>
      <c r="C13" s="91">
        <v>30.0</v>
      </c>
      <c r="D13" s="91">
        <v>390.0</v>
      </c>
      <c r="E13" s="92">
        <f t="shared" si="2"/>
        <v>3370</v>
      </c>
      <c r="F13" s="92">
        <f t="shared" si="3"/>
        <v>1213</v>
      </c>
      <c r="G13" s="94">
        <f t="shared" si="4"/>
        <v>20.21666667</v>
      </c>
      <c r="H13" s="94">
        <f>(E13/1000)/(Calculos!$A$28*Calculos!$B$28)</f>
        <v>0.1378147073</v>
      </c>
      <c r="I13" s="94">
        <f>(H13*Calculos!$C$28)/(0.4)</f>
        <v>15.87280891</v>
      </c>
      <c r="J13" s="94">
        <f t="shared" si="5"/>
        <v>0.3445367683</v>
      </c>
      <c r="K13" s="94">
        <f>Calculos!$D$34-H13</f>
        <v>0.8375968804</v>
      </c>
      <c r="L13" s="147">
        <f>(E13/1000)/(Calculos!$A$28*Calculos!$B$28)</f>
        <v>0.1378147073</v>
      </c>
      <c r="M13" s="147">
        <f>(L13*Calculos!$C$28)/(0.4)</f>
        <v>15.87280891</v>
      </c>
      <c r="N13" s="147">
        <f t="shared" si="1"/>
        <v>0.3445367683</v>
      </c>
      <c r="O13" s="147">
        <f>-ln(1-N13/Calculos!$D$34)</f>
        <v>0.4357520647</v>
      </c>
      <c r="P13" s="147">
        <f>Calculos!$D$34-N13/2</f>
        <v>0.8031432036</v>
      </c>
    </row>
    <row r="14">
      <c r="A14" s="146">
        <v>1.0</v>
      </c>
      <c r="B14" s="91">
        <v>9.0</v>
      </c>
      <c r="C14" s="91">
        <v>31.0</v>
      </c>
      <c r="D14" s="91">
        <v>400.0</v>
      </c>
      <c r="E14" s="92">
        <f t="shared" si="2"/>
        <v>3770</v>
      </c>
      <c r="F14" s="92">
        <f t="shared" si="3"/>
        <v>1274</v>
      </c>
      <c r="G14" s="94">
        <f t="shared" si="4"/>
        <v>21.23333333</v>
      </c>
      <c r="H14" s="94">
        <f>(E14/1000)/(Calculos!$A$28*Calculos!$B$28)</f>
        <v>0.1541725361</v>
      </c>
      <c r="I14" s="94">
        <f>(H14*Calculos!$C$28)/(0.4)</f>
        <v>17.75682184</v>
      </c>
      <c r="J14" s="94">
        <f t="shared" si="5"/>
        <v>0.3854313402</v>
      </c>
      <c r="K14" s="94">
        <f>Calculos!$D$34-H14</f>
        <v>0.8212390517</v>
      </c>
      <c r="L14" s="147">
        <f>(E14/1000)/(Calculos!$A$28*Calculos!$B$28)</f>
        <v>0.1541725361</v>
      </c>
      <c r="M14" s="147">
        <f>(L14*Calculos!$C$28)/(0.4)</f>
        <v>17.75682184</v>
      </c>
      <c r="N14" s="147">
        <f t="shared" si="1"/>
        <v>0.3854313402</v>
      </c>
      <c r="O14" s="147">
        <f>-ln(1-N14/Calculos!$D$34)</f>
        <v>0.5027704655</v>
      </c>
      <c r="P14" s="147">
        <f>Calculos!$D$34-N14/2</f>
        <v>0.7826959177</v>
      </c>
    </row>
    <row r="15">
      <c r="A15" s="146">
        <v>1.0</v>
      </c>
      <c r="B15" s="91">
        <v>10.0</v>
      </c>
      <c r="C15" s="91">
        <v>20.0</v>
      </c>
      <c r="D15" s="91">
        <v>375.0</v>
      </c>
      <c r="E15" s="92">
        <f t="shared" si="2"/>
        <v>4145</v>
      </c>
      <c r="F15" s="92">
        <f t="shared" si="3"/>
        <v>1323</v>
      </c>
      <c r="G15" s="94">
        <f t="shared" si="4"/>
        <v>22.05</v>
      </c>
      <c r="H15" s="94">
        <f>(E15/1000)/(Calculos!$A$28*Calculos!$B$28)</f>
        <v>0.1695080005</v>
      </c>
      <c r="I15" s="94">
        <f>(H15*Calculos!$C$28)/(0.4)</f>
        <v>19.52308396</v>
      </c>
      <c r="J15" s="94">
        <f t="shared" si="5"/>
        <v>0.4237700013</v>
      </c>
      <c r="K15" s="94">
        <f>Calculos!$D$34-H15</f>
        <v>0.8059035872</v>
      </c>
      <c r="L15" s="147">
        <f>(E15/1000)/(Calculos!$A$28*Calculos!$B$28)</f>
        <v>0.1695080005</v>
      </c>
      <c r="M15" s="147">
        <f>(L15*Calculos!$C$28)/(0.4)</f>
        <v>19.52308396</v>
      </c>
      <c r="N15" s="147">
        <f t="shared" si="1"/>
        <v>0.4237700013</v>
      </c>
      <c r="O15" s="147">
        <f>-ln(1-N15/Calculos!$D$34)</f>
        <v>0.5699609878</v>
      </c>
      <c r="P15" s="147">
        <f>Calculos!$D$34-N15/2</f>
        <v>0.7635265871</v>
      </c>
    </row>
    <row r="16">
      <c r="A16" s="146">
        <v>1.0</v>
      </c>
      <c r="B16" s="91">
        <v>11.0</v>
      </c>
      <c r="C16" s="91">
        <v>6.0</v>
      </c>
      <c r="D16" s="91">
        <v>390.0</v>
      </c>
      <c r="E16" s="92">
        <f t="shared" si="2"/>
        <v>4535</v>
      </c>
      <c r="F16" s="92">
        <f t="shared" si="3"/>
        <v>1369</v>
      </c>
      <c r="G16" s="94">
        <f t="shared" si="4"/>
        <v>22.81666667</v>
      </c>
      <c r="H16" s="94">
        <f>(E16/1000)/(Calculos!$A$28*Calculos!$B$28)</f>
        <v>0.1854568836</v>
      </c>
      <c r="I16" s="94">
        <f>(H16*Calculos!$C$28)/(0.4)</f>
        <v>21.35999657</v>
      </c>
      <c r="J16" s="94">
        <f t="shared" si="5"/>
        <v>0.4636422089</v>
      </c>
      <c r="K16" s="94">
        <f>Calculos!$D$34-H16</f>
        <v>0.7899547042</v>
      </c>
      <c r="L16" s="147">
        <f>(E16/1000)/(Calculos!$A$28*Calculos!$B$28)</f>
        <v>0.1854568836</v>
      </c>
      <c r="M16" s="147">
        <f>(L16*Calculos!$C$28)/(0.4)</f>
        <v>21.35999657</v>
      </c>
      <c r="N16" s="147">
        <f t="shared" si="1"/>
        <v>0.4636422089</v>
      </c>
      <c r="O16" s="147">
        <f>-ln(1-N16/Calculos!$D$34)</f>
        <v>0.6449854316</v>
      </c>
      <c r="P16" s="147">
        <f>Calculos!$D$34-N16/2</f>
        <v>0.7435904833</v>
      </c>
    </row>
    <row r="17">
      <c r="A17" s="146">
        <v>1.0</v>
      </c>
      <c r="B17" s="91">
        <v>12.0</v>
      </c>
      <c r="C17" s="91">
        <v>0.0</v>
      </c>
      <c r="D17" s="91">
        <v>475.0</v>
      </c>
      <c r="E17" s="92">
        <f t="shared" si="2"/>
        <v>5010</v>
      </c>
      <c r="F17" s="92">
        <f t="shared" si="3"/>
        <v>1423</v>
      </c>
      <c r="G17" s="94">
        <f t="shared" si="4"/>
        <v>23.71666667</v>
      </c>
      <c r="H17" s="94">
        <f>(E17/1000)/(Calculos!$A$28*Calculos!$B$28)</f>
        <v>0.2048818052</v>
      </c>
      <c r="I17" s="94">
        <f>(H17*Calculos!$C$28)/(0.4)</f>
        <v>23.59726192</v>
      </c>
      <c r="J17" s="94">
        <f t="shared" si="5"/>
        <v>0.5122045131</v>
      </c>
      <c r="K17" s="94">
        <f>Calculos!$D$34-H17</f>
        <v>0.7705297825</v>
      </c>
      <c r="L17" s="147">
        <f>(E17/1000)/(Calculos!$A$28*Calculos!$B$28)</f>
        <v>0.2048818052</v>
      </c>
      <c r="M17" s="147">
        <f>(L17*Calculos!$C$28)/(0.4)</f>
        <v>23.59726192</v>
      </c>
      <c r="N17" s="147">
        <f t="shared" si="1"/>
        <v>0.5122045131</v>
      </c>
      <c r="O17" s="147">
        <f>-ln(1-N17/Calculos!$D$34)</f>
        <v>0.7446853236</v>
      </c>
      <c r="P17" s="147">
        <f>Calculos!$D$34-N17/2</f>
        <v>0.7193093312</v>
      </c>
    </row>
    <row r="18">
      <c r="A18" s="146">
        <v>1.0</v>
      </c>
      <c r="B18" s="91">
        <v>12.0</v>
      </c>
      <c r="C18" s="91">
        <v>50.0</v>
      </c>
      <c r="D18" s="91">
        <v>495.0</v>
      </c>
      <c r="E18" s="92">
        <f t="shared" si="2"/>
        <v>5505</v>
      </c>
      <c r="F18" s="92">
        <f t="shared" si="3"/>
        <v>1473</v>
      </c>
      <c r="G18" s="94">
        <f t="shared" si="4"/>
        <v>24.55</v>
      </c>
      <c r="H18" s="94">
        <f>(E18/1000)/(Calculos!$A$28*Calculos!$B$28)</f>
        <v>0.2251246183</v>
      </c>
      <c r="I18" s="94">
        <f>(H18*Calculos!$C$28)/(0.4)</f>
        <v>25.92872791</v>
      </c>
      <c r="J18" s="94">
        <f t="shared" si="5"/>
        <v>0.5628115458</v>
      </c>
      <c r="K18" s="94">
        <f>Calculos!$D$34-H18</f>
        <v>0.7502869694</v>
      </c>
      <c r="L18" s="147">
        <f>(E18/1000)/(Calculos!$A$28*Calculos!$B$28)</f>
        <v>0.2251246183</v>
      </c>
      <c r="M18" s="147">
        <f>(L18*Calculos!$C$28)/(0.4)</f>
        <v>25.92872791</v>
      </c>
      <c r="N18" s="147">
        <f t="shared" si="1"/>
        <v>0.5628115458</v>
      </c>
      <c r="O18" s="147">
        <f>-ln(1-N18/Calculos!$D$34)</f>
        <v>0.8603808209</v>
      </c>
      <c r="P18" s="147">
        <f>Calculos!$D$34-N18/2</f>
        <v>0.6940058148</v>
      </c>
    </row>
    <row r="19">
      <c r="A19" s="146">
        <v>1.0</v>
      </c>
      <c r="B19" s="91">
        <v>13.0</v>
      </c>
      <c r="C19" s="91">
        <v>49.0</v>
      </c>
      <c r="D19" s="91">
        <v>400.0</v>
      </c>
      <c r="E19" s="92">
        <f t="shared" si="2"/>
        <v>5905</v>
      </c>
      <c r="F19" s="92">
        <f t="shared" si="3"/>
        <v>1532</v>
      </c>
      <c r="G19" s="94">
        <f t="shared" si="4"/>
        <v>25.53333333</v>
      </c>
      <c r="H19" s="94">
        <f>(E19/1000)/(Calculos!$A$28*Calculos!$B$28)</f>
        <v>0.2414824471</v>
      </c>
      <c r="I19" s="94">
        <f>(H19*Calculos!$C$28)/(0.4)</f>
        <v>27.81274084</v>
      </c>
      <c r="J19" s="94">
        <f t="shared" si="5"/>
        <v>0.6037061177</v>
      </c>
      <c r="K19" s="94">
        <f>Calculos!$D$34-H19</f>
        <v>0.7339291407</v>
      </c>
      <c r="L19" s="147">
        <f>(E19/1000)/(Calculos!$A$28*Calculos!$B$28)</f>
        <v>0.2414824471</v>
      </c>
      <c r="M19" s="147">
        <f>(L19*Calculos!$C$28)/(0.4)</f>
        <v>27.81274084</v>
      </c>
      <c r="N19" s="147">
        <f t="shared" si="1"/>
        <v>0.6037061177</v>
      </c>
      <c r="O19" s="147">
        <f>-ln(1-N19/Calculos!$D$34)</f>
        <v>0.9647577297</v>
      </c>
      <c r="P19" s="147">
        <f>Calculos!$D$34-N19/2</f>
        <v>0.6735585289</v>
      </c>
    </row>
    <row r="20">
      <c r="A20" s="146">
        <v>1.0</v>
      </c>
      <c r="B20" s="91">
        <v>14.0</v>
      </c>
      <c r="C20" s="91">
        <v>40.0</v>
      </c>
      <c r="D20" s="91">
        <v>460.0</v>
      </c>
      <c r="E20" s="92">
        <f t="shared" si="2"/>
        <v>6365</v>
      </c>
      <c r="F20" s="92">
        <f t="shared" si="3"/>
        <v>1583</v>
      </c>
      <c r="G20" s="94">
        <f t="shared" si="4"/>
        <v>26.38333333</v>
      </c>
      <c r="H20" s="94">
        <f>(E20/1000)/(Calculos!$A$28*Calculos!$B$28)</f>
        <v>0.2602939502</v>
      </c>
      <c r="I20" s="94">
        <f>(H20*Calculos!$C$28)/(0.4)</f>
        <v>29.97935571</v>
      </c>
      <c r="J20" s="94">
        <f t="shared" si="5"/>
        <v>0.6507348754</v>
      </c>
      <c r="K20" s="94">
        <f>Calculos!$D$34-H20</f>
        <v>0.7151176376</v>
      </c>
      <c r="L20" s="147">
        <f>(E20/1000)/(Calculos!$A$28*Calculos!$B$28)</f>
        <v>0.2602939502</v>
      </c>
      <c r="M20" s="147">
        <f>(L20*Calculos!$C$28)/(0.4)</f>
        <v>29.97935571</v>
      </c>
      <c r="N20" s="147">
        <f t="shared" si="1"/>
        <v>0.6507348754</v>
      </c>
      <c r="O20" s="147">
        <f>-ln(1-N20/Calculos!$D$34)</f>
        <v>1.100029567</v>
      </c>
      <c r="P20" s="147">
        <f>Calculos!$D$34-N20/2</f>
        <v>0.65004415</v>
      </c>
    </row>
    <row r="21">
      <c r="A21" s="146">
        <v>1.0</v>
      </c>
      <c r="B21" s="91">
        <v>15.0</v>
      </c>
      <c r="C21" s="91">
        <v>50.0</v>
      </c>
      <c r="D21" s="91">
        <v>435.0</v>
      </c>
      <c r="E21" s="92">
        <f t="shared" si="2"/>
        <v>6800</v>
      </c>
      <c r="F21" s="92">
        <f t="shared" si="3"/>
        <v>1653</v>
      </c>
      <c r="G21" s="94">
        <f t="shared" si="4"/>
        <v>27.55</v>
      </c>
      <c r="H21" s="94">
        <f>(E21/1000)/(Calculos!$A$28*Calculos!$B$28)</f>
        <v>0.2780830889</v>
      </c>
      <c r="I21" s="94">
        <f>(H21*Calculos!$C$28)/(0.4)</f>
        <v>32.02821977</v>
      </c>
      <c r="J21" s="94">
        <f t="shared" si="5"/>
        <v>0.6952077223</v>
      </c>
      <c r="K21" s="94">
        <f>Calculos!$D$34-H21</f>
        <v>0.6973284988</v>
      </c>
      <c r="L21" s="147">
        <f>(E21/1000)/(Calculos!$A$28*Calculos!$B$28)</f>
        <v>0.2780830889</v>
      </c>
      <c r="M21" s="147">
        <f>(L21*Calculos!$C$28)/(0.4)</f>
        <v>32.02821977</v>
      </c>
      <c r="N21" s="147">
        <f t="shared" si="1"/>
        <v>0.6952077223</v>
      </c>
      <c r="O21" s="147">
        <f>-ln(1-N21/Calculos!$D$34)</f>
        <v>1.247342094</v>
      </c>
      <c r="P21" s="147">
        <f>Calculos!$D$34-N21/2</f>
        <v>0.6278077266</v>
      </c>
    </row>
    <row r="22">
      <c r="A22" s="146">
        <v>1.0</v>
      </c>
      <c r="B22" s="91">
        <v>17.0</v>
      </c>
      <c r="C22" s="91">
        <v>7.0</v>
      </c>
      <c r="D22" s="91">
        <v>420.0</v>
      </c>
      <c r="E22" s="92">
        <f t="shared" si="2"/>
        <v>7220</v>
      </c>
      <c r="F22" s="92">
        <f t="shared" si="3"/>
        <v>1730</v>
      </c>
      <c r="G22" s="94">
        <f t="shared" si="4"/>
        <v>28.83333333</v>
      </c>
      <c r="H22" s="94">
        <f>(E22/1000)/(Calculos!$A$28*Calculos!$B$28)</f>
        <v>0.2952588091</v>
      </c>
      <c r="I22" s="94">
        <f>(H22*Calculos!$C$28)/(0.4)</f>
        <v>34.00643334</v>
      </c>
      <c r="J22" s="94">
        <f t="shared" si="5"/>
        <v>0.7381470228</v>
      </c>
      <c r="K22" s="94">
        <f>Calculos!$D$34-H22</f>
        <v>0.6801527786</v>
      </c>
      <c r="L22" s="147">
        <f>(E22/1000)/(Calculos!$A$28*Calculos!$B$28)</f>
        <v>0.2952588091</v>
      </c>
      <c r="M22" s="147">
        <f>(L22*Calculos!$C$28)/(0.4)</f>
        <v>34.00643334</v>
      </c>
      <c r="N22" s="147">
        <f t="shared" si="1"/>
        <v>0.7381470228</v>
      </c>
      <c r="O22" s="147">
        <f>-ln(1-N22/Calculos!$D$34)</f>
        <v>1.413683697</v>
      </c>
      <c r="P22" s="147">
        <f>Calculos!$D$34-N22/2</f>
        <v>0.6063380763</v>
      </c>
    </row>
    <row r="23">
      <c r="A23" s="69">
        <v>1.0</v>
      </c>
      <c r="B23" s="99">
        <v>19.0</v>
      </c>
      <c r="C23" s="99">
        <v>13.0</v>
      </c>
      <c r="D23" s="99">
        <v>355.0</v>
      </c>
      <c r="E23" s="89">
        <f t="shared" si="2"/>
        <v>7575</v>
      </c>
      <c r="F23" s="89">
        <f t="shared" si="3"/>
        <v>1856</v>
      </c>
      <c r="G23" s="72">
        <f t="shared" si="4"/>
        <v>30.93333333</v>
      </c>
      <c r="H23" s="72">
        <f>(E23/1000)/(Calculos!$A$28*Calculos!$B$28)</f>
        <v>0.3097763822</v>
      </c>
      <c r="I23" s="72">
        <f>(H23*Calculos!$C$28)/(0.4)</f>
        <v>35.67849481</v>
      </c>
      <c r="J23" s="72">
        <f t="shared" si="5"/>
        <v>0.7744409554</v>
      </c>
      <c r="K23" s="72">
        <f>Calculos!$D$34-J23</f>
        <v>0.2009706324</v>
      </c>
      <c r="L23" s="85">
        <f>(E23/1000)/(Calculos!$A$28*Calculos!$B$28)</f>
        <v>0.3097763822</v>
      </c>
      <c r="M23" s="85">
        <f>(L23*Calculos!$C$28)/(0.4)</f>
        <v>35.67849481</v>
      </c>
      <c r="N23" s="85">
        <f t="shared" si="1"/>
        <v>0.7744409554</v>
      </c>
      <c r="O23" s="85">
        <f>-ln(1-N23/Calculos!$D$34)</f>
        <v>1.579700733</v>
      </c>
      <c r="P23" s="85">
        <f>Calculos!$D$34-N23/2</f>
        <v>0.58819111</v>
      </c>
    </row>
    <row r="24">
      <c r="A24" s="69">
        <v>1.0</v>
      </c>
      <c r="B24" s="99">
        <v>22.0</v>
      </c>
      <c r="C24" s="99">
        <v>7.0</v>
      </c>
      <c r="D24" s="99">
        <v>425.0</v>
      </c>
      <c r="E24" s="89">
        <f t="shared" si="2"/>
        <v>8000</v>
      </c>
      <c r="F24" s="89">
        <f t="shared" si="3"/>
        <v>2030</v>
      </c>
      <c r="G24" s="72">
        <f t="shared" si="4"/>
        <v>33.83333333</v>
      </c>
      <c r="H24" s="72">
        <f>(E24/1000)/(Calculos!$A$28*Calculos!$B$28)</f>
        <v>0.3271565752</v>
      </c>
      <c r="I24" s="72">
        <f>(H24*Calculos!$C$28)/(0.4)</f>
        <v>37.68025855</v>
      </c>
      <c r="J24" s="72">
        <f t="shared" si="5"/>
        <v>0.817891438</v>
      </c>
      <c r="K24" s="72">
        <f>Calculos!$D$34-H24</f>
        <v>0.6482550125</v>
      </c>
      <c r="L24" s="85">
        <f>(E24/1000)/(Calculos!$A$28*Calculos!$B$28)</f>
        <v>0.3271565752</v>
      </c>
      <c r="M24" s="85">
        <f>(L24*Calculos!$C$28)/(0.4)</f>
        <v>37.68025855</v>
      </c>
      <c r="N24" s="85">
        <f t="shared" si="1"/>
        <v>0.817891438</v>
      </c>
      <c r="O24" s="85">
        <f>-ln(1-N24/Calculos!$D$34)</f>
        <v>1.823306138</v>
      </c>
      <c r="P24" s="85">
        <f>Calculos!$D$34-N24/2</f>
        <v>0.5664658687</v>
      </c>
    </row>
    <row r="25">
      <c r="A25" s="69">
        <v>1.0</v>
      </c>
      <c r="B25" s="99">
        <v>23.0</v>
      </c>
      <c r="C25" s="99">
        <v>58.0</v>
      </c>
      <c r="D25" s="99">
        <v>150.0</v>
      </c>
      <c r="E25" s="89">
        <f t="shared" si="2"/>
        <v>8150</v>
      </c>
      <c r="F25" s="89">
        <f t="shared" si="3"/>
        <v>2141</v>
      </c>
      <c r="G25" s="72">
        <f t="shared" si="4"/>
        <v>35.68333333</v>
      </c>
      <c r="H25" s="72">
        <f>(E25/1000)/(Calculos!$A$28*Calculos!$B$28)</f>
        <v>0.333290761</v>
      </c>
      <c r="I25" s="72">
        <f>(H25*Calculos!$C$28)/(0.4)</f>
        <v>38.3867634</v>
      </c>
      <c r="J25" s="72">
        <f t="shared" si="5"/>
        <v>0.8332269025</v>
      </c>
      <c r="K25" s="72">
        <f>Calculos!$D$34-H25</f>
        <v>0.6421208267</v>
      </c>
      <c r="L25" s="85">
        <f>(E25/1000)/(Calculos!$A$28*Calculos!$B$28)</f>
        <v>0.333290761</v>
      </c>
      <c r="M25" s="85">
        <f>(L25*Calculos!$C$28)/(0.4)</f>
        <v>38.3867634</v>
      </c>
      <c r="N25" s="85">
        <f t="shared" si="1"/>
        <v>0.8332269025</v>
      </c>
      <c r="O25" s="85">
        <f>-ln(1-N25/Calculos!$D$34)</f>
        <v>1.92573271</v>
      </c>
      <c r="P25" s="85">
        <f>Calculos!$D$34-N25/2</f>
        <v>0.5587981365</v>
      </c>
    </row>
    <row r="26">
      <c r="A26" s="69">
        <v>2.0</v>
      </c>
      <c r="B26" s="99">
        <v>15.0</v>
      </c>
      <c r="C26" s="99">
        <v>44.0</v>
      </c>
      <c r="D26" s="99">
        <v>155.0</v>
      </c>
      <c r="E26" s="89">
        <f t="shared" si="2"/>
        <v>8305</v>
      </c>
      <c r="F26" s="89">
        <f t="shared" si="3"/>
        <v>3087</v>
      </c>
      <c r="G26" s="72">
        <f t="shared" si="4"/>
        <v>51.45</v>
      </c>
      <c r="H26" s="72">
        <f>(E26/1000)/(Calculos!$A$28*Calculos!$B$28)</f>
        <v>0.3396294196</v>
      </c>
      <c r="I26" s="72">
        <f>(H26*Calculos!$C$28)/(0.4)</f>
        <v>39.11681841</v>
      </c>
      <c r="J26" s="72">
        <f t="shared" si="5"/>
        <v>0.8490735491</v>
      </c>
      <c r="K26" s="72">
        <f>Calculos!$D$34-H26</f>
        <v>0.6357821681</v>
      </c>
      <c r="L26" s="85">
        <f>(E26/1000)/(Calculos!$A$28*Calculos!$B$28)</f>
        <v>0.3396294196</v>
      </c>
      <c r="M26" s="85">
        <f>(L26*Calculos!$C$28)/(0.4)</f>
        <v>39.11681841</v>
      </c>
      <c r="N26" s="85">
        <f t="shared" si="1"/>
        <v>0.8490735491</v>
      </c>
      <c r="O26" s="85">
        <f>-ln(1-N26/Calculos!$D$34)</f>
        <v>2.043898362</v>
      </c>
      <c r="P26" s="85">
        <f>Calculos!$D$34-N26/2</f>
        <v>0.5508748132</v>
      </c>
    </row>
    <row r="34">
      <c r="D34" s="106"/>
      <c r="E34" s="107"/>
      <c r="F34" s="107"/>
      <c r="G34" s="107"/>
      <c r="H34" s="107"/>
      <c r="I34" s="109"/>
    </row>
    <row r="36">
      <c r="D36" s="83"/>
      <c r="E36" s="83"/>
      <c r="F36" s="83"/>
      <c r="G36" s="83"/>
      <c r="H36" s="83"/>
      <c r="I36" s="86"/>
    </row>
    <row r="37">
      <c r="D37" s="83"/>
      <c r="E37" s="83"/>
      <c r="F37" s="83"/>
      <c r="G37" s="83"/>
      <c r="H37" s="83"/>
      <c r="I37" s="86"/>
    </row>
    <row r="38">
      <c r="D38" s="83"/>
      <c r="E38" s="83"/>
      <c r="F38" s="83"/>
      <c r="G38" s="83"/>
      <c r="H38" s="83"/>
      <c r="I38" s="86"/>
    </row>
    <row r="39">
      <c r="D39" s="83"/>
      <c r="E39" s="83"/>
      <c r="F39" s="83"/>
      <c r="G39" s="83"/>
      <c r="H39" s="83"/>
      <c r="I39" s="86"/>
    </row>
    <row r="40">
      <c r="D40" s="83"/>
      <c r="E40" s="83"/>
      <c r="F40" s="83"/>
      <c r="G40" s="83"/>
      <c r="H40" s="83"/>
      <c r="I40" s="86"/>
    </row>
    <row r="41">
      <c r="D41" s="83"/>
      <c r="E41" s="83"/>
      <c r="F41" s="83"/>
      <c r="G41" s="83"/>
      <c r="H41" s="83"/>
      <c r="I41" s="86"/>
    </row>
    <row r="42">
      <c r="D42" s="83"/>
      <c r="E42" s="83"/>
      <c r="F42" s="83"/>
      <c r="G42" s="83"/>
      <c r="H42" s="83"/>
      <c r="I42" s="86"/>
    </row>
    <row r="43">
      <c r="D43" s="83"/>
      <c r="E43" s="83"/>
      <c r="F43" s="83"/>
      <c r="G43" s="83"/>
      <c r="H43" s="83"/>
      <c r="I43" s="86"/>
    </row>
    <row r="44">
      <c r="D44" s="83"/>
      <c r="E44" s="83"/>
      <c r="F44" s="83"/>
      <c r="G44" s="83"/>
      <c r="H44" s="83"/>
      <c r="I44" s="86"/>
    </row>
    <row r="45">
      <c r="D45" s="83"/>
      <c r="E45" s="83"/>
      <c r="F45" s="83"/>
      <c r="G45" s="83"/>
      <c r="H45" s="83"/>
      <c r="I45" s="86"/>
    </row>
    <row r="46">
      <c r="D46" s="83"/>
      <c r="E46" s="83"/>
      <c r="F46" s="83"/>
      <c r="G46" s="83"/>
      <c r="H46" s="83"/>
      <c r="I46" s="86"/>
    </row>
    <row r="47">
      <c r="D47" s="83"/>
      <c r="E47" s="83"/>
      <c r="F47" s="83"/>
      <c r="G47" s="83"/>
      <c r="H47" s="83"/>
      <c r="I47" s="86"/>
    </row>
    <row r="48">
      <c r="D48" s="83"/>
      <c r="E48" s="83"/>
      <c r="F48" s="83"/>
      <c r="G48" s="83"/>
      <c r="H48" s="83"/>
      <c r="I48" s="86"/>
    </row>
    <row r="49">
      <c r="D49" s="83"/>
      <c r="E49" s="83"/>
      <c r="F49" s="83"/>
      <c r="G49" s="83"/>
      <c r="H49" s="83"/>
      <c r="I49" s="86"/>
    </row>
    <row r="50">
      <c r="D50" s="83"/>
      <c r="E50" s="83"/>
      <c r="F50" s="83"/>
      <c r="G50" s="83"/>
      <c r="H50" s="83"/>
      <c r="I50" s="86"/>
    </row>
    <row r="51">
      <c r="D51" s="83"/>
      <c r="E51" s="83"/>
      <c r="F51" s="83"/>
      <c r="G51" s="83"/>
      <c r="H51" s="83"/>
    </row>
    <row r="52">
      <c r="G52" s="8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16" t="s">
        <v>76</v>
      </c>
      <c r="B1" s="116" t="s">
        <v>77</v>
      </c>
      <c r="C1" s="116" t="s">
        <v>80</v>
      </c>
      <c r="D1" s="149" t="s">
        <v>85</v>
      </c>
      <c r="E1" s="69" t="s">
        <v>86</v>
      </c>
      <c r="F1" s="69" t="s">
        <v>87</v>
      </c>
      <c r="G1" s="88" t="s">
        <v>61</v>
      </c>
      <c r="H1" s="77" t="s">
        <v>62</v>
      </c>
      <c r="I1" s="77" t="s">
        <v>73</v>
      </c>
      <c r="J1" s="77" t="s">
        <v>74</v>
      </c>
      <c r="K1" s="77" t="s">
        <v>65</v>
      </c>
      <c r="N1" s="23" t="s">
        <v>88</v>
      </c>
    </row>
    <row r="2">
      <c r="A2" s="150">
        <v>44482.94097222222</v>
      </c>
      <c r="B2" s="151">
        <f t="shared" ref="B2:B29" si="1">A2-$N$2</f>
        <v>0.425</v>
      </c>
      <c r="C2" s="83">
        <v>500.0</v>
      </c>
      <c r="D2" s="85">
        <f>C2</f>
        <v>500</v>
      </c>
      <c r="E2" s="23">
        <f t="shared" ref="E2:E29" si="2">F2*60</f>
        <v>612</v>
      </c>
      <c r="F2" s="115">
        <f t="shared" ref="F2:F16" si="3">hour(B2) + MINUTE(B2)/60</f>
        <v>10.2</v>
      </c>
      <c r="G2" s="152">
        <f>(D2/1000)/(Calculos!$A$28*Calculos!$B$28)</f>
        <v>0.02044728595</v>
      </c>
      <c r="H2" s="152">
        <f>(G2*Calculos!$C$28)/(0.4)</f>
        <v>2.355016159</v>
      </c>
      <c r="I2" s="152">
        <f t="shared" ref="I2:I29" si="4">G2/0.4</f>
        <v>0.05111821488</v>
      </c>
      <c r="J2" s="152">
        <f>-ln(1-I2/Calculos!$D$34)</f>
        <v>0.05382999885</v>
      </c>
      <c r="K2" s="152">
        <f>Calculos!$D$34-I2/2</f>
        <v>0.9498524803</v>
      </c>
      <c r="N2" s="153">
        <v>44482.51597222222</v>
      </c>
    </row>
    <row r="3">
      <c r="A3" s="154">
        <v>44483.041666666664</v>
      </c>
      <c r="B3" s="151">
        <f t="shared" si="1"/>
        <v>0.5256944444</v>
      </c>
      <c r="C3" s="83">
        <v>500.0</v>
      </c>
      <c r="D3" s="85">
        <f t="shared" ref="D3:D29" si="5">D2+C3</f>
        <v>1000</v>
      </c>
      <c r="E3" s="23">
        <f t="shared" si="2"/>
        <v>757</v>
      </c>
      <c r="F3" s="115">
        <f t="shared" si="3"/>
        <v>12.61666667</v>
      </c>
      <c r="G3" s="152">
        <f>(D3/1000)/(Calculos!$A$28*Calculos!$B$28)</f>
        <v>0.0408945719</v>
      </c>
      <c r="H3" s="152">
        <f>(G3*Calculos!$C$28)/(0.4)</f>
        <v>4.710032319</v>
      </c>
      <c r="I3" s="152">
        <f t="shared" si="4"/>
        <v>0.1022364298</v>
      </c>
      <c r="J3" s="152">
        <f>-ln(1-I3/Calculos!$D$34)</f>
        <v>0.1107233483</v>
      </c>
      <c r="K3" s="152">
        <f>Calculos!$D$34-I3/2</f>
        <v>0.9242933729</v>
      </c>
      <c r="L3" s="119" t="s">
        <v>75</v>
      </c>
    </row>
    <row r="4">
      <c r="A4" s="155">
        <v>44483.145833333336</v>
      </c>
      <c r="B4" s="156">
        <f t="shared" si="1"/>
        <v>0.6298611111</v>
      </c>
      <c r="C4" s="157">
        <v>500.0</v>
      </c>
      <c r="D4" s="147">
        <f t="shared" si="5"/>
        <v>1500</v>
      </c>
      <c r="E4" s="158">
        <f t="shared" si="2"/>
        <v>907</v>
      </c>
      <c r="F4" s="159">
        <f t="shared" si="3"/>
        <v>15.11666667</v>
      </c>
      <c r="G4" s="160">
        <f>(D4/1000)/(Calculos!$A$28*Calculos!$B$28)</f>
        <v>0.06134185785</v>
      </c>
      <c r="H4" s="160">
        <f>(G4*Calculos!$C$28)/(0.4)</f>
        <v>7.065048478</v>
      </c>
      <c r="I4" s="160">
        <f t="shared" si="4"/>
        <v>0.1533546446</v>
      </c>
      <c r="J4" s="160">
        <f>-ln(1-I4/Calculos!$D$34)</f>
        <v>0.1710498567</v>
      </c>
      <c r="K4" s="160">
        <f>Calculos!$D$34-I4/2</f>
        <v>0.8987342654</v>
      </c>
      <c r="L4" s="72">
        <f>SLOPE(J4:J23,F4:F23)</f>
        <v>0.1031951079</v>
      </c>
    </row>
    <row r="5">
      <c r="A5" s="155">
        <v>44483.17361111111</v>
      </c>
      <c r="B5" s="156">
        <f t="shared" si="1"/>
        <v>0.6576388889</v>
      </c>
      <c r="C5" s="157">
        <v>280.0</v>
      </c>
      <c r="D5" s="147">
        <f t="shared" si="5"/>
        <v>1780</v>
      </c>
      <c r="E5" s="158">
        <f t="shared" si="2"/>
        <v>947</v>
      </c>
      <c r="F5" s="159">
        <f t="shared" si="3"/>
        <v>15.78333333</v>
      </c>
      <c r="G5" s="160">
        <f>(D5/1000)/(Calculos!$A$28*Calculos!$B$28)</f>
        <v>0.07279233798</v>
      </c>
      <c r="H5" s="160">
        <f>(G5*Calculos!$C$28)/(0.4)</f>
        <v>8.383857527</v>
      </c>
      <c r="I5" s="160">
        <f t="shared" si="4"/>
        <v>0.181980845</v>
      </c>
      <c r="J5" s="160">
        <f>-ln(1-I5/Calculos!$D$34)</f>
        <v>0.2064932677</v>
      </c>
      <c r="K5" s="160">
        <f>Calculos!$D$34-I5/2</f>
        <v>0.8844211653</v>
      </c>
    </row>
    <row r="6">
      <c r="A6" s="155">
        <v>44483.208333333336</v>
      </c>
      <c r="B6" s="156">
        <f t="shared" si="1"/>
        <v>0.6923611111</v>
      </c>
      <c r="C6" s="157">
        <v>500.0</v>
      </c>
      <c r="D6" s="147">
        <f t="shared" si="5"/>
        <v>2280</v>
      </c>
      <c r="E6" s="158">
        <f t="shared" si="2"/>
        <v>997</v>
      </c>
      <c r="F6" s="159">
        <f t="shared" si="3"/>
        <v>16.61666667</v>
      </c>
      <c r="G6" s="160">
        <f>(D6/1000)/(Calculos!$A$28*Calculos!$B$28)</f>
        <v>0.09323962393</v>
      </c>
      <c r="H6" s="160">
        <f>(G6*Calculos!$C$28)/(0.4)</f>
        <v>10.73887369</v>
      </c>
      <c r="I6" s="160">
        <f t="shared" si="4"/>
        <v>0.2330990598</v>
      </c>
      <c r="J6" s="160">
        <f>-ln(1-I6/Calculos!$D$34)</f>
        <v>0.2730891721</v>
      </c>
      <c r="K6" s="160">
        <f>Calculos!$D$34-I6/2</f>
        <v>0.8588620578</v>
      </c>
    </row>
    <row r="7">
      <c r="A7" s="155">
        <v>44483.229166666664</v>
      </c>
      <c r="B7" s="156">
        <f t="shared" si="1"/>
        <v>0.7131944444</v>
      </c>
      <c r="C7" s="157">
        <v>290.0</v>
      </c>
      <c r="D7" s="147">
        <f t="shared" si="5"/>
        <v>2570</v>
      </c>
      <c r="E7" s="158">
        <f t="shared" si="2"/>
        <v>1027</v>
      </c>
      <c r="F7" s="159">
        <f t="shared" si="3"/>
        <v>17.11666667</v>
      </c>
      <c r="G7" s="160">
        <f>(D7/1000)/(Calculos!$A$28*Calculos!$B$28)</f>
        <v>0.1050990498</v>
      </c>
      <c r="H7" s="160">
        <f>(G7*Calculos!$C$28)/(0.4)</f>
        <v>12.10478306</v>
      </c>
      <c r="I7" s="160">
        <f t="shared" si="4"/>
        <v>0.2627476245</v>
      </c>
      <c r="J7" s="160">
        <f>-ln(1-I7/Calculos!$D$34)</f>
        <v>0.3138495136</v>
      </c>
      <c r="K7" s="160">
        <f>Calculos!$D$34-I7/2</f>
        <v>0.8440377755</v>
      </c>
    </row>
    <row r="8">
      <c r="A8" s="155">
        <v>44483.25</v>
      </c>
      <c r="B8" s="156">
        <f t="shared" si="1"/>
        <v>0.7340277778</v>
      </c>
      <c r="C8" s="157">
        <v>280.0</v>
      </c>
      <c r="D8" s="147">
        <f t="shared" si="5"/>
        <v>2850</v>
      </c>
      <c r="E8" s="158">
        <f t="shared" si="2"/>
        <v>1057</v>
      </c>
      <c r="F8" s="159">
        <f t="shared" si="3"/>
        <v>17.61666667</v>
      </c>
      <c r="G8" s="160">
        <f>(D8/1000)/(Calculos!$A$28*Calculos!$B$28)</f>
        <v>0.1165495299</v>
      </c>
      <c r="H8" s="160">
        <f>(G8*Calculos!$C$28)/(0.4)</f>
        <v>13.42359211</v>
      </c>
      <c r="I8" s="160">
        <f t="shared" si="4"/>
        <v>0.2913738248</v>
      </c>
      <c r="J8" s="160">
        <f>-ln(1-I8/Calculos!$D$34)</f>
        <v>0.3548463981</v>
      </c>
      <c r="K8" s="160">
        <f>Calculos!$D$34-I8/2</f>
        <v>0.8297246753</v>
      </c>
    </row>
    <row r="9">
      <c r="A9" s="155">
        <v>44483.270833333336</v>
      </c>
      <c r="B9" s="156">
        <f t="shared" si="1"/>
        <v>0.7548611111</v>
      </c>
      <c r="C9" s="157">
        <v>290.0</v>
      </c>
      <c r="D9" s="147">
        <f t="shared" si="5"/>
        <v>3140</v>
      </c>
      <c r="E9" s="158">
        <f t="shared" si="2"/>
        <v>1087</v>
      </c>
      <c r="F9" s="159">
        <f t="shared" si="3"/>
        <v>18.11666667</v>
      </c>
      <c r="G9" s="160">
        <f>(D9/1000)/(Calculos!$A$28*Calculos!$B$28)</f>
        <v>0.1284089558</v>
      </c>
      <c r="H9" s="160">
        <f>(G9*Calculos!$C$28)/(0.4)</f>
        <v>14.78950148</v>
      </c>
      <c r="I9" s="160">
        <f t="shared" si="4"/>
        <v>0.3210223894</v>
      </c>
      <c r="J9" s="160">
        <f>-ln(1-I9/Calculos!$D$34)</f>
        <v>0.3991572443</v>
      </c>
      <c r="K9" s="160">
        <f>Calculos!$D$34-I9/2</f>
        <v>0.814900393</v>
      </c>
    </row>
    <row r="10">
      <c r="A10" s="155">
        <v>44483.302083333336</v>
      </c>
      <c r="B10" s="156">
        <f t="shared" si="1"/>
        <v>0.7861111111</v>
      </c>
      <c r="C10" s="157">
        <v>390.0</v>
      </c>
      <c r="D10" s="147">
        <f t="shared" si="5"/>
        <v>3530</v>
      </c>
      <c r="E10" s="158">
        <f t="shared" si="2"/>
        <v>1132</v>
      </c>
      <c r="F10" s="159">
        <f t="shared" si="3"/>
        <v>18.86666667</v>
      </c>
      <c r="G10" s="160">
        <f>(D10/1000)/(Calculos!$A$28*Calculos!$B$28)</f>
        <v>0.1443578388</v>
      </c>
      <c r="H10" s="160">
        <f>(G10*Calculos!$C$28)/(0.4)</f>
        <v>16.62641409</v>
      </c>
      <c r="I10" s="160">
        <f t="shared" si="4"/>
        <v>0.360894597</v>
      </c>
      <c r="J10" s="160">
        <f>-ln(1-I10/Calculos!$D$34)</f>
        <v>0.4620229449</v>
      </c>
      <c r="K10" s="160">
        <f>Calculos!$D$34-I10/2</f>
        <v>0.7949642892</v>
      </c>
    </row>
    <row r="11">
      <c r="A11" s="155">
        <v>44483.333333333336</v>
      </c>
      <c r="B11" s="156">
        <f t="shared" si="1"/>
        <v>0.8173611111</v>
      </c>
      <c r="C11" s="157">
        <v>350.0</v>
      </c>
      <c r="D11" s="147">
        <f t="shared" si="5"/>
        <v>3880</v>
      </c>
      <c r="E11" s="158">
        <f t="shared" si="2"/>
        <v>1177</v>
      </c>
      <c r="F11" s="159">
        <f t="shared" si="3"/>
        <v>19.61666667</v>
      </c>
      <c r="G11" s="160">
        <f>(D11/1000)/(Calculos!$A$28*Calculos!$B$28)</f>
        <v>0.158670939</v>
      </c>
      <c r="H11" s="160">
        <f>(G11*Calculos!$C$28)/(0.4)</f>
        <v>18.2749254</v>
      </c>
      <c r="I11" s="160">
        <f t="shared" si="4"/>
        <v>0.3966773474</v>
      </c>
      <c r="J11" s="160">
        <f>-ln(1-I11/Calculos!$D$34)</f>
        <v>0.5220161488</v>
      </c>
      <c r="K11" s="160">
        <f>Calculos!$D$34-I11/2</f>
        <v>0.777072914</v>
      </c>
    </row>
    <row r="12">
      <c r="A12" s="155">
        <v>44483.364583333336</v>
      </c>
      <c r="B12" s="156">
        <f t="shared" si="1"/>
        <v>0.8486111111</v>
      </c>
      <c r="C12" s="157">
        <v>350.0</v>
      </c>
      <c r="D12" s="147">
        <f t="shared" si="5"/>
        <v>4230</v>
      </c>
      <c r="E12" s="158">
        <f t="shared" si="2"/>
        <v>1222</v>
      </c>
      <c r="F12" s="159">
        <f t="shared" si="3"/>
        <v>20.36666667</v>
      </c>
      <c r="G12" s="160">
        <f>(D12/1000)/(Calculos!$A$28*Calculos!$B$28)</f>
        <v>0.1729840391</v>
      </c>
      <c r="H12" s="160">
        <f>(G12*Calculos!$C$28)/(0.4)</f>
        <v>19.92343671</v>
      </c>
      <c r="I12" s="160">
        <f t="shared" si="4"/>
        <v>0.4324600979</v>
      </c>
      <c r="J12" s="160">
        <f>-ln(1-I12/Calculos!$D$34)</f>
        <v>0.5858395445</v>
      </c>
      <c r="K12" s="160">
        <f>Calculos!$D$34-I12/2</f>
        <v>0.7591815388</v>
      </c>
    </row>
    <row r="13">
      <c r="A13" s="155">
        <v>44483.40625</v>
      </c>
      <c r="B13" s="156">
        <f t="shared" si="1"/>
        <v>0.8902777778</v>
      </c>
      <c r="C13" s="157">
        <v>500.0</v>
      </c>
      <c r="D13" s="147">
        <f t="shared" si="5"/>
        <v>4730</v>
      </c>
      <c r="E13" s="158">
        <f t="shared" si="2"/>
        <v>1282</v>
      </c>
      <c r="F13" s="159">
        <f t="shared" si="3"/>
        <v>21.36666667</v>
      </c>
      <c r="G13" s="160">
        <f>(D13/1000)/(Calculos!$A$28*Calculos!$B$28)</f>
        <v>0.1934313251</v>
      </c>
      <c r="H13" s="160">
        <f>(G13*Calculos!$C$28)/(0.4)</f>
        <v>22.27845287</v>
      </c>
      <c r="I13" s="160">
        <f t="shared" si="4"/>
        <v>0.4835783127</v>
      </c>
      <c r="J13" s="160">
        <f>-ln(1-I13/Calculos!$D$34)</f>
        <v>0.6847197361</v>
      </c>
      <c r="K13" s="160">
        <f>Calculos!$D$34-I13/2</f>
        <v>0.7336224314</v>
      </c>
    </row>
    <row r="14">
      <c r="A14" s="155">
        <v>44483.44097222222</v>
      </c>
      <c r="B14" s="156">
        <f t="shared" si="1"/>
        <v>0.925</v>
      </c>
      <c r="C14" s="157">
        <v>500.0</v>
      </c>
      <c r="D14" s="147">
        <f t="shared" si="5"/>
        <v>5230</v>
      </c>
      <c r="E14" s="158">
        <f t="shared" si="2"/>
        <v>1332</v>
      </c>
      <c r="F14" s="159">
        <f t="shared" si="3"/>
        <v>22.2</v>
      </c>
      <c r="G14" s="160">
        <f>(D14/1000)/(Calculos!$A$28*Calculos!$B$28)</f>
        <v>0.213878611</v>
      </c>
      <c r="H14" s="160">
        <f>(G14*Calculos!$C$28)/(0.4)</f>
        <v>24.63346903</v>
      </c>
      <c r="I14" s="160">
        <f t="shared" si="4"/>
        <v>0.5346965276</v>
      </c>
      <c r="J14" s="160">
        <f>-ln(1-I14/Calculos!$D$34)</f>
        <v>0.7944609787</v>
      </c>
      <c r="K14" s="160">
        <f>Calculos!$D$34-I14/2</f>
        <v>0.7080633239</v>
      </c>
    </row>
    <row r="15">
      <c r="A15" s="155">
        <v>44483.46875</v>
      </c>
      <c r="B15" s="156">
        <f t="shared" si="1"/>
        <v>0.9527777778</v>
      </c>
      <c r="C15" s="157">
        <v>320.0</v>
      </c>
      <c r="D15" s="147">
        <f t="shared" si="5"/>
        <v>5550</v>
      </c>
      <c r="E15" s="158">
        <f t="shared" si="2"/>
        <v>1372</v>
      </c>
      <c r="F15" s="159">
        <f t="shared" si="3"/>
        <v>22.86666667</v>
      </c>
      <c r="G15" s="160">
        <f>(D15/1000)/(Calculos!$A$28*Calculos!$B$28)</f>
        <v>0.2269648741</v>
      </c>
      <c r="H15" s="160">
        <f>(G15*Calculos!$C$28)/(0.4)</f>
        <v>26.14067937</v>
      </c>
      <c r="I15" s="160">
        <f t="shared" si="4"/>
        <v>0.5674121851</v>
      </c>
      <c r="J15" s="160">
        <f>-ln(1-I15/Calculos!$D$34)</f>
        <v>0.871593813</v>
      </c>
      <c r="K15" s="160">
        <f>Calculos!$D$34-I15/2</f>
        <v>0.6917054952</v>
      </c>
    </row>
    <row r="16">
      <c r="A16" s="155">
        <v>44483.5</v>
      </c>
      <c r="B16" s="156">
        <f t="shared" si="1"/>
        <v>0.9840277778</v>
      </c>
      <c r="C16" s="157">
        <v>330.0</v>
      </c>
      <c r="D16" s="147">
        <f t="shared" si="5"/>
        <v>5880</v>
      </c>
      <c r="E16" s="158">
        <f t="shared" si="2"/>
        <v>1417</v>
      </c>
      <c r="F16" s="159">
        <f t="shared" si="3"/>
        <v>23.61666667</v>
      </c>
      <c r="G16" s="160">
        <f>(D16/1000)/(Calculos!$A$28*Calculos!$B$28)</f>
        <v>0.2404600828</v>
      </c>
      <c r="H16" s="160">
        <f>(G16*Calculos!$C$28)/(0.4)</f>
        <v>27.69499003</v>
      </c>
      <c r="I16" s="160">
        <f t="shared" si="4"/>
        <v>0.6011502069</v>
      </c>
      <c r="J16" s="160">
        <f>-ln(1-I16/Calculos!$D$34)</f>
        <v>0.9579050908</v>
      </c>
      <c r="K16" s="160">
        <f>Calculos!$D$34-I16/2</f>
        <v>0.6748364843</v>
      </c>
    </row>
    <row r="17">
      <c r="A17" s="155">
        <v>44483.53125</v>
      </c>
      <c r="B17" s="156">
        <f t="shared" si="1"/>
        <v>1.015277778</v>
      </c>
      <c r="C17" s="157">
        <v>310.0</v>
      </c>
      <c r="D17" s="147">
        <f t="shared" si="5"/>
        <v>6190</v>
      </c>
      <c r="E17" s="158">
        <f t="shared" si="2"/>
        <v>1462</v>
      </c>
      <c r="F17" s="159">
        <f t="shared" ref="F17:F26" si="6">hour(B17) + MINUTE(B17)/60 + 24</f>
        <v>24.36666667</v>
      </c>
      <c r="G17" s="160">
        <f>(D17/1000)/(Calculos!$A$28*Calculos!$B$28)</f>
        <v>0.2531374001</v>
      </c>
      <c r="H17" s="160">
        <f>(G17*Calculos!$C$28)/(0.4)</f>
        <v>29.15510005</v>
      </c>
      <c r="I17" s="160">
        <f t="shared" si="4"/>
        <v>0.6328435002</v>
      </c>
      <c r="J17" s="160">
        <f>-ln(1-I17/Calculos!$D$34)</f>
        <v>1.046389089</v>
      </c>
      <c r="K17" s="160">
        <f>Calculos!$D$34-I17/2</f>
        <v>0.6589898377</v>
      </c>
    </row>
    <row r="18">
      <c r="A18" s="155">
        <v>44483.55902777778</v>
      </c>
      <c r="B18" s="156">
        <f t="shared" si="1"/>
        <v>1.043055556</v>
      </c>
      <c r="C18" s="157">
        <v>270.0</v>
      </c>
      <c r="D18" s="147">
        <f t="shared" si="5"/>
        <v>6460</v>
      </c>
      <c r="E18" s="158">
        <f t="shared" si="2"/>
        <v>1502</v>
      </c>
      <c r="F18" s="159">
        <f t="shared" si="6"/>
        <v>25.03333333</v>
      </c>
      <c r="G18" s="160">
        <f>(D18/1000)/(Calculos!$A$28*Calculos!$B$28)</f>
        <v>0.2641789345</v>
      </c>
      <c r="H18" s="160">
        <f>(G18*Calculos!$C$28)/(0.4)</f>
        <v>30.42680878</v>
      </c>
      <c r="I18" s="160">
        <f t="shared" si="4"/>
        <v>0.6604473362</v>
      </c>
      <c r="J18" s="160">
        <f>-ln(1-I18/Calculos!$D$34)</f>
        <v>1.130400378</v>
      </c>
      <c r="K18" s="160">
        <f>Calculos!$D$34-I18/2</f>
        <v>0.6451879196</v>
      </c>
    </row>
    <row r="19">
      <c r="A19" s="155">
        <v>44483.59722222222</v>
      </c>
      <c r="B19" s="156">
        <f t="shared" si="1"/>
        <v>1.08125</v>
      </c>
      <c r="C19" s="157">
        <v>315.0</v>
      </c>
      <c r="D19" s="147">
        <f t="shared" si="5"/>
        <v>6775</v>
      </c>
      <c r="E19" s="158">
        <f t="shared" si="2"/>
        <v>1557</v>
      </c>
      <c r="F19" s="159">
        <f t="shared" si="6"/>
        <v>25.95</v>
      </c>
      <c r="G19" s="160">
        <f>(D19/1000)/(Calculos!$A$28*Calculos!$B$28)</f>
        <v>0.2770607246</v>
      </c>
      <c r="H19" s="160">
        <f>(G19*Calculos!$C$28)/(0.4)</f>
        <v>31.91046896</v>
      </c>
      <c r="I19" s="160">
        <f t="shared" si="4"/>
        <v>0.6926518116</v>
      </c>
      <c r="J19" s="160">
        <f>-ln(1-I19/Calculos!$D$34)</f>
        <v>1.238261834</v>
      </c>
      <c r="K19" s="160">
        <f>Calculos!$D$34-I19/2</f>
        <v>0.6290856819</v>
      </c>
    </row>
    <row r="20">
      <c r="A20" s="161">
        <v>44483.62847222222</v>
      </c>
      <c r="B20" s="156">
        <f t="shared" si="1"/>
        <v>1.1125</v>
      </c>
      <c r="C20" s="157">
        <v>230.0</v>
      </c>
      <c r="D20" s="147">
        <f t="shared" si="5"/>
        <v>7005</v>
      </c>
      <c r="E20" s="158">
        <f t="shared" si="2"/>
        <v>1602</v>
      </c>
      <c r="F20" s="159">
        <f t="shared" si="6"/>
        <v>26.7</v>
      </c>
      <c r="G20" s="160">
        <f>(D20/1000)/(Calculos!$A$28*Calculos!$B$28)</f>
        <v>0.2864664762</v>
      </c>
      <c r="H20" s="160">
        <f>(G20*Calculos!$C$28)/(0.4)</f>
        <v>32.99377639</v>
      </c>
      <c r="I20" s="160">
        <f t="shared" si="4"/>
        <v>0.7161661904</v>
      </c>
      <c r="J20" s="160">
        <f>-ln(1-I20/Calculos!$D$34)</f>
        <v>1.32508443</v>
      </c>
      <c r="K20" s="160">
        <f>Calculos!$D$34-I20/2</f>
        <v>0.6173284925</v>
      </c>
    </row>
    <row r="21">
      <c r="A21" s="161">
        <v>44483.649305555555</v>
      </c>
      <c r="B21" s="156">
        <f t="shared" si="1"/>
        <v>1.133333333</v>
      </c>
      <c r="C21" s="157">
        <v>140.0</v>
      </c>
      <c r="D21" s="147">
        <f t="shared" si="5"/>
        <v>7145</v>
      </c>
      <c r="E21" s="158">
        <f t="shared" si="2"/>
        <v>1632</v>
      </c>
      <c r="F21" s="159">
        <f t="shared" si="6"/>
        <v>27.2</v>
      </c>
      <c r="G21" s="160">
        <f>(D21/1000)/(Calculos!$A$28*Calculos!$B$28)</f>
        <v>0.2921917162</v>
      </c>
      <c r="H21" s="160">
        <f>(G21*Calculos!$C$28)/(0.4)</f>
        <v>33.65318092</v>
      </c>
      <c r="I21" s="160">
        <f t="shared" si="4"/>
        <v>0.7304792906</v>
      </c>
      <c r="J21" s="160">
        <f>-ln(1-I21/Calculos!$D$34)</f>
        <v>1.381877689</v>
      </c>
      <c r="K21" s="160">
        <f>Calculos!$D$34-I21/2</f>
        <v>0.6101719424</v>
      </c>
    </row>
    <row r="22">
      <c r="A22" s="161">
        <v>44483.69097222222</v>
      </c>
      <c r="B22" s="156">
        <f t="shared" si="1"/>
        <v>1.175</v>
      </c>
      <c r="C22" s="157">
        <v>205.0</v>
      </c>
      <c r="D22" s="147">
        <f t="shared" si="5"/>
        <v>7350</v>
      </c>
      <c r="E22" s="158">
        <f t="shared" si="2"/>
        <v>1692</v>
      </c>
      <c r="F22" s="159">
        <f t="shared" si="6"/>
        <v>28.2</v>
      </c>
      <c r="G22" s="160">
        <f>(D22/1000)/(Calculos!$A$28*Calculos!$B$28)</f>
        <v>0.3005751035</v>
      </c>
      <c r="H22" s="160">
        <f>(G22*Calculos!$C$28)/(0.4)</f>
        <v>34.61873754</v>
      </c>
      <c r="I22" s="160">
        <f t="shared" si="4"/>
        <v>0.7514377587</v>
      </c>
      <c r="J22" s="160">
        <f>-ln(1-I22/Calculos!$D$34)</f>
        <v>1.471330313</v>
      </c>
      <c r="K22" s="160">
        <f>Calculos!$D$34-I22/2</f>
        <v>0.5996927084</v>
      </c>
    </row>
    <row r="23">
      <c r="A23" s="161">
        <v>44483.75</v>
      </c>
      <c r="B23" s="156">
        <f t="shared" si="1"/>
        <v>1.234027778</v>
      </c>
      <c r="C23" s="157">
        <v>265.0</v>
      </c>
      <c r="D23" s="147">
        <f t="shared" si="5"/>
        <v>7615</v>
      </c>
      <c r="E23" s="158">
        <f t="shared" si="2"/>
        <v>1777</v>
      </c>
      <c r="F23" s="159">
        <f t="shared" si="6"/>
        <v>29.61666667</v>
      </c>
      <c r="G23" s="160">
        <f>(D23/1000)/(Calculos!$A$28*Calculos!$B$28)</f>
        <v>0.311412165</v>
      </c>
      <c r="H23" s="160">
        <f>(G23*Calculos!$C$28)/(0.4)</f>
        <v>35.86689611</v>
      </c>
      <c r="I23" s="160">
        <f t="shared" si="4"/>
        <v>0.7785304126</v>
      </c>
      <c r="J23" s="160">
        <f>-ln(1-I23/Calculos!$D$34)</f>
        <v>1.600259148</v>
      </c>
      <c r="K23" s="160">
        <f>Calculos!$D$34-I23/2</f>
        <v>0.5861463815</v>
      </c>
    </row>
    <row r="24">
      <c r="A24" s="154">
        <v>44483.854166666664</v>
      </c>
      <c r="B24" s="151">
        <f t="shared" si="1"/>
        <v>1.338194444</v>
      </c>
      <c r="C24" s="85">
        <v>250.0</v>
      </c>
      <c r="D24" s="85">
        <f t="shared" si="5"/>
        <v>7865</v>
      </c>
      <c r="E24" s="23">
        <f t="shared" si="2"/>
        <v>1927</v>
      </c>
      <c r="F24" s="115">
        <f t="shared" si="6"/>
        <v>32.11666667</v>
      </c>
      <c r="G24" s="152">
        <f>(D24/1000)/(Calculos!$A$28*Calculos!$B$28)</f>
        <v>0.321635808</v>
      </c>
      <c r="H24" s="152">
        <f>(G24*Calculos!$C$28)/(0.4)</f>
        <v>37.04440419</v>
      </c>
      <c r="I24" s="152">
        <f t="shared" si="4"/>
        <v>0.80408952</v>
      </c>
      <c r="J24" s="152">
        <f>-ln(1-I24/Calculos!$D$34)</f>
        <v>1.739314301</v>
      </c>
      <c r="K24" s="152">
        <f>Calculos!$D$34-I24/2</f>
        <v>0.5733668277</v>
      </c>
    </row>
    <row r="25">
      <c r="A25" s="162">
        <v>44483.98263888889</v>
      </c>
      <c r="B25" s="151">
        <f t="shared" si="1"/>
        <v>1.466666667</v>
      </c>
      <c r="C25" s="85">
        <v>100.0</v>
      </c>
      <c r="D25" s="85">
        <f t="shared" si="5"/>
        <v>7965</v>
      </c>
      <c r="E25" s="23">
        <f t="shared" si="2"/>
        <v>2112</v>
      </c>
      <c r="F25" s="115">
        <f t="shared" si="6"/>
        <v>35.2</v>
      </c>
      <c r="G25" s="152">
        <f>(D25/1000)/(Calculos!$A$28*Calculos!$B$28)</f>
        <v>0.3257252652</v>
      </c>
      <c r="H25" s="152">
        <f>(G25*Calculos!$C$28)/(0.4)</f>
        <v>37.51540742</v>
      </c>
      <c r="I25" s="152">
        <f t="shared" si="4"/>
        <v>0.814313163</v>
      </c>
      <c r="J25" s="152">
        <f>-ln(1-I25/Calculos!$D$34)</f>
        <v>1.800844011</v>
      </c>
      <c r="K25" s="152">
        <f>Calculos!$D$34-I25/2</f>
        <v>0.5682550062</v>
      </c>
    </row>
    <row r="26">
      <c r="A26" s="154">
        <v>44484.46875</v>
      </c>
      <c r="B26" s="151">
        <f t="shared" si="1"/>
        <v>1.952777778</v>
      </c>
      <c r="C26" s="85">
        <v>180.0</v>
      </c>
      <c r="D26" s="85">
        <f t="shared" si="5"/>
        <v>8145</v>
      </c>
      <c r="E26" s="23">
        <f t="shared" si="2"/>
        <v>2812</v>
      </c>
      <c r="F26" s="115">
        <f t="shared" si="6"/>
        <v>46.86666667</v>
      </c>
      <c r="G26" s="152">
        <f>(D26/1000)/(Calculos!$A$28*Calculos!$B$28)</f>
        <v>0.3330862881</v>
      </c>
      <c r="H26" s="152">
        <f>(G26*Calculos!$C$28)/(0.4)</f>
        <v>38.36321324</v>
      </c>
      <c r="I26" s="152">
        <f t="shared" si="4"/>
        <v>0.8327157203</v>
      </c>
      <c r="J26" s="152">
        <f>-ln(1-I26/Calculos!$D$34)</f>
        <v>1.922143959</v>
      </c>
      <c r="K26" s="152">
        <f>Calculos!$D$34-I26/2</f>
        <v>0.5590537276</v>
      </c>
    </row>
    <row r="27">
      <c r="A27" s="154">
        <v>44485.680555555555</v>
      </c>
      <c r="B27" s="151">
        <f t="shared" si="1"/>
        <v>3.164583333</v>
      </c>
      <c r="C27" s="85">
        <v>290.0</v>
      </c>
      <c r="D27" s="85">
        <f t="shared" si="5"/>
        <v>8435</v>
      </c>
      <c r="E27" s="23">
        <f t="shared" si="2"/>
        <v>3117</v>
      </c>
      <c r="F27" s="115">
        <f>hour(B27) + MINUTE(B27)/60 + 48</f>
        <v>51.95</v>
      </c>
      <c r="G27" s="152">
        <f>(D27/1000)/(Calculos!$A$28*Calculos!$B$28)</f>
        <v>0.344945714</v>
      </c>
      <c r="H27" s="152">
        <f>(G27*Calculos!$C$28)/(0.4)</f>
        <v>39.72912261</v>
      </c>
      <c r="I27" s="152">
        <f t="shared" si="4"/>
        <v>0.862364285</v>
      </c>
      <c r="J27" s="152">
        <f>-ln(1-I27/Calculos!$D$34)</f>
        <v>2.155053183</v>
      </c>
      <c r="K27" s="152">
        <f>Calculos!$D$34-I27/2</f>
        <v>0.5442294453</v>
      </c>
    </row>
    <row r="28">
      <c r="A28" s="154">
        <v>44486.57986111111</v>
      </c>
      <c r="B28" s="151">
        <f t="shared" si="1"/>
        <v>4.063888889</v>
      </c>
      <c r="C28" s="85">
        <v>80.0</v>
      </c>
      <c r="D28" s="85">
        <f t="shared" si="5"/>
        <v>8515</v>
      </c>
      <c r="E28" s="23">
        <f t="shared" si="2"/>
        <v>4412</v>
      </c>
      <c r="F28" s="115">
        <f>hour(B28) + MINUTE(B28)/60 + 72</f>
        <v>73.53333333</v>
      </c>
      <c r="G28" s="152">
        <f>(D28/1000)/(Calculos!$A$28*Calculos!$B$28)</f>
        <v>0.3482172797</v>
      </c>
      <c r="H28" s="152">
        <f>(G28*Calculos!$C$28)/(0.4)</f>
        <v>40.10592519</v>
      </c>
      <c r="I28" s="152">
        <f t="shared" si="4"/>
        <v>0.8705431993</v>
      </c>
      <c r="J28" s="152">
        <f>-ln(1-I28/Calculos!$D$34)</f>
        <v>2.230153403</v>
      </c>
      <c r="K28" s="152">
        <f>Calculos!$D$34-I28/2</f>
        <v>0.5401399881</v>
      </c>
    </row>
    <row r="29">
      <c r="A29" s="154">
        <v>44489.302083333336</v>
      </c>
      <c r="B29" s="151">
        <f t="shared" si="1"/>
        <v>6.786111111</v>
      </c>
      <c r="C29" s="85">
        <v>270.0</v>
      </c>
      <c r="D29" s="85">
        <f t="shared" si="5"/>
        <v>8785</v>
      </c>
      <c r="E29" s="23">
        <f t="shared" si="2"/>
        <v>9772</v>
      </c>
      <c r="F29" s="115">
        <f>hour(B29) + MINUTE(B29)/60 + 6*24</f>
        <v>162.8666667</v>
      </c>
      <c r="G29" s="152">
        <f>(D29/1000)/(Calculos!$A$28*Calculos!$B$28)</f>
        <v>0.3592588142</v>
      </c>
      <c r="H29" s="152">
        <f>(G29*Calculos!$C$28)/(0.4)</f>
        <v>41.37763392</v>
      </c>
      <c r="I29" s="152">
        <f t="shared" si="4"/>
        <v>0.8981470354</v>
      </c>
      <c r="J29" s="152">
        <f>-ln(1-I29/Calculos!$D$34)</f>
        <v>2.535624245</v>
      </c>
      <c r="K29" s="152">
        <f>Calculos!$D$34-I29/2</f>
        <v>0.52633807</v>
      </c>
    </row>
  </sheetData>
  <drawing r:id="rId1"/>
</worksheet>
</file>