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val\Desktop\"/>
    </mc:Choice>
  </mc:AlternateContent>
  <bookViews>
    <workbookView xWindow="0" yWindow="4260" windowWidth="15480" windowHeight="3270" tabRatio="886"/>
  </bookViews>
  <sheets>
    <sheet name="ENE-SEP Bs 11NOV2016" sheetId="85" r:id="rId1"/>
    <sheet name="ENE-MAR USD AL 18MAR16" sheetId="81" state="hidden" r:id="rId2"/>
    <sheet name="HAB-POR EC Bs" sheetId="7" r:id="rId3"/>
    <sheet name="HAB-POR EC M$" sheetId="8" state="hidden" r:id="rId4"/>
    <sheet name="ejecucion MUSD " sheetId="68" r:id="rId5"/>
    <sheet name="HAB-POR EC MUSD" sheetId="87" r:id="rId6"/>
    <sheet name="OI GRUPO" sheetId="86" state="hidden" r:id="rId7"/>
  </sheets>
  <definedNames>
    <definedName name="_xlnm._FilterDatabase" localSheetId="4" hidden="1">'ejecucion MUSD '!$A$4:$E$62</definedName>
    <definedName name="_xlnm._FilterDatabase" localSheetId="1" hidden="1">'ENE-MAR USD AL 18MAR16'!$A$5:$S$75</definedName>
  </definedNames>
  <calcPr calcId="162913"/>
</workbook>
</file>

<file path=xl/calcChain.xml><?xml version="1.0" encoding="utf-8"?>
<calcChain xmlns="http://schemas.openxmlformats.org/spreadsheetml/2006/main">
  <c r="W32" i="85" l="1"/>
  <c r="I3" i="86"/>
  <c r="I4" i="86"/>
  <c r="I5" i="86"/>
  <c r="I6" i="86"/>
  <c r="I7" i="86"/>
  <c r="I8" i="86"/>
  <c r="I9" i="86"/>
  <c r="I10" i="86"/>
  <c r="I11" i="86"/>
  <c r="I12" i="86"/>
  <c r="I13" i="86"/>
  <c r="I14" i="86"/>
  <c r="I15" i="86"/>
  <c r="I16" i="86"/>
  <c r="I17" i="86"/>
  <c r="I18" i="86"/>
  <c r="I19" i="86"/>
  <c r="I20" i="86"/>
  <c r="I21" i="86"/>
  <c r="I22" i="86"/>
  <c r="I23" i="86"/>
  <c r="I24" i="86"/>
  <c r="I25" i="86"/>
  <c r="I26" i="86"/>
  <c r="I27" i="86"/>
  <c r="I28" i="86"/>
  <c r="I29" i="86"/>
  <c r="I30" i="86"/>
  <c r="I31" i="86"/>
  <c r="I32" i="86"/>
  <c r="I33" i="86"/>
  <c r="I34" i="86"/>
  <c r="I35" i="86"/>
  <c r="I36" i="86"/>
  <c r="I37" i="86"/>
  <c r="I38" i="86"/>
  <c r="I39" i="86"/>
  <c r="I40" i="86"/>
  <c r="I41" i="86"/>
  <c r="I42" i="86"/>
  <c r="I43" i="86"/>
  <c r="I44" i="86"/>
  <c r="I45" i="86"/>
  <c r="I46" i="86"/>
  <c r="I47" i="86"/>
  <c r="I48" i="86"/>
  <c r="I49" i="86"/>
  <c r="I50" i="86"/>
  <c r="I51" i="86"/>
  <c r="I52" i="86"/>
  <c r="I53" i="86"/>
  <c r="I54" i="86"/>
  <c r="I55" i="86"/>
  <c r="I56" i="86"/>
  <c r="I57" i="86"/>
  <c r="I58" i="86"/>
  <c r="I59" i="86"/>
  <c r="I60" i="86"/>
  <c r="I61" i="86"/>
  <c r="I62" i="86"/>
  <c r="I63" i="86"/>
  <c r="I64" i="86"/>
  <c r="I65" i="86"/>
  <c r="I66" i="86"/>
  <c r="I67" i="86"/>
  <c r="I68" i="86"/>
  <c r="I69" i="86"/>
  <c r="I70" i="86"/>
  <c r="I71" i="86"/>
  <c r="I72" i="86"/>
  <c r="I73" i="86"/>
  <c r="I74" i="86"/>
  <c r="I75" i="86"/>
  <c r="I76" i="86"/>
  <c r="I77" i="86"/>
  <c r="I78" i="86"/>
  <c r="I79" i="86"/>
  <c r="I80" i="86"/>
  <c r="I81" i="86"/>
  <c r="I82" i="86"/>
  <c r="I83" i="86"/>
  <c r="I84" i="86"/>
  <c r="I85" i="86"/>
  <c r="I86" i="86"/>
  <c r="I87" i="86"/>
  <c r="B13" i="87"/>
  <c r="C13" i="87"/>
  <c r="D13" i="87"/>
  <c r="E13" i="87"/>
  <c r="F13" i="87"/>
  <c r="G13" i="87"/>
  <c r="H13" i="87"/>
  <c r="I13" i="87"/>
  <c r="J13" i="87"/>
  <c r="K13" i="87"/>
  <c r="L13" i="87"/>
  <c r="M13" i="87"/>
  <c r="B21" i="87"/>
  <c r="C21" i="87"/>
  <c r="D21" i="87"/>
  <c r="E21" i="87"/>
  <c r="F21" i="87"/>
  <c r="G21" i="87"/>
  <c r="H21" i="87"/>
  <c r="I21" i="87"/>
  <c r="J21" i="87"/>
  <c r="K21" i="87"/>
  <c r="L21" i="87"/>
  <c r="M21" i="87"/>
  <c r="B29" i="87"/>
  <c r="C29" i="87"/>
  <c r="D29" i="87"/>
  <c r="E29" i="87"/>
  <c r="F29" i="87"/>
  <c r="G29" i="87"/>
  <c r="H29" i="87"/>
  <c r="I29" i="87"/>
  <c r="J29" i="87"/>
  <c r="K29" i="87"/>
  <c r="L29" i="87"/>
  <c r="M29" i="87"/>
  <c r="B37" i="87"/>
  <c r="C37" i="87"/>
  <c r="D37" i="87"/>
  <c r="E37" i="87"/>
  <c r="F37" i="87"/>
  <c r="G37" i="87"/>
  <c r="H37" i="87"/>
  <c r="I37" i="87"/>
  <c r="J37" i="87"/>
  <c r="K37" i="87"/>
  <c r="L37" i="87"/>
  <c r="M37" i="87"/>
  <c r="B45" i="87"/>
  <c r="C45" i="87"/>
  <c r="D45" i="87"/>
  <c r="E45" i="87"/>
  <c r="F45" i="87"/>
  <c r="G45" i="87"/>
  <c r="H45" i="87"/>
  <c r="I45" i="87"/>
  <c r="J45" i="87"/>
  <c r="K45" i="87"/>
  <c r="L45" i="87"/>
  <c r="M45" i="87"/>
  <c r="B53" i="87"/>
  <c r="C53" i="87"/>
  <c r="D53" i="87"/>
  <c r="E53" i="87"/>
  <c r="F53" i="87"/>
  <c r="G53" i="87"/>
  <c r="H53" i="87"/>
  <c r="I53" i="87"/>
  <c r="J53" i="87"/>
  <c r="K53" i="87"/>
  <c r="L53" i="87"/>
  <c r="M53" i="87"/>
  <c r="Q56" i="87"/>
  <c r="Q57" i="87"/>
  <c r="Q61" i="87" s="1"/>
  <c r="Q58" i="87"/>
  <c r="Q59" i="87"/>
  <c r="Q60" i="87"/>
  <c r="B61" i="87"/>
  <c r="C61" i="87"/>
  <c r="D61" i="87"/>
  <c r="E61" i="87"/>
  <c r="F61" i="87"/>
  <c r="G61" i="87"/>
  <c r="H61" i="87"/>
  <c r="I61" i="87"/>
  <c r="J61" i="87"/>
  <c r="K61" i="87"/>
  <c r="L61" i="87"/>
  <c r="M61" i="87"/>
  <c r="N61" i="87"/>
  <c r="O61" i="87"/>
  <c r="P61" i="87"/>
  <c r="B69" i="87"/>
  <c r="C69" i="87"/>
  <c r="D69" i="87"/>
  <c r="E69" i="87"/>
  <c r="F69" i="87"/>
  <c r="G69" i="87"/>
  <c r="H69" i="87"/>
  <c r="I69" i="87"/>
  <c r="J69" i="87"/>
  <c r="K69" i="87"/>
  <c r="L69" i="87"/>
  <c r="M69" i="87"/>
  <c r="B77" i="87"/>
  <c r="C77" i="87"/>
  <c r="D77" i="87"/>
  <c r="E77" i="87"/>
  <c r="F77" i="87"/>
  <c r="G77" i="87"/>
  <c r="H77" i="87"/>
  <c r="I77" i="87"/>
  <c r="J77" i="87"/>
  <c r="K77" i="87"/>
  <c r="L77" i="87"/>
  <c r="M77" i="87"/>
  <c r="Q80" i="87"/>
  <c r="Q81" i="87"/>
  <c r="Q82" i="87"/>
  <c r="Q83" i="87"/>
  <c r="Q84" i="87"/>
  <c r="B85" i="87"/>
  <c r="C85" i="87"/>
  <c r="D85" i="87"/>
  <c r="E85" i="87"/>
  <c r="F85" i="87"/>
  <c r="G85" i="87"/>
  <c r="H85" i="87"/>
  <c r="I85" i="87"/>
  <c r="I287" i="87" s="1"/>
  <c r="J85" i="87"/>
  <c r="K85" i="87"/>
  <c r="L85" i="87"/>
  <c r="M85" i="87"/>
  <c r="N85" i="87"/>
  <c r="O85" i="87"/>
  <c r="P85" i="87"/>
  <c r="Q85" i="87"/>
  <c r="B93" i="87"/>
  <c r="C93" i="87"/>
  <c r="D93" i="87"/>
  <c r="E93" i="87"/>
  <c r="F93" i="87"/>
  <c r="G93" i="87"/>
  <c r="H93" i="87"/>
  <c r="I93" i="87"/>
  <c r="J93" i="87"/>
  <c r="K93" i="87"/>
  <c r="L93" i="87"/>
  <c r="M93" i="87"/>
  <c r="Q96" i="87"/>
  <c r="Q97" i="87"/>
  <c r="Q98" i="87"/>
  <c r="Q99" i="87"/>
  <c r="Q100" i="87"/>
  <c r="B101" i="87"/>
  <c r="C101" i="87"/>
  <c r="D101" i="87"/>
  <c r="E101" i="87"/>
  <c r="F101" i="87"/>
  <c r="G101" i="87"/>
  <c r="H101" i="87"/>
  <c r="I101" i="87"/>
  <c r="J101" i="87"/>
  <c r="K101" i="87"/>
  <c r="L101" i="87"/>
  <c r="M101" i="87"/>
  <c r="N101" i="87"/>
  <c r="O101" i="87"/>
  <c r="P101" i="87"/>
  <c r="B109" i="87"/>
  <c r="C109" i="87"/>
  <c r="D109" i="87"/>
  <c r="E109" i="87"/>
  <c r="F109" i="87"/>
  <c r="G109" i="87"/>
  <c r="H109" i="87"/>
  <c r="I109" i="87"/>
  <c r="J109" i="87"/>
  <c r="K109" i="87"/>
  <c r="L109" i="87"/>
  <c r="M109" i="87"/>
  <c r="B117" i="87"/>
  <c r="C117" i="87"/>
  <c r="D117" i="87"/>
  <c r="E117" i="87"/>
  <c r="F117" i="87"/>
  <c r="G117" i="87"/>
  <c r="H117" i="87"/>
  <c r="I117" i="87"/>
  <c r="J117" i="87"/>
  <c r="K117" i="87"/>
  <c r="L117" i="87"/>
  <c r="M117" i="87"/>
  <c r="R120" i="87"/>
  <c r="R125" i="87" s="1"/>
  <c r="R121" i="87"/>
  <c r="R122" i="87"/>
  <c r="R123" i="87"/>
  <c r="R124" i="87"/>
  <c r="B125" i="87"/>
  <c r="C125" i="87"/>
  <c r="D125" i="87"/>
  <c r="E125" i="87"/>
  <c r="F125" i="87"/>
  <c r="G125" i="87"/>
  <c r="H125" i="87"/>
  <c r="I125" i="87"/>
  <c r="J125" i="87"/>
  <c r="K125" i="87"/>
  <c r="L125" i="87"/>
  <c r="M125" i="87"/>
  <c r="N125" i="87"/>
  <c r="O125" i="87"/>
  <c r="P125" i="87"/>
  <c r="Q125" i="87"/>
  <c r="Q128" i="87"/>
  <c r="Q129" i="87"/>
  <c r="Q130" i="87"/>
  <c r="Q133" i="87" s="1"/>
  <c r="Q131" i="87"/>
  <c r="Q132" i="87"/>
  <c r="B133" i="87"/>
  <c r="C133" i="87"/>
  <c r="D133" i="87"/>
  <c r="E133" i="87"/>
  <c r="F133" i="87"/>
  <c r="G133" i="87"/>
  <c r="H133" i="87"/>
  <c r="I133" i="87"/>
  <c r="J133" i="87"/>
  <c r="K133" i="87"/>
  <c r="L133" i="87"/>
  <c r="M133" i="87"/>
  <c r="N133" i="87"/>
  <c r="O133" i="87"/>
  <c r="P133" i="87"/>
  <c r="B141" i="87"/>
  <c r="C141" i="87"/>
  <c r="D141" i="87"/>
  <c r="E141" i="87"/>
  <c r="F141" i="87"/>
  <c r="G141" i="87"/>
  <c r="H141" i="87"/>
  <c r="I141" i="87"/>
  <c r="J141" i="87"/>
  <c r="K141" i="87"/>
  <c r="L141" i="87"/>
  <c r="M141" i="87"/>
  <c r="B149" i="87"/>
  <c r="C149" i="87"/>
  <c r="D149" i="87"/>
  <c r="E149" i="87"/>
  <c r="F149" i="87"/>
  <c r="G149" i="87"/>
  <c r="H149" i="87"/>
  <c r="I149" i="87"/>
  <c r="J149" i="87"/>
  <c r="K149" i="87"/>
  <c r="L149" i="87"/>
  <c r="M149" i="87"/>
  <c r="B157" i="87"/>
  <c r="C157" i="87"/>
  <c r="D157" i="87"/>
  <c r="E157" i="87"/>
  <c r="F157" i="87"/>
  <c r="G157" i="87"/>
  <c r="H157" i="87"/>
  <c r="I157" i="87"/>
  <c r="J157" i="87"/>
  <c r="K157" i="87"/>
  <c r="L157" i="87"/>
  <c r="M157" i="87"/>
  <c r="B165" i="87"/>
  <c r="C165" i="87"/>
  <c r="D165" i="87"/>
  <c r="E165" i="87"/>
  <c r="F165" i="87"/>
  <c r="G165" i="87"/>
  <c r="H165" i="87"/>
  <c r="I165" i="87"/>
  <c r="J165" i="87"/>
  <c r="K165" i="87"/>
  <c r="L165" i="87"/>
  <c r="M165" i="87"/>
  <c r="B173" i="87"/>
  <c r="C173" i="87"/>
  <c r="D173" i="87"/>
  <c r="E173" i="87"/>
  <c r="F173" i="87"/>
  <c r="G173" i="87"/>
  <c r="H173" i="87"/>
  <c r="I173" i="87"/>
  <c r="J173" i="87"/>
  <c r="K173" i="87"/>
  <c r="L173" i="87"/>
  <c r="M173" i="87"/>
  <c r="B181" i="87"/>
  <c r="C181" i="87"/>
  <c r="D181" i="87"/>
  <c r="E181" i="87"/>
  <c r="F181" i="87"/>
  <c r="G181" i="87"/>
  <c r="H181" i="87"/>
  <c r="I181" i="87"/>
  <c r="J181" i="87"/>
  <c r="K181" i="87"/>
  <c r="L181" i="87"/>
  <c r="M181" i="87"/>
  <c r="B189" i="87"/>
  <c r="C189" i="87"/>
  <c r="D189" i="87"/>
  <c r="E189" i="87"/>
  <c r="F189" i="87"/>
  <c r="G189" i="87"/>
  <c r="H189" i="87"/>
  <c r="I189" i="87"/>
  <c r="J189" i="87"/>
  <c r="K189" i="87"/>
  <c r="L189" i="87"/>
  <c r="M189" i="87"/>
  <c r="B197" i="87"/>
  <c r="C197" i="87"/>
  <c r="D197" i="87"/>
  <c r="E197" i="87"/>
  <c r="F197" i="87"/>
  <c r="G197" i="87"/>
  <c r="H197" i="87"/>
  <c r="I197" i="87"/>
  <c r="J197" i="87"/>
  <c r="K197" i="87"/>
  <c r="L197" i="87"/>
  <c r="M197" i="87"/>
  <c r="B205" i="87"/>
  <c r="C205" i="87"/>
  <c r="D205" i="87"/>
  <c r="E205" i="87"/>
  <c r="F205" i="87"/>
  <c r="G205" i="87"/>
  <c r="H205" i="87"/>
  <c r="I205" i="87"/>
  <c r="J205" i="87"/>
  <c r="K205" i="87"/>
  <c r="L205" i="87"/>
  <c r="M205" i="87"/>
  <c r="B213" i="87"/>
  <c r="C213" i="87"/>
  <c r="D213" i="87"/>
  <c r="E213" i="87"/>
  <c r="F213" i="87"/>
  <c r="G213" i="87"/>
  <c r="H213" i="87"/>
  <c r="I213" i="87"/>
  <c r="J213" i="87"/>
  <c r="K213" i="87"/>
  <c r="L213" i="87"/>
  <c r="M213" i="87"/>
  <c r="B221" i="87"/>
  <c r="C221" i="87"/>
  <c r="D221" i="87"/>
  <c r="E221" i="87"/>
  <c r="F221" i="87"/>
  <c r="G221" i="87"/>
  <c r="H221" i="87"/>
  <c r="I221" i="87"/>
  <c r="J221" i="87"/>
  <c r="K221" i="87"/>
  <c r="L221" i="87"/>
  <c r="M221" i="87"/>
  <c r="B229" i="87"/>
  <c r="C229" i="87"/>
  <c r="D229" i="87"/>
  <c r="E229" i="87"/>
  <c r="F229" i="87"/>
  <c r="G229" i="87"/>
  <c r="H229" i="87"/>
  <c r="I229" i="87"/>
  <c r="J229" i="87"/>
  <c r="K229" i="87"/>
  <c r="L229" i="87"/>
  <c r="M229" i="87"/>
  <c r="B237" i="87"/>
  <c r="C237" i="87"/>
  <c r="D237" i="87"/>
  <c r="E237" i="87"/>
  <c r="F237" i="87"/>
  <c r="G237" i="87"/>
  <c r="H237" i="87"/>
  <c r="I237" i="87"/>
  <c r="J237" i="87"/>
  <c r="K237" i="87"/>
  <c r="L237" i="87"/>
  <c r="M237" i="87"/>
  <c r="B245" i="87"/>
  <c r="C245" i="87"/>
  <c r="D245" i="87"/>
  <c r="E245" i="87"/>
  <c r="F245" i="87"/>
  <c r="G245" i="87"/>
  <c r="H245" i="87"/>
  <c r="I245" i="87"/>
  <c r="J245" i="87"/>
  <c r="K245" i="87"/>
  <c r="L245" i="87"/>
  <c r="M245" i="87"/>
  <c r="Q248" i="87"/>
  <c r="Q249" i="87"/>
  <c r="Q250" i="87"/>
  <c r="Q251" i="87"/>
  <c r="Q253" i="87"/>
  <c r="Q252" i="87"/>
  <c r="B253" i="87"/>
  <c r="C253" i="87"/>
  <c r="D253" i="87"/>
  <c r="E253" i="87"/>
  <c r="F253" i="87"/>
  <c r="G253" i="87"/>
  <c r="H253" i="87"/>
  <c r="I253" i="87"/>
  <c r="J253" i="87"/>
  <c r="K253" i="87"/>
  <c r="L253" i="87"/>
  <c r="M253" i="87"/>
  <c r="N253" i="87"/>
  <c r="O253" i="87"/>
  <c r="P253" i="87"/>
  <c r="B261" i="87"/>
  <c r="C261" i="87"/>
  <c r="D261" i="87"/>
  <c r="E261" i="87"/>
  <c r="F261" i="87"/>
  <c r="G261" i="87"/>
  <c r="H261" i="87"/>
  <c r="I261" i="87"/>
  <c r="J261" i="87"/>
  <c r="K261" i="87"/>
  <c r="L261" i="87"/>
  <c r="M261" i="87"/>
  <c r="B269" i="87"/>
  <c r="C269" i="87"/>
  <c r="D269" i="87"/>
  <c r="E269" i="87"/>
  <c r="F269" i="87"/>
  <c r="G269" i="87"/>
  <c r="H269" i="87"/>
  <c r="I269" i="87"/>
  <c r="J269" i="87"/>
  <c r="K269" i="87"/>
  <c r="L269" i="87"/>
  <c r="M269" i="87"/>
  <c r="R272" i="87"/>
  <c r="R273" i="87"/>
  <c r="R274" i="87"/>
  <c r="R277" i="87"/>
  <c r="R275" i="87"/>
  <c r="R276" i="87"/>
  <c r="B277" i="87"/>
  <c r="C277" i="87"/>
  <c r="D277" i="87"/>
  <c r="E277" i="87"/>
  <c r="F277" i="87"/>
  <c r="G277" i="87"/>
  <c r="H277" i="87"/>
  <c r="I277" i="87"/>
  <c r="J277" i="87"/>
  <c r="K277" i="87"/>
  <c r="L277" i="87"/>
  <c r="M277" i="87"/>
  <c r="N277" i="87"/>
  <c r="O277" i="87"/>
  <c r="P277" i="87"/>
  <c r="Q277" i="87"/>
  <c r="B285" i="87"/>
  <c r="C285" i="87"/>
  <c r="D285" i="87"/>
  <c r="E285" i="87"/>
  <c r="F285" i="87"/>
  <c r="G285" i="87"/>
  <c r="H285" i="87"/>
  <c r="I285" i="87"/>
  <c r="J285" i="87"/>
  <c r="K285" i="87"/>
  <c r="L285" i="87"/>
  <c r="M285" i="87"/>
  <c r="I2" i="68"/>
  <c r="K2" i="68" s="1"/>
  <c r="M2" i="68" s="1"/>
  <c r="O2" i="68" s="1"/>
  <c r="Q2" i="68" s="1"/>
  <c r="S2" i="68" s="1"/>
  <c r="U2" i="68" s="1"/>
  <c r="W2" i="68" s="1"/>
  <c r="Y2" i="68" s="1"/>
  <c r="R7" i="68"/>
  <c r="S7" i="68"/>
  <c r="T7" i="68"/>
  <c r="U7" i="68"/>
  <c r="V7" i="68"/>
  <c r="W7" i="68"/>
  <c r="X7" i="68"/>
  <c r="Y7" i="68"/>
  <c r="Z7" i="68"/>
  <c r="AA7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Z22" i="68"/>
  <c r="AA22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D28" i="68"/>
  <c r="E28" i="68"/>
  <c r="F28" i="68"/>
  <c r="G28" i="68"/>
  <c r="H28" i="68"/>
  <c r="I28" i="68"/>
  <c r="J28" i="68"/>
  <c r="J67" i="68" s="1"/>
  <c r="J69" i="68" s="1"/>
  <c r="K28" i="68"/>
  <c r="L28" i="68"/>
  <c r="M28" i="68"/>
  <c r="N28" i="68"/>
  <c r="O28" i="68"/>
  <c r="P28" i="68"/>
  <c r="Q28" i="68"/>
  <c r="R28" i="68"/>
  <c r="R67" i="68" s="1"/>
  <c r="S28" i="68"/>
  <c r="T28" i="68"/>
  <c r="U28" i="68"/>
  <c r="V28" i="68"/>
  <c r="V67" i="68" s="1"/>
  <c r="W28" i="68"/>
  <c r="X28" i="68"/>
  <c r="Y28" i="68"/>
  <c r="Z28" i="68"/>
  <c r="AA28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Z38" i="68"/>
  <c r="AA38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Z41" i="68"/>
  <c r="AA41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Z44" i="68"/>
  <c r="AA44" i="68"/>
  <c r="D47" i="68"/>
  <c r="E47" i="68"/>
  <c r="F47" i="68"/>
  <c r="G47" i="68"/>
  <c r="H47" i="68"/>
  <c r="I47" i="68"/>
  <c r="J47" i="68"/>
  <c r="K47" i="68"/>
  <c r="L47" i="68"/>
  <c r="M47" i="68"/>
  <c r="N47" i="68"/>
  <c r="N67" i="68" s="1"/>
  <c r="N69" i="68" s="1"/>
  <c r="O47" i="68"/>
  <c r="P47" i="68"/>
  <c r="Q47" i="68"/>
  <c r="R47" i="68"/>
  <c r="S47" i="68"/>
  <c r="T47" i="68"/>
  <c r="U47" i="68"/>
  <c r="V47" i="68"/>
  <c r="W47" i="68"/>
  <c r="X47" i="68"/>
  <c r="Y47" i="68"/>
  <c r="Z47" i="68"/>
  <c r="Z67" i="68" s="1"/>
  <c r="AA47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Z49" i="68"/>
  <c r="AA49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Z57" i="68"/>
  <c r="AA57" i="68"/>
  <c r="D62" i="68"/>
  <c r="E62" i="68"/>
  <c r="F62" i="68"/>
  <c r="G62" i="68"/>
  <c r="H62" i="68"/>
  <c r="I62" i="68"/>
  <c r="J62" i="68"/>
  <c r="K62" i="68"/>
  <c r="L62" i="68"/>
  <c r="M62" i="68"/>
  <c r="N62" i="68"/>
  <c r="O62" i="68"/>
  <c r="P62" i="68"/>
  <c r="Q62" i="68"/>
  <c r="R62" i="68"/>
  <c r="S62" i="68"/>
  <c r="T62" i="68"/>
  <c r="U62" i="68"/>
  <c r="V62" i="68"/>
  <c r="W62" i="68"/>
  <c r="X62" i="68"/>
  <c r="Y62" i="68"/>
  <c r="Z62" i="68"/>
  <c r="AA62" i="68"/>
  <c r="X65" i="68"/>
  <c r="X66" i="68"/>
  <c r="D66" i="68"/>
  <c r="E66" i="68"/>
  <c r="F66" i="68"/>
  <c r="F67" i="68" s="1"/>
  <c r="F69" i="68" s="1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Y66" i="68"/>
  <c r="L288" i="87" s="1"/>
  <c r="Z66" i="68"/>
  <c r="AA66" i="68"/>
  <c r="K67" i="68"/>
  <c r="K69" i="68" s="1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H15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H23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B30" i="8"/>
  <c r="C30" i="8"/>
  <c r="D30" i="8"/>
  <c r="E30" i="8"/>
  <c r="F30" i="8"/>
  <c r="G30" i="8"/>
  <c r="H30" i="8"/>
  <c r="I30" i="8"/>
  <c r="J30" i="8"/>
  <c r="K30" i="8"/>
  <c r="L30" i="8"/>
  <c r="M30" i="8"/>
  <c r="H31" i="8"/>
  <c r="B33" i="8"/>
  <c r="C33" i="8"/>
  <c r="D33" i="8"/>
  <c r="E33" i="8"/>
  <c r="F33" i="8"/>
  <c r="G33" i="8"/>
  <c r="H33" i="8"/>
  <c r="I33" i="8"/>
  <c r="J33" i="8"/>
  <c r="K33" i="8"/>
  <c r="L33" i="8"/>
  <c r="M33" i="8"/>
  <c r="B34" i="8"/>
  <c r="C34" i="8"/>
  <c r="D34" i="8"/>
  <c r="E34" i="8"/>
  <c r="F34" i="8"/>
  <c r="G34" i="8"/>
  <c r="H34" i="8"/>
  <c r="I34" i="8"/>
  <c r="J34" i="8"/>
  <c r="K34" i="8"/>
  <c r="L34" i="8"/>
  <c r="M34" i="8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B43" i="8"/>
  <c r="C43" i="8"/>
  <c r="D43" i="8"/>
  <c r="E43" i="8"/>
  <c r="F43" i="8"/>
  <c r="G43" i="8"/>
  <c r="H43" i="8"/>
  <c r="I43" i="8"/>
  <c r="J43" i="8"/>
  <c r="K43" i="8"/>
  <c r="L43" i="8"/>
  <c r="M43" i="8"/>
  <c r="B44" i="8"/>
  <c r="C44" i="8"/>
  <c r="D44" i="8"/>
  <c r="E44" i="8"/>
  <c r="F44" i="8"/>
  <c r="G44" i="8"/>
  <c r="H44" i="8"/>
  <c r="I44" i="8"/>
  <c r="J44" i="8"/>
  <c r="K44" i="8"/>
  <c r="L44" i="8"/>
  <c r="M44" i="8"/>
  <c r="B45" i="8"/>
  <c r="C45" i="8"/>
  <c r="D45" i="8"/>
  <c r="E45" i="8"/>
  <c r="F45" i="8"/>
  <c r="G45" i="8"/>
  <c r="H45" i="8"/>
  <c r="I45" i="8"/>
  <c r="J45" i="8"/>
  <c r="K45" i="8"/>
  <c r="L45" i="8"/>
  <c r="M45" i="8"/>
  <c r="B46" i="8"/>
  <c r="C46" i="8"/>
  <c r="D46" i="8"/>
  <c r="E46" i="8"/>
  <c r="F46" i="8"/>
  <c r="G46" i="8"/>
  <c r="H46" i="8"/>
  <c r="I46" i="8"/>
  <c r="J46" i="8"/>
  <c r="K46" i="8"/>
  <c r="L46" i="8"/>
  <c r="M46" i="8"/>
  <c r="B49" i="8"/>
  <c r="C49" i="8"/>
  <c r="D49" i="8"/>
  <c r="E49" i="8"/>
  <c r="F49" i="8"/>
  <c r="G49" i="8"/>
  <c r="H49" i="8"/>
  <c r="I49" i="8"/>
  <c r="J49" i="8"/>
  <c r="K49" i="8"/>
  <c r="L49" i="8"/>
  <c r="M49" i="8"/>
  <c r="B50" i="8"/>
  <c r="C50" i="8"/>
  <c r="D50" i="8"/>
  <c r="E50" i="8"/>
  <c r="F50" i="8"/>
  <c r="G50" i="8"/>
  <c r="H50" i="8"/>
  <c r="I50" i="8"/>
  <c r="J50" i="8"/>
  <c r="K50" i="8"/>
  <c r="L50" i="8"/>
  <c r="M50" i="8"/>
  <c r="B51" i="8"/>
  <c r="C51" i="8"/>
  <c r="D51" i="8"/>
  <c r="E51" i="8"/>
  <c r="F51" i="8"/>
  <c r="G51" i="8"/>
  <c r="H51" i="8"/>
  <c r="I51" i="8"/>
  <c r="J51" i="8"/>
  <c r="K51" i="8"/>
  <c r="L51" i="8"/>
  <c r="M51" i="8"/>
  <c r="B52" i="8"/>
  <c r="C52" i="8"/>
  <c r="D52" i="8"/>
  <c r="E52" i="8"/>
  <c r="F52" i="8"/>
  <c r="G52" i="8"/>
  <c r="H52" i="8"/>
  <c r="I52" i="8"/>
  <c r="J52" i="8"/>
  <c r="K52" i="8"/>
  <c r="L52" i="8"/>
  <c r="M52" i="8"/>
  <c r="B53" i="8"/>
  <c r="C53" i="8"/>
  <c r="D53" i="8"/>
  <c r="E53" i="8"/>
  <c r="F53" i="8"/>
  <c r="G53" i="8"/>
  <c r="H53" i="8"/>
  <c r="I53" i="8"/>
  <c r="J53" i="8"/>
  <c r="K53" i="8"/>
  <c r="L53" i="8"/>
  <c r="M53" i="8"/>
  <c r="B54" i="8"/>
  <c r="C54" i="8"/>
  <c r="D54" i="8"/>
  <c r="E54" i="8"/>
  <c r="F54" i="8"/>
  <c r="G54" i="8"/>
  <c r="H54" i="8"/>
  <c r="I54" i="8"/>
  <c r="J54" i="8"/>
  <c r="K54" i="8"/>
  <c r="L54" i="8"/>
  <c r="M54" i="8"/>
  <c r="B57" i="8"/>
  <c r="C57" i="8"/>
  <c r="D57" i="8"/>
  <c r="E57" i="8"/>
  <c r="F57" i="8"/>
  <c r="G57" i="8"/>
  <c r="G62" i="8" s="1"/>
  <c r="H57" i="8"/>
  <c r="I57" i="8"/>
  <c r="J57" i="8"/>
  <c r="K57" i="8"/>
  <c r="K62" i="8" s="1"/>
  <c r="L57" i="8"/>
  <c r="M57" i="8"/>
  <c r="B58" i="8"/>
  <c r="C58" i="8"/>
  <c r="F58" i="8"/>
  <c r="F62" i="8" s="1"/>
  <c r="G58" i="8"/>
  <c r="H58" i="8"/>
  <c r="I58" i="8"/>
  <c r="J58" i="8"/>
  <c r="J62" i="8" s="1"/>
  <c r="K58" i="8"/>
  <c r="L58" i="8"/>
  <c r="M58" i="8"/>
  <c r="B59" i="8"/>
  <c r="C59" i="8"/>
  <c r="D59" i="8"/>
  <c r="E59" i="8"/>
  <c r="F59" i="8"/>
  <c r="G59" i="8"/>
  <c r="H59" i="8"/>
  <c r="I59" i="8"/>
  <c r="J59" i="8"/>
  <c r="K59" i="8"/>
  <c r="L59" i="8"/>
  <c r="M59" i="8"/>
  <c r="B60" i="8"/>
  <c r="C60" i="8"/>
  <c r="F60" i="8"/>
  <c r="G60" i="8"/>
  <c r="H60" i="8"/>
  <c r="I60" i="8"/>
  <c r="J60" i="8"/>
  <c r="K60" i="8"/>
  <c r="L60" i="8"/>
  <c r="M60" i="8"/>
  <c r="B61" i="8"/>
  <c r="C61" i="8"/>
  <c r="D61" i="8"/>
  <c r="E61" i="8"/>
  <c r="F61" i="8"/>
  <c r="G61" i="8"/>
  <c r="H61" i="8"/>
  <c r="I61" i="8"/>
  <c r="J61" i="8"/>
  <c r="K61" i="8"/>
  <c r="L61" i="8"/>
  <c r="M61" i="8"/>
  <c r="C62" i="8"/>
  <c r="I62" i="8"/>
  <c r="M62" i="8"/>
  <c r="B65" i="8"/>
  <c r="C65" i="8"/>
  <c r="D65" i="8"/>
  <c r="E65" i="8"/>
  <c r="F65" i="8"/>
  <c r="G65" i="8"/>
  <c r="H65" i="8"/>
  <c r="I65" i="8"/>
  <c r="J65" i="8"/>
  <c r="K65" i="8"/>
  <c r="L65" i="8"/>
  <c r="M65" i="8"/>
  <c r="B66" i="8"/>
  <c r="C66" i="8"/>
  <c r="D66" i="8"/>
  <c r="E66" i="8"/>
  <c r="F66" i="8"/>
  <c r="G66" i="8"/>
  <c r="H66" i="8"/>
  <c r="I66" i="8"/>
  <c r="J66" i="8"/>
  <c r="K66" i="8"/>
  <c r="L66" i="8"/>
  <c r="M66" i="8"/>
  <c r="B67" i="8"/>
  <c r="C67" i="8"/>
  <c r="D67" i="8"/>
  <c r="E67" i="8"/>
  <c r="F67" i="8"/>
  <c r="G67" i="8"/>
  <c r="H67" i="8"/>
  <c r="I67" i="8"/>
  <c r="J67" i="8"/>
  <c r="K67" i="8"/>
  <c r="L67" i="8"/>
  <c r="M67" i="8"/>
  <c r="B68" i="8"/>
  <c r="C68" i="8"/>
  <c r="D68" i="8"/>
  <c r="E68" i="8"/>
  <c r="F68" i="8"/>
  <c r="G68" i="8"/>
  <c r="H68" i="8"/>
  <c r="I68" i="8"/>
  <c r="J68" i="8"/>
  <c r="K68" i="8"/>
  <c r="L68" i="8"/>
  <c r="M68" i="8"/>
  <c r="B69" i="8"/>
  <c r="C69" i="8"/>
  <c r="D69" i="8"/>
  <c r="E69" i="8"/>
  <c r="F69" i="8"/>
  <c r="G69" i="8"/>
  <c r="H69" i="8"/>
  <c r="I69" i="8"/>
  <c r="J69" i="8"/>
  <c r="K69" i="8"/>
  <c r="L69" i="8"/>
  <c r="M69" i="8"/>
  <c r="B70" i="8"/>
  <c r="C70" i="8"/>
  <c r="D70" i="8"/>
  <c r="E70" i="8"/>
  <c r="F70" i="8"/>
  <c r="G70" i="8"/>
  <c r="H70" i="8"/>
  <c r="I70" i="8"/>
  <c r="J70" i="8"/>
  <c r="K70" i="8"/>
  <c r="L70" i="8"/>
  <c r="M70" i="8"/>
  <c r="B73" i="8"/>
  <c r="C73" i="8"/>
  <c r="D73" i="8"/>
  <c r="E73" i="8"/>
  <c r="F73" i="8"/>
  <c r="G73" i="8"/>
  <c r="H73" i="8"/>
  <c r="I73" i="8"/>
  <c r="J73" i="8"/>
  <c r="K73" i="8"/>
  <c r="L73" i="8"/>
  <c r="M73" i="8"/>
  <c r="B74" i="8"/>
  <c r="C74" i="8"/>
  <c r="D74" i="8"/>
  <c r="E74" i="8"/>
  <c r="F74" i="8"/>
  <c r="G74" i="8"/>
  <c r="H74" i="8"/>
  <c r="I74" i="8"/>
  <c r="J74" i="8"/>
  <c r="K74" i="8"/>
  <c r="L74" i="8"/>
  <c r="M74" i="8"/>
  <c r="B75" i="8"/>
  <c r="C75" i="8"/>
  <c r="D75" i="8"/>
  <c r="E75" i="8"/>
  <c r="F75" i="8"/>
  <c r="G75" i="8"/>
  <c r="H75" i="8"/>
  <c r="I75" i="8"/>
  <c r="J75" i="8"/>
  <c r="K75" i="8"/>
  <c r="L75" i="8"/>
  <c r="M75" i="8"/>
  <c r="B76" i="8"/>
  <c r="C76" i="8"/>
  <c r="D76" i="8"/>
  <c r="E76" i="8"/>
  <c r="F76" i="8"/>
  <c r="G76" i="8"/>
  <c r="H76" i="8"/>
  <c r="I76" i="8"/>
  <c r="J76" i="8"/>
  <c r="K76" i="8"/>
  <c r="L76" i="8"/>
  <c r="M76" i="8"/>
  <c r="B77" i="8"/>
  <c r="C77" i="8"/>
  <c r="D77" i="8"/>
  <c r="E77" i="8"/>
  <c r="F77" i="8"/>
  <c r="G77" i="8"/>
  <c r="H77" i="8"/>
  <c r="I77" i="8"/>
  <c r="J77" i="8"/>
  <c r="K77" i="8"/>
  <c r="L77" i="8"/>
  <c r="M77" i="8"/>
  <c r="B78" i="8"/>
  <c r="C78" i="8"/>
  <c r="D78" i="8"/>
  <c r="E78" i="8"/>
  <c r="F78" i="8"/>
  <c r="G78" i="8"/>
  <c r="H78" i="8"/>
  <c r="I78" i="8"/>
  <c r="J78" i="8"/>
  <c r="K78" i="8"/>
  <c r="L78" i="8"/>
  <c r="M78" i="8"/>
  <c r="B81" i="8"/>
  <c r="C81" i="8"/>
  <c r="D81" i="8"/>
  <c r="E81" i="8"/>
  <c r="F81" i="8"/>
  <c r="G81" i="8"/>
  <c r="H81" i="8"/>
  <c r="I81" i="8"/>
  <c r="I86" i="8" s="1"/>
  <c r="J81" i="8"/>
  <c r="K81" i="8"/>
  <c r="L81" i="8"/>
  <c r="M81" i="8"/>
  <c r="M86" i="8" s="1"/>
  <c r="B82" i="8"/>
  <c r="C82" i="8"/>
  <c r="F82" i="8"/>
  <c r="G82" i="8"/>
  <c r="H82" i="8"/>
  <c r="H86" i="8" s="1"/>
  <c r="I82" i="8"/>
  <c r="J82" i="8"/>
  <c r="K82" i="8"/>
  <c r="L82" i="8"/>
  <c r="M82" i="8"/>
  <c r="B83" i="8"/>
  <c r="C83" i="8"/>
  <c r="C86" i="8" s="1"/>
  <c r="C288" i="8" s="1"/>
  <c r="D83" i="8"/>
  <c r="E83" i="8"/>
  <c r="F83" i="8"/>
  <c r="G83" i="8"/>
  <c r="H83" i="8"/>
  <c r="I83" i="8"/>
  <c r="J83" i="8"/>
  <c r="K83" i="8"/>
  <c r="L83" i="8"/>
  <c r="M83" i="8"/>
  <c r="B84" i="8"/>
  <c r="C84" i="8"/>
  <c r="F84" i="8"/>
  <c r="G84" i="8"/>
  <c r="H84" i="8"/>
  <c r="I84" i="8"/>
  <c r="J84" i="8"/>
  <c r="K84" i="8"/>
  <c r="L84" i="8"/>
  <c r="M84" i="8"/>
  <c r="B85" i="8"/>
  <c r="C85" i="8"/>
  <c r="D85" i="8"/>
  <c r="E85" i="8"/>
  <c r="F85" i="8"/>
  <c r="G85" i="8"/>
  <c r="H85" i="8"/>
  <c r="I85" i="8"/>
  <c r="J85" i="8"/>
  <c r="K85" i="8"/>
  <c r="L85" i="8"/>
  <c r="M85" i="8"/>
  <c r="B86" i="8"/>
  <c r="G86" i="8"/>
  <c r="K86" i="8"/>
  <c r="L86" i="8"/>
  <c r="B89" i="8"/>
  <c r="C89" i="8"/>
  <c r="D89" i="8"/>
  <c r="E89" i="8"/>
  <c r="F89" i="8"/>
  <c r="G89" i="8"/>
  <c r="H89" i="8"/>
  <c r="I89" i="8"/>
  <c r="J89" i="8"/>
  <c r="K89" i="8"/>
  <c r="L89" i="8"/>
  <c r="M89" i="8"/>
  <c r="B90" i="8"/>
  <c r="C90" i="8"/>
  <c r="D90" i="8"/>
  <c r="E90" i="8"/>
  <c r="F90" i="8"/>
  <c r="G90" i="8"/>
  <c r="H90" i="8"/>
  <c r="I90" i="8"/>
  <c r="J90" i="8"/>
  <c r="K90" i="8"/>
  <c r="L90" i="8"/>
  <c r="M90" i="8"/>
  <c r="B91" i="8"/>
  <c r="C91" i="8"/>
  <c r="D91" i="8"/>
  <c r="E91" i="8"/>
  <c r="F91" i="8"/>
  <c r="G91" i="8"/>
  <c r="H91" i="8"/>
  <c r="I91" i="8"/>
  <c r="J91" i="8"/>
  <c r="K91" i="8"/>
  <c r="L91" i="8"/>
  <c r="M91" i="8"/>
  <c r="B92" i="8"/>
  <c r="C92" i="8"/>
  <c r="D92" i="8"/>
  <c r="E92" i="8"/>
  <c r="F92" i="8"/>
  <c r="G92" i="8"/>
  <c r="H92" i="8"/>
  <c r="I92" i="8"/>
  <c r="J92" i="8"/>
  <c r="K92" i="8"/>
  <c r="L92" i="8"/>
  <c r="M92" i="8"/>
  <c r="B93" i="8"/>
  <c r="C93" i="8"/>
  <c r="D93" i="8"/>
  <c r="E93" i="8"/>
  <c r="F93" i="8"/>
  <c r="G93" i="8"/>
  <c r="H93" i="8"/>
  <c r="I93" i="8"/>
  <c r="J93" i="8"/>
  <c r="K93" i="8"/>
  <c r="L93" i="8"/>
  <c r="M93" i="8"/>
  <c r="B94" i="8"/>
  <c r="C94" i="8"/>
  <c r="D94" i="8"/>
  <c r="E94" i="8"/>
  <c r="F94" i="8"/>
  <c r="G94" i="8"/>
  <c r="H94" i="8"/>
  <c r="I94" i="8"/>
  <c r="J94" i="8"/>
  <c r="K94" i="8"/>
  <c r="L94" i="8"/>
  <c r="M94" i="8"/>
  <c r="B97" i="8"/>
  <c r="C97" i="8"/>
  <c r="C102" i="8" s="1"/>
  <c r="D97" i="8"/>
  <c r="F97" i="8"/>
  <c r="G97" i="8"/>
  <c r="H97" i="8"/>
  <c r="I97" i="8"/>
  <c r="I102" i="8" s="1"/>
  <c r="J97" i="8"/>
  <c r="K97" i="8"/>
  <c r="L97" i="8"/>
  <c r="M97" i="8"/>
  <c r="M102" i="8" s="1"/>
  <c r="B98" i="8"/>
  <c r="C98" i="8"/>
  <c r="D98" i="8"/>
  <c r="F98" i="8"/>
  <c r="G98" i="8"/>
  <c r="H98" i="8"/>
  <c r="I98" i="8"/>
  <c r="J98" i="8"/>
  <c r="K98" i="8"/>
  <c r="L98" i="8"/>
  <c r="M98" i="8"/>
  <c r="B99" i="8"/>
  <c r="C99" i="8"/>
  <c r="F99" i="8"/>
  <c r="G99" i="8"/>
  <c r="H99" i="8"/>
  <c r="H102" i="8" s="1"/>
  <c r="I99" i="8"/>
  <c r="J99" i="8"/>
  <c r="K99" i="8"/>
  <c r="L99" i="8"/>
  <c r="M99" i="8"/>
  <c r="B100" i="8"/>
  <c r="C100" i="8"/>
  <c r="F100" i="8"/>
  <c r="G100" i="8"/>
  <c r="H100" i="8"/>
  <c r="I100" i="8"/>
  <c r="J100" i="8"/>
  <c r="K100" i="8"/>
  <c r="L100" i="8"/>
  <c r="M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B102" i="8"/>
  <c r="G102" i="8"/>
  <c r="K102" i="8"/>
  <c r="L102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B121" i="8"/>
  <c r="C121" i="8"/>
  <c r="C126" i="8" s="1"/>
  <c r="D121" i="8"/>
  <c r="E121" i="8"/>
  <c r="F121" i="8"/>
  <c r="G121" i="8"/>
  <c r="H121" i="8"/>
  <c r="H126" i="8" s="1"/>
  <c r="I121" i="8"/>
  <c r="J121" i="8"/>
  <c r="K121" i="8"/>
  <c r="L121" i="8"/>
  <c r="M121" i="8"/>
  <c r="B122" i="8"/>
  <c r="C122" i="8"/>
  <c r="F122" i="8"/>
  <c r="G122" i="8"/>
  <c r="H122" i="8"/>
  <c r="I122" i="8"/>
  <c r="I126" i="8" s="1"/>
  <c r="J122" i="8"/>
  <c r="K122" i="8"/>
  <c r="L122" i="8"/>
  <c r="M122" i="8"/>
  <c r="M126" i="8" s="1"/>
  <c r="B123" i="8"/>
  <c r="C123" i="8"/>
  <c r="F123" i="8"/>
  <c r="G123" i="8"/>
  <c r="H123" i="8"/>
  <c r="I123" i="8"/>
  <c r="J123" i="8"/>
  <c r="K123" i="8"/>
  <c r="L123" i="8"/>
  <c r="M123" i="8"/>
  <c r="B124" i="8"/>
  <c r="C124" i="8"/>
  <c r="F124" i="8"/>
  <c r="G124" i="8"/>
  <c r="H124" i="8"/>
  <c r="I124" i="8"/>
  <c r="J124" i="8"/>
  <c r="K124" i="8"/>
  <c r="L124" i="8"/>
  <c r="M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B126" i="8"/>
  <c r="G126" i="8"/>
  <c r="K126" i="8"/>
  <c r="L126" i="8"/>
  <c r="B129" i="8"/>
  <c r="C129" i="8"/>
  <c r="D129" i="8"/>
  <c r="E129" i="8"/>
  <c r="F129" i="8"/>
  <c r="G129" i="8"/>
  <c r="G134" i="8" s="1"/>
  <c r="H129" i="8"/>
  <c r="I129" i="8"/>
  <c r="J129" i="8"/>
  <c r="K129" i="8"/>
  <c r="K134" i="8" s="1"/>
  <c r="L129" i="8"/>
  <c r="M129" i="8"/>
  <c r="B130" i="8"/>
  <c r="C130" i="8"/>
  <c r="F130" i="8"/>
  <c r="F134" i="8" s="1"/>
  <c r="G130" i="8"/>
  <c r="H130" i="8"/>
  <c r="I130" i="8"/>
  <c r="J130" i="8"/>
  <c r="J134" i="8" s="1"/>
  <c r="K130" i="8"/>
  <c r="L130" i="8"/>
  <c r="M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B132" i="8"/>
  <c r="C132" i="8"/>
  <c r="F132" i="8"/>
  <c r="G132" i="8"/>
  <c r="H132" i="8"/>
  <c r="I132" i="8"/>
  <c r="J132" i="8"/>
  <c r="K132" i="8"/>
  <c r="L132" i="8"/>
  <c r="M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C134" i="8"/>
  <c r="I134" i="8"/>
  <c r="M134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B249" i="8"/>
  <c r="C249" i="8"/>
  <c r="D249" i="8"/>
  <c r="D254" i="8" s="1"/>
  <c r="E249" i="8"/>
  <c r="E254" i="8" s="1"/>
  <c r="F249" i="8"/>
  <c r="G249" i="8"/>
  <c r="H249" i="8"/>
  <c r="I249" i="8"/>
  <c r="I254" i="8" s="1"/>
  <c r="J249" i="8"/>
  <c r="K249" i="8"/>
  <c r="L249" i="8"/>
  <c r="M249" i="8"/>
  <c r="M254" i="8" s="1"/>
  <c r="M288" i="8" s="1"/>
  <c r="B250" i="8"/>
  <c r="C250" i="8"/>
  <c r="D250" i="8"/>
  <c r="E250" i="8"/>
  <c r="F250" i="8"/>
  <c r="G250" i="8"/>
  <c r="H250" i="8"/>
  <c r="I250" i="8"/>
  <c r="J250" i="8"/>
  <c r="K250" i="8"/>
  <c r="L250" i="8"/>
  <c r="M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B253" i="8"/>
  <c r="C253" i="8"/>
  <c r="D253" i="8"/>
  <c r="E253" i="8"/>
  <c r="G253" i="8"/>
  <c r="G254" i="8" s="1"/>
  <c r="G288" i="8" s="1"/>
  <c r="H253" i="8"/>
  <c r="I253" i="8"/>
  <c r="J253" i="8"/>
  <c r="K253" i="8"/>
  <c r="K254" i="8" s="1"/>
  <c r="L253" i="8"/>
  <c r="M253" i="8"/>
  <c r="C254" i="8"/>
  <c r="H254" i="8"/>
  <c r="L254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B13" i="7"/>
  <c r="C13" i="7"/>
  <c r="D13" i="7"/>
  <c r="E13" i="7"/>
  <c r="F13" i="7"/>
  <c r="G13" i="7"/>
  <c r="H13" i="7"/>
  <c r="I13" i="7"/>
  <c r="J13" i="7"/>
  <c r="K13" i="7"/>
  <c r="L13" i="7"/>
  <c r="M13" i="7"/>
  <c r="B21" i="7"/>
  <c r="C21" i="7"/>
  <c r="D21" i="7"/>
  <c r="E21" i="7"/>
  <c r="F21" i="7"/>
  <c r="G21" i="7"/>
  <c r="H21" i="7"/>
  <c r="I21" i="7"/>
  <c r="J21" i="7"/>
  <c r="K21" i="7"/>
  <c r="L21" i="7"/>
  <c r="M21" i="7"/>
  <c r="B29" i="7"/>
  <c r="C29" i="7"/>
  <c r="D29" i="7"/>
  <c r="E29" i="7"/>
  <c r="F29" i="7"/>
  <c r="G29" i="7"/>
  <c r="H29" i="7"/>
  <c r="I29" i="7"/>
  <c r="J29" i="7"/>
  <c r="K29" i="7"/>
  <c r="L29" i="7"/>
  <c r="M29" i="7"/>
  <c r="B37" i="7"/>
  <c r="C37" i="7"/>
  <c r="D37" i="7"/>
  <c r="E37" i="7"/>
  <c r="F37" i="7"/>
  <c r="G37" i="7"/>
  <c r="H37" i="7"/>
  <c r="I37" i="7"/>
  <c r="J37" i="7"/>
  <c r="K37" i="7"/>
  <c r="L37" i="7"/>
  <c r="M37" i="7"/>
  <c r="B45" i="7"/>
  <c r="C45" i="7"/>
  <c r="D45" i="7"/>
  <c r="E45" i="7"/>
  <c r="F45" i="7"/>
  <c r="G45" i="7"/>
  <c r="H45" i="7"/>
  <c r="I45" i="7"/>
  <c r="J45" i="7"/>
  <c r="K45" i="7"/>
  <c r="L45" i="7"/>
  <c r="M45" i="7"/>
  <c r="B53" i="7"/>
  <c r="C53" i="7"/>
  <c r="D53" i="7"/>
  <c r="E53" i="7"/>
  <c r="F53" i="7"/>
  <c r="G53" i="7"/>
  <c r="H53" i="7"/>
  <c r="I53" i="7"/>
  <c r="J53" i="7"/>
  <c r="K53" i="7"/>
  <c r="L53" i="7"/>
  <c r="M53" i="7"/>
  <c r="Q56" i="7"/>
  <c r="D57" i="7"/>
  <c r="D58" i="8"/>
  <c r="E57" i="7"/>
  <c r="Q57" i="7"/>
  <c r="Q58" i="7"/>
  <c r="D59" i="7"/>
  <c r="D60" i="8" s="1"/>
  <c r="E59" i="7"/>
  <c r="E60" i="8"/>
  <c r="Q59" i="7"/>
  <c r="Q60" i="7"/>
  <c r="B61" i="7"/>
  <c r="C61" i="7"/>
  <c r="F61" i="7"/>
  <c r="G61" i="7"/>
  <c r="H61" i="7"/>
  <c r="I61" i="7"/>
  <c r="J61" i="7"/>
  <c r="J287" i="7" s="1"/>
  <c r="K61" i="7"/>
  <c r="L61" i="7"/>
  <c r="M61" i="7"/>
  <c r="N61" i="7"/>
  <c r="O61" i="7"/>
  <c r="P61" i="7"/>
  <c r="B69" i="7"/>
  <c r="C69" i="7"/>
  <c r="D69" i="7"/>
  <c r="E69" i="7"/>
  <c r="F69" i="7"/>
  <c r="G69" i="7"/>
  <c r="H69" i="7"/>
  <c r="I69" i="7"/>
  <c r="J69" i="7"/>
  <c r="K69" i="7"/>
  <c r="L69" i="7"/>
  <c r="M69" i="7"/>
  <c r="B77" i="7"/>
  <c r="C77" i="7"/>
  <c r="D77" i="7"/>
  <c r="E77" i="7"/>
  <c r="F77" i="7"/>
  <c r="G77" i="7"/>
  <c r="H77" i="7"/>
  <c r="I77" i="7"/>
  <c r="J77" i="7"/>
  <c r="K77" i="7"/>
  <c r="L77" i="7"/>
  <c r="M77" i="7"/>
  <c r="Q80" i="7"/>
  <c r="D81" i="7"/>
  <c r="D85" i="7" s="1"/>
  <c r="E81" i="7"/>
  <c r="E82" i="8"/>
  <c r="Q81" i="7"/>
  <c r="Q85" i="7" s="1"/>
  <c r="Q82" i="7"/>
  <c r="D83" i="7"/>
  <c r="D84" i="8"/>
  <c r="E83" i="7"/>
  <c r="E84" i="8" s="1"/>
  <c r="Q83" i="7"/>
  <c r="Q84" i="7"/>
  <c r="B85" i="7"/>
  <c r="C85" i="7"/>
  <c r="F85" i="7"/>
  <c r="G85" i="7"/>
  <c r="H85" i="7"/>
  <c r="I85" i="7"/>
  <c r="J85" i="7"/>
  <c r="K85" i="7"/>
  <c r="L85" i="7"/>
  <c r="M85" i="7"/>
  <c r="N85" i="7"/>
  <c r="O85" i="7"/>
  <c r="P85" i="7"/>
  <c r="B93" i="7"/>
  <c r="C93" i="7"/>
  <c r="D93" i="7"/>
  <c r="E93" i="7"/>
  <c r="F93" i="7"/>
  <c r="G93" i="7"/>
  <c r="H93" i="7"/>
  <c r="I93" i="7"/>
  <c r="J93" i="7"/>
  <c r="K93" i="7"/>
  <c r="L93" i="7"/>
  <c r="M93" i="7"/>
  <c r="E96" i="7"/>
  <c r="Q96" i="7"/>
  <c r="E97" i="7"/>
  <c r="Q97" i="7"/>
  <c r="D98" i="7"/>
  <c r="D99" i="8"/>
  <c r="D102" i="8" s="1"/>
  <c r="E98" i="7"/>
  <c r="E99" i="8"/>
  <c r="Q98" i="7"/>
  <c r="D99" i="7"/>
  <c r="D100" i="8" s="1"/>
  <c r="E99" i="7"/>
  <c r="E100" i="8"/>
  <c r="Q99" i="7"/>
  <c r="Q100" i="7"/>
  <c r="B101" i="7"/>
  <c r="C101" i="7"/>
  <c r="F101" i="7"/>
  <c r="G101" i="7"/>
  <c r="H101" i="7"/>
  <c r="I101" i="7"/>
  <c r="J101" i="7"/>
  <c r="K101" i="7"/>
  <c r="L101" i="7"/>
  <c r="M101" i="7"/>
  <c r="N101" i="7"/>
  <c r="O101" i="7"/>
  <c r="P101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M287" i="7" s="1"/>
  <c r="M288" i="7" s="1"/>
  <c r="B117" i="7"/>
  <c r="C117" i="7"/>
  <c r="D117" i="7"/>
  <c r="E117" i="7"/>
  <c r="F117" i="7"/>
  <c r="G117" i="7"/>
  <c r="H117" i="7"/>
  <c r="I117" i="7"/>
  <c r="J117" i="7"/>
  <c r="K117" i="7"/>
  <c r="L117" i="7"/>
  <c r="M117" i="7"/>
  <c r="R120" i="7"/>
  <c r="D121" i="7"/>
  <c r="D125" i="7" s="1"/>
  <c r="D122" i="8"/>
  <c r="D126" i="8" s="1"/>
  <c r="E121" i="7"/>
  <c r="E122" i="8"/>
  <c r="R121" i="7"/>
  <c r="R125" i="7" s="1"/>
  <c r="D122" i="7"/>
  <c r="D123" i="8" s="1"/>
  <c r="E122" i="7"/>
  <c r="R122" i="7"/>
  <c r="D123" i="7"/>
  <c r="D124" i="8"/>
  <c r="E123" i="7"/>
  <c r="E125" i="7" s="1"/>
  <c r="E124" i="8"/>
  <c r="R123" i="7"/>
  <c r="R124" i="7"/>
  <c r="B125" i="7"/>
  <c r="C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Q128" i="7"/>
  <c r="D129" i="7"/>
  <c r="D133" i="7" s="1"/>
  <c r="D130" i="8"/>
  <c r="E129" i="7"/>
  <c r="E130" i="8"/>
  <c r="Q129" i="7"/>
  <c r="Q130" i="7"/>
  <c r="D131" i="7"/>
  <c r="D132" i="8"/>
  <c r="E131" i="7"/>
  <c r="E132" i="8"/>
  <c r="Q131" i="7"/>
  <c r="Q132" i="7"/>
  <c r="B133" i="7"/>
  <c r="C133" i="7"/>
  <c r="F133" i="7"/>
  <c r="G133" i="7"/>
  <c r="H133" i="7"/>
  <c r="I133" i="7"/>
  <c r="J133" i="7"/>
  <c r="K133" i="7"/>
  <c r="M133" i="7"/>
  <c r="N133" i="7"/>
  <c r="O133" i="7"/>
  <c r="P133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Q248" i="7"/>
  <c r="Q249" i="7"/>
  <c r="Q250" i="7"/>
  <c r="Q251" i="7"/>
  <c r="F252" i="7"/>
  <c r="F253" i="8"/>
  <c r="F254" i="8"/>
  <c r="Q252" i="7"/>
  <c r="B253" i="7"/>
  <c r="C253" i="7"/>
  <c r="D253" i="7"/>
  <c r="E253" i="7"/>
  <c r="G253" i="7"/>
  <c r="H253" i="7"/>
  <c r="I253" i="7"/>
  <c r="J253" i="7"/>
  <c r="K253" i="7"/>
  <c r="L253" i="7"/>
  <c r="M253" i="7"/>
  <c r="N253" i="7"/>
  <c r="O253" i="7"/>
  <c r="P253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R272" i="7"/>
  <c r="R273" i="7"/>
  <c r="R274" i="7"/>
  <c r="R275" i="7"/>
  <c r="R277" i="7" s="1"/>
  <c r="R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I287" i="7"/>
  <c r="A3" i="81"/>
  <c r="D6" i="81"/>
  <c r="E6" i="81"/>
  <c r="F6" i="81"/>
  <c r="F9" i="81" s="1"/>
  <c r="G6" i="81"/>
  <c r="H6" i="81"/>
  <c r="H9" i="81" s="1"/>
  <c r="I6" i="81"/>
  <c r="J6" i="81"/>
  <c r="J9" i="81" s="1"/>
  <c r="K6" i="81"/>
  <c r="L6" i="81"/>
  <c r="L9" i="81" s="1"/>
  <c r="M6" i="81"/>
  <c r="N6" i="81"/>
  <c r="N9" i="81" s="1"/>
  <c r="O6" i="81"/>
  <c r="P6" i="81"/>
  <c r="P9" i="81" s="1"/>
  <c r="Q6" i="81"/>
  <c r="R6" i="81"/>
  <c r="R9" i="81" s="1"/>
  <c r="S6" i="81"/>
  <c r="T6" i="81"/>
  <c r="T9" i="81" s="1"/>
  <c r="U6" i="81"/>
  <c r="V6" i="81"/>
  <c r="V9" i="81" s="1"/>
  <c r="W6" i="81"/>
  <c r="X6" i="81"/>
  <c r="X9" i="81" s="1"/>
  <c r="Y6" i="81"/>
  <c r="Z6" i="81"/>
  <c r="Z9" i="81" s="1"/>
  <c r="AA6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Z7" i="81"/>
  <c r="AA7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Z8" i="81"/>
  <c r="AA8" i="81"/>
  <c r="D9" i="81"/>
  <c r="G9" i="81"/>
  <c r="I9" i="81"/>
  <c r="K9" i="81"/>
  <c r="M9" i="81"/>
  <c r="O9" i="81"/>
  <c r="Q9" i="81"/>
  <c r="S9" i="81"/>
  <c r="U9" i="81"/>
  <c r="W9" i="81"/>
  <c r="Y9" i="81"/>
  <c r="AA9" i="81"/>
  <c r="D10" i="81"/>
  <c r="E10" i="81"/>
  <c r="F10" i="81"/>
  <c r="G10" i="81"/>
  <c r="H10" i="81"/>
  <c r="I10" i="81"/>
  <c r="J10" i="81"/>
  <c r="K10" i="81"/>
  <c r="K22" i="81" s="1"/>
  <c r="L10" i="81"/>
  <c r="M10" i="81"/>
  <c r="M22" i="81" s="1"/>
  <c r="N10" i="81"/>
  <c r="O10" i="81"/>
  <c r="P10" i="81"/>
  <c r="Q10" i="81"/>
  <c r="R10" i="81"/>
  <c r="S10" i="81"/>
  <c r="S22" i="81" s="1"/>
  <c r="T10" i="81"/>
  <c r="U10" i="81"/>
  <c r="U22" i="81" s="1"/>
  <c r="V10" i="81"/>
  <c r="W10" i="81"/>
  <c r="W22" i="81" s="1"/>
  <c r="X10" i="81"/>
  <c r="Y10" i="81"/>
  <c r="Y22" i="81" s="1"/>
  <c r="Z10" i="81"/>
  <c r="AA10" i="81"/>
  <c r="AA22" i="81" s="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Z11" i="81"/>
  <c r="AA11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Z12" i="81"/>
  <c r="AA12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Z13" i="81"/>
  <c r="AA13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Z14" i="81"/>
  <c r="AA14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Z15" i="81"/>
  <c r="AA15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Z16" i="81"/>
  <c r="AA16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Z17" i="81"/>
  <c r="AA17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P22" i="81" s="1"/>
  <c r="Q18" i="81"/>
  <c r="R18" i="81"/>
  <c r="S18" i="81"/>
  <c r="T18" i="81"/>
  <c r="U18" i="81"/>
  <c r="V18" i="81"/>
  <c r="W18" i="81"/>
  <c r="X18" i="81"/>
  <c r="Y18" i="81"/>
  <c r="Z18" i="81"/>
  <c r="AA18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Z19" i="81"/>
  <c r="AA19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Z20" i="81"/>
  <c r="AA20" i="81"/>
  <c r="D21" i="81"/>
  <c r="E21" i="81"/>
  <c r="F21" i="81"/>
  <c r="G21" i="81"/>
  <c r="H21" i="81"/>
  <c r="I21" i="81"/>
  <c r="J21" i="81"/>
  <c r="J22" i="81" s="1"/>
  <c r="K21" i="81"/>
  <c r="L21" i="81"/>
  <c r="M21" i="81"/>
  <c r="N21" i="81"/>
  <c r="N22" i="81" s="1"/>
  <c r="O21" i="81"/>
  <c r="P21" i="81"/>
  <c r="Q21" i="81"/>
  <c r="R21" i="81"/>
  <c r="R22" i="81" s="1"/>
  <c r="S21" i="81"/>
  <c r="T21" i="81"/>
  <c r="U21" i="81"/>
  <c r="V21" i="81"/>
  <c r="W21" i="81"/>
  <c r="X21" i="81"/>
  <c r="Y21" i="81"/>
  <c r="Z21" i="81"/>
  <c r="AA21" i="81"/>
  <c r="D22" i="81"/>
  <c r="E22" i="81"/>
  <c r="F22" i="81"/>
  <c r="G22" i="81"/>
  <c r="H22" i="81"/>
  <c r="I22" i="81"/>
  <c r="L22" i="81"/>
  <c r="O22" i="81"/>
  <c r="Q22" i="81"/>
  <c r="T22" i="81"/>
  <c r="V22" i="81"/>
  <c r="X22" i="81"/>
  <c r="Z22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Z23" i="81"/>
  <c r="AA23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Z24" i="81"/>
  <c r="AA24" i="81"/>
  <c r="D25" i="81"/>
  <c r="D26" i="81" s="1"/>
  <c r="E25" i="81"/>
  <c r="E26" i="81" s="1"/>
  <c r="F25" i="81"/>
  <c r="F26" i="81" s="1"/>
  <c r="G25" i="81"/>
  <c r="G26" i="81"/>
  <c r="H25" i="81"/>
  <c r="H26" i="81" s="1"/>
  <c r="I25" i="81"/>
  <c r="I26" i="81" s="1"/>
  <c r="J25" i="81"/>
  <c r="K25" i="81"/>
  <c r="K26" i="81" s="1"/>
  <c r="L25" i="81"/>
  <c r="L26" i="81" s="1"/>
  <c r="M25" i="81"/>
  <c r="N25" i="81"/>
  <c r="O25" i="81"/>
  <c r="O26" i="81"/>
  <c r="P25" i="81"/>
  <c r="P26" i="81" s="1"/>
  <c r="Q25" i="81"/>
  <c r="R25" i="81"/>
  <c r="R26" i="81" s="1"/>
  <c r="S25" i="81"/>
  <c r="S26" i="81" s="1"/>
  <c r="T25" i="81"/>
  <c r="U25" i="81"/>
  <c r="V25" i="81"/>
  <c r="V26" i="81" s="1"/>
  <c r="W25" i="81"/>
  <c r="W26" i="81" s="1"/>
  <c r="X25" i="81"/>
  <c r="X26" i="81" s="1"/>
  <c r="Y25" i="81"/>
  <c r="Y26" i="81" s="1"/>
  <c r="Z25" i="81"/>
  <c r="Z26" i="81" s="1"/>
  <c r="AA25" i="81"/>
  <c r="AA26" i="81" s="1"/>
  <c r="J26" i="81"/>
  <c r="M26" i="81"/>
  <c r="N26" i="81"/>
  <c r="Q26" i="81"/>
  <c r="T26" i="81"/>
  <c r="U26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Z27" i="81"/>
  <c r="AA27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Z28" i="81"/>
  <c r="AA28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Z29" i="81"/>
  <c r="AA29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Z30" i="81"/>
  <c r="AA30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Z31" i="81"/>
  <c r="AA31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Z32" i="81"/>
  <c r="AA32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Z33" i="81"/>
  <c r="AA33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Z34" i="81"/>
  <c r="AA34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Z35" i="81"/>
  <c r="AA35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Z36" i="81"/>
  <c r="AA36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Z37" i="81"/>
  <c r="AA37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Z38" i="81"/>
  <c r="AA38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Z39" i="81"/>
  <c r="AA39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Z40" i="81"/>
  <c r="AA40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Z41" i="81"/>
  <c r="AA41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Z42" i="81"/>
  <c r="AA42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Z43" i="81"/>
  <c r="AA43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Z44" i="81"/>
  <c r="AA44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Z45" i="81"/>
  <c r="AA45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Z46" i="81"/>
  <c r="AA46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Z47" i="81"/>
  <c r="AA47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Z48" i="81"/>
  <c r="AA48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Z49" i="81"/>
  <c r="AA49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Z50" i="81"/>
  <c r="AA50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Z51" i="81"/>
  <c r="AA51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Z52" i="81"/>
  <c r="AA52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Z53" i="81"/>
  <c r="AA53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Z54" i="81"/>
  <c r="AA54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Z55" i="81"/>
  <c r="AA55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Z56" i="81"/>
  <c r="AA56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Z57" i="81"/>
  <c r="AA57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Z58" i="81"/>
  <c r="AA58" i="81"/>
  <c r="D59" i="81"/>
  <c r="E59" i="81"/>
  <c r="F59" i="81"/>
  <c r="G59" i="81"/>
  <c r="H59" i="81"/>
  <c r="I59" i="81"/>
  <c r="J59" i="81"/>
  <c r="K59" i="81"/>
  <c r="L59" i="81"/>
  <c r="M59" i="81"/>
  <c r="N59" i="81"/>
  <c r="O59" i="81"/>
  <c r="P59" i="81"/>
  <c r="Q59" i="81"/>
  <c r="R59" i="81"/>
  <c r="S59" i="81"/>
  <c r="T59" i="81"/>
  <c r="U59" i="81"/>
  <c r="V59" i="81"/>
  <c r="W59" i="81"/>
  <c r="X59" i="81"/>
  <c r="Y59" i="81"/>
  <c r="Z59" i="81"/>
  <c r="AA59" i="81"/>
  <c r="D60" i="81"/>
  <c r="E60" i="81"/>
  <c r="F60" i="81"/>
  <c r="G60" i="81"/>
  <c r="H60" i="81"/>
  <c r="I60" i="81"/>
  <c r="J60" i="81"/>
  <c r="K60" i="81"/>
  <c r="L60" i="81"/>
  <c r="M60" i="81"/>
  <c r="N60" i="81"/>
  <c r="O60" i="81"/>
  <c r="P60" i="81"/>
  <c r="Q60" i="81"/>
  <c r="R60" i="81"/>
  <c r="S60" i="81"/>
  <c r="T60" i="81"/>
  <c r="U60" i="81"/>
  <c r="V60" i="81"/>
  <c r="W60" i="81"/>
  <c r="X60" i="81"/>
  <c r="Y60" i="81"/>
  <c r="Z60" i="81"/>
  <c r="AA60" i="81"/>
  <c r="D61" i="81"/>
  <c r="E61" i="81"/>
  <c r="F61" i="81"/>
  <c r="G61" i="81"/>
  <c r="H61" i="81"/>
  <c r="I61" i="81"/>
  <c r="J61" i="81"/>
  <c r="K61" i="81"/>
  <c r="L61" i="81"/>
  <c r="M61" i="81"/>
  <c r="N61" i="81"/>
  <c r="O61" i="81"/>
  <c r="P61" i="81"/>
  <c r="Q61" i="81"/>
  <c r="R61" i="81"/>
  <c r="S61" i="81"/>
  <c r="T61" i="81"/>
  <c r="U61" i="81"/>
  <c r="V61" i="81"/>
  <c r="W61" i="81"/>
  <c r="X61" i="81"/>
  <c r="Y61" i="81"/>
  <c r="Z61" i="81"/>
  <c r="AA61" i="81"/>
  <c r="D62" i="81"/>
  <c r="E62" i="81"/>
  <c r="F62" i="81"/>
  <c r="G62" i="81"/>
  <c r="H62" i="81"/>
  <c r="I62" i="81"/>
  <c r="J62" i="81"/>
  <c r="K62" i="81"/>
  <c r="L62" i="81"/>
  <c r="M62" i="81"/>
  <c r="N62" i="81"/>
  <c r="O62" i="81"/>
  <c r="P62" i="81"/>
  <c r="Q62" i="81"/>
  <c r="R62" i="81"/>
  <c r="S62" i="81"/>
  <c r="T62" i="81"/>
  <c r="U62" i="81"/>
  <c r="V62" i="81"/>
  <c r="W62" i="81"/>
  <c r="X62" i="81"/>
  <c r="Y62" i="81"/>
  <c r="Z62" i="81"/>
  <c r="AA62" i="81"/>
  <c r="D63" i="81"/>
  <c r="E63" i="81"/>
  <c r="F63" i="81"/>
  <c r="G63" i="81"/>
  <c r="H63" i="81"/>
  <c r="I63" i="81"/>
  <c r="J63" i="81"/>
  <c r="K63" i="81"/>
  <c r="L63" i="81"/>
  <c r="M63" i="81"/>
  <c r="N63" i="81"/>
  <c r="O63" i="81"/>
  <c r="P63" i="81"/>
  <c r="Q63" i="81"/>
  <c r="R63" i="81"/>
  <c r="S63" i="81"/>
  <c r="T63" i="81"/>
  <c r="U63" i="81"/>
  <c r="V63" i="81"/>
  <c r="W63" i="81"/>
  <c r="X63" i="81"/>
  <c r="Y63" i="81"/>
  <c r="Z63" i="81"/>
  <c r="AA63" i="81"/>
  <c r="D64" i="81"/>
  <c r="E64" i="81"/>
  <c r="F64" i="81"/>
  <c r="G64" i="81"/>
  <c r="H64" i="81"/>
  <c r="I64" i="81"/>
  <c r="J64" i="81"/>
  <c r="K64" i="81"/>
  <c r="L64" i="81"/>
  <c r="M64" i="81"/>
  <c r="N64" i="81"/>
  <c r="O64" i="81"/>
  <c r="P64" i="81"/>
  <c r="Q64" i="81"/>
  <c r="R64" i="81"/>
  <c r="S64" i="81"/>
  <c r="T64" i="81"/>
  <c r="U64" i="81"/>
  <c r="V64" i="81"/>
  <c r="W64" i="81"/>
  <c r="X64" i="81"/>
  <c r="Y64" i="81"/>
  <c r="Z64" i="81"/>
  <c r="AA64" i="81"/>
  <c r="D65" i="81"/>
  <c r="E65" i="81"/>
  <c r="F65" i="81"/>
  <c r="G65" i="81"/>
  <c r="H65" i="81"/>
  <c r="I65" i="81"/>
  <c r="J65" i="81"/>
  <c r="K65" i="81"/>
  <c r="L65" i="81"/>
  <c r="M65" i="81"/>
  <c r="N65" i="81"/>
  <c r="O65" i="81"/>
  <c r="P65" i="81"/>
  <c r="Q65" i="81"/>
  <c r="R65" i="81"/>
  <c r="S65" i="81"/>
  <c r="T65" i="81"/>
  <c r="U65" i="81"/>
  <c r="V65" i="81"/>
  <c r="W65" i="81"/>
  <c r="X65" i="81"/>
  <c r="Y65" i="81"/>
  <c r="Z65" i="81"/>
  <c r="AA65" i="81"/>
  <c r="D66" i="81"/>
  <c r="E66" i="81"/>
  <c r="F66" i="81"/>
  <c r="G66" i="81"/>
  <c r="H66" i="81"/>
  <c r="I66" i="81"/>
  <c r="J66" i="81"/>
  <c r="K66" i="81"/>
  <c r="L66" i="81"/>
  <c r="M66" i="81"/>
  <c r="N66" i="81"/>
  <c r="O66" i="81"/>
  <c r="P66" i="81"/>
  <c r="Q66" i="81"/>
  <c r="R66" i="81"/>
  <c r="S66" i="81"/>
  <c r="T66" i="81"/>
  <c r="U66" i="81"/>
  <c r="V66" i="81"/>
  <c r="W66" i="81"/>
  <c r="X66" i="81"/>
  <c r="Y66" i="81"/>
  <c r="Z66" i="81"/>
  <c r="AA66" i="81"/>
  <c r="D67" i="81"/>
  <c r="E67" i="81"/>
  <c r="F67" i="81"/>
  <c r="G67" i="81"/>
  <c r="H67" i="81"/>
  <c r="I67" i="81"/>
  <c r="J67" i="81"/>
  <c r="K67" i="81"/>
  <c r="L67" i="81"/>
  <c r="M67" i="81"/>
  <c r="N67" i="81"/>
  <c r="O67" i="81"/>
  <c r="P67" i="81"/>
  <c r="Q67" i="81"/>
  <c r="R67" i="81"/>
  <c r="S67" i="81"/>
  <c r="T67" i="81"/>
  <c r="U67" i="81"/>
  <c r="V67" i="81"/>
  <c r="W67" i="81"/>
  <c r="X67" i="81"/>
  <c r="Y67" i="81"/>
  <c r="Z67" i="81"/>
  <c r="AA67" i="81"/>
  <c r="D68" i="81"/>
  <c r="E68" i="81"/>
  <c r="F68" i="81"/>
  <c r="G68" i="81"/>
  <c r="H68" i="81"/>
  <c r="I68" i="81"/>
  <c r="J68" i="81"/>
  <c r="K68" i="81"/>
  <c r="L68" i="81"/>
  <c r="M68" i="81"/>
  <c r="N68" i="81"/>
  <c r="O68" i="81"/>
  <c r="P68" i="81"/>
  <c r="Q68" i="81"/>
  <c r="R68" i="81"/>
  <c r="S68" i="81"/>
  <c r="T68" i="81"/>
  <c r="U68" i="81"/>
  <c r="V68" i="81"/>
  <c r="W68" i="81"/>
  <c r="X68" i="81"/>
  <c r="Y68" i="81"/>
  <c r="Z68" i="81"/>
  <c r="AA68" i="81"/>
  <c r="D69" i="81"/>
  <c r="E69" i="81"/>
  <c r="F69" i="81"/>
  <c r="G69" i="81"/>
  <c r="H69" i="81"/>
  <c r="I69" i="81"/>
  <c r="J69" i="81"/>
  <c r="K69" i="81"/>
  <c r="L69" i="81"/>
  <c r="M69" i="81"/>
  <c r="N69" i="81"/>
  <c r="O69" i="81"/>
  <c r="P69" i="81"/>
  <c r="Q69" i="81"/>
  <c r="R69" i="81"/>
  <c r="S69" i="81"/>
  <c r="T69" i="81"/>
  <c r="U69" i="81"/>
  <c r="V69" i="81"/>
  <c r="W69" i="81"/>
  <c r="X69" i="81"/>
  <c r="Y69" i="81"/>
  <c r="Z69" i="81"/>
  <c r="AA69" i="81"/>
  <c r="D70" i="81"/>
  <c r="E70" i="81"/>
  <c r="F70" i="81"/>
  <c r="G70" i="81"/>
  <c r="H70" i="81"/>
  <c r="I70" i="81"/>
  <c r="J70" i="81"/>
  <c r="K70" i="81"/>
  <c r="L70" i="81"/>
  <c r="M70" i="81"/>
  <c r="N70" i="81"/>
  <c r="O70" i="81"/>
  <c r="P70" i="81"/>
  <c r="Q70" i="81"/>
  <c r="R70" i="81"/>
  <c r="R71" i="81" s="1"/>
  <c r="S70" i="81"/>
  <c r="T70" i="81"/>
  <c r="U70" i="81"/>
  <c r="V70" i="81"/>
  <c r="W70" i="81"/>
  <c r="X70" i="81"/>
  <c r="Y70" i="81"/>
  <c r="Z70" i="81"/>
  <c r="AA70" i="81"/>
  <c r="D71" i="81"/>
  <c r="E71" i="81"/>
  <c r="F71" i="81"/>
  <c r="G71" i="81"/>
  <c r="H71" i="81"/>
  <c r="I71" i="81"/>
  <c r="J71" i="81"/>
  <c r="K71" i="81"/>
  <c r="L71" i="81"/>
  <c r="M71" i="81"/>
  <c r="N71" i="81"/>
  <c r="O71" i="81"/>
  <c r="P71" i="81"/>
  <c r="Q71" i="81"/>
  <c r="S71" i="81"/>
  <c r="T71" i="81"/>
  <c r="U71" i="81"/>
  <c r="V71" i="81"/>
  <c r="W71" i="81"/>
  <c r="X71" i="81"/>
  <c r="Y71" i="81"/>
  <c r="Z71" i="81"/>
  <c r="AA71" i="81"/>
  <c r="D72" i="81"/>
  <c r="E72" i="81"/>
  <c r="F72" i="81"/>
  <c r="F75" i="81" s="1"/>
  <c r="G72" i="81"/>
  <c r="H72" i="81"/>
  <c r="I72" i="81"/>
  <c r="J72" i="81"/>
  <c r="J75" i="81" s="1"/>
  <c r="K72" i="81"/>
  <c r="L72" i="81"/>
  <c r="M72" i="81"/>
  <c r="N72" i="81"/>
  <c r="N75" i="81" s="1"/>
  <c r="O72" i="81"/>
  <c r="P72" i="81"/>
  <c r="Q72" i="81"/>
  <c r="R72" i="81"/>
  <c r="R75" i="81" s="1"/>
  <c r="S72" i="81"/>
  <c r="T72" i="81"/>
  <c r="U72" i="81"/>
  <c r="V72" i="81"/>
  <c r="V75" i="81" s="1"/>
  <c r="W72" i="81"/>
  <c r="X72" i="81"/>
  <c r="Y72" i="81"/>
  <c r="Z72" i="81"/>
  <c r="AA72" i="81"/>
  <c r="D73" i="81"/>
  <c r="E73" i="81"/>
  <c r="F73" i="81"/>
  <c r="G73" i="81"/>
  <c r="H73" i="81"/>
  <c r="I73" i="81"/>
  <c r="J73" i="81"/>
  <c r="K73" i="81"/>
  <c r="L73" i="81"/>
  <c r="M73" i="81"/>
  <c r="N73" i="81"/>
  <c r="O73" i="81"/>
  <c r="P73" i="81"/>
  <c r="Q73" i="81"/>
  <c r="R73" i="81"/>
  <c r="S73" i="81"/>
  <c r="T73" i="81"/>
  <c r="U73" i="81"/>
  <c r="V73" i="81"/>
  <c r="W73" i="81"/>
  <c r="X73" i="81"/>
  <c r="Y73" i="81"/>
  <c r="Z73" i="81"/>
  <c r="AA73" i="81"/>
  <c r="D74" i="81"/>
  <c r="E74" i="81"/>
  <c r="F74" i="81"/>
  <c r="G74" i="81"/>
  <c r="H74" i="81"/>
  <c r="I74" i="81"/>
  <c r="J74" i="81"/>
  <c r="K74" i="81"/>
  <c r="L74" i="81"/>
  <c r="M74" i="81"/>
  <c r="N74" i="81"/>
  <c r="O74" i="81"/>
  <c r="P74" i="81"/>
  <c r="Q74" i="81"/>
  <c r="R74" i="81"/>
  <c r="S74" i="81"/>
  <c r="T74" i="81"/>
  <c r="U74" i="81"/>
  <c r="V74" i="81"/>
  <c r="W74" i="81"/>
  <c r="X74" i="81"/>
  <c r="Y74" i="81"/>
  <c r="Z74" i="81"/>
  <c r="AA74" i="81"/>
  <c r="D75" i="81"/>
  <c r="G75" i="81"/>
  <c r="K75" i="81"/>
  <c r="O75" i="81"/>
  <c r="S75" i="81"/>
  <c r="W75" i="81"/>
  <c r="D9" i="85"/>
  <c r="E9" i="85"/>
  <c r="F9" i="85"/>
  <c r="G9" i="85"/>
  <c r="H9" i="85"/>
  <c r="I9" i="85"/>
  <c r="J9" i="85"/>
  <c r="K9" i="85"/>
  <c r="L9" i="85"/>
  <c r="M9" i="85"/>
  <c r="N9" i="85"/>
  <c r="O9" i="85"/>
  <c r="P9" i="85"/>
  <c r="Q9" i="85"/>
  <c r="R9" i="85"/>
  <c r="S9" i="85"/>
  <c r="T9" i="85"/>
  <c r="U9" i="85"/>
  <c r="V9" i="85"/>
  <c r="W9" i="85"/>
  <c r="X9" i="85"/>
  <c r="Y9" i="85"/>
  <c r="Z9" i="85"/>
  <c r="AA9" i="85"/>
  <c r="D23" i="85"/>
  <c r="E23" i="85"/>
  <c r="F23" i="85"/>
  <c r="G23" i="85"/>
  <c r="H23" i="85"/>
  <c r="I23" i="85"/>
  <c r="J23" i="85"/>
  <c r="K23" i="85"/>
  <c r="L23" i="85"/>
  <c r="M23" i="85"/>
  <c r="N23" i="85"/>
  <c r="O23" i="85"/>
  <c r="P23" i="85"/>
  <c r="Q23" i="85"/>
  <c r="R23" i="85"/>
  <c r="S23" i="85"/>
  <c r="T23" i="85"/>
  <c r="U23" i="85"/>
  <c r="V23" i="85"/>
  <c r="W23" i="85"/>
  <c r="X23" i="85"/>
  <c r="Y23" i="85"/>
  <c r="Z23" i="85"/>
  <c r="AA23" i="85"/>
  <c r="D25" i="85"/>
  <c r="E25" i="85"/>
  <c r="F25" i="85"/>
  <c r="G25" i="85"/>
  <c r="H25" i="85"/>
  <c r="I25" i="85"/>
  <c r="J25" i="85"/>
  <c r="K25" i="85"/>
  <c r="L25" i="85"/>
  <c r="M25" i="85"/>
  <c r="N25" i="85"/>
  <c r="O25" i="85"/>
  <c r="P25" i="85"/>
  <c r="Q25" i="85"/>
  <c r="R25" i="85"/>
  <c r="S25" i="85"/>
  <c r="T25" i="85"/>
  <c r="U25" i="85"/>
  <c r="V25" i="85"/>
  <c r="W25" i="85"/>
  <c r="X25" i="85"/>
  <c r="Y25" i="85"/>
  <c r="Z25" i="85"/>
  <c r="AA25" i="85"/>
  <c r="D27" i="85"/>
  <c r="E27" i="85"/>
  <c r="F27" i="85"/>
  <c r="G27" i="85"/>
  <c r="H27" i="85"/>
  <c r="I27" i="85"/>
  <c r="J27" i="85"/>
  <c r="K27" i="85"/>
  <c r="L27" i="85"/>
  <c r="M27" i="85"/>
  <c r="N27" i="85"/>
  <c r="O27" i="85"/>
  <c r="P27" i="85"/>
  <c r="Q27" i="85"/>
  <c r="R27" i="85"/>
  <c r="S27" i="85"/>
  <c r="T27" i="85"/>
  <c r="U27" i="85"/>
  <c r="V27" i="85"/>
  <c r="W27" i="85"/>
  <c r="X27" i="85"/>
  <c r="Y27" i="85"/>
  <c r="Z27" i="85"/>
  <c r="AA27" i="85"/>
  <c r="D32" i="85"/>
  <c r="D80" i="85" s="1"/>
  <c r="E32" i="85"/>
  <c r="F32" i="85"/>
  <c r="G32" i="85"/>
  <c r="H32" i="85"/>
  <c r="I32" i="85"/>
  <c r="J32" i="85"/>
  <c r="K32" i="85"/>
  <c r="L32" i="85"/>
  <c r="M32" i="85"/>
  <c r="N32" i="85"/>
  <c r="O32" i="85"/>
  <c r="P32" i="85"/>
  <c r="Q32" i="85"/>
  <c r="R32" i="85"/>
  <c r="S32" i="85"/>
  <c r="T32" i="85"/>
  <c r="U32" i="85"/>
  <c r="V32" i="85"/>
  <c r="X32" i="85"/>
  <c r="Y32" i="85"/>
  <c r="Z32" i="85"/>
  <c r="AA32" i="85"/>
  <c r="D35" i="85"/>
  <c r="E35" i="85"/>
  <c r="F35" i="85"/>
  <c r="G35" i="85"/>
  <c r="H35" i="85"/>
  <c r="I35" i="85"/>
  <c r="J35" i="85"/>
  <c r="K35" i="85"/>
  <c r="L35" i="85"/>
  <c r="M35" i="85"/>
  <c r="N35" i="85"/>
  <c r="O35" i="85"/>
  <c r="P35" i="85"/>
  <c r="Q35" i="85"/>
  <c r="R35" i="85"/>
  <c r="S35" i="85"/>
  <c r="T35" i="85"/>
  <c r="U35" i="85"/>
  <c r="V35" i="85"/>
  <c r="W35" i="85"/>
  <c r="X35" i="85"/>
  <c r="Y35" i="85"/>
  <c r="Z35" i="85"/>
  <c r="AA35" i="85"/>
  <c r="D47" i="85"/>
  <c r="E47" i="85"/>
  <c r="F47" i="85"/>
  <c r="G47" i="85"/>
  <c r="H47" i="85"/>
  <c r="I47" i="85"/>
  <c r="J47" i="85"/>
  <c r="K47" i="85"/>
  <c r="L47" i="85"/>
  <c r="M47" i="85"/>
  <c r="N47" i="85"/>
  <c r="O47" i="85"/>
  <c r="P47" i="85"/>
  <c r="Q47" i="85"/>
  <c r="R47" i="85"/>
  <c r="S47" i="85"/>
  <c r="T47" i="85"/>
  <c r="U47" i="85"/>
  <c r="V47" i="85"/>
  <c r="W47" i="85"/>
  <c r="X47" i="85"/>
  <c r="Y47" i="85"/>
  <c r="Z47" i="85"/>
  <c r="AA47" i="85"/>
  <c r="D50" i="85"/>
  <c r="E50" i="85"/>
  <c r="F50" i="85"/>
  <c r="G50" i="85"/>
  <c r="H50" i="85"/>
  <c r="I50" i="85"/>
  <c r="J50" i="85"/>
  <c r="K50" i="85"/>
  <c r="L50" i="85"/>
  <c r="M50" i="85"/>
  <c r="N50" i="85"/>
  <c r="O50" i="85"/>
  <c r="P50" i="85"/>
  <c r="Q50" i="85"/>
  <c r="R50" i="85"/>
  <c r="S50" i="85"/>
  <c r="T50" i="85"/>
  <c r="U50" i="85"/>
  <c r="V50" i="85"/>
  <c r="W50" i="85"/>
  <c r="X50" i="85"/>
  <c r="Y50" i="85"/>
  <c r="Z50" i="85"/>
  <c r="AA50" i="85"/>
  <c r="D53" i="85"/>
  <c r="E53" i="85"/>
  <c r="F53" i="85"/>
  <c r="G53" i="85"/>
  <c r="H53" i="85"/>
  <c r="I53" i="85"/>
  <c r="J53" i="85"/>
  <c r="K53" i="85"/>
  <c r="L53" i="85"/>
  <c r="M53" i="85"/>
  <c r="N53" i="85"/>
  <c r="O53" i="85"/>
  <c r="P53" i="85"/>
  <c r="Q53" i="85"/>
  <c r="R53" i="85"/>
  <c r="S53" i="85"/>
  <c r="T53" i="85"/>
  <c r="U53" i="85"/>
  <c r="V53" i="85"/>
  <c r="W53" i="85"/>
  <c r="X53" i="85"/>
  <c r="Y53" i="85"/>
  <c r="Z53" i="85"/>
  <c r="AA53" i="85"/>
  <c r="D56" i="85"/>
  <c r="E56" i="85"/>
  <c r="F56" i="85"/>
  <c r="G56" i="85"/>
  <c r="H56" i="85"/>
  <c r="I56" i="85"/>
  <c r="J56" i="85"/>
  <c r="K56" i="85"/>
  <c r="L56" i="85"/>
  <c r="M56" i="85"/>
  <c r="N56" i="85"/>
  <c r="O56" i="85"/>
  <c r="P56" i="85"/>
  <c r="Q56" i="85"/>
  <c r="R56" i="85"/>
  <c r="S56" i="85"/>
  <c r="T56" i="85"/>
  <c r="U56" i="85"/>
  <c r="V56" i="85"/>
  <c r="W56" i="85"/>
  <c r="X56" i="85"/>
  <c r="Y56" i="85"/>
  <c r="Z56" i="85"/>
  <c r="AA56" i="85"/>
  <c r="D58" i="85"/>
  <c r="E58" i="85"/>
  <c r="F58" i="85"/>
  <c r="G58" i="85"/>
  <c r="H58" i="85"/>
  <c r="I58" i="85"/>
  <c r="J58" i="85"/>
  <c r="K58" i="85"/>
  <c r="L58" i="85"/>
  <c r="M58" i="85"/>
  <c r="N58" i="85"/>
  <c r="O58" i="85"/>
  <c r="P58" i="85"/>
  <c r="Q58" i="85"/>
  <c r="R58" i="85"/>
  <c r="S58" i="85"/>
  <c r="T58" i="85"/>
  <c r="U58" i="85"/>
  <c r="V58" i="85"/>
  <c r="W58" i="85"/>
  <c r="X58" i="85"/>
  <c r="Y58" i="85"/>
  <c r="Z58" i="85"/>
  <c r="AA58" i="85"/>
  <c r="D69" i="85"/>
  <c r="E69" i="85"/>
  <c r="F69" i="85"/>
  <c r="G69" i="85"/>
  <c r="H69" i="85"/>
  <c r="I69" i="85"/>
  <c r="J69" i="85"/>
  <c r="K69" i="85"/>
  <c r="L69" i="85"/>
  <c r="M69" i="85"/>
  <c r="N69" i="85"/>
  <c r="O69" i="85"/>
  <c r="P69" i="85"/>
  <c r="Q69" i="85"/>
  <c r="R69" i="85"/>
  <c r="S69" i="85"/>
  <c r="T69" i="85"/>
  <c r="U69" i="85"/>
  <c r="V69" i="85"/>
  <c r="W69" i="85"/>
  <c r="X69" i="85"/>
  <c r="Y69" i="85"/>
  <c r="Z69" i="85"/>
  <c r="AA69" i="85"/>
  <c r="D75" i="85"/>
  <c r="E75" i="85"/>
  <c r="F75" i="85"/>
  <c r="G75" i="85"/>
  <c r="H75" i="85"/>
  <c r="I75" i="85"/>
  <c r="J75" i="85"/>
  <c r="K75" i="85"/>
  <c r="L75" i="85"/>
  <c r="M75" i="85"/>
  <c r="N75" i="85"/>
  <c r="O75" i="85"/>
  <c r="P75" i="85"/>
  <c r="Q75" i="85"/>
  <c r="R75" i="85"/>
  <c r="S75" i="85"/>
  <c r="T75" i="85"/>
  <c r="U75" i="85"/>
  <c r="V75" i="85"/>
  <c r="W75" i="85"/>
  <c r="X75" i="85"/>
  <c r="Y75" i="85"/>
  <c r="Z75" i="85"/>
  <c r="AA75" i="85"/>
  <c r="D79" i="85"/>
  <c r="E79" i="85"/>
  <c r="F79" i="85"/>
  <c r="G79" i="85"/>
  <c r="G80" i="85" s="1"/>
  <c r="H79" i="85"/>
  <c r="H80" i="85" s="1"/>
  <c r="I79" i="85"/>
  <c r="J79" i="85"/>
  <c r="K79" i="85"/>
  <c r="K80" i="85" s="1"/>
  <c r="L79" i="85"/>
  <c r="M79" i="85"/>
  <c r="N79" i="85"/>
  <c r="O79" i="85"/>
  <c r="O80" i="85" s="1"/>
  <c r="P79" i="85"/>
  <c r="Q79" i="85"/>
  <c r="R79" i="85"/>
  <c r="S79" i="85"/>
  <c r="S80" i="85" s="1"/>
  <c r="T79" i="85"/>
  <c r="T80" i="85" s="1"/>
  <c r="U79" i="85"/>
  <c r="V79" i="85"/>
  <c r="W79" i="85"/>
  <c r="W80" i="85" s="1"/>
  <c r="X79" i="85"/>
  <c r="Y79" i="85"/>
  <c r="Y80" i="85" s="1"/>
  <c r="Y81" i="85" s="1"/>
  <c r="Z79" i="85"/>
  <c r="AA79" i="85"/>
  <c r="F80" i="85"/>
  <c r="J80" i="85"/>
  <c r="L80" i="85"/>
  <c r="N80" i="85"/>
  <c r="R80" i="85"/>
  <c r="V80" i="85"/>
  <c r="W67" i="68"/>
  <c r="Y67" i="68"/>
  <c r="Q61" i="7"/>
  <c r="L287" i="7"/>
  <c r="Q101" i="7"/>
  <c r="K287" i="7"/>
  <c r="K288" i="7" s="1"/>
  <c r="K288" i="8"/>
  <c r="L287" i="87"/>
  <c r="K287" i="87"/>
  <c r="S67" i="68"/>
  <c r="Q67" i="68"/>
  <c r="Q69" i="68" s="1"/>
  <c r="M67" i="68"/>
  <c r="M69" i="68"/>
  <c r="I67" i="68"/>
  <c r="I69" i="68" s="1"/>
  <c r="E67" i="68"/>
  <c r="E69" i="68"/>
  <c r="E134" i="8"/>
  <c r="D134" i="8"/>
  <c r="E133" i="7"/>
  <c r="D101" i="7"/>
  <c r="E123" i="8"/>
  <c r="E126" i="8" s="1"/>
  <c r="E97" i="8"/>
  <c r="F253" i="7"/>
  <c r="F287" i="7" s="1"/>
  <c r="K76" i="81" l="1"/>
  <c r="D76" i="81"/>
  <c r="T75" i="81"/>
  <c r="T76" i="81" s="1"/>
  <c r="P75" i="81"/>
  <c r="P76" i="81" s="1"/>
  <c r="S76" i="81"/>
  <c r="O76" i="81"/>
  <c r="F76" i="81"/>
  <c r="F288" i="7"/>
  <c r="X80" i="85"/>
  <c r="X81" i="85" s="1"/>
  <c r="AA75" i="81"/>
  <c r="AA76" i="81" s="1"/>
  <c r="V76" i="81"/>
  <c r="R76" i="81"/>
  <c r="E9" i="81"/>
  <c r="W76" i="81"/>
  <c r="Z75" i="81"/>
  <c r="Z76" i="81" s="1"/>
  <c r="P80" i="85"/>
  <c r="Y75" i="81"/>
  <c r="Y76" i="81" s="1"/>
  <c r="U75" i="81"/>
  <c r="U76" i="81" s="1"/>
  <c r="Q75" i="81"/>
  <c r="Q76" i="81" s="1"/>
  <c r="M75" i="81"/>
  <c r="M76" i="81" s="1"/>
  <c r="I75" i="81"/>
  <c r="I76" i="81" s="1"/>
  <c r="E75" i="81"/>
  <c r="J288" i="7"/>
  <c r="G76" i="81"/>
  <c r="G77" i="81"/>
  <c r="E76" i="81"/>
  <c r="N76" i="81"/>
  <c r="X75" i="81"/>
  <c r="X76" i="81" s="1"/>
  <c r="H75" i="81"/>
  <c r="H76" i="81" s="1"/>
  <c r="I288" i="7"/>
  <c r="E80" i="85"/>
  <c r="U80" i="85"/>
  <c r="E98" i="8"/>
  <c r="E102" i="8" s="1"/>
  <c r="E101" i="7"/>
  <c r="E85" i="7"/>
  <c r="D82" i="8"/>
  <c r="D86" i="8" s="1"/>
  <c r="G287" i="7"/>
  <c r="G288" i="7" s="1"/>
  <c r="E58" i="8"/>
  <c r="E62" i="8" s="1"/>
  <c r="E61" i="7"/>
  <c r="E287" i="7" s="1"/>
  <c r="E288" i="7" s="1"/>
  <c r="B134" i="8"/>
  <c r="L134" i="8"/>
  <c r="H134" i="8"/>
  <c r="B62" i="8"/>
  <c r="L62" i="8"/>
  <c r="L288" i="8" s="1"/>
  <c r="H62" i="8"/>
  <c r="D62" i="8"/>
  <c r="G67" i="68"/>
  <c r="G69" i="68" s="1"/>
  <c r="AA67" i="68"/>
  <c r="U67" i="68"/>
  <c r="O67" i="68"/>
  <c r="O69" i="68" s="1"/>
  <c r="D287" i="87"/>
  <c r="D288" i="87" s="1"/>
  <c r="H287" i="7"/>
  <c r="J254" i="8"/>
  <c r="B254" i="8"/>
  <c r="J86" i="8"/>
  <c r="J288" i="8" s="1"/>
  <c r="F86" i="8"/>
  <c r="F288" i="8" s="1"/>
  <c r="H288" i="8"/>
  <c r="I288" i="8"/>
  <c r="B288" i="8"/>
  <c r="Q101" i="87"/>
  <c r="L288" i="7"/>
  <c r="AA80" i="85"/>
  <c r="AA81" i="85" s="1"/>
  <c r="L75" i="81"/>
  <c r="L76" i="81" s="1"/>
  <c r="J76" i="81"/>
  <c r="B287" i="7"/>
  <c r="E86" i="8"/>
  <c r="D61" i="7"/>
  <c r="D287" i="7" s="1"/>
  <c r="D288" i="7" s="1"/>
  <c r="C287" i="7"/>
  <c r="C288" i="7" s="1"/>
  <c r="J102" i="8"/>
  <c r="F102" i="8"/>
  <c r="K288" i="87"/>
  <c r="I288" i="87"/>
  <c r="G287" i="87"/>
  <c r="G288" i="87" s="1"/>
  <c r="C287" i="87"/>
  <c r="C288" i="87" s="1"/>
  <c r="H288" i="7"/>
  <c r="Q80" i="85"/>
  <c r="M80" i="85"/>
  <c r="I80" i="85"/>
  <c r="B288" i="7"/>
  <c r="Z80" i="85"/>
  <c r="Z81" i="85" s="1"/>
  <c r="Q253" i="7"/>
  <c r="Q133" i="7"/>
  <c r="J126" i="8"/>
  <c r="F126" i="8"/>
  <c r="P67" i="68"/>
  <c r="P69" i="68" s="1"/>
  <c r="L67" i="68"/>
  <c r="L69" i="68" s="1"/>
  <c r="H67" i="68"/>
  <c r="H69" i="68" s="1"/>
  <c r="D67" i="68"/>
  <c r="D69" i="68" s="1"/>
  <c r="X67" i="68"/>
  <c r="T67" i="68"/>
  <c r="H287" i="87"/>
  <c r="H288" i="87" s="1"/>
  <c r="J287" i="87"/>
  <c r="J288" i="87" s="1"/>
  <c r="F287" i="87"/>
  <c r="F288" i="87" s="1"/>
  <c r="B287" i="87"/>
  <c r="B288" i="87" s="1"/>
  <c r="M287" i="87"/>
  <c r="M288" i="87" s="1"/>
  <c r="M289" i="87" s="1"/>
  <c r="E287" i="87"/>
  <c r="E288" i="87" s="1"/>
  <c r="D288" i="8" l="1"/>
  <c r="E288" i="8"/>
</calcChain>
</file>

<file path=xl/sharedStrings.xml><?xml version="1.0" encoding="utf-8"?>
<sst xmlns="http://schemas.openxmlformats.org/spreadsheetml/2006/main" count="2583" uniqueCount="290">
  <si>
    <t>Total 12 PERFORACIÓN DE DES</t>
  </si>
  <si>
    <t>Total 26 CONSERVACIÓN Y UTI</t>
  </si>
  <si>
    <t>Total 28 INSTALACIONES DE P</t>
  </si>
  <si>
    <t>Total 98 OTRAS INVERSIONES</t>
  </si>
  <si>
    <t>Total HA HABILITADORA Y APO</t>
  </si>
  <si>
    <t>ENERO</t>
  </si>
  <si>
    <t>FEBRERO</t>
  </si>
  <si>
    <t>MARZO</t>
  </si>
  <si>
    <t>ABRIL</t>
  </si>
  <si>
    <t>MAYO</t>
  </si>
  <si>
    <t>JUNIO</t>
  </si>
  <si>
    <t>JULIO</t>
  </si>
  <si>
    <t>DESARROLLO URBANO DTTO CA RUPANO</t>
  </si>
  <si>
    <t>SEGURIDAD INDUSTRIAL DIV COSTA AFUERA</t>
  </si>
  <si>
    <t>Renglón</t>
  </si>
  <si>
    <t>Categoría</t>
  </si>
  <si>
    <t>Título del Renglón</t>
  </si>
  <si>
    <t>09 GEOFISICA</t>
  </si>
  <si>
    <t>--2010-091G1201</t>
  </si>
  <si>
    <t>ESTUDIOS METOCEAN DTTO GU IRIA</t>
  </si>
  <si>
    <t>26 CONSERVACIÓN Y UTI</t>
  </si>
  <si>
    <t>--2008-263G1201</t>
  </si>
  <si>
    <t xml:space="preserve">GASODUCTOS SUBMARINOS </t>
  </si>
  <si>
    <t>27 PLANTAS DE LIQUIDO</t>
  </si>
  <si>
    <t>--2008-270G1201</t>
  </si>
  <si>
    <t xml:space="preserve">PAGMI </t>
  </si>
  <si>
    <t>74 DESARROLLO URBANO</t>
  </si>
  <si>
    <t>86 COMPUTACIÓN Y SIST</t>
  </si>
  <si>
    <t>91 EDIFICIOS E INSTAL</t>
  </si>
  <si>
    <t>--2008-913G1201</t>
  </si>
  <si>
    <t xml:space="preserve">CIGMA </t>
  </si>
  <si>
    <t>98 OTRAS INVERSIONES</t>
  </si>
  <si>
    <t>--2008-984G1201</t>
  </si>
  <si>
    <t xml:space="preserve">ELECTRIFICACION DEL CIGMA </t>
  </si>
  <si>
    <t>--2008-986G1201</t>
  </si>
  <si>
    <t xml:space="preserve">GESTION - GDCO </t>
  </si>
  <si>
    <t>--2008-986G1203</t>
  </si>
  <si>
    <t>LOGISTICA OPERACIONAL GDC O</t>
  </si>
  <si>
    <t>--2009-985G1201</t>
  </si>
  <si>
    <t>ADECUACION  PUERTO DE HIE RRO</t>
  </si>
  <si>
    <t>HA HABILITADORA Y APO</t>
  </si>
  <si>
    <t>--2010-HA0G1220</t>
  </si>
  <si>
    <t xml:space="preserve">GESTION DISTRITO GURIA </t>
  </si>
  <si>
    <t>--2010-091P1301</t>
  </si>
  <si>
    <t>ESTUDIOS METOCEAN DTTO CA RUPANO</t>
  </si>
  <si>
    <t>12 PERFORACIÓN DE DES</t>
  </si>
  <si>
    <t>--2009-122P1301</t>
  </si>
  <si>
    <t>--2009-122P1302</t>
  </si>
  <si>
    <t>--2010-122P1301</t>
  </si>
  <si>
    <t>--2010-122P1302</t>
  </si>
  <si>
    <t>LOGISTICA OPERACIONAL - A POYO A POZOS</t>
  </si>
  <si>
    <t>--2010-122P1305</t>
  </si>
  <si>
    <t>PERF. LOC- DPSSD 5/ POZO DR9 CAMPO DRAGÓ</t>
  </si>
  <si>
    <t>--2010-122P1306</t>
  </si>
  <si>
    <t>PERF LOC. DPSSD 11/ POZO DR 8 CAMPO DRAG</t>
  </si>
  <si>
    <t>--2010-122P1307</t>
  </si>
  <si>
    <t>--2011-122P1301</t>
  </si>
  <si>
    <t>--2011-122P1302</t>
  </si>
  <si>
    <t>28 INSTALACIONES DE P</t>
  </si>
  <si>
    <t>--2007-289P1302</t>
  </si>
  <si>
    <t>PLATAFORMA MARISCAL SUCRE -CPO-DRAGON</t>
  </si>
  <si>
    <t>--2008-289P1301</t>
  </si>
  <si>
    <t>SISTEMA SUBMAR MARISCAL S UCRE CAM.DRAGON</t>
  </si>
  <si>
    <t>--2009-289P1601</t>
  </si>
  <si>
    <t>DESAR.INFRAEST.MEJILLONES RIO CARIBE</t>
  </si>
  <si>
    <t>--2008-741P1302</t>
  </si>
  <si>
    <t>INSTALACIONES MACARAPANA COSTA AFUERA</t>
  </si>
  <si>
    <t>--2010-HA0P1322</t>
  </si>
  <si>
    <t xml:space="preserve">GESTION DISTRITO CARUPANO </t>
  </si>
  <si>
    <t>--2010-091V3101</t>
  </si>
  <si>
    <t>ESTUDIOS METOCEAN DIV COS TA AFUERA</t>
  </si>
  <si>
    <t>--2010-741V3102</t>
  </si>
  <si>
    <t>ADECUAC DE ESPACIOS P/ OF ICINAS CUMANA</t>
  </si>
  <si>
    <t>--2012-741V3101</t>
  </si>
  <si>
    <t>CONSTRUCCIÓN DEL COMPLEJO PETROLERO CUMA</t>
  </si>
  <si>
    <t>--2010-860V3101</t>
  </si>
  <si>
    <t xml:space="preserve">AIT DIV COSTA AFUERA </t>
  </si>
  <si>
    <t>--2010-HA0V3123</t>
  </si>
  <si>
    <t>GESTION DIVISIÓN COSTA AF UERA CUMANA</t>
  </si>
  <si>
    <t>Total general</t>
  </si>
  <si>
    <t>DIVISIÓN COSTA AFUERA ORIENTAL</t>
  </si>
  <si>
    <t xml:space="preserve">Ambiente </t>
  </si>
  <si>
    <t>Enero</t>
  </si>
  <si>
    <t>Febrero</t>
  </si>
  <si>
    <t>Marzo</t>
  </si>
  <si>
    <t>Abril</t>
  </si>
  <si>
    <t>Mayo</t>
  </si>
  <si>
    <t>Junio</t>
  </si>
  <si>
    <t>Julio</t>
  </si>
  <si>
    <t>Septiembre</t>
  </si>
  <si>
    <t>Octubre</t>
  </si>
  <si>
    <t>Noviembre</t>
  </si>
  <si>
    <t>Diciembre</t>
  </si>
  <si>
    <t>Labor</t>
  </si>
  <si>
    <t>Beneficio y Bienestar</t>
  </si>
  <si>
    <t>Materiales</t>
  </si>
  <si>
    <t>Servicios y Contratos</t>
  </si>
  <si>
    <t>Otros</t>
  </si>
  <si>
    <t>Total</t>
  </si>
  <si>
    <t>Asuntos Jurídicos</t>
  </si>
  <si>
    <t>Asuntos Públicos</t>
  </si>
  <si>
    <t>Auditoría</t>
  </si>
  <si>
    <t>Contratacion</t>
  </si>
  <si>
    <t>Coordinación Operacional</t>
  </si>
  <si>
    <t>Desarrollo Social</t>
  </si>
  <si>
    <t>Desarrollo Urbano</t>
  </si>
  <si>
    <t>Finanzas</t>
  </si>
  <si>
    <t>Gerencia General Costa Afuera</t>
  </si>
  <si>
    <t>Ingeneria de Costo</t>
  </si>
  <si>
    <t>Planificacion</t>
  </si>
  <si>
    <t>Prevencion Control y Pérdidas</t>
  </si>
  <si>
    <t>Propiedades y Catastro</t>
  </si>
  <si>
    <t>Recursos Humanos</t>
  </si>
  <si>
    <t>Relaciones Gubernamentales</t>
  </si>
  <si>
    <t>Salud</t>
  </si>
  <si>
    <t>Seguridad Industrial</t>
  </si>
  <si>
    <t>Servicios Eléctricos</t>
  </si>
  <si>
    <t>Servicios Logísticos</t>
  </si>
  <si>
    <t>Subgerencia Operativa</t>
  </si>
  <si>
    <t>Transporte Aéreo</t>
  </si>
  <si>
    <t>Transporte Terrestre</t>
  </si>
  <si>
    <t>Desarrollo de Yacimientos</t>
  </si>
  <si>
    <t>Dirección Ejecutiva</t>
  </si>
  <si>
    <t>Estudios de Yacimientos</t>
  </si>
  <si>
    <t>Distrito Carupano</t>
  </si>
  <si>
    <t>Distrito Guiria</t>
  </si>
  <si>
    <t>Misión Vivienda</t>
  </si>
  <si>
    <t>Infraestructura y Procesos Carupano</t>
  </si>
  <si>
    <t>Logistica Marina</t>
  </si>
  <si>
    <t>Mantenimiento Carupano</t>
  </si>
  <si>
    <t>Operaciones Producción Carupano</t>
  </si>
  <si>
    <t>Seguros Corporativos</t>
  </si>
  <si>
    <t>Rafael Urdaneta Costa Afuera</t>
  </si>
  <si>
    <t>93 EQUIPOS</t>
  </si>
  <si>
    <t>--2014-939G1202</t>
  </si>
  <si>
    <t>ADQ EQUIP SALUD OCUPACION AL GUIRIA</t>
  </si>
  <si>
    <t>--2014-939V3101</t>
  </si>
  <si>
    <t>ADQ EQUIP MEDICOS SERV ME DICOS CUMANA</t>
  </si>
  <si>
    <t>PERFOR. DEL POZO D6/ TALA DRO ABAN PEARL</t>
  </si>
  <si>
    <t>--2010-749G1201</t>
  </si>
  <si>
    <t>ADECUAC DE ESPACIOS PARA OFICINAS GUIRIA</t>
  </si>
  <si>
    <t>GESTION DE PERFORACION DI V COSTA AFUERA</t>
  </si>
  <si>
    <t>Total 09 GEOFISICA</t>
  </si>
  <si>
    <t>Total 27 PLANTAS DE LIQUIDO</t>
  </si>
  <si>
    <t>Total 74 DESARROLLO URBANO</t>
  </si>
  <si>
    <t>Total 86 COMPUTACIÓN Y SIST</t>
  </si>
  <si>
    <t>Total 91 EDIFICIOS E INSTAL</t>
  </si>
  <si>
    <t>Total 93 EQUIPOS</t>
  </si>
  <si>
    <t>--2007-122P1301</t>
  </si>
  <si>
    <t>PERFORACION-MARISCAL SUCR E-CPO DRAGON</t>
  </si>
  <si>
    <t>POZO DR5A / LOCAL DPSSD10 DEL CAMP DRAG</t>
  </si>
  <si>
    <t>PERF. LOC- DPSSD 8/ POZO DR10 CAMPO DRAG</t>
  </si>
  <si>
    <t>POZO DR11 LOCALIZACIÓN DP SSD7</t>
  </si>
  <si>
    <t>PERF  CAMPO PATAO 5 / LOC . PSSDD 13</t>
  </si>
  <si>
    <t>--2012-122P1401</t>
  </si>
  <si>
    <t>PERF LOC. PPSSD9 / CAMPO PATAO</t>
  </si>
  <si>
    <t>--2015-749G1201</t>
  </si>
  <si>
    <t>ACONDIC  OFICINAS CASA GU ARAGUARITA C A</t>
  </si>
  <si>
    <t>75 PROTECCIÓN INTEGRA</t>
  </si>
  <si>
    <t>--2008-755P1301</t>
  </si>
  <si>
    <t>BRIGADA DE BOMBEROS INDSU T. COSTA AFUERA</t>
  </si>
  <si>
    <t>--2010-759V3101</t>
  </si>
  <si>
    <t>Total 75 PROTECCIÓN INTEGRA</t>
  </si>
  <si>
    <t>76 PREVENCIÓN Y CONTR</t>
  </si>
  <si>
    <t>--2011-760V3101</t>
  </si>
  <si>
    <t>PROYECTOS DE SEGURIDAD 20 11(PCP) COMPLEJ</t>
  </si>
  <si>
    <t>Total 76 PREVENCIÓN Y CONTR</t>
  </si>
  <si>
    <t>Plan</t>
  </si>
  <si>
    <t>Real</t>
  </si>
  <si>
    <t>29 OLEODUCTOS Y TERMI</t>
  </si>
  <si>
    <t>--2015-294G1201</t>
  </si>
  <si>
    <t>CONTRUC E INST  MONOBOYA FSO NABARIMA</t>
  </si>
  <si>
    <t>Total 29 OLEODUCTOS Y TERMI</t>
  </si>
  <si>
    <t>--2011-760G1201</t>
  </si>
  <si>
    <t>CENTRO DE CONTROL (CECON) PCP EDIF-OPER</t>
  </si>
  <si>
    <t>--2013-939P1301</t>
  </si>
  <si>
    <t xml:space="preserve"> ADQ EQUIP MEDICOS CLINIC A CARUPANO</t>
  </si>
  <si>
    <t>--2014-939G1201</t>
  </si>
  <si>
    <t>ADQ EQUIP SERV MEDICOS GU IRIA</t>
  </si>
  <si>
    <t>--2015-933P1301</t>
  </si>
  <si>
    <t>ADQ AMBULANCIA TIPO III P ARA CARUPANO</t>
  </si>
  <si>
    <t>--2015-933V1301</t>
  </si>
  <si>
    <t>ADQ AMBULANCIA TIPO III P ARA CUMANA</t>
  </si>
  <si>
    <t>--2015-933V3101</t>
  </si>
  <si>
    <t>ADQUISICIÓN EQUIPOS TRANS PORTE AÉREO</t>
  </si>
  <si>
    <t>--2013-419V3101</t>
  </si>
  <si>
    <t>ACONDIC ESPAC LAB SALUD Y CTRO CAPACIT</t>
  </si>
  <si>
    <t>--2010-122P1304</t>
  </si>
  <si>
    <t>PERF. LOC - DPSSD9/POZO D R7 CAMPO DRAGON</t>
  </si>
  <si>
    <t>--2012-939P1301</t>
  </si>
  <si>
    <t>ADQ EQUIP MEDICOS CLINICA CARUPANO</t>
  </si>
  <si>
    <t>--2008-860G1201</t>
  </si>
  <si>
    <t xml:space="preserve">EQUIPAMIENTO AIT - GDCO </t>
  </si>
  <si>
    <t>--2013-934G1208</t>
  </si>
  <si>
    <t>MTTO MAY  V EMBARCACIONES LOG MARINA</t>
  </si>
  <si>
    <t>PERF  CAMPO PATAO 5 / LOC. PSSDD 13</t>
  </si>
  <si>
    <t>POZO DR11 LOCALIZACIÓN DPSSD7</t>
  </si>
  <si>
    <t>AGOSTO</t>
  </si>
  <si>
    <t>Agosto</t>
  </si>
  <si>
    <t>SEPTIEMBRE</t>
  </si>
  <si>
    <t>OCTUBRE</t>
  </si>
  <si>
    <t>NOVIEMBRE</t>
  </si>
  <si>
    <t>DICIEMBRE</t>
  </si>
  <si>
    <t>--2010-741P1301</t>
  </si>
  <si>
    <t>--2013-292G1201</t>
  </si>
  <si>
    <t>FACILID TRANSP CRUDO PEDE RNALES-COROCORO</t>
  </si>
  <si>
    <t>DR8</t>
  </si>
  <si>
    <t>DR11</t>
  </si>
  <si>
    <t>DR9</t>
  </si>
  <si>
    <t>DR5</t>
  </si>
  <si>
    <t>PATAO</t>
  </si>
  <si>
    <t>DR10</t>
  </si>
  <si>
    <t>SAQTURNO</t>
  </si>
  <si>
    <t>USD</t>
  </si>
  <si>
    <t>--2015-749G1202</t>
  </si>
  <si>
    <t>ADEC E INSTALAC OFICIN Y CLINICA GUIRIA</t>
  </si>
  <si>
    <t>MMBsF</t>
  </si>
  <si>
    <t xml:space="preserve">EJECUCIÓN REAL PLAN ENE-DIC AL </t>
  </si>
  <si>
    <t>REAL ENE-MAR 2016 MUSD</t>
  </si>
  <si>
    <t>EJECUCIÓN ENE-MAR AL 18/03/2016</t>
  </si>
  <si>
    <t>--2013-919V3101</t>
  </si>
  <si>
    <t>ADEC GALPON TALLER MTTO M ECANICO CA</t>
  </si>
  <si>
    <t>ADECUACIÓN OFIC GG COSTA AFUERA OCCIDENT</t>
  </si>
  <si>
    <t>ADECUACION INSTALACIONES COMEDOR CA</t>
  </si>
  <si>
    <t>--2016-983V3101</t>
  </si>
  <si>
    <t>CONST HANGAR  MTTO Y RESG AERONAVES  CUM</t>
  </si>
  <si>
    <t>METOCEAN GEOFISICA Y GEODESIA</t>
  </si>
  <si>
    <t>--2013-933G1201</t>
  </si>
  <si>
    <t>ADQ EQUIP LOG MARINA (LOW BOY)</t>
  </si>
  <si>
    <t>--2010-760P1301</t>
  </si>
  <si>
    <t xml:space="preserve">PCP DTTO CARUPANO </t>
  </si>
  <si>
    <t>--2010-939V3101</t>
  </si>
  <si>
    <t>Adq. de plantas eléctrica s- Costa Afuera</t>
  </si>
  <si>
    <t>--2011-939V3101</t>
  </si>
  <si>
    <t>ADQUIS EQUIPOS MEDICOS CL INICA INDUST</t>
  </si>
  <si>
    <t>--2012-939V3101</t>
  </si>
  <si>
    <t>ADQ EQUIP MEDICOS CLINICA CPC CUMANA</t>
  </si>
  <si>
    <t>HABGESTCA       HABILITADORA GESTIÓN COSTA AFUERA</t>
  </si>
  <si>
    <t xml:space="preserve"> AMBCA           AMBIENTE COSTA AFUERA</t>
  </si>
  <si>
    <t>JURDICOCA       JURIDICO COSTA AFUERA</t>
  </si>
  <si>
    <t>AAPPCA          ASUNTOS PUBLICOS COSTA AFUERA</t>
  </si>
  <si>
    <t>AUDICA          AUDITORIA INTERNA COSTA AFUERA</t>
  </si>
  <si>
    <t>CONTRATCA       CONTATACIÓN COSTA AFUERA</t>
  </si>
  <si>
    <t>COORDOPECA      COORDINACION OPERACIONAL COSTA AFUERA</t>
  </si>
  <si>
    <t xml:space="preserve"> DDSSCAGEST      DESARROLLO SOCIAL GESTIÓN COSTA AFUERA</t>
  </si>
  <si>
    <t>DDUUGESTCA      DESARROLLO URBANO COSTA AFUERA</t>
  </si>
  <si>
    <t>FINZGESTCA      FINANZAS GESTIÓN COSTA AFUERA</t>
  </si>
  <si>
    <t>GERGRALCA       GERENCIA GENERAL COSTA AFUERA</t>
  </si>
  <si>
    <t>INGCOSTCA       INGENIERIA DE COSTOS COSTA AFUERA</t>
  </si>
  <si>
    <t>PLANFCA         PLANIFICACIÓN COSTA AFUERA</t>
  </si>
  <si>
    <t>PCPGESTCA       PCP GESTION COSTA AFUERA ORIENTAL</t>
  </si>
  <si>
    <t>PROPCATCA       PROPIEDADES Y CATASTRO COSTA AFUERA</t>
  </si>
  <si>
    <t>RRHHGESTCA      RECURSOS HUMANOS COSTA AFUERA</t>
  </si>
  <si>
    <t>RELACGUBCA      RELACIONES GUBERNAMENTALES COSTA AFUERA</t>
  </si>
  <si>
    <t xml:space="preserve"> SALUDGSTCA      SALUD GESTIÓN COSTA AFUERA</t>
  </si>
  <si>
    <t>SEGINDCA        SEGURIDAD INDUSTRIAL COSTA AFUERA</t>
  </si>
  <si>
    <t>SEDCA           SERVICIO ELECTRICO COSTA AFUERA</t>
  </si>
  <si>
    <t>SSLLGSTCA       SERVICIOS LOGISTICOS GESTIÓN COSTA AFUER</t>
  </si>
  <si>
    <t>SUBGCOPCA       SUBGERENCIA OPERATIVA COSTA AFUERA</t>
  </si>
  <si>
    <t xml:space="preserve"> TTAACA          TRANSPORTE AEREO COSTA AFUERA</t>
  </si>
  <si>
    <t>TTTTGCTCA       TRANSPORTE TERRESTRE COSTA AFUERA</t>
  </si>
  <si>
    <t>DDYYGSTCA       DESARROLLO DE YACIMIENTO COSTA AFUERA</t>
  </si>
  <si>
    <t>DDEECA          DIRECCION EJECUTIVA COSTA AFUERA</t>
  </si>
  <si>
    <t>EEYYGSTCA       ESTUDIO DE YACIMIENTOS COSTA AFUERA</t>
  </si>
  <si>
    <t>DTTOCPNOCA      DISTRITO CARUPANO COSTA AFUERA</t>
  </si>
  <si>
    <t>DTTOGRCA        DISTRITO GUIRIA COSTA AFUERA</t>
  </si>
  <si>
    <t>GMVVGSTCA       GRAN MISION VIVIENDA COSTA AFUERA</t>
  </si>
  <si>
    <t>INFPROCCA       INFRAESTRUCTURA Y PROCESOS CARUPANO</t>
  </si>
  <si>
    <t>LOGMARCA        LOGISTICAMARINA COSTA AFUERA</t>
  </si>
  <si>
    <t>MTTOCPNOCA      MANTENIMIENTO CARUPANO COSTA AFUERA</t>
  </si>
  <si>
    <t>OPRPRDCA        OPERACIONES DE PRODUCCIÓN COSTA AFUERA</t>
  </si>
  <si>
    <t>MGYGDTTO        METOCEAN GEOFISICA Y GEODESIA</t>
  </si>
  <si>
    <t>GESTGDCOCA      GESTION GDCO COSTA AFUERA</t>
  </si>
  <si>
    <t>SEGCOPCA        SEGUROS CORPORATIVOS COSTA AFUERA</t>
  </si>
  <si>
    <t>RAFURDCA        RAFAEL URDANETA COSTA AFUERA</t>
  </si>
  <si>
    <t>REAL 2016 M$s</t>
  </si>
  <si>
    <t>REAL 2016 MBs</t>
  </si>
  <si>
    <t>MUSD PUROS</t>
  </si>
  <si>
    <t>--2016-741I1101</t>
  </si>
  <si>
    <t>--2016-749V3101</t>
  </si>
  <si>
    <t>Z9KA 13sep</t>
  </si>
  <si>
    <t>--2008-122P1301</t>
  </si>
  <si>
    <t>PERF LOC DPSSD4-CAMPO DRA GON</t>
  </si>
  <si>
    <t>--2010-759P1301</t>
  </si>
  <si>
    <t>SEGURIDAD INDUSTRIAL DTTO CARUPANO</t>
  </si>
  <si>
    <t>--2009-263P1601</t>
  </si>
  <si>
    <t>GASODUCTO MEJILLONES - RI O CARIBE</t>
  </si>
  <si>
    <t>ENE-DIC AL 11/11/2016</t>
  </si>
  <si>
    <t>EJECUCIÓN ENE-NOV  AL 11/11/2016</t>
  </si>
  <si>
    <t>EJECUCIÓN ENE-NOV AL 11/11/2016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</si>
</sst>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3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sz val="9"/>
      <color indexed="56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indexed="9"/>
      <name val="Arial"/>
      <family val="2"/>
    </font>
    <font>
      <sz val="11"/>
      <color indexed="30"/>
      <name val="Calibri"/>
      <family val="2"/>
    </font>
    <font>
      <sz val="10"/>
      <color indexed="23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0"/>
      <color indexed="9"/>
      <name val="Arial"/>
      <family val="2"/>
    </font>
    <font>
      <sz val="8"/>
      <name val="Arial"/>
    </font>
    <font>
      <sz val="11"/>
      <color theme="1"/>
      <name val="Calibri"/>
      <family val="2"/>
      <scheme val="minor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8"/>
      </left>
      <right/>
      <top/>
      <bottom style="thin">
        <color indexed="65"/>
      </bottom>
      <diagonal/>
    </border>
    <border>
      <left/>
      <right/>
      <top/>
      <bottom style="thin">
        <color indexed="65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8" fillId="0" borderId="0"/>
    <xf numFmtId="0" fontId="2" fillId="0" borderId="0"/>
    <xf numFmtId="0" fontId="2" fillId="0" borderId="0"/>
  </cellStyleXfs>
  <cellXfs count="277">
    <xf numFmtId="0" fontId="0" fillId="0" borderId="0" xfId="0"/>
    <xf numFmtId="0" fontId="0" fillId="0" borderId="0" xfId="0" applyBorder="1"/>
    <xf numFmtId="164" fontId="1" fillId="0" borderId="0" xfId="2" applyFont="1" applyFill="1" applyBorder="1"/>
    <xf numFmtId="164" fontId="3" fillId="2" borderId="0" xfId="1" applyFont="1" applyFill="1" applyBorder="1"/>
    <xf numFmtId="164" fontId="1" fillId="2" borderId="0" xfId="1" applyFill="1" applyBorder="1"/>
    <xf numFmtId="4" fontId="1" fillId="2" borderId="0" xfId="1" applyNumberFormat="1" applyFill="1" applyBorder="1"/>
    <xf numFmtId="164" fontId="1" fillId="2" borderId="0" xfId="1" applyFill="1"/>
    <xf numFmtId="164" fontId="1" fillId="0" borderId="0" xfId="1" applyFill="1"/>
    <xf numFmtId="4" fontId="1" fillId="2" borderId="0" xfId="1" applyNumberFormat="1" applyFill="1"/>
    <xf numFmtId="4" fontId="1" fillId="0" borderId="0" xfId="1" applyNumberFormat="1" applyFill="1"/>
    <xf numFmtId="0" fontId="7" fillId="0" borderId="0" xfId="1" applyNumberFormat="1" applyFont="1" applyFill="1" applyBorder="1"/>
    <xf numFmtId="0" fontId="4" fillId="0" borderId="0" xfId="1" applyNumberFormat="1" applyFont="1" applyAlignment="1">
      <alignment horizontal="left"/>
    </xf>
    <xf numFmtId="0" fontId="4" fillId="0" borderId="0" xfId="1" applyNumberFormat="1" applyFont="1"/>
    <xf numFmtId="4" fontId="4" fillId="0" borderId="0" xfId="1" applyNumberFormat="1" applyFont="1"/>
    <xf numFmtId="4" fontId="4" fillId="0" borderId="0" xfId="1" applyNumberFormat="1" applyFont="1" applyFill="1"/>
    <xf numFmtId="0" fontId="4" fillId="0" borderId="0" xfId="1" applyNumberFormat="1" applyFont="1" applyFill="1"/>
    <xf numFmtId="0" fontId="4" fillId="0" borderId="0" xfId="1" applyNumberFormat="1" applyFont="1" applyFill="1" applyBorder="1"/>
    <xf numFmtId="0" fontId="4" fillId="2" borderId="0" xfId="1" applyNumberFormat="1" applyFont="1" applyFill="1" applyBorder="1" applyAlignment="1">
      <alignment horizontal="left"/>
    </xf>
    <xf numFmtId="0" fontId="6" fillId="3" borderId="1" xfId="1" applyNumberFormat="1" applyFont="1" applyFill="1" applyBorder="1" applyAlignment="1">
      <alignment horizontal="left" vertical="center"/>
    </xf>
    <xf numFmtId="0" fontId="6" fillId="3" borderId="1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/>
    <xf numFmtId="0" fontId="8" fillId="2" borderId="0" xfId="1" applyNumberFormat="1" applyFont="1" applyFill="1" applyAlignment="1">
      <alignment horizontal="left" vertical="center"/>
    </xf>
    <xf numFmtId="164" fontId="8" fillId="2" borderId="2" xfId="2" applyFont="1" applyFill="1" applyBorder="1" applyAlignment="1">
      <alignment vertical="center"/>
    </xf>
    <xf numFmtId="164" fontId="8" fillId="0" borderId="2" xfId="2" applyFont="1" applyBorder="1" applyAlignment="1">
      <alignment vertical="center"/>
    </xf>
    <xf numFmtId="0" fontId="8" fillId="0" borderId="0" xfId="1" applyNumberFormat="1" applyFont="1" applyFill="1" applyBorder="1"/>
    <xf numFmtId="165" fontId="8" fillId="0" borderId="0" xfId="1" applyNumberFormat="1" applyFont="1" applyFill="1" applyBorder="1"/>
    <xf numFmtId="164" fontId="8" fillId="2" borderId="3" xfId="2" applyFont="1" applyFill="1" applyBorder="1" applyAlignment="1">
      <alignment vertical="center"/>
    </xf>
    <xf numFmtId="164" fontId="8" fillId="0" borderId="3" xfId="2" applyFont="1" applyBorder="1" applyAlignment="1">
      <alignment vertical="center"/>
    </xf>
    <xf numFmtId="164" fontId="8" fillId="0" borderId="3" xfId="2" applyFont="1" applyFill="1" applyBorder="1"/>
    <xf numFmtId="4" fontId="8" fillId="0" borderId="0" xfId="1" applyNumberFormat="1" applyFont="1" applyFill="1"/>
    <xf numFmtId="0" fontId="9" fillId="3" borderId="1" xfId="1" applyNumberFormat="1" applyFont="1" applyFill="1" applyBorder="1" applyAlignment="1">
      <alignment horizontal="left" vertical="center"/>
    </xf>
    <xf numFmtId="164" fontId="9" fillId="3" borderId="1" xfId="2" applyFont="1" applyFill="1" applyBorder="1" applyAlignment="1">
      <alignment vertical="center"/>
    </xf>
    <xf numFmtId="0" fontId="10" fillId="0" borderId="0" xfId="1" applyNumberFormat="1" applyFont="1" applyFill="1" applyBorder="1"/>
    <xf numFmtId="0" fontId="9" fillId="0" borderId="0" xfId="1" applyNumberFormat="1" applyFont="1" applyFill="1" applyBorder="1" applyAlignment="1">
      <alignment horizontal="center" vertical="center"/>
    </xf>
    <xf numFmtId="1" fontId="9" fillId="0" borderId="0" xfId="1" applyNumberFormat="1" applyFont="1" applyFill="1" applyBorder="1" applyAlignment="1">
      <alignment horizontal="center" vertical="center"/>
    </xf>
    <xf numFmtId="0" fontId="8" fillId="2" borderId="0" xfId="1" applyNumberFormat="1" applyFont="1" applyFill="1" applyBorder="1" applyAlignment="1">
      <alignment horizontal="left" vertical="center"/>
    </xf>
    <xf numFmtId="164" fontId="8" fillId="2" borderId="0" xfId="2" applyFont="1" applyFill="1" applyBorder="1" applyAlignment="1">
      <alignment vertical="center"/>
    </xf>
    <xf numFmtId="164" fontId="8" fillId="0" borderId="0" xfId="2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3" fontId="8" fillId="0" borderId="0" xfId="1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vertical="center"/>
    </xf>
    <xf numFmtId="3" fontId="9" fillId="0" borderId="0" xfId="1" applyNumberFormat="1" applyFont="1" applyFill="1" applyBorder="1" applyAlignment="1">
      <alignment vertical="center"/>
    </xf>
    <xf numFmtId="1" fontId="1" fillId="0" borderId="0" xfId="1" applyNumberFormat="1" applyFill="1" applyAlignment="1">
      <alignment horizontal="left"/>
    </xf>
    <xf numFmtId="0" fontId="8" fillId="0" borderId="0" xfId="1" applyNumberFormat="1" applyFont="1"/>
    <xf numFmtId="4" fontId="8" fillId="0" borderId="0" xfId="1" applyNumberFormat="1" applyFont="1"/>
    <xf numFmtId="0" fontId="7" fillId="0" borderId="0" xfId="1" applyNumberFormat="1" applyFont="1" applyFill="1" applyBorder="1" applyAlignment="1">
      <alignment horizontal="center"/>
    </xf>
    <xf numFmtId="164" fontId="8" fillId="0" borderId="3" xfId="2" applyFont="1" applyFill="1" applyBorder="1" applyAlignment="1">
      <alignment vertical="center"/>
    </xf>
    <xf numFmtId="164" fontId="8" fillId="2" borderId="3" xfId="2" applyFont="1" applyFill="1" applyBorder="1"/>
    <xf numFmtId="4" fontId="8" fillId="0" borderId="0" xfId="1" applyNumberFormat="1" applyFont="1" applyFill="1" applyBorder="1"/>
    <xf numFmtId="0" fontId="8" fillId="0" borderId="0" xfId="1" applyNumberFormat="1" applyFont="1" applyAlignment="1">
      <alignment horizontal="left"/>
    </xf>
    <xf numFmtId="165" fontId="8" fillId="0" borderId="0" xfId="2" applyNumberFormat="1" applyFont="1"/>
    <xf numFmtId="165" fontId="8" fillId="0" borderId="0" xfId="2" applyNumberFormat="1" applyFont="1" applyFill="1" applyBorder="1"/>
    <xf numFmtId="4" fontId="8" fillId="0" borderId="3" xfId="1" applyNumberFormat="1" applyFont="1" applyFill="1" applyBorder="1"/>
    <xf numFmtId="165" fontId="8" fillId="2" borderId="0" xfId="1" applyNumberFormat="1" applyFont="1" applyFill="1" applyBorder="1" applyAlignment="1">
      <alignment vertical="center"/>
    </xf>
    <xf numFmtId="4" fontId="8" fillId="2" borderId="0" xfId="1" applyNumberFormat="1" applyFont="1" applyFill="1" applyBorder="1"/>
    <xf numFmtId="165" fontId="11" fillId="2" borderId="0" xfId="1" applyNumberFormat="1" applyFont="1" applyFill="1" applyBorder="1" applyAlignment="1">
      <alignment vertical="center"/>
    </xf>
    <xf numFmtId="4" fontId="11" fillId="2" borderId="0" xfId="1" applyNumberFormat="1" applyFont="1" applyFill="1" applyBorder="1" applyAlignment="1">
      <alignment vertical="center"/>
    </xf>
    <xf numFmtId="3" fontId="11" fillId="0" borderId="0" xfId="1" applyNumberFormat="1" applyFont="1" applyFill="1" applyBorder="1" applyAlignment="1">
      <alignment vertical="center"/>
    </xf>
    <xf numFmtId="0" fontId="10" fillId="0" borderId="0" xfId="1" applyNumberFormat="1" applyFont="1" applyFill="1" applyBorder="1" applyAlignment="1">
      <alignment horizontal="center"/>
    </xf>
    <xf numFmtId="1" fontId="8" fillId="0" borderId="0" xfId="1" applyNumberFormat="1" applyFont="1" applyAlignment="1">
      <alignment horizontal="left"/>
    </xf>
    <xf numFmtId="0" fontId="6" fillId="3" borderId="4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Alignment="1">
      <alignment horizontal="left" vertical="center"/>
    </xf>
    <xf numFmtId="164" fontId="9" fillId="3" borderId="5" xfId="2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left" vertical="center"/>
    </xf>
    <xf numFmtId="164" fontId="11" fillId="0" borderId="0" xfId="2" applyFont="1" applyFill="1" applyBorder="1" applyAlignment="1">
      <alignment vertical="center"/>
    </xf>
    <xf numFmtId="1" fontId="8" fillId="2" borderId="0" xfId="1" applyNumberFormat="1" applyFont="1" applyFill="1" applyBorder="1" applyAlignment="1">
      <alignment horizontal="left"/>
    </xf>
    <xf numFmtId="3" fontId="12" fillId="0" borderId="0" xfId="1" applyNumberFormat="1" applyFont="1" applyFill="1" applyBorder="1" applyAlignment="1">
      <alignment vertical="center"/>
    </xf>
    <xf numFmtId="164" fontId="8" fillId="0" borderId="6" xfId="2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horizontal="left"/>
    </xf>
    <xf numFmtId="1" fontId="1" fillId="0" borderId="0" xfId="1" applyNumberFormat="1" applyFill="1" applyBorder="1" applyAlignment="1">
      <alignment horizontal="left"/>
    </xf>
    <xf numFmtId="4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3" fontId="4" fillId="0" borderId="0" xfId="1" applyNumberFormat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vertical="center"/>
    </xf>
    <xf numFmtId="4" fontId="7" fillId="0" borderId="0" xfId="1" applyNumberFormat="1" applyFont="1" applyFill="1" applyBorder="1"/>
    <xf numFmtId="3" fontId="7" fillId="0" borderId="0" xfId="1" applyNumberFormat="1" applyFont="1" applyFill="1" applyBorder="1" applyAlignment="1">
      <alignment vertical="center"/>
    </xf>
    <xf numFmtId="0" fontId="1" fillId="0" borderId="0" xfId="1" applyNumberFormat="1" applyFill="1" applyBorder="1" applyAlignment="1">
      <alignment horizontal="left"/>
    </xf>
    <xf numFmtId="165" fontId="3" fillId="0" borderId="0" xfId="1" applyNumberFormat="1" applyFont="1" applyFill="1" applyBorder="1" applyAlignment="1">
      <alignment vertical="center"/>
    </xf>
    <xf numFmtId="4" fontId="3" fillId="0" borderId="0" xfId="1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4" fontId="1" fillId="0" borderId="0" xfId="1" applyNumberFormat="1" applyFill="1" applyBorder="1"/>
    <xf numFmtId="164" fontId="1" fillId="0" borderId="0" xfId="1" applyFill="1" applyBorder="1"/>
    <xf numFmtId="0" fontId="4" fillId="0" borderId="0" xfId="1" applyNumberFormat="1" applyFont="1" applyFill="1" applyAlignment="1">
      <alignment horizontal="left"/>
    </xf>
    <xf numFmtId="0" fontId="3" fillId="4" borderId="0" xfId="1" applyNumberFormat="1" applyFont="1" applyFill="1" applyBorder="1" applyAlignment="1">
      <alignment horizontal="left"/>
    </xf>
    <xf numFmtId="4" fontId="3" fillId="4" borderId="0" xfId="1" applyNumberFormat="1" applyFont="1" applyFill="1" applyBorder="1"/>
    <xf numFmtId="164" fontId="0" fillId="0" borderId="0" xfId="2" applyFont="1" applyBorder="1"/>
    <xf numFmtId="164" fontId="8" fillId="4" borderId="3" xfId="2" applyFont="1" applyFill="1" applyBorder="1" applyAlignment="1">
      <alignment vertical="center"/>
    </xf>
    <xf numFmtId="164" fontId="8" fillId="4" borderId="3" xfId="2" applyFont="1" applyFill="1" applyBorder="1"/>
    <xf numFmtId="164" fontId="8" fillId="4" borderId="6" xfId="2" applyFont="1" applyFill="1" applyBorder="1"/>
    <xf numFmtId="164" fontId="8" fillId="0" borderId="0" xfId="2" applyFont="1"/>
    <xf numFmtId="164" fontId="8" fillId="4" borderId="2" xfId="2" applyFont="1" applyFill="1" applyBorder="1" applyAlignment="1">
      <alignment vertical="center"/>
    </xf>
    <xf numFmtId="0" fontId="8" fillId="0" borderId="3" xfId="1" applyNumberFormat="1" applyFont="1" applyFill="1" applyBorder="1"/>
    <xf numFmtId="164" fontId="8" fillId="5" borderId="3" xfId="2" applyFont="1" applyFill="1" applyBorder="1" applyAlignment="1">
      <alignment vertical="center"/>
    </xf>
    <xf numFmtId="164" fontId="0" fillId="0" borderId="0" xfId="2" applyFont="1" applyFill="1" applyBorder="1"/>
    <xf numFmtId="0" fontId="1" fillId="0" borderId="0" xfId="2" applyNumberFormat="1" applyFont="1" applyFill="1" applyBorder="1"/>
    <xf numFmtId="4" fontId="0" fillId="0" borderId="0" xfId="2" applyNumberFormat="1" applyFont="1" applyFill="1" applyBorder="1"/>
    <xf numFmtId="1" fontId="3" fillId="0" borderId="0" xfId="1" applyNumberFormat="1" applyFont="1" applyFill="1" applyBorder="1" applyAlignment="1">
      <alignment horizontal="left"/>
    </xf>
    <xf numFmtId="164" fontId="3" fillId="0" borderId="0" xfId="1" applyFont="1" applyFill="1" applyBorder="1"/>
    <xf numFmtId="43" fontId="6" fillId="3" borderId="7" xfId="3" applyFont="1" applyFill="1" applyBorder="1" applyAlignment="1">
      <alignment horizontal="center"/>
    </xf>
    <xf numFmtId="164" fontId="1" fillId="0" borderId="0" xfId="2" applyFont="1" applyFill="1" applyBorder="1" applyAlignment="1">
      <alignment horizontal="left"/>
    </xf>
    <xf numFmtId="0" fontId="2" fillId="0" borderId="1" xfId="6" applyBorder="1"/>
    <xf numFmtId="0" fontId="2" fillId="0" borderId="0" xfId="6" applyBorder="1"/>
    <xf numFmtId="164" fontId="6" fillId="3" borderId="7" xfId="4" applyFont="1" applyFill="1" applyBorder="1" applyAlignment="1">
      <alignment horizontal="center"/>
    </xf>
    <xf numFmtId="0" fontId="2" fillId="0" borderId="0" xfId="6" applyBorder="1" applyAlignment="1">
      <alignment horizontal="center"/>
    </xf>
    <xf numFmtId="0" fontId="3" fillId="6" borderId="3" xfId="6" applyFont="1" applyFill="1" applyBorder="1"/>
    <xf numFmtId="164" fontId="14" fillId="0" borderId="0" xfId="4" applyFont="1" applyBorder="1"/>
    <xf numFmtId="1" fontId="2" fillId="0" borderId="0" xfId="6" applyNumberFormat="1" applyBorder="1"/>
    <xf numFmtId="164" fontId="15" fillId="0" borderId="0" xfId="4" applyFont="1" applyBorder="1"/>
    <xf numFmtId="0" fontId="2" fillId="2" borderId="0" xfId="6" applyFill="1" applyBorder="1"/>
    <xf numFmtId="0" fontId="2" fillId="2" borderId="3" xfId="6" applyFill="1" applyBorder="1"/>
    <xf numFmtId="0" fontId="2" fillId="0" borderId="3" xfId="6" applyBorder="1"/>
    <xf numFmtId="0" fontId="2" fillId="0" borderId="3" xfId="6" applyFont="1" applyBorder="1"/>
    <xf numFmtId="0" fontId="2" fillId="0" borderId="0" xfId="6"/>
    <xf numFmtId="0" fontId="3" fillId="6" borderId="2" xfId="6" applyFont="1" applyFill="1" applyBorder="1"/>
    <xf numFmtId="0" fontId="2" fillId="2" borderId="0" xfId="6" applyFont="1" applyFill="1" applyBorder="1"/>
    <xf numFmtId="49" fontId="2" fillId="0" borderId="3" xfId="6" applyNumberFormat="1" applyFont="1" applyBorder="1" applyAlignment="1">
      <alignment horizontal="left"/>
    </xf>
    <xf numFmtId="0" fontId="2" fillId="2" borderId="3" xfId="6" applyFont="1" applyFill="1" applyBorder="1"/>
    <xf numFmtId="49" fontId="2" fillId="2" borderId="3" xfId="6" applyNumberFormat="1" applyFont="1" applyFill="1" applyBorder="1" applyAlignment="1">
      <alignment horizontal="left"/>
    </xf>
    <xf numFmtId="0" fontId="2" fillId="0" borderId="0" xfId="6" applyFont="1" applyBorder="1"/>
    <xf numFmtId="0" fontId="2" fillId="0" borderId="0" xfId="1" applyNumberFormat="1" applyFont="1" applyFill="1" applyBorder="1"/>
    <xf numFmtId="43" fontId="6" fillId="3" borderId="8" xfId="3" applyFont="1" applyFill="1" applyBorder="1" applyAlignment="1">
      <alignment horizontal="center"/>
    </xf>
    <xf numFmtId="164" fontId="0" fillId="0" borderId="3" xfId="2" applyFont="1" applyBorder="1"/>
    <xf numFmtId="164" fontId="2" fillId="2" borderId="3" xfId="2" applyFont="1" applyFill="1" applyBorder="1" applyAlignment="1"/>
    <xf numFmtId="164" fontId="14" fillId="0" borderId="3" xfId="2" applyFont="1" applyBorder="1"/>
    <xf numFmtId="164" fontId="3" fillId="6" borderId="2" xfId="2" applyFont="1" applyFill="1" applyBorder="1"/>
    <xf numFmtId="164" fontId="3" fillId="6" borderId="3" xfId="2" applyFont="1" applyFill="1" applyBorder="1"/>
    <xf numFmtId="164" fontId="2" fillId="2" borderId="3" xfId="2" applyFont="1" applyFill="1" applyBorder="1"/>
    <xf numFmtId="164" fontId="6" fillId="3" borderId="7" xfId="2" applyFont="1" applyFill="1" applyBorder="1" applyAlignment="1">
      <alignment horizontal="center"/>
    </xf>
    <xf numFmtId="164" fontId="2" fillId="0" borderId="0" xfId="2" applyBorder="1"/>
    <xf numFmtId="164" fontId="14" fillId="0" borderId="0" xfId="2" applyFont="1" applyBorder="1"/>
    <xf numFmtId="0" fontId="13" fillId="0" borderId="0" xfId="6" applyFont="1" applyBorder="1" applyAlignment="1">
      <alignment horizontal="center"/>
    </xf>
    <xf numFmtId="0" fontId="0" fillId="0" borderId="3" xfId="0" applyBorder="1"/>
    <xf numFmtId="164" fontId="6" fillId="3" borderId="9" xfId="4" applyFont="1" applyFill="1" applyBorder="1" applyAlignment="1">
      <alignment horizontal="center"/>
    </xf>
    <xf numFmtId="164" fontId="8" fillId="2" borderId="2" xfId="2" applyFont="1" applyFill="1" applyBorder="1"/>
    <xf numFmtId="4" fontId="2" fillId="0" borderId="0" xfId="6" applyNumberFormat="1" applyBorder="1"/>
    <xf numFmtId="43" fontId="3" fillId="6" borderId="3" xfId="3" applyFont="1" applyFill="1" applyBorder="1"/>
    <xf numFmtId="164" fontId="6" fillId="3" borderId="8" xfId="4" applyFont="1" applyFill="1" applyBorder="1" applyAlignment="1">
      <alignment horizontal="center"/>
    </xf>
    <xf numFmtId="0" fontId="0" fillId="0" borderId="3" xfId="0" applyNumberFormat="1" applyBorder="1"/>
    <xf numFmtId="164" fontId="2" fillId="0" borderId="1" xfId="2" applyBorder="1"/>
    <xf numFmtId="164" fontId="2" fillId="0" borderId="0" xfId="2" applyBorder="1" applyAlignment="1">
      <alignment horizontal="center"/>
    </xf>
    <xf numFmtId="164" fontId="6" fillId="3" borderId="8" xfId="2" applyFont="1" applyFill="1" applyBorder="1" applyAlignment="1">
      <alignment horizontal="center"/>
    </xf>
    <xf numFmtId="43" fontId="2" fillId="0" borderId="0" xfId="6" applyNumberFormat="1" applyBorder="1"/>
    <xf numFmtId="1" fontId="2" fillId="0" borderId="0" xfId="6" applyNumberFormat="1" applyFont="1" applyBorder="1"/>
    <xf numFmtId="1" fontId="2" fillId="2" borderId="0" xfId="6" applyNumberFormat="1" applyFont="1" applyFill="1" applyBorder="1"/>
    <xf numFmtId="0" fontId="2" fillId="2" borderId="10" xfId="6" applyFont="1" applyFill="1" applyBorder="1"/>
    <xf numFmtId="4" fontId="2" fillId="2" borderId="0" xfId="6" applyNumberFormat="1" applyFill="1" applyBorder="1"/>
    <xf numFmtId="4" fontId="2" fillId="0" borderId="0" xfId="6" applyNumberFormat="1"/>
    <xf numFmtId="0" fontId="9" fillId="3" borderId="11" xfId="1" applyNumberFormat="1" applyFont="1" applyFill="1" applyBorder="1" applyAlignment="1">
      <alignment horizontal="left" vertical="center"/>
    </xf>
    <xf numFmtId="164" fontId="8" fillId="0" borderId="12" xfId="2" applyFont="1" applyBorder="1" applyAlignment="1">
      <alignment vertical="center"/>
    </xf>
    <xf numFmtId="164" fontId="8" fillId="0" borderId="13" xfId="2" applyFont="1" applyBorder="1" applyAlignment="1">
      <alignment vertical="center"/>
    </xf>
    <xf numFmtId="4" fontId="8" fillId="2" borderId="2" xfId="1" applyNumberFormat="1" applyFont="1" applyFill="1" applyBorder="1"/>
    <xf numFmtId="164" fontId="8" fillId="4" borderId="2" xfId="2" applyFont="1" applyFill="1" applyBorder="1"/>
    <xf numFmtId="164" fontId="2" fillId="0" borderId="0" xfId="1" applyFont="1" applyFill="1" applyBorder="1"/>
    <xf numFmtId="0" fontId="3" fillId="4" borderId="0" xfId="1" applyNumberFormat="1" applyFont="1" applyFill="1" applyBorder="1" applyAlignment="1">
      <alignment horizontal="right"/>
    </xf>
    <xf numFmtId="0" fontId="2" fillId="0" borderId="10" xfId="6" applyFont="1" applyBorder="1"/>
    <xf numFmtId="0" fontId="2" fillId="0" borderId="10" xfId="6" applyBorder="1"/>
    <xf numFmtId="0" fontId="3" fillId="6" borderId="10" xfId="6" applyFont="1" applyFill="1" applyBorder="1"/>
    <xf numFmtId="0" fontId="2" fillId="2" borderId="10" xfId="6" applyFill="1" applyBorder="1"/>
    <xf numFmtId="164" fontId="2" fillId="0" borderId="0" xfId="2" applyFont="1" applyBorder="1"/>
    <xf numFmtId="0" fontId="19" fillId="0" borderId="0" xfId="1" applyNumberFormat="1" applyFont="1"/>
    <xf numFmtId="1" fontId="2" fillId="0" borderId="0" xfId="1" applyNumberFormat="1" applyFont="1" applyFill="1" applyBorder="1" applyAlignment="1">
      <alignment horizontal="left"/>
    </xf>
    <xf numFmtId="1" fontId="2" fillId="2" borderId="0" xfId="1" applyNumberFormat="1" applyFont="1" applyFill="1" applyBorder="1" applyAlignment="1">
      <alignment horizontal="left"/>
    </xf>
    <xf numFmtId="4" fontId="2" fillId="2" borderId="0" xfId="1" applyNumberFormat="1" applyFont="1" applyFill="1" applyBorder="1"/>
    <xf numFmtId="4" fontId="2" fillId="0" borderId="0" xfId="1" applyNumberFormat="1" applyFont="1" applyFill="1" applyBorder="1"/>
    <xf numFmtId="164" fontId="20" fillId="0" borderId="0" xfId="4" applyFont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1" fontId="2" fillId="0" borderId="0" xfId="0" applyNumberFormat="1" applyFont="1"/>
    <xf numFmtId="1" fontId="0" fillId="0" borderId="0" xfId="0" applyNumberFormat="1" applyFill="1"/>
    <xf numFmtId="164" fontId="17" fillId="0" borderId="0" xfId="4" applyFont="1" applyBorder="1"/>
    <xf numFmtId="164" fontId="17" fillId="0" borderId="0" xfId="2" applyFont="1" applyBorder="1"/>
    <xf numFmtId="0" fontId="2" fillId="2" borderId="0" xfId="6" applyFont="1" applyFill="1" applyBorder="1"/>
    <xf numFmtId="164" fontId="17" fillId="2" borderId="0" xfId="4" applyFont="1" applyFill="1" applyBorder="1"/>
    <xf numFmtId="164" fontId="17" fillId="2" borderId="0" xfId="2" applyFont="1" applyFill="1" applyBorder="1"/>
    <xf numFmtId="164" fontId="18" fillId="2" borderId="0" xfId="4" applyFont="1" applyFill="1" applyBorder="1" applyAlignment="1">
      <alignment horizontal="center"/>
    </xf>
    <xf numFmtId="164" fontId="17" fillId="2" borderId="0" xfId="4" applyFont="1" applyFill="1" applyBorder="1" applyAlignment="1">
      <alignment horizontal="center"/>
    </xf>
    <xf numFmtId="1" fontId="2" fillId="2" borderId="0" xfId="6" applyNumberFormat="1" applyFont="1" applyFill="1" applyBorder="1"/>
    <xf numFmtId="164" fontId="2" fillId="2" borderId="0" xfId="2" applyFont="1" applyFill="1" applyBorder="1"/>
    <xf numFmtId="4" fontId="2" fillId="2" borderId="0" xfId="6" applyNumberFormat="1" applyFont="1" applyFill="1" applyBorder="1"/>
    <xf numFmtId="164" fontId="18" fillId="2" borderId="0" xfId="4" applyFont="1" applyFill="1" applyBorder="1"/>
    <xf numFmtId="164" fontId="3" fillId="2" borderId="0" xfId="2" applyFont="1" applyFill="1" applyBorder="1"/>
    <xf numFmtId="164" fontId="3" fillId="2" borderId="0" xfId="2" applyFont="1" applyFill="1" applyBorder="1" applyAlignment="1">
      <alignment horizontal="left"/>
    </xf>
    <xf numFmtId="164" fontId="18" fillId="2" borderId="0" xfId="2" applyFont="1" applyFill="1" applyBorder="1"/>
    <xf numFmtId="4" fontId="2" fillId="2" borderId="0" xfId="6" applyNumberFormat="1" applyFont="1" applyFill="1" applyBorder="1" applyAlignment="1">
      <alignment horizontal="left"/>
    </xf>
    <xf numFmtId="43" fontId="2" fillId="2" borderId="0" xfId="3" applyFont="1" applyFill="1" applyBorder="1"/>
    <xf numFmtId="164" fontId="2" fillId="2" borderId="0" xfId="6" applyNumberFormat="1" applyFont="1" applyFill="1" applyBorder="1"/>
    <xf numFmtId="164" fontId="21" fillId="0" borderId="0" xfId="1" applyFont="1" applyFill="1" applyBorder="1"/>
    <xf numFmtId="4" fontId="21" fillId="0" borderId="0" xfId="1" applyNumberFormat="1" applyFont="1" applyFill="1" applyBorder="1"/>
    <xf numFmtId="164" fontId="21" fillId="0" borderId="0" xfId="2" applyFont="1" applyFill="1" applyBorder="1"/>
    <xf numFmtId="4" fontId="8" fillId="0" borderId="0" xfId="1" applyNumberFormat="1" applyFont="1" applyFill="1" applyBorder="1" applyAlignment="1">
      <alignment horizontal="center" vertical="center"/>
    </xf>
    <xf numFmtId="4" fontId="8" fillId="0" borderId="0" xfId="1" applyNumberFormat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horizontal="center" vertical="center"/>
    </xf>
    <xf numFmtId="43" fontId="3" fillId="2" borderId="0" xfId="3" applyFont="1" applyFill="1" applyBorder="1"/>
    <xf numFmtId="164" fontId="2" fillId="0" borderId="0" xfId="2" applyFont="1" applyFill="1" applyBorder="1"/>
    <xf numFmtId="164" fontId="2" fillId="2" borderId="0" xfId="1" applyFont="1" applyFill="1" applyBorder="1"/>
    <xf numFmtId="164" fontId="2" fillId="2" borderId="0" xfId="2" applyFont="1" applyFill="1" applyBorder="1" applyAlignment="1">
      <alignment horizontal="right"/>
    </xf>
    <xf numFmtId="4" fontId="19" fillId="0" borderId="0" xfId="1" applyNumberFormat="1" applyFont="1" applyFill="1" applyBorder="1"/>
    <xf numFmtId="4" fontId="19" fillId="2" borderId="0" xfId="1" applyNumberFormat="1" applyFont="1" applyFill="1" applyBorder="1"/>
    <xf numFmtId="4" fontId="22" fillId="0" borderId="0" xfId="1" applyNumberFormat="1" applyFont="1" applyFill="1" applyBorder="1"/>
    <xf numFmtId="4" fontId="22" fillId="0" borderId="0" xfId="1" applyNumberFormat="1" applyFont="1" applyFill="1" applyBorder="1" applyAlignment="1">
      <alignment horizontal="center" vertical="center"/>
    </xf>
    <xf numFmtId="4" fontId="22" fillId="0" borderId="0" xfId="1" applyNumberFormat="1" applyFont="1" applyFill="1" applyBorder="1" applyAlignment="1">
      <alignment vertical="center"/>
    </xf>
    <xf numFmtId="4" fontId="19" fillId="0" borderId="0" xfId="1" applyNumberFormat="1" applyFont="1" applyFill="1" applyBorder="1" applyAlignment="1">
      <alignment vertical="center"/>
    </xf>
    <xf numFmtId="4" fontId="19" fillId="0" borderId="0" xfId="1" applyNumberFormat="1" applyFont="1" applyFill="1" applyBorder="1" applyAlignment="1">
      <alignment horizontal="center" vertical="center"/>
    </xf>
    <xf numFmtId="4" fontId="23" fillId="0" borderId="0" xfId="1" applyNumberFormat="1" applyFont="1" applyFill="1" applyBorder="1" applyAlignment="1">
      <alignment vertical="center"/>
    </xf>
    <xf numFmtId="4" fontId="22" fillId="2" borderId="0" xfId="2" applyNumberFormat="1" applyFont="1" applyFill="1" applyBorder="1" applyAlignment="1">
      <alignment vertical="center"/>
    </xf>
    <xf numFmtId="0" fontId="19" fillId="0" borderId="0" xfId="1" applyNumberFormat="1" applyFont="1" applyFill="1" applyBorder="1" applyAlignment="1">
      <alignment horizontal="center"/>
    </xf>
    <xf numFmtId="0" fontId="19" fillId="0" borderId="0" xfId="6" applyFont="1" applyBorder="1"/>
    <xf numFmtId="164" fontId="24" fillId="0" borderId="0" xfId="4" applyFont="1" applyBorder="1"/>
    <xf numFmtId="0" fontId="19" fillId="0" borderId="0" xfId="6" applyFont="1" applyBorder="1" applyAlignment="1">
      <alignment horizontal="right"/>
    </xf>
    <xf numFmtId="164" fontId="25" fillId="0" borderId="0" xfId="4" applyFont="1" applyBorder="1" applyAlignment="1">
      <alignment horizontal="center"/>
    </xf>
    <xf numFmtId="164" fontId="24" fillId="0" borderId="0" xfId="4" applyFont="1" applyBorder="1" applyAlignment="1">
      <alignment horizontal="center"/>
    </xf>
    <xf numFmtId="164" fontId="25" fillId="0" borderId="0" xfId="4" applyFont="1" applyBorder="1"/>
    <xf numFmtId="164" fontId="24" fillId="0" borderId="0" xfId="2" applyFont="1" applyBorder="1"/>
    <xf numFmtId="164" fontId="8" fillId="2" borderId="3" xfId="2" applyFont="1" applyFill="1" applyBorder="1" applyAlignment="1">
      <alignment vertical="center"/>
    </xf>
    <xf numFmtId="164" fontId="8" fillId="2" borderId="2" xfId="2" applyFont="1" applyFill="1" applyBorder="1" applyAlignment="1">
      <alignment vertical="center"/>
    </xf>
    <xf numFmtId="4" fontId="8" fillId="2" borderId="2" xfId="1" applyNumberFormat="1" applyFont="1" applyFill="1" applyBorder="1"/>
    <xf numFmtId="164" fontId="8" fillId="2" borderId="14" xfId="2" applyFont="1" applyFill="1" applyBorder="1" applyAlignment="1">
      <alignment vertical="center"/>
    </xf>
    <xf numFmtId="164" fontId="8" fillId="2" borderId="15" xfId="2" applyFont="1" applyFill="1" applyBorder="1" applyAlignment="1">
      <alignment vertical="center"/>
    </xf>
    <xf numFmtId="164" fontId="8" fillId="2" borderId="12" xfId="2" applyFont="1" applyFill="1" applyBorder="1" applyAlignment="1">
      <alignment vertical="center"/>
    </xf>
    <xf numFmtId="4" fontId="8" fillId="2" borderId="3" xfId="1" applyNumberFormat="1" applyFont="1" applyFill="1" applyBorder="1"/>
    <xf numFmtId="164" fontId="8" fillId="2" borderId="3" xfId="2" applyFont="1" applyFill="1" applyBorder="1"/>
    <xf numFmtId="164" fontId="8" fillId="2" borderId="6" xfId="2" applyFont="1" applyFill="1" applyBorder="1" applyAlignment="1">
      <alignment vertical="center"/>
    </xf>
    <xf numFmtId="0" fontId="8" fillId="2" borderId="3" xfId="1" applyNumberFormat="1" applyFont="1" applyFill="1" applyBorder="1"/>
    <xf numFmtId="0" fontId="2" fillId="0" borderId="3" xfId="0" applyFont="1" applyBorder="1"/>
    <xf numFmtId="0" fontId="2" fillId="0" borderId="0" xfId="0" applyFont="1" applyBorder="1"/>
    <xf numFmtId="164" fontId="8" fillId="2" borderId="6" xfId="2" applyFont="1" applyFill="1" applyBorder="1"/>
    <xf numFmtId="4" fontId="2" fillId="0" borderId="0" xfId="0" applyNumberFormat="1" applyFont="1" applyBorder="1"/>
    <xf numFmtId="4" fontId="0" fillId="0" borderId="0" xfId="0" applyNumberFormat="1" applyBorder="1"/>
    <xf numFmtId="164" fontId="2" fillId="2" borderId="0" xfId="1" applyFont="1" applyFill="1" applyBorder="1"/>
    <xf numFmtId="164" fontId="14" fillId="2" borderId="3" xfId="2" applyFont="1" applyFill="1" applyBorder="1"/>
    <xf numFmtId="43" fontId="2" fillId="0" borderId="0" xfId="0" applyNumberFormat="1" applyFont="1" applyBorder="1"/>
    <xf numFmtId="4" fontId="0" fillId="0" borderId="3" xfId="2" applyNumberFormat="1" applyFont="1" applyBorder="1"/>
    <xf numFmtId="4" fontId="0" fillId="0" borderId="3" xfId="0" applyNumberFormat="1" applyBorder="1"/>
    <xf numFmtId="4" fontId="2" fillId="2" borderId="0" xfId="1" applyNumberFormat="1" applyFont="1" applyFill="1" applyBorder="1"/>
    <xf numFmtId="1" fontId="2" fillId="2" borderId="0" xfId="1" applyNumberFormat="1" applyFont="1" applyFill="1" applyBorder="1" applyAlignment="1">
      <alignment horizontal="left"/>
    </xf>
    <xf numFmtId="164" fontId="2" fillId="0" borderId="0" xfId="1" applyFont="1" applyFill="1"/>
    <xf numFmtId="0" fontId="2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center"/>
    </xf>
    <xf numFmtId="0" fontId="26" fillId="2" borderId="0" xfId="1" applyNumberFormat="1" applyFont="1" applyFill="1" applyBorder="1" applyAlignment="1">
      <alignment horizontal="right"/>
    </xf>
    <xf numFmtId="164" fontId="19" fillId="2" borderId="0" xfId="1" applyNumberFormat="1" applyFont="1" applyFill="1" applyBorder="1"/>
    <xf numFmtId="0" fontId="19" fillId="2" borderId="0" xfId="1" applyNumberFormat="1" applyFont="1" applyFill="1" applyBorder="1"/>
    <xf numFmtId="4" fontId="19" fillId="0" borderId="0" xfId="1" applyNumberFormat="1" applyFont="1" applyFill="1" applyBorder="1" applyAlignment="1">
      <alignment horizontal="center"/>
    </xf>
    <xf numFmtId="4" fontId="22" fillId="2" borderId="0" xfId="1" applyNumberFormat="1" applyFont="1" applyFill="1" applyBorder="1" applyAlignment="1">
      <alignment vertical="center"/>
    </xf>
    <xf numFmtId="43" fontId="19" fillId="0" borderId="0" xfId="0" applyNumberFormat="1" applyFont="1" applyBorder="1" applyAlignment="1"/>
    <xf numFmtId="164" fontId="24" fillId="2" borderId="0" xfId="4" applyFont="1" applyFill="1" applyBorder="1"/>
    <xf numFmtId="0" fontId="19" fillId="2" borderId="0" xfId="6" applyFont="1" applyFill="1" applyBorder="1"/>
    <xf numFmtId="164" fontId="24" fillId="2" borderId="0" xfId="2" applyFont="1" applyFill="1" applyBorder="1"/>
    <xf numFmtId="0" fontId="26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/>
    <xf numFmtId="0" fontId="19" fillId="0" borderId="0" xfId="1" applyNumberFormat="1" applyFont="1" applyFill="1" applyBorder="1"/>
    <xf numFmtId="0" fontId="0" fillId="7" borderId="3" xfId="0" applyFill="1" applyBorder="1"/>
    <xf numFmtId="0" fontId="0" fillId="0" borderId="3" xfId="0" applyFill="1" applyBorder="1"/>
    <xf numFmtId="0" fontId="2" fillId="7" borderId="10" xfId="6" applyFill="1" applyBorder="1"/>
    <xf numFmtId="164" fontId="0" fillId="7" borderId="3" xfId="2" applyFont="1" applyFill="1" applyBorder="1"/>
    <xf numFmtId="164" fontId="6" fillId="3" borderId="16" xfId="4" applyFont="1" applyFill="1" applyBorder="1" applyAlignment="1">
      <alignment horizontal="center"/>
    </xf>
    <xf numFmtId="164" fontId="6" fillId="3" borderId="17" xfId="4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6" fillId="3" borderId="16" xfId="2" applyFont="1" applyFill="1" applyBorder="1" applyAlignment="1">
      <alignment horizontal="center"/>
    </xf>
    <xf numFmtId="164" fontId="6" fillId="3" borderId="17" xfId="2" applyFont="1" applyFill="1" applyBorder="1" applyAlignment="1">
      <alignment horizontal="center"/>
    </xf>
    <xf numFmtId="164" fontId="13" fillId="0" borderId="0" xfId="2" applyFont="1" applyBorder="1" applyAlignment="1">
      <alignment horizontal="center"/>
    </xf>
    <xf numFmtId="14" fontId="13" fillId="0" borderId="0" xfId="2" applyNumberFormat="1" applyFont="1" applyBorder="1" applyAlignment="1">
      <alignment horizontal="center"/>
    </xf>
    <xf numFmtId="0" fontId="6" fillId="3" borderId="0" xfId="1" applyNumberFormat="1" applyFont="1" applyFill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3" fillId="0" borderId="0" xfId="6" applyFont="1" applyBorder="1" applyAlignment="1">
      <alignment horizontal="center"/>
    </xf>
    <xf numFmtId="164" fontId="26" fillId="3" borderId="16" xfId="2" applyFont="1" applyFill="1" applyBorder="1" applyAlignment="1">
      <alignment horizontal="center"/>
    </xf>
    <xf numFmtId="164" fontId="26" fillId="3" borderId="17" xfId="2" applyFont="1" applyFill="1" applyBorder="1" applyAlignment="1">
      <alignment horizontal="center"/>
    </xf>
    <xf numFmtId="164" fontId="26" fillId="3" borderId="16" xfId="4" applyFont="1" applyFill="1" applyBorder="1" applyAlignment="1">
      <alignment horizontal="center"/>
    </xf>
    <xf numFmtId="164" fontId="26" fillId="3" borderId="17" xfId="4" applyFont="1" applyFill="1" applyBorder="1" applyAlignment="1">
      <alignment horizontal="center"/>
    </xf>
    <xf numFmtId="0" fontId="29" fillId="0" borderId="0" xfId="0" applyFont="1" applyBorder="1"/>
  </cellXfs>
  <cellStyles count="8">
    <cellStyle name="Estilo 1" xfId="1"/>
    <cellStyle name="Millares" xfId="2" builtinId="3"/>
    <cellStyle name="Millares 2" xfId="3"/>
    <cellStyle name="Millares 3" xfId="4"/>
    <cellStyle name="Normal" xfId="0" builtinId="0"/>
    <cellStyle name="Normal 2" xfId="5"/>
    <cellStyle name="Normal 2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AB83"/>
  <sheetViews>
    <sheetView showGridLines="0" showZeros="0" tabSelected="1" topLeftCell="A74" zoomScale="85" zoomScaleNormal="85" workbookViewId="0">
      <selection activeCell="A81" sqref="A81"/>
    </sheetView>
  </sheetViews>
  <sheetFormatPr baseColWidth="10" defaultRowHeight="12.75" x14ac:dyDescent="0.2"/>
  <cols>
    <col min="1" max="1" width="9.85546875" style="1" customWidth="1"/>
    <col min="2" max="2" width="33.28515625" style="1" customWidth="1"/>
    <col min="3" max="3" width="52.42578125" style="1" bestFit="1" customWidth="1"/>
    <col min="4" max="4" width="16.85546875" style="1" bestFit="1" customWidth="1"/>
    <col min="5" max="5" width="17.140625" style="1" bestFit="1" customWidth="1"/>
    <col min="6" max="6" width="16.7109375" style="1" bestFit="1" customWidth="1"/>
    <col min="7" max="7" width="18.140625" style="1" bestFit="1" customWidth="1"/>
    <col min="8" max="8" width="17.85546875" style="1" bestFit="1" customWidth="1"/>
    <col min="9" max="9" width="19.140625" style="1" bestFit="1" customWidth="1"/>
    <col min="10" max="10" width="19.28515625" style="1" bestFit="1" customWidth="1"/>
    <col min="11" max="11" width="18.5703125" style="1" bestFit="1" customWidth="1"/>
    <col min="12" max="12" width="18.42578125" style="1" bestFit="1" customWidth="1"/>
    <col min="13" max="13" width="19.28515625" style="1" bestFit="1" customWidth="1"/>
    <col min="14" max="14" width="17.85546875" style="1" bestFit="1" customWidth="1"/>
    <col min="15" max="15" width="18.85546875" style="1" bestFit="1" customWidth="1"/>
    <col min="16" max="16" width="19.28515625" style="1" bestFit="1" customWidth="1"/>
    <col min="17" max="17" width="19.42578125" style="1" bestFit="1" customWidth="1"/>
    <col min="18" max="18" width="15.85546875" style="1" bestFit="1" customWidth="1"/>
    <col min="19" max="19" width="15.42578125" style="1" bestFit="1" customWidth="1"/>
    <col min="20" max="20" width="15.85546875" style="1" bestFit="1" customWidth="1"/>
    <col min="21" max="21" width="15.42578125" style="1" bestFit="1" customWidth="1"/>
    <col min="22" max="22" width="15.85546875" style="1" bestFit="1" customWidth="1"/>
    <col min="23" max="23" width="15.42578125" style="1" bestFit="1" customWidth="1"/>
    <col min="24" max="24" width="15.85546875" style="1" hidden="1" customWidth="1"/>
    <col min="25" max="25" width="15.42578125" style="1" hidden="1" customWidth="1"/>
    <col min="26" max="26" width="15.85546875" style="1" hidden="1" customWidth="1"/>
    <col min="27" max="27" width="15.42578125" style="1" hidden="1" customWidth="1"/>
    <col min="28" max="28" width="17" style="1" customWidth="1"/>
    <col min="29" max="16384" width="11.42578125" style="1"/>
  </cols>
  <sheetData>
    <row r="2" spans="1:28" x14ac:dyDescent="0.2">
      <c r="A2" s="262" t="s">
        <v>288</v>
      </c>
      <c r="B2" s="262"/>
      <c r="C2" s="262"/>
    </row>
    <row r="3" spans="1:28" ht="13.5" thickBot="1" x14ac:dyDescent="0.25"/>
    <row r="4" spans="1:28" s="106" customFormat="1" ht="13.5" thickBot="1" x14ac:dyDescent="0.25">
      <c r="A4" s="105"/>
      <c r="B4" s="105"/>
      <c r="C4" s="105"/>
      <c r="D4" s="260" t="s">
        <v>5</v>
      </c>
      <c r="E4" s="261"/>
      <c r="F4" s="260" t="s">
        <v>6</v>
      </c>
      <c r="G4" s="261"/>
      <c r="H4" s="260" t="s">
        <v>7</v>
      </c>
      <c r="I4" s="261"/>
      <c r="J4" s="260" t="s">
        <v>8</v>
      </c>
      <c r="K4" s="261"/>
      <c r="L4" s="260" t="s">
        <v>9</v>
      </c>
      <c r="M4" s="261"/>
      <c r="N4" s="260" t="s">
        <v>10</v>
      </c>
      <c r="O4" s="261"/>
      <c r="P4" s="260" t="s">
        <v>11</v>
      </c>
      <c r="Q4" s="261"/>
      <c r="R4" s="260" t="s">
        <v>197</v>
      </c>
      <c r="S4" s="261"/>
      <c r="T4" s="260" t="s">
        <v>199</v>
      </c>
      <c r="U4" s="261"/>
      <c r="V4" s="260" t="s">
        <v>200</v>
      </c>
      <c r="W4" s="261"/>
      <c r="X4" s="260" t="s">
        <v>201</v>
      </c>
      <c r="Y4" s="261"/>
      <c r="Z4" s="260" t="s">
        <v>202</v>
      </c>
      <c r="AA4" s="261"/>
    </row>
    <row r="5" spans="1:28" s="108" customFormat="1" x14ac:dyDescent="0.2">
      <c r="A5" s="103" t="s">
        <v>15</v>
      </c>
      <c r="B5" s="103" t="s">
        <v>14</v>
      </c>
      <c r="C5" s="103" t="s">
        <v>16</v>
      </c>
      <c r="D5" s="107" t="s">
        <v>167</v>
      </c>
      <c r="E5" s="107" t="s">
        <v>168</v>
      </c>
      <c r="F5" s="107" t="s">
        <v>167</v>
      </c>
      <c r="G5" s="107" t="s">
        <v>168</v>
      </c>
      <c r="H5" s="107" t="s">
        <v>167</v>
      </c>
      <c r="I5" s="107" t="s">
        <v>168</v>
      </c>
      <c r="J5" s="107" t="s">
        <v>167</v>
      </c>
      <c r="K5" s="107" t="s">
        <v>168</v>
      </c>
      <c r="L5" s="107" t="s">
        <v>167</v>
      </c>
      <c r="M5" s="107" t="s">
        <v>168</v>
      </c>
      <c r="N5" s="107" t="s">
        <v>167</v>
      </c>
      <c r="O5" s="107" t="s">
        <v>168</v>
      </c>
      <c r="P5" s="107" t="s">
        <v>167</v>
      </c>
      <c r="Q5" s="107" t="s">
        <v>168</v>
      </c>
      <c r="R5" s="107" t="s">
        <v>167</v>
      </c>
      <c r="S5" s="107" t="s">
        <v>168</v>
      </c>
      <c r="T5" s="107" t="s">
        <v>167</v>
      </c>
      <c r="U5" s="107" t="s">
        <v>168</v>
      </c>
      <c r="V5" s="107" t="s">
        <v>167</v>
      </c>
      <c r="W5" s="107" t="s">
        <v>168</v>
      </c>
      <c r="X5" s="107" t="s">
        <v>167</v>
      </c>
      <c r="Y5" s="107" t="s">
        <v>168</v>
      </c>
      <c r="Z5" s="107" t="s">
        <v>167</v>
      </c>
      <c r="AA5" s="107" t="s">
        <v>168</v>
      </c>
    </row>
    <row r="6" spans="1:28" x14ac:dyDescent="0.2">
      <c r="A6" s="136" t="s">
        <v>17</v>
      </c>
      <c r="B6" s="136" t="s">
        <v>18</v>
      </c>
      <c r="C6" s="136" t="s">
        <v>19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</row>
    <row r="7" spans="1:28" x14ac:dyDescent="0.2">
      <c r="A7" s="136"/>
      <c r="B7" s="136" t="s">
        <v>43</v>
      </c>
      <c r="C7" s="136" t="s">
        <v>44</v>
      </c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</row>
    <row r="8" spans="1:28" x14ac:dyDescent="0.2">
      <c r="A8" s="136"/>
      <c r="B8" s="136" t="s">
        <v>69</v>
      </c>
      <c r="C8" s="136" t="s">
        <v>70</v>
      </c>
      <c r="D8" s="142"/>
      <c r="E8" s="142">
        <v>0</v>
      </c>
      <c r="F8" s="142"/>
      <c r="G8" s="142">
        <v>0</v>
      </c>
      <c r="H8" s="142"/>
      <c r="I8" s="142">
        <v>0</v>
      </c>
      <c r="J8" s="142"/>
      <c r="K8" s="142">
        <v>0</v>
      </c>
      <c r="L8" s="142"/>
      <c r="M8" s="142">
        <v>0</v>
      </c>
      <c r="N8" s="142"/>
      <c r="O8" s="142">
        <v>53.68</v>
      </c>
      <c r="P8" s="142"/>
      <c r="Q8" s="142"/>
      <c r="R8" s="142"/>
      <c r="S8" s="142"/>
      <c r="T8" s="142"/>
      <c r="U8" s="142"/>
      <c r="V8" s="142"/>
      <c r="W8" s="142">
        <v>82.87</v>
      </c>
      <c r="X8" s="142">
        <v>0</v>
      </c>
      <c r="Y8" s="142">
        <v>82.87</v>
      </c>
      <c r="Z8" s="142"/>
      <c r="AA8" s="142"/>
    </row>
    <row r="9" spans="1:28" s="106" customFormat="1" x14ac:dyDescent="0.2">
      <c r="A9" s="109" t="s">
        <v>142</v>
      </c>
      <c r="B9" s="109"/>
      <c r="C9" s="109"/>
      <c r="D9" s="140">
        <f>SUM(D6:D8)</f>
        <v>0</v>
      </c>
      <c r="E9" s="140">
        <f t="shared" ref="E9:AA9" si="0">SUM(E6:E8)</f>
        <v>0</v>
      </c>
      <c r="F9" s="140">
        <f t="shared" si="0"/>
        <v>0</v>
      </c>
      <c r="G9" s="140">
        <f t="shared" si="0"/>
        <v>0</v>
      </c>
      <c r="H9" s="140">
        <f t="shared" si="0"/>
        <v>0</v>
      </c>
      <c r="I9" s="140">
        <f t="shared" si="0"/>
        <v>0</v>
      </c>
      <c r="J9" s="140">
        <f t="shared" si="0"/>
        <v>0</v>
      </c>
      <c r="K9" s="140">
        <f t="shared" si="0"/>
        <v>0</v>
      </c>
      <c r="L9" s="140">
        <f t="shared" si="0"/>
        <v>0</v>
      </c>
      <c r="M9" s="140">
        <f>SUM(M6:M8)</f>
        <v>0</v>
      </c>
      <c r="N9" s="140">
        <f t="shared" si="0"/>
        <v>0</v>
      </c>
      <c r="O9" s="140">
        <f t="shared" si="0"/>
        <v>53.68</v>
      </c>
      <c r="P9" s="140">
        <f t="shared" si="0"/>
        <v>0</v>
      </c>
      <c r="Q9" s="140">
        <f t="shared" si="0"/>
        <v>0</v>
      </c>
      <c r="R9" s="140">
        <f t="shared" si="0"/>
        <v>0</v>
      </c>
      <c r="S9" s="140">
        <f t="shared" si="0"/>
        <v>0</v>
      </c>
      <c r="T9" s="140">
        <f t="shared" si="0"/>
        <v>0</v>
      </c>
      <c r="U9" s="140">
        <f t="shared" si="0"/>
        <v>0</v>
      </c>
      <c r="V9" s="140">
        <f t="shared" si="0"/>
        <v>0</v>
      </c>
      <c r="W9" s="140">
        <f t="shared" si="0"/>
        <v>82.87</v>
      </c>
      <c r="X9" s="140">
        <f t="shared" si="0"/>
        <v>0</v>
      </c>
      <c r="Y9" s="140">
        <f t="shared" si="0"/>
        <v>82.87</v>
      </c>
      <c r="Z9" s="140">
        <f t="shared" si="0"/>
        <v>0</v>
      </c>
      <c r="AA9" s="140">
        <f t="shared" si="0"/>
        <v>0</v>
      </c>
      <c r="AB9" s="146"/>
    </row>
    <row r="10" spans="1:28" x14ac:dyDescent="0.2">
      <c r="A10" s="136" t="s">
        <v>45</v>
      </c>
      <c r="B10" s="136" t="s">
        <v>148</v>
      </c>
      <c r="C10" s="136" t="s">
        <v>149</v>
      </c>
      <c r="D10" s="142"/>
      <c r="E10" s="126">
        <v>14543.800000000001</v>
      </c>
      <c r="F10" s="142"/>
      <c r="G10" s="126">
        <v>17755.099999999999</v>
      </c>
      <c r="H10" s="142"/>
      <c r="I10" s="126">
        <v>16967.96</v>
      </c>
      <c r="J10" s="142"/>
      <c r="K10" s="126">
        <v>3474.8899999999994</v>
      </c>
      <c r="L10" s="142"/>
      <c r="M10" s="126">
        <v>68361.62</v>
      </c>
      <c r="N10" s="142"/>
      <c r="O10" s="126">
        <v>2146.5499999999997</v>
      </c>
      <c r="P10" s="142"/>
      <c r="Q10" s="126">
        <v>2146.5499999999997</v>
      </c>
      <c r="R10" s="142">
        <v>0</v>
      </c>
      <c r="S10" s="126">
        <v>2187.04</v>
      </c>
      <c r="T10" s="142">
        <v>0</v>
      </c>
      <c r="U10" s="126">
        <v>2178.3000000000002</v>
      </c>
      <c r="V10" s="142">
        <v>0</v>
      </c>
      <c r="W10" s="126">
        <v>-5613788.4000000004</v>
      </c>
      <c r="X10" s="142">
        <v>0</v>
      </c>
      <c r="Y10" s="126">
        <v>-5533138.8600000003</v>
      </c>
      <c r="Z10" s="142"/>
      <c r="AA10" s="126"/>
      <c r="AB10" s="146"/>
    </row>
    <row r="11" spans="1:28" x14ac:dyDescent="0.2">
      <c r="A11" s="136"/>
      <c r="B11" s="136" t="s">
        <v>281</v>
      </c>
      <c r="C11" s="136" t="s">
        <v>282</v>
      </c>
      <c r="D11" s="142"/>
      <c r="E11" s="126"/>
      <c r="F11" s="142"/>
      <c r="G11" s="126"/>
      <c r="H11" s="142"/>
      <c r="I11" s="126"/>
      <c r="J11" s="142"/>
      <c r="K11" s="126"/>
      <c r="L11" s="142"/>
      <c r="M11" s="126"/>
      <c r="N11" s="142"/>
      <c r="O11" s="126"/>
      <c r="P11" s="142"/>
      <c r="Q11" s="126"/>
      <c r="R11" s="142"/>
      <c r="S11" s="126"/>
      <c r="T11" s="142"/>
      <c r="U11" s="126">
        <v>-0.25</v>
      </c>
      <c r="V11" s="142">
        <v>0</v>
      </c>
      <c r="W11" s="126">
        <v>-0.25</v>
      </c>
      <c r="X11" s="142">
        <v>0</v>
      </c>
      <c r="Y11" s="126">
        <v>-0.25</v>
      </c>
      <c r="Z11" s="142"/>
      <c r="AA11" s="126"/>
      <c r="AB11" s="146"/>
    </row>
    <row r="12" spans="1:28" x14ac:dyDescent="0.2">
      <c r="A12" s="136"/>
      <c r="B12" s="136" t="s">
        <v>46</v>
      </c>
      <c r="C12" s="136" t="s">
        <v>150</v>
      </c>
      <c r="D12" s="142"/>
      <c r="E12" s="142">
        <v>0</v>
      </c>
      <c r="F12" s="142"/>
      <c r="G12" s="142">
        <v>0</v>
      </c>
      <c r="H12" s="142"/>
      <c r="I12" s="142">
        <v>0</v>
      </c>
      <c r="J12" s="142"/>
      <c r="K12" s="142">
        <v>53</v>
      </c>
      <c r="L12" s="142"/>
      <c r="M12" s="142">
        <v>53</v>
      </c>
      <c r="N12" s="142"/>
      <c r="O12" s="142">
        <v>53</v>
      </c>
      <c r="P12" s="142"/>
      <c r="Q12" s="142">
        <v>53</v>
      </c>
      <c r="R12" s="142"/>
      <c r="S12" s="142">
        <v>53</v>
      </c>
      <c r="T12" s="142"/>
      <c r="U12" s="126">
        <v>53</v>
      </c>
      <c r="V12" s="142">
        <v>0</v>
      </c>
      <c r="W12" s="142">
        <v>53</v>
      </c>
      <c r="X12" s="142">
        <v>0</v>
      </c>
      <c r="Y12" s="142">
        <v>53</v>
      </c>
      <c r="Z12" s="142"/>
      <c r="AA12" s="142"/>
      <c r="AB12" s="146"/>
    </row>
    <row r="13" spans="1:28" x14ac:dyDescent="0.2">
      <c r="A13" s="136"/>
      <c r="B13" s="136" t="s">
        <v>47</v>
      </c>
      <c r="C13" s="136" t="s">
        <v>138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26"/>
      <c r="V13" s="142"/>
      <c r="W13" s="142"/>
      <c r="X13" s="142"/>
      <c r="Y13" s="142"/>
      <c r="Z13" s="142"/>
      <c r="AA13" s="142"/>
      <c r="AB13" s="146"/>
    </row>
    <row r="14" spans="1:28" x14ac:dyDescent="0.2">
      <c r="A14" s="136"/>
      <c r="B14" s="136" t="s">
        <v>48</v>
      </c>
      <c r="C14" s="136" t="s">
        <v>141</v>
      </c>
      <c r="D14" s="142">
        <v>4857.07</v>
      </c>
      <c r="E14" s="126">
        <v>4118</v>
      </c>
      <c r="F14" s="142">
        <v>9764.6299999999992</v>
      </c>
      <c r="G14" s="126">
        <v>9100.9599999999991</v>
      </c>
      <c r="H14" s="142">
        <v>23195.73</v>
      </c>
      <c r="I14" s="126">
        <v>95939.15</v>
      </c>
      <c r="J14" s="142">
        <v>30888.76</v>
      </c>
      <c r="K14" s="126">
        <v>104576.68999999999</v>
      </c>
      <c r="L14" s="142">
        <v>38596.089999999997</v>
      </c>
      <c r="M14" s="126">
        <v>114537.40000000001</v>
      </c>
      <c r="N14" s="142">
        <v>48365.27</v>
      </c>
      <c r="O14" s="126">
        <v>130787.13</v>
      </c>
      <c r="P14" s="142">
        <v>57808.92</v>
      </c>
      <c r="Q14" s="126">
        <v>143754.20000000001</v>
      </c>
      <c r="R14" s="142">
        <v>67329.899999999994</v>
      </c>
      <c r="S14" s="126">
        <v>223779.83</v>
      </c>
      <c r="T14" s="142">
        <v>76833.679999999993</v>
      </c>
      <c r="U14" s="126">
        <v>246143.96</v>
      </c>
      <c r="V14" s="142">
        <v>88875.82</v>
      </c>
      <c r="W14" s="126">
        <v>274267</v>
      </c>
      <c r="X14" s="142">
        <v>98852.59</v>
      </c>
      <c r="Y14" s="126">
        <v>274267</v>
      </c>
      <c r="Z14" s="142">
        <v>142825.95000000001</v>
      </c>
      <c r="AA14" s="126"/>
      <c r="AB14" s="146"/>
    </row>
    <row r="15" spans="1:28" x14ac:dyDescent="0.2">
      <c r="A15" s="136"/>
      <c r="B15" s="136" t="s">
        <v>49</v>
      </c>
      <c r="C15" s="136" t="s">
        <v>50</v>
      </c>
      <c r="D15" s="142"/>
      <c r="E15" s="142">
        <v>0</v>
      </c>
      <c r="F15" s="142"/>
      <c r="G15" s="126">
        <v>-20.64</v>
      </c>
      <c r="H15" s="142"/>
      <c r="I15" s="126">
        <v>-20.64</v>
      </c>
      <c r="J15" s="142"/>
      <c r="K15" s="126">
        <v>-20.64</v>
      </c>
      <c r="L15" s="142"/>
      <c r="M15" s="126">
        <v>-48.74</v>
      </c>
      <c r="N15" s="142"/>
      <c r="O15" s="142">
        <v>-48.74</v>
      </c>
      <c r="P15" s="142"/>
      <c r="Q15" s="142"/>
      <c r="R15" s="142"/>
      <c r="S15" s="142"/>
      <c r="T15" s="142"/>
      <c r="U15" s="126"/>
      <c r="V15" s="142"/>
      <c r="W15" s="142"/>
      <c r="X15" s="142"/>
      <c r="Y15" s="142"/>
      <c r="Z15" s="142"/>
      <c r="AA15" s="142"/>
      <c r="AB15" s="146"/>
    </row>
    <row r="16" spans="1:28" x14ac:dyDescent="0.2">
      <c r="A16" s="136"/>
      <c r="B16" s="136" t="s">
        <v>187</v>
      </c>
      <c r="C16" s="136" t="s">
        <v>188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26"/>
      <c r="V16" s="142"/>
      <c r="W16" s="142"/>
      <c r="X16" s="142"/>
      <c r="Y16" s="142"/>
      <c r="Z16" s="142"/>
      <c r="AA16" s="142"/>
      <c r="AB16" s="146"/>
    </row>
    <row r="17" spans="1:28" x14ac:dyDescent="0.2">
      <c r="A17" s="136"/>
      <c r="B17" s="136" t="s">
        <v>51</v>
      </c>
      <c r="C17" s="136" t="s">
        <v>52</v>
      </c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26"/>
      <c r="V17" s="142"/>
      <c r="W17" s="142"/>
      <c r="X17" s="142"/>
      <c r="Y17" s="142"/>
      <c r="Z17" s="142"/>
      <c r="AA17" s="142"/>
      <c r="AB17" s="146"/>
    </row>
    <row r="18" spans="1:28" x14ac:dyDescent="0.2">
      <c r="A18" s="136"/>
      <c r="B18" s="136" t="s">
        <v>53</v>
      </c>
      <c r="C18" s="136" t="s">
        <v>54</v>
      </c>
      <c r="D18" s="142"/>
      <c r="E18" s="142">
        <v>0</v>
      </c>
      <c r="F18" s="142"/>
      <c r="G18" s="142">
        <v>0</v>
      </c>
      <c r="H18" s="142"/>
      <c r="I18" s="142">
        <v>0</v>
      </c>
      <c r="J18" s="142"/>
      <c r="K18" s="142">
        <v>3.08</v>
      </c>
      <c r="L18" s="142"/>
      <c r="M18" s="142">
        <v>-327.06</v>
      </c>
      <c r="N18" s="142"/>
      <c r="O18" s="142">
        <v>-271.26</v>
      </c>
      <c r="P18" s="142"/>
      <c r="Q18" s="142">
        <v>696.88</v>
      </c>
      <c r="R18" s="142"/>
      <c r="S18" s="142">
        <v>3275.49</v>
      </c>
      <c r="T18" s="142">
        <v>0</v>
      </c>
      <c r="U18" s="126">
        <v>3275.49</v>
      </c>
      <c r="V18" s="142">
        <v>0</v>
      </c>
      <c r="W18" s="142">
        <v>3275.49</v>
      </c>
      <c r="X18" s="142">
        <v>0</v>
      </c>
      <c r="Y18" s="142">
        <v>3275.49</v>
      </c>
      <c r="Z18" s="142"/>
      <c r="AA18" s="142"/>
      <c r="AB18" s="146"/>
    </row>
    <row r="19" spans="1:28" x14ac:dyDescent="0.2">
      <c r="A19" s="136"/>
      <c r="B19" s="136" t="s">
        <v>55</v>
      </c>
      <c r="C19" s="136" t="s">
        <v>151</v>
      </c>
      <c r="D19" s="142"/>
      <c r="E19" s="142">
        <v>0</v>
      </c>
      <c r="F19" s="142"/>
      <c r="G19" s="142">
        <v>87637.67</v>
      </c>
      <c r="H19" s="142"/>
      <c r="I19" s="142">
        <v>185012.85</v>
      </c>
      <c r="J19" s="142"/>
      <c r="K19" s="142">
        <v>360931.32</v>
      </c>
      <c r="L19" s="142"/>
      <c r="M19" s="142">
        <v>360931.32</v>
      </c>
      <c r="N19" s="142"/>
      <c r="O19" s="142">
        <v>360931.32</v>
      </c>
      <c r="P19" s="142"/>
      <c r="Q19" s="142">
        <v>360931.32</v>
      </c>
      <c r="R19" s="142"/>
      <c r="S19" s="142">
        <v>360931.32</v>
      </c>
      <c r="T19" s="142">
        <v>0</v>
      </c>
      <c r="U19" s="126">
        <v>360931.32</v>
      </c>
      <c r="V19" s="142">
        <v>0</v>
      </c>
      <c r="W19" s="142">
        <v>360931.32</v>
      </c>
      <c r="X19" s="142">
        <v>0</v>
      </c>
      <c r="Y19" s="142">
        <v>360931.32</v>
      </c>
      <c r="Z19" s="142"/>
      <c r="AA19" s="142"/>
      <c r="AB19" s="146"/>
    </row>
    <row r="20" spans="1:28" x14ac:dyDescent="0.2">
      <c r="A20" s="136"/>
      <c r="B20" s="136" t="s">
        <v>56</v>
      </c>
      <c r="C20" s="136" t="s">
        <v>152</v>
      </c>
      <c r="D20" s="142"/>
      <c r="E20" s="142">
        <v>0</v>
      </c>
      <c r="F20" s="142"/>
      <c r="G20" s="142">
        <v>0</v>
      </c>
      <c r="H20" s="142"/>
      <c r="I20" s="142">
        <v>0</v>
      </c>
      <c r="J20" s="142"/>
      <c r="K20" s="142">
        <v>33.450000000000003</v>
      </c>
      <c r="L20" s="142"/>
      <c r="M20" s="142">
        <v>40.040000000000006</v>
      </c>
      <c r="N20" s="142"/>
      <c r="O20" s="142">
        <v>107.89</v>
      </c>
      <c r="P20" s="142"/>
      <c r="Q20" s="142">
        <v>107.89</v>
      </c>
      <c r="R20" s="142"/>
      <c r="S20" s="142">
        <v>107.89</v>
      </c>
      <c r="T20" s="142">
        <v>0</v>
      </c>
      <c r="U20" s="126">
        <v>107.89</v>
      </c>
      <c r="V20" s="142">
        <v>0</v>
      </c>
      <c r="W20" s="142">
        <v>107.89</v>
      </c>
      <c r="X20" s="142">
        <v>0</v>
      </c>
      <c r="Y20" s="142">
        <v>107.89</v>
      </c>
      <c r="Z20" s="142"/>
      <c r="AA20" s="142"/>
      <c r="AB20" s="146"/>
    </row>
    <row r="21" spans="1:28" x14ac:dyDescent="0.2">
      <c r="A21" s="136"/>
      <c r="B21" s="136" t="s">
        <v>57</v>
      </c>
      <c r="C21" s="136" t="s">
        <v>153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26">
        <v>0</v>
      </c>
      <c r="V21" s="142">
        <v>0</v>
      </c>
      <c r="W21" s="142">
        <v>0</v>
      </c>
      <c r="X21" s="142">
        <v>0</v>
      </c>
      <c r="Y21" s="142">
        <v>0</v>
      </c>
      <c r="Z21" s="142"/>
      <c r="AA21" s="142"/>
      <c r="AB21" s="146"/>
    </row>
    <row r="22" spans="1:28" x14ac:dyDescent="0.2">
      <c r="A22" s="136"/>
      <c r="B22" s="136" t="s">
        <v>154</v>
      </c>
      <c r="C22" s="136" t="s">
        <v>155</v>
      </c>
      <c r="D22" s="142"/>
      <c r="E22" s="142">
        <v>0</v>
      </c>
      <c r="F22" s="142"/>
      <c r="G22" s="142">
        <v>0</v>
      </c>
      <c r="H22" s="142"/>
      <c r="I22" s="142">
        <v>0</v>
      </c>
      <c r="J22" s="142"/>
      <c r="K22" s="142">
        <v>14.15</v>
      </c>
      <c r="L22" s="142"/>
      <c r="M22" s="142">
        <v>14.15</v>
      </c>
      <c r="N22" s="142"/>
      <c r="O22" s="142">
        <v>14.15</v>
      </c>
      <c r="P22" s="142"/>
      <c r="Q22" s="142">
        <v>14.15</v>
      </c>
      <c r="R22" s="142"/>
      <c r="S22" s="142">
        <v>14.15</v>
      </c>
      <c r="T22" s="142">
        <v>0</v>
      </c>
      <c r="U22" s="126">
        <v>14.15</v>
      </c>
      <c r="V22" s="142">
        <v>0</v>
      </c>
      <c r="W22" s="142">
        <v>14.15</v>
      </c>
      <c r="X22" s="142">
        <v>0</v>
      </c>
      <c r="Y22" s="142">
        <v>14.15</v>
      </c>
      <c r="Z22" s="142"/>
      <c r="AA22" s="142"/>
      <c r="AB22" s="146"/>
    </row>
    <row r="23" spans="1:28" s="106" customFormat="1" x14ac:dyDescent="0.2">
      <c r="A23" s="109" t="s">
        <v>0</v>
      </c>
      <c r="B23" s="109"/>
      <c r="C23" s="109"/>
      <c r="D23" s="140">
        <f>SUM(D10:D22)</f>
        <v>4857.07</v>
      </c>
      <c r="E23" s="140">
        <f>SUM(E10:E22)</f>
        <v>18661.800000000003</v>
      </c>
      <c r="F23" s="140">
        <f>SUM(F10:F22)</f>
        <v>9764.6299999999992</v>
      </c>
      <c r="G23" s="140">
        <f t="shared" ref="G23:AA23" si="1">SUM(G10:G22)</f>
        <v>114473.09</v>
      </c>
      <c r="H23" s="140">
        <f t="shared" si="1"/>
        <v>23195.73</v>
      </c>
      <c r="I23" s="140">
        <f t="shared" si="1"/>
        <v>297899.32</v>
      </c>
      <c r="J23" s="140">
        <f t="shared" si="1"/>
        <v>30888.76</v>
      </c>
      <c r="K23" s="140">
        <f t="shared" si="1"/>
        <v>469065.94</v>
      </c>
      <c r="L23" s="140">
        <f t="shared" si="1"/>
        <v>38596.089999999997</v>
      </c>
      <c r="M23" s="140">
        <f>SUM(M10:M22)</f>
        <v>543561.7300000001</v>
      </c>
      <c r="N23" s="140">
        <f t="shared" si="1"/>
        <v>48365.27</v>
      </c>
      <c r="O23" s="140">
        <f t="shared" si="1"/>
        <v>493720.04000000004</v>
      </c>
      <c r="P23" s="140">
        <f t="shared" si="1"/>
        <v>57808.92</v>
      </c>
      <c r="Q23" s="140">
        <f t="shared" si="1"/>
        <v>507703.99000000005</v>
      </c>
      <c r="R23" s="140">
        <f t="shared" si="1"/>
        <v>67329.899999999994</v>
      </c>
      <c r="S23" s="140">
        <f t="shared" si="1"/>
        <v>590348.72</v>
      </c>
      <c r="T23" s="140">
        <f t="shared" si="1"/>
        <v>76833.679999999993</v>
      </c>
      <c r="U23" s="140">
        <f t="shared" si="1"/>
        <v>612703.86</v>
      </c>
      <c r="V23" s="140">
        <f t="shared" si="1"/>
        <v>88875.82</v>
      </c>
      <c r="W23" s="140">
        <f t="shared" si="1"/>
        <v>-4975139.8</v>
      </c>
      <c r="X23" s="140">
        <f t="shared" si="1"/>
        <v>98852.59</v>
      </c>
      <c r="Y23" s="140">
        <f t="shared" si="1"/>
        <v>-4894490.26</v>
      </c>
      <c r="Z23" s="140">
        <f t="shared" si="1"/>
        <v>142825.95000000001</v>
      </c>
      <c r="AA23" s="140">
        <f t="shared" si="1"/>
        <v>0</v>
      </c>
      <c r="AB23" s="146"/>
    </row>
    <row r="24" spans="1:28" x14ac:dyDescent="0.2">
      <c r="A24" s="136" t="s">
        <v>20</v>
      </c>
      <c r="B24" s="136" t="s">
        <v>21</v>
      </c>
      <c r="C24" s="136" t="s">
        <v>22</v>
      </c>
      <c r="D24" s="142">
        <v>12408.11</v>
      </c>
      <c r="E24" s="126">
        <v>10872.2</v>
      </c>
      <c r="F24" s="142">
        <v>31297.109999999997</v>
      </c>
      <c r="G24" s="126">
        <v>28511.919999999995</v>
      </c>
      <c r="H24" s="142">
        <v>49148.84</v>
      </c>
      <c r="I24" s="126">
        <v>-18596.259999999995</v>
      </c>
      <c r="J24" s="142">
        <v>71248.5</v>
      </c>
      <c r="K24" s="126">
        <v>34913.070000000007</v>
      </c>
      <c r="L24" s="142">
        <v>103836.25</v>
      </c>
      <c r="M24" s="126">
        <v>77784.98000000001</v>
      </c>
      <c r="N24" s="142">
        <v>141514.42000000001</v>
      </c>
      <c r="O24" s="126">
        <v>109661.12000000001</v>
      </c>
      <c r="P24" s="142">
        <v>195806.64000000004</v>
      </c>
      <c r="Q24" s="126">
        <v>156168.35999999999</v>
      </c>
      <c r="R24" s="142">
        <v>306959.87</v>
      </c>
      <c r="S24" s="126">
        <v>221793.28</v>
      </c>
      <c r="T24" s="142">
        <v>528718.64</v>
      </c>
      <c r="U24" s="126">
        <v>1117680.2</v>
      </c>
      <c r="V24" s="142">
        <v>774865.73</v>
      </c>
      <c r="W24" s="126">
        <v>1176036.54</v>
      </c>
      <c r="X24" s="142">
        <v>1052825.26</v>
      </c>
      <c r="Y24" s="126">
        <v>1224717.3799999999</v>
      </c>
      <c r="Z24" s="142">
        <v>1297579.1399999997</v>
      </c>
      <c r="AA24" s="126"/>
      <c r="AB24" s="146"/>
    </row>
    <row r="25" spans="1:28" s="106" customFormat="1" x14ac:dyDescent="0.2">
      <c r="A25" s="109" t="s">
        <v>1</v>
      </c>
      <c r="B25" s="109"/>
      <c r="C25" s="109"/>
      <c r="D25" s="140">
        <f>SUM(D24)</f>
        <v>12408.11</v>
      </c>
      <c r="E25" s="140">
        <f t="shared" ref="E25:AA25" si="2">SUM(E24)</f>
        <v>10872.2</v>
      </c>
      <c r="F25" s="140">
        <f t="shared" si="2"/>
        <v>31297.109999999997</v>
      </c>
      <c r="G25" s="140">
        <f t="shared" si="2"/>
        <v>28511.919999999995</v>
      </c>
      <c r="H25" s="140">
        <f t="shared" si="2"/>
        <v>49148.84</v>
      </c>
      <c r="I25" s="140">
        <f t="shared" si="2"/>
        <v>-18596.259999999995</v>
      </c>
      <c r="J25" s="140">
        <f t="shared" si="2"/>
        <v>71248.5</v>
      </c>
      <c r="K25" s="140">
        <f t="shared" si="2"/>
        <v>34913.070000000007</v>
      </c>
      <c r="L25" s="140">
        <f t="shared" si="2"/>
        <v>103836.25</v>
      </c>
      <c r="M25" s="140">
        <f t="shared" si="2"/>
        <v>77784.98000000001</v>
      </c>
      <c r="N25" s="140">
        <f t="shared" si="2"/>
        <v>141514.42000000001</v>
      </c>
      <c r="O25" s="140">
        <f t="shared" si="2"/>
        <v>109661.12000000001</v>
      </c>
      <c r="P25" s="140">
        <f t="shared" si="2"/>
        <v>195806.64000000004</v>
      </c>
      <c r="Q25" s="140">
        <f t="shared" si="2"/>
        <v>156168.35999999999</v>
      </c>
      <c r="R25" s="140">
        <f t="shared" si="2"/>
        <v>306959.87</v>
      </c>
      <c r="S25" s="140">
        <f t="shared" si="2"/>
        <v>221793.28</v>
      </c>
      <c r="T25" s="140">
        <f t="shared" si="2"/>
        <v>528718.64</v>
      </c>
      <c r="U25" s="140">
        <f t="shared" si="2"/>
        <v>1117680.2</v>
      </c>
      <c r="V25" s="140">
        <f t="shared" si="2"/>
        <v>774865.73</v>
      </c>
      <c r="W25" s="140">
        <f t="shared" si="2"/>
        <v>1176036.54</v>
      </c>
      <c r="X25" s="140">
        <f t="shared" si="2"/>
        <v>1052825.26</v>
      </c>
      <c r="Y25" s="140">
        <f t="shared" si="2"/>
        <v>1224717.3799999999</v>
      </c>
      <c r="Z25" s="140">
        <f t="shared" si="2"/>
        <v>1297579.1399999997</v>
      </c>
      <c r="AA25" s="140">
        <f t="shared" si="2"/>
        <v>0</v>
      </c>
      <c r="AB25" s="146"/>
    </row>
    <row r="26" spans="1:28" x14ac:dyDescent="0.2">
      <c r="A26" s="136" t="s">
        <v>23</v>
      </c>
      <c r="B26" s="136" t="s">
        <v>24</v>
      </c>
      <c r="C26" s="136" t="s">
        <v>25</v>
      </c>
      <c r="D26" s="142">
        <v>34712.239999999998</v>
      </c>
      <c r="E26" s="126">
        <v>103341.28</v>
      </c>
      <c r="F26" s="142">
        <v>93770.11</v>
      </c>
      <c r="G26" s="126">
        <v>186514.82</v>
      </c>
      <c r="H26" s="142">
        <v>232358.75999999995</v>
      </c>
      <c r="I26" s="126">
        <v>129120.37000000002</v>
      </c>
      <c r="J26" s="142">
        <v>443472.33000000007</v>
      </c>
      <c r="K26" s="126">
        <v>306186.05</v>
      </c>
      <c r="L26" s="142">
        <v>610344.65000000014</v>
      </c>
      <c r="M26" s="126">
        <v>458355.88</v>
      </c>
      <c r="N26" s="142">
        <v>801663.19000000018</v>
      </c>
      <c r="O26" s="126">
        <v>528901.79</v>
      </c>
      <c r="P26" s="142">
        <v>978838.45000000019</v>
      </c>
      <c r="Q26" s="126">
        <v>753568.43</v>
      </c>
      <c r="R26" s="142">
        <v>1170524.3600000001</v>
      </c>
      <c r="S26" s="126">
        <v>951040.94000000018</v>
      </c>
      <c r="T26" s="142">
        <v>1329049.3500000001</v>
      </c>
      <c r="U26" s="237">
        <v>2145089.89</v>
      </c>
      <c r="V26" s="238">
        <v>1594428</v>
      </c>
      <c r="W26" s="237">
        <v>2769215.5300000003</v>
      </c>
      <c r="X26" s="142">
        <v>1781267.2699999998</v>
      </c>
      <c r="Y26" s="126">
        <v>2787032.6</v>
      </c>
      <c r="Z26" s="142">
        <v>1917348.9799999997</v>
      </c>
      <c r="AA26" s="126"/>
      <c r="AB26" s="146"/>
    </row>
    <row r="27" spans="1:28" s="106" customFormat="1" x14ac:dyDescent="0.2">
      <c r="A27" s="109" t="s">
        <v>143</v>
      </c>
      <c r="B27" s="109"/>
      <c r="C27" s="109"/>
      <c r="D27" s="140">
        <f>SUM(D26)</f>
        <v>34712.239999999998</v>
      </c>
      <c r="E27" s="140">
        <f t="shared" ref="E27:AA27" si="3">SUM(E26)</f>
        <v>103341.28</v>
      </c>
      <c r="F27" s="140">
        <f t="shared" si="3"/>
        <v>93770.11</v>
      </c>
      <c r="G27" s="140">
        <f t="shared" si="3"/>
        <v>186514.82</v>
      </c>
      <c r="H27" s="140">
        <f t="shared" si="3"/>
        <v>232358.75999999995</v>
      </c>
      <c r="I27" s="140">
        <f t="shared" si="3"/>
        <v>129120.37000000002</v>
      </c>
      <c r="J27" s="140">
        <f t="shared" si="3"/>
        <v>443472.33000000007</v>
      </c>
      <c r="K27" s="140">
        <f t="shared" si="3"/>
        <v>306186.05</v>
      </c>
      <c r="L27" s="140">
        <f t="shared" si="3"/>
        <v>610344.65000000014</v>
      </c>
      <c r="M27" s="140">
        <f t="shared" si="3"/>
        <v>458355.88</v>
      </c>
      <c r="N27" s="140">
        <f t="shared" si="3"/>
        <v>801663.19000000018</v>
      </c>
      <c r="O27" s="140">
        <f t="shared" si="3"/>
        <v>528901.79</v>
      </c>
      <c r="P27" s="140">
        <f t="shared" si="3"/>
        <v>978838.45000000019</v>
      </c>
      <c r="Q27" s="140">
        <f t="shared" si="3"/>
        <v>753568.43</v>
      </c>
      <c r="R27" s="140">
        <f t="shared" si="3"/>
        <v>1170524.3600000001</v>
      </c>
      <c r="S27" s="140">
        <f t="shared" si="3"/>
        <v>951040.94000000018</v>
      </c>
      <c r="T27" s="140">
        <f t="shared" si="3"/>
        <v>1329049.3500000001</v>
      </c>
      <c r="U27" s="140">
        <f t="shared" si="3"/>
        <v>2145089.89</v>
      </c>
      <c r="V27" s="140">
        <f t="shared" si="3"/>
        <v>1594428</v>
      </c>
      <c r="W27" s="140">
        <f t="shared" si="3"/>
        <v>2769215.5300000003</v>
      </c>
      <c r="X27" s="140">
        <f t="shared" si="3"/>
        <v>1781267.2699999998</v>
      </c>
      <c r="Y27" s="140">
        <f t="shared" si="3"/>
        <v>2787032.6</v>
      </c>
      <c r="Z27" s="140">
        <f t="shared" si="3"/>
        <v>1917348.9799999997</v>
      </c>
      <c r="AA27" s="140">
        <f t="shared" si="3"/>
        <v>0</v>
      </c>
      <c r="AB27" s="146"/>
    </row>
    <row r="28" spans="1:28" x14ac:dyDescent="0.2">
      <c r="A28" s="136" t="s">
        <v>58</v>
      </c>
      <c r="B28" s="136" t="s">
        <v>59</v>
      </c>
      <c r="C28" s="136" t="s">
        <v>60</v>
      </c>
      <c r="D28" s="142">
        <v>0</v>
      </c>
      <c r="E28" s="126">
        <v>14078.060000000003</v>
      </c>
      <c r="F28" s="142">
        <v>0</v>
      </c>
      <c r="G28" s="126">
        <v>26709.54</v>
      </c>
      <c r="H28" s="142">
        <v>0</v>
      </c>
      <c r="I28" s="126">
        <v>64503.849999999991</v>
      </c>
      <c r="J28" s="142">
        <v>0</v>
      </c>
      <c r="K28" s="126">
        <v>88946.139999999985</v>
      </c>
      <c r="L28" s="142">
        <v>0</v>
      </c>
      <c r="M28" s="126">
        <v>116981.71000000004</v>
      </c>
      <c r="N28" s="142">
        <v>0</v>
      </c>
      <c r="O28" s="126">
        <v>187268.95999999996</v>
      </c>
      <c r="P28" s="142">
        <v>0</v>
      </c>
      <c r="Q28" s="126">
        <v>208544.54000000007</v>
      </c>
      <c r="R28" s="142">
        <v>0</v>
      </c>
      <c r="S28" s="126">
        <v>261161.96000000011</v>
      </c>
      <c r="T28" s="142">
        <v>0</v>
      </c>
      <c r="U28" s="126">
        <v>338009.7</v>
      </c>
      <c r="V28" s="142">
        <v>0</v>
      </c>
      <c r="W28" s="126">
        <v>415878</v>
      </c>
      <c r="X28" s="142">
        <v>0</v>
      </c>
      <c r="Y28" s="126">
        <v>415878</v>
      </c>
      <c r="Z28" s="142"/>
      <c r="AA28" s="126"/>
      <c r="AB28" s="146"/>
    </row>
    <row r="29" spans="1:28" x14ac:dyDescent="0.2">
      <c r="A29" s="136"/>
      <c r="B29" s="136" t="s">
        <v>61</v>
      </c>
      <c r="C29" s="136" t="s">
        <v>62</v>
      </c>
      <c r="D29" s="142">
        <v>1898.5499999999997</v>
      </c>
      <c r="E29" s="126">
        <v>108904.88</v>
      </c>
      <c r="F29" s="142">
        <v>4310.82</v>
      </c>
      <c r="G29" s="126">
        <v>101790.15000000001</v>
      </c>
      <c r="H29" s="142">
        <v>5175.95</v>
      </c>
      <c r="I29" s="126">
        <v>-27334.93</v>
      </c>
      <c r="J29" s="142">
        <v>7794.0199999999977</v>
      </c>
      <c r="K29" s="126">
        <v>-16887.820000000003</v>
      </c>
      <c r="L29" s="142">
        <v>10396.09</v>
      </c>
      <c r="M29" s="126">
        <v>-10790.970000000001</v>
      </c>
      <c r="N29" s="142">
        <v>12998.159999999996</v>
      </c>
      <c r="O29" s="126">
        <v>-8655.0200000000023</v>
      </c>
      <c r="P29" s="142">
        <v>60164.900000000009</v>
      </c>
      <c r="Q29" s="126">
        <v>-106481.26000000001</v>
      </c>
      <c r="R29" s="142">
        <v>191683.40000000002</v>
      </c>
      <c r="S29" s="126">
        <v>54457.270000000004</v>
      </c>
      <c r="T29" s="142">
        <v>344077.2099999999</v>
      </c>
      <c r="U29" s="126">
        <v>1248872.8599999999</v>
      </c>
      <c r="V29" s="142">
        <v>484337.99999999994</v>
      </c>
      <c r="W29" s="126">
        <v>1505443.04</v>
      </c>
      <c r="X29" s="142">
        <v>732181.41</v>
      </c>
      <c r="Y29" s="126">
        <v>1523991.7200000002</v>
      </c>
      <c r="Z29" s="142">
        <v>984242.77</v>
      </c>
      <c r="AA29" s="126"/>
      <c r="AB29" s="146"/>
    </row>
    <row r="30" spans="1:28" x14ac:dyDescent="0.2">
      <c r="A30" s="136"/>
      <c r="B30" s="136" t="s">
        <v>285</v>
      </c>
      <c r="C30" s="136" t="s">
        <v>286</v>
      </c>
      <c r="D30" s="142"/>
      <c r="E30" s="126"/>
      <c r="F30" s="142"/>
      <c r="G30" s="126"/>
      <c r="H30" s="142"/>
      <c r="I30" s="126"/>
      <c r="J30" s="142"/>
      <c r="K30" s="126"/>
      <c r="L30" s="142"/>
      <c r="M30" s="126"/>
      <c r="N30" s="142"/>
      <c r="O30" s="126"/>
      <c r="P30" s="142"/>
      <c r="Q30" s="126"/>
      <c r="R30" s="142"/>
      <c r="S30" s="126"/>
      <c r="T30" s="142"/>
      <c r="U30" s="126"/>
      <c r="V30" s="142"/>
      <c r="W30" s="126">
        <v>0</v>
      </c>
      <c r="X30" s="142">
        <v>0</v>
      </c>
      <c r="Y30" s="126">
        <v>39.92</v>
      </c>
      <c r="Z30" s="142"/>
      <c r="AA30" s="126"/>
      <c r="AB30" s="146"/>
    </row>
    <row r="31" spans="1:28" x14ac:dyDescent="0.2">
      <c r="A31" s="136"/>
      <c r="B31" s="136" t="s">
        <v>63</v>
      </c>
      <c r="C31" s="136" t="s">
        <v>64</v>
      </c>
      <c r="D31" s="142">
        <v>0</v>
      </c>
      <c r="E31" s="126">
        <v>345.30000000000007</v>
      </c>
      <c r="F31" s="142">
        <v>0</v>
      </c>
      <c r="G31" s="126">
        <v>4443.63</v>
      </c>
      <c r="H31" s="142">
        <v>0</v>
      </c>
      <c r="I31" s="126">
        <v>6235.24</v>
      </c>
      <c r="J31" s="142">
        <v>0</v>
      </c>
      <c r="K31" s="126">
        <v>7260.8499999999985</v>
      </c>
      <c r="L31" s="142">
        <v>0</v>
      </c>
      <c r="M31" s="126">
        <v>9164.23</v>
      </c>
      <c r="N31" s="142">
        <v>0</v>
      </c>
      <c r="O31" s="126">
        <v>16326.43</v>
      </c>
      <c r="P31" s="142">
        <v>0</v>
      </c>
      <c r="Q31" s="126">
        <v>21318.29</v>
      </c>
      <c r="R31" s="142">
        <v>0</v>
      </c>
      <c r="S31" s="126">
        <v>25410.559999999998</v>
      </c>
      <c r="T31" s="142">
        <v>0</v>
      </c>
      <c r="U31" s="126">
        <v>33500.519999999997</v>
      </c>
      <c r="V31" s="142">
        <v>0</v>
      </c>
      <c r="W31" s="126">
        <v>39588.439999999995</v>
      </c>
      <c r="X31" s="142">
        <v>0</v>
      </c>
      <c r="Y31" s="126">
        <v>40828.259999999995</v>
      </c>
      <c r="Z31" s="142"/>
      <c r="AA31" s="126"/>
      <c r="AB31" s="146"/>
    </row>
    <row r="32" spans="1:28" s="106" customFormat="1" x14ac:dyDescent="0.2">
      <c r="A32" s="109" t="s">
        <v>2</v>
      </c>
      <c r="B32" s="109"/>
      <c r="C32" s="109"/>
      <c r="D32" s="140">
        <f>SUM(D28:D31)</f>
        <v>1898.5499999999997</v>
      </c>
      <c r="E32" s="140">
        <f t="shared" ref="E32:AA32" si="4">SUM(E28:E31)</f>
        <v>123328.24</v>
      </c>
      <c r="F32" s="140">
        <f t="shared" si="4"/>
        <v>4310.82</v>
      </c>
      <c r="G32" s="140">
        <f t="shared" si="4"/>
        <v>132943.32</v>
      </c>
      <c r="H32" s="140">
        <f t="shared" si="4"/>
        <v>5175.95</v>
      </c>
      <c r="I32" s="140">
        <f t="shared" si="4"/>
        <v>43404.159999999989</v>
      </c>
      <c r="J32" s="140">
        <f t="shared" si="4"/>
        <v>7794.0199999999977</v>
      </c>
      <c r="K32" s="140">
        <f t="shared" si="4"/>
        <v>79319.169999999984</v>
      </c>
      <c r="L32" s="140">
        <f t="shared" si="4"/>
        <v>10396.09</v>
      </c>
      <c r="M32" s="140">
        <f>SUM(M28:M31)</f>
        <v>115354.97000000003</v>
      </c>
      <c r="N32" s="140">
        <f t="shared" si="4"/>
        <v>12998.159999999996</v>
      </c>
      <c r="O32" s="140">
        <f t="shared" si="4"/>
        <v>194940.36999999997</v>
      </c>
      <c r="P32" s="140">
        <f t="shared" si="4"/>
        <v>60164.900000000009</v>
      </c>
      <c r="Q32" s="140">
        <f t="shared" si="4"/>
        <v>123381.57000000007</v>
      </c>
      <c r="R32" s="140">
        <f t="shared" si="4"/>
        <v>191683.40000000002</v>
      </c>
      <c r="S32" s="140">
        <f t="shared" si="4"/>
        <v>341029.7900000001</v>
      </c>
      <c r="T32" s="140">
        <f t="shared" si="4"/>
        <v>344077.2099999999</v>
      </c>
      <c r="U32" s="140">
        <f t="shared" si="4"/>
        <v>1620383.0799999998</v>
      </c>
      <c r="V32" s="140">
        <f t="shared" si="4"/>
        <v>484337.99999999994</v>
      </c>
      <c r="W32" s="140">
        <f>SUM(W28:W31)</f>
        <v>1960909.48</v>
      </c>
      <c r="X32" s="140">
        <f t="shared" si="4"/>
        <v>732181.41</v>
      </c>
      <c r="Y32" s="140">
        <f t="shared" si="4"/>
        <v>1980737.9000000001</v>
      </c>
      <c r="Z32" s="140">
        <f t="shared" si="4"/>
        <v>984242.77</v>
      </c>
      <c r="AA32" s="140">
        <f t="shared" si="4"/>
        <v>0</v>
      </c>
      <c r="AB32" s="146"/>
    </row>
    <row r="33" spans="1:28" x14ac:dyDescent="0.2">
      <c r="A33" s="136" t="s">
        <v>169</v>
      </c>
      <c r="B33" s="136" t="s">
        <v>204</v>
      </c>
      <c r="C33" s="136" t="s">
        <v>205</v>
      </c>
      <c r="D33" s="142"/>
      <c r="E33" s="142">
        <v>0</v>
      </c>
      <c r="F33" s="142"/>
      <c r="G33" s="142">
        <v>0</v>
      </c>
      <c r="H33" s="142"/>
      <c r="I33" s="142">
        <v>0</v>
      </c>
      <c r="J33" s="142"/>
      <c r="K33" s="142">
        <v>15.53</v>
      </c>
      <c r="L33" s="142"/>
      <c r="M33" s="142">
        <v>15.53</v>
      </c>
      <c r="N33" s="142"/>
      <c r="O33" s="142">
        <v>15.53</v>
      </c>
      <c r="P33" s="142"/>
      <c r="Q33" s="142">
        <v>15.53</v>
      </c>
      <c r="R33" s="142">
        <v>0</v>
      </c>
      <c r="S33" s="142">
        <v>15.53</v>
      </c>
      <c r="T33" s="142">
        <v>0</v>
      </c>
      <c r="U33" s="142">
        <v>15.53</v>
      </c>
      <c r="V33" s="142">
        <v>0</v>
      </c>
      <c r="W33" s="142">
        <v>15.53</v>
      </c>
      <c r="X33" s="142">
        <v>0</v>
      </c>
      <c r="Y33" s="142">
        <v>15.53</v>
      </c>
      <c r="Z33" s="142"/>
      <c r="AA33" s="142"/>
      <c r="AB33" s="146"/>
    </row>
    <row r="34" spans="1:28" x14ac:dyDescent="0.2">
      <c r="A34" s="136"/>
      <c r="B34" s="136" t="s">
        <v>170</v>
      </c>
      <c r="C34" s="136" t="s">
        <v>171</v>
      </c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6"/>
    </row>
    <row r="35" spans="1:28" s="106" customFormat="1" x14ac:dyDescent="0.2">
      <c r="A35" s="109" t="s">
        <v>172</v>
      </c>
      <c r="B35" s="109"/>
      <c r="C35" s="109"/>
      <c r="D35" s="140">
        <f>SUM(D33:D34)</f>
        <v>0</v>
      </c>
      <c r="E35" s="140">
        <f t="shared" ref="E35:AA35" si="5">SUM(E33:E34)</f>
        <v>0</v>
      </c>
      <c r="F35" s="140">
        <f t="shared" si="5"/>
        <v>0</v>
      </c>
      <c r="G35" s="140">
        <f t="shared" si="5"/>
        <v>0</v>
      </c>
      <c r="H35" s="140">
        <f t="shared" si="5"/>
        <v>0</v>
      </c>
      <c r="I35" s="140">
        <f t="shared" si="5"/>
        <v>0</v>
      </c>
      <c r="J35" s="140">
        <f t="shared" si="5"/>
        <v>0</v>
      </c>
      <c r="K35" s="140">
        <f t="shared" si="5"/>
        <v>15.53</v>
      </c>
      <c r="L35" s="140">
        <f t="shared" si="5"/>
        <v>0</v>
      </c>
      <c r="M35" s="140">
        <f>SUM(M33:M34)</f>
        <v>15.53</v>
      </c>
      <c r="N35" s="140">
        <f t="shared" si="5"/>
        <v>0</v>
      </c>
      <c r="O35" s="140">
        <f t="shared" si="5"/>
        <v>15.53</v>
      </c>
      <c r="P35" s="140">
        <f t="shared" si="5"/>
        <v>0</v>
      </c>
      <c r="Q35" s="140">
        <f t="shared" si="5"/>
        <v>15.53</v>
      </c>
      <c r="R35" s="140">
        <f t="shared" si="5"/>
        <v>0</v>
      </c>
      <c r="S35" s="140">
        <f t="shared" si="5"/>
        <v>15.53</v>
      </c>
      <c r="T35" s="140">
        <f t="shared" si="5"/>
        <v>0</v>
      </c>
      <c r="U35" s="140">
        <f t="shared" si="5"/>
        <v>15.53</v>
      </c>
      <c r="V35" s="140">
        <f t="shared" si="5"/>
        <v>0</v>
      </c>
      <c r="W35" s="140">
        <f t="shared" si="5"/>
        <v>15.53</v>
      </c>
      <c r="X35" s="140">
        <f t="shared" si="5"/>
        <v>0</v>
      </c>
      <c r="Y35" s="140">
        <f t="shared" si="5"/>
        <v>15.53</v>
      </c>
      <c r="Z35" s="140">
        <f t="shared" si="5"/>
        <v>0</v>
      </c>
      <c r="AA35" s="140">
        <f t="shared" si="5"/>
        <v>0</v>
      </c>
      <c r="AB35" s="146"/>
    </row>
    <row r="36" spans="1:28" x14ac:dyDescent="0.2">
      <c r="A36" s="136" t="s">
        <v>26</v>
      </c>
      <c r="B36" s="136" t="s">
        <v>65</v>
      </c>
      <c r="C36" s="136" t="s">
        <v>66</v>
      </c>
      <c r="D36" s="142">
        <v>0</v>
      </c>
      <c r="E36" s="126">
        <v>284.01000000000005</v>
      </c>
      <c r="F36" s="142">
        <v>0</v>
      </c>
      <c r="G36" s="126">
        <v>954.95999999999992</v>
      </c>
      <c r="H36" s="142">
        <v>0</v>
      </c>
      <c r="I36" s="126">
        <v>-11019.310000000001</v>
      </c>
      <c r="J36" s="142">
        <v>0</v>
      </c>
      <c r="K36" s="126">
        <v>-11019.310000000001</v>
      </c>
      <c r="L36" s="142">
        <v>0</v>
      </c>
      <c r="M36" s="126">
        <v>-9588.99</v>
      </c>
      <c r="N36" s="142">
        <v>0</v>
      </c>
      <c r="O36" s="126">
        <v>-8026.9699999999993</v>
      </c>
      <c r="P36" s="142"/>
      <c r="Q36" s="126">
        <v>-7089.5499999999993</v>
      </c>
      <c r="R36" s="142">
        <v>0</v>
      </c>
      <c r="S36" s="126">
        <v>5096.7300000000014</v>
      </c>
      <c r="T36" s="142">
        <v>0</v>
      </c>
      <c r="U36" s="126">
        <v>5835.3700000000008</v>
      </c>
      <c r="V36" s="142">
        <v>0</v>
      </c>
      <c r="W36" s="126">
        <v>6151.170000000001</v>
      </c>
      <c r="X36" s="142">
        <v>0</v>
      </c>
      <c r="Y36" s="126">
        <v>8326.7799999999988</v>
      </c>
      <c r="Z36" s="142"/>
      <c r="AA36" s="126"/>
      <c r="AB36" s="146"/>
    </row>
    <row r="37" spans="1:28" x14ac:dyDescent="0.2">
      <c r="A37" s="136"/>
      <c r="B37" s="136" t="s">
        <v>203</v>
      </c>
      <c r="C37" s="136" t="s">
        <v>12</v>
      </c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>
        <v>0</v>
      </c>
      <c r="V37" s="142">
        <v>0</v>
      </c>
      <c r="W37" s="142">
        <v>0</v>
      </c>
      <c r="X37" s="142">
        <v>0</v>
      </c>
      <c r="Y37" s="142">
        <v>0</v>
      </c>
      <c r="Z37" s="142"/>
      <c r="AA37" s="142"/>
      <c r="AB37" s="146"/>
    </row>
    <row r="38" spans="1:28" x14ac:dyDescent="0.2">
      <c r="A38" s="136"/>
      <c r="B38" s="136" t="s">
        <v>71</v>
      </c>
      <c r="C38" s="256" t="s">
        <v>72</v>
      </c>
      <c r="D38" s="142"/>
      <c r="E38" s="126">
        <v>0</v>
      </c>
      <c r="F38" s="142"/>
      <c r="G38" s="126">
        <v>1014.76</v>
      </c>
      <c r="H38" s="142"/>
      <c r="I38" s="126">
        <v>1014.76</v>
      </c>
      <c r="J38" s="142"/>
      <c r="K38" s="126">
        <v>1014.76</v>
      </c>
      <c r="L38" s="142"/>
      <c r="M38" s="126">
        <v>1014.76</v>
      </c>
      <c r="N38" s="142"/>
      <c r="O38" s="126">
        <v>1014.76</v>
      </c>
      <c r="P38" s="142"/>
      <c r="Q38" s="126">
        <v>1014.76</v>
      </c>
      <c r="R38" s="142">
        <v>0</v>
      </c>
      <c r="S38" s="259">
        <v>1014.76</v>
      </c>
      <c r="T38" s="142">
        <v>0</v>
      </c>
      <c r="U38" s="259">
        <v>1014.76</v>
      </c>
      <c r="V38" s="142">
        <v>0</v>
      </c>
      <c r="W38" s="126">
        <v>1014.76</v>
      </c>
      <c r="X38" s="142">
        <v>0</v>
      </c>
      <c r="Y38" s="126">
        <v>1014.76</v>
      </c>
      <c r="Z38" s="142"/>
      <c r="AA38" s="126"/>
      <c r="AB38" s="146"/>
    </row>
    <row r="39" spans="1:28" x14ac:dyDescent="0.2">
      <c r="A39" s="136"/>
      <c r="B39" s="136" t="s">
        <v>220</v>
      </c>
      <c r="C39" s="136" t="s">
        <v>221</v>
      </c>
      <c r="D39" s="142">
        <v>0</v>
      </c>
      <c r="E39" s="126"/>
      <c r="F39" s="142">
        <v>0</v>
      </c>
      <c r="G39" s="126"/>
      <c r="H39" s="142">
        <v>0</v>
      </c>
      <c r="I39" s="126"/>
      <c r="J39" s="142">
        <v>0</v>
      </c>
      <c r="K39" s="126"/>
      <c r="L39" s="142">
        <v>3952.5</v>
      </c>
      <c r="M39" s="126"/>
      <c r="N39" s="142">
        <v>7905</v>
      </c>
      <c r="O39" s="126"/>
      <c r="P39" s="142">
        <v>11857.5</v>
      </c>
      <c r="Q39" s="126"/>
      <c r="R39" s="142">
        <v>15810</v>
      </c>
      <c r="S39" s="126">
        <v>0</v>
      </c>
      <c r="T39" s="142">
        <v>19762.5</v>
      </c>
      <c r="U39" s="126">
        <v>0</v>
      </c>
      <c r="V39" s="142">
        <v>23715</v>
      </c>
      <c r="W39" s="126">
        <v>0</v>
      </c>
      <c r="X39" s="142">
        <v>27667.5</v>
      </c>
      <c r="Y39" s="126">
        <v>0</v>
      </c>
      <c r="Z39" s="142">
        <v>31620</v>
      </c>
      <c r="AA39" s="126"/>
      <c r="AB39" s="146"/>
    </row>
    <row r="40" spans="1:28" x14ac:dyDescent="0.2">
      <c r="A40" s="136"/>
      <c r="B40" s="136" t="s">
        <v>139</v>
      </c>
      <c r="C40" s="136" t="s">
        <v>140</v>
      </c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6"/>
    </row>
    <row r="41" spans="1:28" x14ac:dyDescent="0.2">
      <c r="A41" s="136"/>
      <c r="B41" s="136" t="s">
        <v>73</v>
      </c>
      <c r="C41" s="136" t="s">
        <v>74</v>
      </c>
      <c r="D41" s="142">
        <v>4716</v>
      </c>
      <c r="E41" s="126">
        <v>4049.13</v>
      </c>
      <c r="F41" s="142">
        <v>5611.5</v>
      </c>
      <c r="G41" s="126">
        <v>4933.0200000000004</v>
      </c>
      <c r="H41" s="142">
        <v>7807.7400000000007</v>
      </c>
      <c r="I41" s="126">
        <v>7124.66</v>
      </c>
      <c r="J41" s="142">
        <v>12008.14</v>
      </c>
      <c r="K41" s="126">
        <v>7703.86</v>
      </c>
      <c r="L41" s="142">
        <v>20734.48</v>
      </c>
      <c r="M41" s="126">
        <v>9311.5299999999988</v>
      </c>
      <c r="N41" s="142">
        <v>34618</v>
      </c>
      <c r="O41" s="126">
        <v>17309.5</v>
      </c>
      <c r="P41" s="142">
        <v>44600</v>
      </c>
      <c r="Q41" s="126">
        <v>17284.839999999997</v>
      </c>
      <c r="R41" s="142">
        <v>50025</v>
      </c>
      <c r="S41" s="126">
        <v>17758.879999999997</v>
      </c>
      <c r="T41" s="142">
        <v>53000</v>
      </c>
      <c r="U41" s="126">
        <v>21189.88</v>
      </c>
      <c r="V41" s="142">
        <v>54600</v>
      </c>
      <c r="W41" s="126">
        <v>28082.729999999996</v>
      </c>
      <c r="X41" s="142">
        <v>55000</v>
      </c>
      <c r="Y41" s="126">
        <v>28136.019999999997</v>
      </c>
      <c r="Z41" s="142">
        <v>55000</v>
      </c>
      <c r="AA41" s="126"/>
      <c r="AB41" s="146"/>
    </row>
    <row r="42" spans="1:28" x14ac:dyDescent="0.2">
      <c r="A42" s="136"/>
      <c r="B42" s="136" t="s">
        <v>185</v>
      </c>
      <c r="C42" s="136" t="s">
        <v>186</v>
      </c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6"/>
    </row>
    <row r="43" spans="1:28" x14ac:dyDescent="0.2">
      <c r="A43" s="136"/>
      <c r="B43" s="136" t="s">
        <v>156</v>
      </c>
      <c r="C43" s="257" t="s">
        <v>157</v>
      </c>
      <c r="D43" s="142"/>
      <c r="E43" s="126">
        <v>218</v>
      </c>
      <c r="F43" s="142"/>
      <c r="G43" s="126">
        <v>1205.2</v>
      </c>
      <c r="H43" s="142"/>
      <c r="I43" s="126">
        <v>1205.2</v>
      </c>
      <c r="J43" s="142"/>
      <c r="K43" s="126">
        <v>2676.38</v>
      </c>
      <c r="L43" s="142"/>
      <c r="M43" s="126">
        <v>2676.38</v>
      </c>
      <c r="N43" s="142"/>
      <c r="O43" s="126">
        <v>3294.08</v>
      </c>
      <c r="P43" s="142"/>
      <c r="Q43" s="126">
        <v>5735.18</v>
      </c>
      <c r="R43" s="142">
        <v>0</v>
      </c>
      <c r="S43" s="126">
        <v>24532.55</v>
      </c>
      <c r="T43" s="142">
        <v>0</v>
      </c>
      <c r="U43" s="126">
        <v>39404.22</v>
      </c>
      <c r="V43" s="142">
        <v>0</v>
      </c>
      <c r="W43" s="126">
        <v>73790.42</v>
      </c>
      <c r="X43" s="142">
        <v>0</v>
      </c>
      <c r="Y43" s="126">
        <v>78928.77</v>
      </c>
      <c r="Z43" s="142"/>
      <c r="AA43" s="126"/>
      <c r="AB43" s="146"/>
    </row>
    <row r="44" spans="1:28" x14ac:dyDescent="0.2">
      <c r="A44" s="136"/>
      <c r="B44" s="136" t="s">
        <v>214</v>
      </c>
      <c r="C44" s="136" t="s">
        <v>215</v>
      </c>
      <c r="D44" s="142"/>
      <c r="E44" s="126">
        <v>9.6999999999999993</v>
      </c>
      <c r="F44" s="142"/>
      <c r="G44" s="126">
        <v>9.6999999999999993</v>
      </c>
      <c r="H44" s="142"/>
      <c r="I44" s="126">
        <v>9.6999999999999993</v>
      </c>
      <c r="J44" s="142"/>
      <c r="K44" s="126">
        <v>9.6999999999999993</v>
      </c>
      <c r="L44" s="142"/>
      <c r="M44" s="126">
        <v>9.6999999999999993</v>
      </c>
      <c r="N44" s="142"/>
      <c r="O44" s="126">
        <v>9.6999999999999993</v>
      </c>
      <c r="P44" s="142"/>
      <c r="Q44" s="126">
        <v>9.6999999999999993</v>
      </c>
      <c r="R44" s="142">
        <v>0</v>
      </c>
      <c r="S44" s="126">
        <v>9.6999999999999993</v>
      </c>
      <c r="T44" s="142">
        <v>0</v>
      </c>
      <c r="U44" s="126">
        <v>9.6999999999999993</v>
      </c>
      <c r="V44" s="142">
        <v>0</v>
      </c>
      <c r="W44" s="126">
        <v>9.6999999999999993</v>
      </c>
      <c r="X44" s="142">
        <v>0</v>
      </c>
      <c r="Y44" s="126">
        <v>9.6999999999999993</v>
      </c>
      <c r="Z44" s="142"/>
      <c r="AA44" s="126"/>
      <c r="AB44" s="146"/>
    </row>
    <row r="45" spans="1:28" x14ac:dyDescent="0.2">
      <c r="A45" s="136"/>
      <c r="B45" s="229" t="s">
        <v>278</v>
      </c>
      <c r="C45" s="256" t="s">
        <v>222</v>
      </c>
      <c r="D45" s="142">
        <v>0</v>
      </c>
      <c r="E45" s="126">
        <v>0</v>
      </c>
      <c r="F45" s="142">
        <v>0</v>
      </c>
      <c r="G45" s="126">
        <v>0</v>
      </c>
      <c r="H45" s="142">
        <v>0</v>
      </c>
      <c r="I45" s="126">
        <v>0</v>
      </c>
      <c r="J45" s="142">
        <v>0</v>
      </c>
      <c r="K45" s="126">
        <v>0</v>
      </c>
      <c r="L45" s="142">
        <v>0</v>
      </c>
      <c r="M45" s="126">
        <v>0</v>
      </c>
      <c r="N45" s="142">
        <v>1160</v>
      </c>
      <c r="O45" s="126">
        <v>1155.19</v>
      </c>
      <c r="P45" s="142">
        <v>1160</v>
      </c>
      <c r="Q45" s="126">
        <v>1155.19</v>
      </c>
      <c r="R45" s="142">
        <v>1160</v>
      </c>
      <c r="S45" s="259">
        <v>1155.19</v>
      </c>
      <c r="T45" s="142">
        <v>1160</v>
      </c>
      <c r="U45" s="259">
        <v>1155.19</v>
      </c>
      <c r="V45" s="142">
        <v>4120</v>
      </c>
      <c r="W45" s="126">
        <v>1155.19</v>
      </c>
      <c r="X45" s="142">
        <v>7060</v>
      </c>
      <c r="Y45" s="126">
        <v>1155.19</v>
      </c>
      <c r="Z45" s="142">
        <v>10000</v>
      </c>
      <c r="AA45" s="126"/>
      <c r="AB45" s="146"/>
    </row>
    <row r="46" spans="1:28" x14ac:dyDescent="0.2">
      <c r="A46" s="136"/>
      <c r="B46" s="136" t="s">
        <v>279</v>
      </c>
      <c r="C46" s="136" t="s">
        <v>223</v>
      </c>
      <c r="D46" s="142">
        <v>0</v>
      </c>
      <c r="E46" s="126"/>
      <c r="F46" s="142">
        <v>0</v>
      </c>
      <c r="G46" s="126"/>
      <c r="H46" s="142">
        <v>0</v>
      </c>
      <c r="I46" s="126"/>
      <c r="J46" s="142">
        <v>0</v>
      </c>
      <c r="K46" s="126"/>
      <c r="L46" s="142">
        <v>1300</v>
      </c>
      <c r="M46" s="126"/>
      <c r="N46" s="142">
        <v>2600</v>
      </c>
      <c r="O46" s="126"/>
      <c r="P46" s="142">
        <v>3900</v>
      </c>
      <c r="Q46" s="126"/>
      <c r="R46" s="142">
        <v>5200</v>
      </c>
      <c r="S46" s="126">
        <v>0</v>
      </c>
      <c r="T46" s="142">
        <v>6500</v>
      </c>
      <c r="U46" s="126">
        <v>0</v>
      </c>
      <c r="V46" s="142">
        <v>7800</v>
      </c>
      <c r="W46" s="126">
        <v>0</v>
      </c>
      <c r="X46" s="142">
        <v>9100</v>
      </c>
      <c r="Y46" s="126">
        <v>0</v>
      </c>
      <c r="Z46" s="142">
        <v>10400</v>
      </c>
      <c r="AA46" s="126"/>
      <c r="AB46" s="146"/>
    </row>
    <row r="47" spans="1:28" s="106" customFormat="1" x14ac:dyDescent="0.2">
      <c r="A47" s="109" t="s">
        <v>144</v>
      </c>
      <c r="B47" s="109"/>
      <c r="C47" s="109"/>
      <c r="D47" s="140">
        <f>SUM(D36:D46)</f>
        <v>4716</v>
      </c>
      <c r="E47" s="140">
        <f t="shared" ref="E47:AA47" si="6">SUM(E36:E46)</f>
        <v>4560.84</v>
      </c>
      <c r="F47" s="140">
        <f t="shared" si="6"/>
        <v>5611.5</v>
      </c>
      <c r="G47" s="140">
        <f t="shared" si="6"/>
        <v>8117.6399999999994</v>
      </c>
      <c r="H47" s="140">
        <f t="shared" si="6"/>
        <v>7807.7400000000007</v>
      </c>
      <c r="I47" s="140">
        <f t="shared" si="6"/>
        <v>-1664.9900000000011</v>
      </c>
      <c r="J47" s="140">
        <f t="shared" si="6"/>
        <v>12008.14</v>
      </c>
      <c r="K47" s="140">
        <f t="shared" si="6"/>
        <v>385.38999999999868</v>
      </c>
      <c r="L47" s="140">
        <f>SUM(L36:L46)</f>
        <v>25986.98</v>
      </c>
      <c r="M47" s="140">
        <f>SUM(M36:M46)</f>
        <v>3423.3799999999992</v>
      </c>
      <c r="N47" s="140">
        <f t="shared" si="6"/>
        <v>46283</v>
      </c>
      <c r="O47" s="140">
        <f>SUM(O36:O46)</f>
        <v>14756.260000000002</v>
      </c>
      <c r="P47" s="140">
        <f t="shared" si="6"/>
        <v>61517.5</v>
      </c>
      <c r="Q47" s="140">
        <f t="shared" si="6"/>
        <v>18110.119999999995</v>
      </c>
      <c r="R47" s="140">
        <f t="shared" si="6"/>
        <v>72195</v>
      </c>
      <c r="S47" s="140">
        <f>SUM(S36:S46)</f>
        <v>49567.81</v>
      </c>
      <c r="T47" s="140">
        <f t="shared" si="6"/>
        <v>80422.5</v>
      </c>
      <c r="U47" s="140">
        <f t="shared" si="6"/>
        <v>68609.12000000001</v>
      </c>
      <c r="V47" s="140">
        <f t="shared" si="6"/>
        <v>90235</v>
      </c>
      <c r="W47" s="140">
        <f t="shared" si="6"/>
        <v>110203.96999999999</v>
      </c>
      <c r="X47" s="140">
        <f t="shared" si="6"/>
        <v>98827.5</v>
      </c>
      <c r="Y47" s="140">
        <f t="shared" si="6"/>
        <v>117571.22</v>
      </c>
      <c r="Z47" s="140">
        <f t="shared" si="6"/>
        <v>107020</v>
      </c>
      <c r="AA47" s="140">
        <f t="shared" si="6"/>
        <v>0</v>
      </c>
      <c r="AB47" s="146"/>
    </row>
    <row r="48" spans="1:28" x14ac:dyDescent="0.2">
      <c r="A48" s="136" t="s">
        <v>158</v>
      </c>
      <c r="B48" s="136" t="s">
        <v>159</v>
      </c>
      <c r="C48" s="136" t="s">
        <v>160</v>
      </c>
      <c r="D48" s="142"/>
      <c r="E48" s="142">
        <v>0</v>
      </c>
      <c r="F48" s="142"/>
      <c r="G48" s="142">
        <v>0</v>
      </c>
      <c r="H48" s="142"/>
      <c r="I48" s="142">
        <v>-73412.05</v>
      </c>
      <c r="J48" s="142"/>
      <c r="K48" s="142">
        <v>-73412.05</v>
      </c>
      <c r="L48" s="142"/>
      <c r="M48" s="142">
        <v>-73412.05</v>
      </c>
      <c r="N48" s="142"/>
      <c r="O48" s="142">
        <v>-73412.05</v>
      </c>
      <c r="P48" s="142"/>
      <c r="Q48" s="142">
        <v>-73412.05</v>
      </c>
      <c r="R48" s="142">
        <v>0</v>
      </c>
      <c r="S48" s="142">
        <v>-73412.05</v>
      </c>
      <c r="T48" s="142">
        <v>0</v>
      </c>
      <c r="U48" s="142">
        <v>-73412.05</v>
      </c>
      <c r="V48" s="142">
        <v>0</v>
      </c>
      <c r="W48" s="142">
        <v>-73412.05</v>
      </c>
      <c r="X48" s="142">
        <v>0</v>
      </c>
      <c r="Y48" s="142">
        <v>-73412.05</v>
      </c>
      <c r="Z48" s="142"/>
      <c r="AA48" s="142"/>
      <c r="AB48" s="146"/>
    </row>
    <row r="49" spans="1:28" x14ac:dyDescent="0.2">
      <c r="A49" s="136"/>
      <c r="B49" s="136" t="s">
        <v>283</v>
      </c>
      <c r="C49" s="136" t="s">
        <v>284</v>
      </c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>
        <v>17.63</v>
      </c>
      <c r="V49" s="142">
        <v>0</v>
      </c>
      <c r="W49" s="142">
        <v>17.63</v>
      </c>
      <c r="X49" s="142">
        <v>0</v>
      </c>
      <c r="Y49" s="142">
        <v>17.63</v>
      </c>
      <c r="Z49" s="142"/>
      <c r="AA49" s="142"/>
      <c r="AB49" s="146"/>
    </row>
    <row r="50" spans="1:28" s="106" customFormat="1" x14ac:dyDescent="0.2">
      <c r="A50" s="109" t="s">
        <v>162</v>
      </c>
      <c r="B50" s="109"/>
      <c r="C50" s="109"/>
      <c r="D50" s="140">
        <f>SUM(D48:D49)</f>
        <v>0</v>
      </c>
      <c r="E50" s="140">
        <f t="shared" ref="E50:AA50" si="7">SUM(E48:E49)</f>
        <v>0</v>
      </c>
      <c r="F50" s="140">
        <f t="shared" si="7"/>
        <v>0</v>
      </c>
      <c r="G50" s="140">
        <f t="shared" si="7"/>
        <v>0</v>
      </c>
      <c r="H50" s="140">
        <f t="shared" si="7"/>
        <v>0</v>
      </c>
      <c r="I50" s="140">
        <f t="shared" si="7"/>
        <v>-73412.05</v>
      </c>
      <c r="J50" s="140">
        <f t="shared" si="7"/>
        <v>0</v>
      </c>
      <c r="K50" s="140">
        <f t="shared" si="7"/>
        <v>-73412.05</v>
      </c>
      <c r="L50" s="140">
        <f t="shared" si="7"/>
        <v>0</v>
      </c>
      <c r="M50" s="140">
        <f>SUM(M48:M49)</f>
        <v>-73412.05</v>
      </c>
      <c r="N50" s="140">
        <f t="shared" si="7"/>
        <v>0</v>
      </c>
      <c r="O50" s="140">
        <f t="shared" si="7"/>
        <v>-73412.05</v>
      </c>
      <c r="P50" s="140">
        <f t="shared" si="7"/>
        <v>0</v>
      </c>
      <c r="Q50" s="140">
        <f t="shared" si="7"/>
        <v>-73412.05</v>
      </c>
      <c r="R50" s="140">
        <f t="shared" si="7"/>
        <v>0</v>
      </c>
      <c r="S50" s="140">
        <f t="shared" si="7"/>
        <v>-73412.05</v>
      </c>
      <c r="T50" s="140">
        <f t="shared" si="7"/>
        <v>0</v>
      </c>
      <c r="U50" s="140">
        <f t="shared" si="7"/>
        <v>-73394.42</v>
      </c>
      <c r="V50" s="140">
        <f t="shared" si="7"/>
        <v>0</v>
      </c>
      <c r="W50" s="140">
        <f t="shared" si="7"/>
        <v>-73394.42</v>
      </c>
      <c r="X50" s="140">
        <f t="shared" si="7"/>
        <v>0</v>
      </c>
      <c r="Y50" s="140">
        <f t="shared" si="7"/>
        <v>-73394.42</v>
      </c>
      <c r="Z50" s="140">
        <f t="shared" si="7"/>
        <v>0</v>
      </c>
      <c r="AA50" s="140">
        <f t="shared" si="7"/>
        <v>0</v>
      </c>
      <c r="AB50" s="146"/>
    </row>
    <row r="51" spans="1:28" x14ac:dyDescent="0.2">
      <c r="A51" s="136" t="s">
        <v>163</v>
      </c>
      <c r="B51" s="136" t="s">
        <v>173</v>
      </c>
      <c r="C51" s="136" t="s">
        <v>174</v>
      </c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6"/>
    </row>
    <row r="52" spans="1:28" x14ac:dyDescent="0.2">
      <c r="A52" s="136"/>
      <c r="B52" s="136" t="s">
        <v>164</v>
      </c>
      <c r="C52" s="136" t="s">
        <v>165</v>
      </c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6"/>
    </row>
    <row r="53" spans="1:28" s="106" customFormat="1" x14ac:dyDescent="0.2">
      <c r="A53" s="109" t="s">
        <v>166</v>
      </c>
      <c r="B53" s="109"/>
      <c r="C53" s="109"/>
      <c r="D53" s="140">
        <f>SUM(D51:D52)</f>
        <v>0</v>
      </c>
      <c r="E53" s="140">
        <f t="shared" ref="E53:AA53" si="8">SUM(E51:E52)</f>
        <v>0</v>
      </c>
      <c r="F53" s="140">
        <f t="shared" si="8"/>
        <v>0</v>
      </c>
      <c r="G53" s="140">
        <f t="shared" si="8"/>
        <v>0</v>
      </c>
      <c r="H53" s="140">
        <f t="shared" si="8"/>
        <v>0</v>
      </c>
      <c r="I53" s="140">
        <f t="shared" si="8"/>
        <v>0</v>
      </c>
      <c r="J53" s="140">
        <f t="shared" si="8"/>
        <v>0</v>
      </c>
      <c r="K53" s="140">
        <f t="shared" si="8"/>
        <v>0</v>
      </c>
      <c r="L53" s="140">
        <f t="shared" si="8"/>
        <v>0</v>
      </c>
      <c r="M53" s="140">
        <f>SUM(M51:M52)</f>
        <v>0</v>
      </c>
      <c r="N53" s="140">
        <f t="shared" si="8"/>
        <v>0</v>
      </c>
      <c r="O53" s="140">
        <f t="shared" si="8"/>
        <v>0</v>
      </c>
      <c r="P53" s="140">
        <f t="shared" si="8"/>
        <v>0</v>
      </c>
      <c r="Q53" s="140">
        <f t="shared" si="8"/>
        <v>0</v>
      </c>
      <c r="R53" s="140">
        <f t="shared" si="8"/>
        <v>0</v>
      </c>
      <c r="S53" s="140">
        <f t="shared" si="8"/>
        <v>0</v>
      </c>
      <c r="T53" s="140">
        <f t="shared" si="8"/>
        <v>0</v>
      </c>
      <c r="U53" s="140">
        <f t="shared" si="8"/>
        <v>0</v>
      </c>
      <c r="V53" s="140">
        <f t="shared" si="8"/>
        <v>0</v>
      </c>
      <c r="W53" s="140">
        <f t="shared" si="8"/>
        <v>0</v>
      </c>
      <c r="X53" s="140">
        <f t="shared" si="8"/>
        <v>0</v>
      </c>
      <c r="Y53" s="140">
        <f t="shared" si="8"/>
        <v>0</v>
      </c>
      <c r="Z53" s="140">
        <f t="shared" si="8"/>
        <v>0</v>
      </c>
      <c r="AA53" s="140">
        <f t="shared" si="8"/>
        <v>0</v>
      </c>
      <c r="AB53" s="146"/>
    </row>
    <row r="54" spans="1:28" x14ac:dyDescent="0.2">
      <c r="A54" s="136" t="s">
        <v>27</v>
      </c>
      <c r="B54" s="136" t="s">
        <v>191</v>
      </c>
      <c r="C54" s="136" t="s">
        <v>192</v>
      </c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6"/>
    </row>
    <row r="55" spans="1:28" x14ac:dyDescent="0.2">
      <c r="A55" s="136"/>
      <c r="B55" s="136" t="s">
        <v>75</v>
      </c>
      <c r="C55" s="136" t="s">
        <v>76</v>
      </c>
      <c r="D55" s="142"/>
      <c r="E55" s="126">
        <v>3679.72</v>
      </c>
      <c r="F55" s="142"/>
      <c r="G55" s="126">
        <v>18779.41</v>
      </c>
      <c r="H55" s="142"/>
      <c r="I55" s="126">
        <v>22766.5</v>
      </c>
      <c r="J55" s="142"/>
      <c r="K55" s="126">
        <v>30798.959999999999</v>
      </c>
      <c r="L55" s="142"/>
      <c r="M55" s="126">
        <v>41781.72</v>
      </c>
      <c r="N55" s="142"/>
      <c r="O55" s="126">
        <v>10321.33</v>
      </c>
      <c r="P55" s="142"/>
      <c r="Q55" s="126">
        <v>78317.460000000006</v>
      </c>
      <c r="R55" s="142">
        <v>0</v>
      </c>
      <c r="S55" s="126">
        <v>44763.15</v>
      </c>
      <c r="T55" s="142">
        <v>0</v>
      </c>
      <c r="U55" s="126">
        <v>25935.52</v>
      </c>
      <c r="V55" s="142">
        <v>0</v>
      </c>
      <c r="W55" s="126">
        <v>32437.530000000002</v>
      </c>
      <c r="X55" s="142">
        <v>0</v>
      </c>
      <c r="Y55" s="126">
        <v>33851.53</v>
      </c>
      <c r="Z55" s="142"/>
      <c r="AA55" s="126"/>
      <c r="AB55" s="146"/>
    </row>
    <row r="56" spans="1:28" s="106" customFormat="1" x14ac:dyDescent="0.2">
      <c r="A56" s="109" t="s">
        <v>145</v>
      </c>
      <c r="B56" s="109"/>
      <c r="C56" s="109"/>
      <c r="D56" s="140">
        <f>SUM(D54:D55)</f>
        <v>0</v>
      </c>
      <c r="E56" s="140">
        <f t="shared" ref="E56:AA56" si="9">SUM(E54:E55)</f>
        <v>3679.72</v>
      </c>
      <c r="F56" s="140">
        <f t="shared" si="9"/>
        <v>0</v>
      </c>
      <c r="G56" s="140">
        <f t="shared" si="9"/>
        <v>18779.41</v>
      </c>
      <c r="H56" s="140">
        <f t="shared" si="9"/>
        <v>0</v>
      </c>
      <c r="I56" s="140">
        <f t="shared" si="9"/>
        <v>22766.5</v>
      </c>
      <c r="J56" s="140">
        <f t="shared" si="9"/>
        <v>0</v>
      </c>
      <c r="K56" s="140">
        <f t="shared" si="9"/>
        <v>30798.959999999999</v>
      </c>
      <c r="L56" s="140">
        <f t="shared" si="9"/>
        <v>0</v>
      </c>
      <c r="M56" s="140">
        <f>SUM(M54:M55)</f>
        <v>41781.72</v>
      </c>
      <c r="N56" s="140">
        <f t="shared" si="9"/>
        <v>0</v>
      </c>
      <c r="O56" s="140">
        <f t="shared" si="9"/>
        <v>10321.33</v>
      </c>
      <c r="P56" s="140">
        <f t="shared" si="9"/>
        <v>0</v>
      </c>
      <c r="Q56" s="140">
        <f t="shared" si="9"/>
        <v>78317.460000000006</v>
      </c>
      <c r="R56" s="140">
        <f t="shared" si="9"/>
        <v>0</v>
      </c>
      <c r="S56" s="140">
        <f t="shared" si="9"/>
        <v>44763.15</v>
      </c>
      <c r="T56" s="140">
        <f t="shared" si="9"/>
        <v>0</v>
      </c>
      <c r="U56" s="140">
        <f t="shared" si="9"/>
        <v>25935.52</v>
      </c>
      <c r="V56" s="140">
        <f t="shared" si="9"/>
        <v>0</v>
      </c>
      <c r="W56" s="140">
        <f t="shared" si="9"/>
        <v>32437.530000000002</v>
      </c>
      <c r="X56" s="140">
        <f t="shared" si="9"/>
        <v>0</v>
      </c>
      <c r="Y56" s="140">
        <f t="shared" si="9"/>
        <v>33851.53</v>
      </c>
      <c r="Z56" s="140">
        <f t="shared" si="9"/>
        <v>0</v>
      </c>
      <c r="AA56" s="140">
        <f t="shared" si="9"/>
        <v>0</v>
      </c>
      <c r="AB56" s="146"/>
    </row>
    <row r="57" spans="1:28" x14ac:dyDescent="0.2">
      <c r="A57" s="136" t="s">
        <v>28</v>
      </c>
      <c r="B57" s="136" t="s">
        <v>29</v>
      </c>
      <c r="C57" s="136" t="s">
        <v>30</v>
      </c>
      <c r="D57" s="142">
        <v>16608.439999999999</v>
      </c>
      <c r="E57" s="126">
        <v>19148.52</v>
      </c>
      <c r="F57" s="142">
        <v>43490.33</v>
      </c>
      <c r="G57" s="126">
        <v>50078.169999999991</v>
      </c>
      <c r="H57" s="142">
        <v>66306.579999999987</v>
      </c>
      <c r="I57" s="126">
        <v>75145.2</v>
      </c>
      <c r="J57" s="142">
        <v>88602.8</v>
      </c>
      <c r="K57" s="126">
        <v>133840.45000000004</v>
      </c>
      <c r="L57" s="142">
        <v>116967.51999999999</v>
      </c>
      <c r="M57" s="126">
        <v>157174.96</v>
      </c>
      <c r="N57" s="142">
        <v>176264.81999999998</v>
      </c>
      <c r="O57" s="126">
        <v>185212.39</v>
      </c>
      <c r="P57" s="142">
        <v>255059.05000000002</v>
      </c>
      <c r="Q57" s="126">
        <v>213566.71000000002</v>
      </c>
      <c r="R57" s="142">
        <v>327141.85000000003</v>
      </c>
      <c r="S57" s="126">
        <v>302387.8</v>
      </c>
      <c r="T57" s="142">
        <v>409227.4</v>
      </c>
      <c r="U57" s="126">
        <v>838179.82000000007</v>
      </c>
      <c r="V57" s="142">
        <v>481278.43</v>
      </c>
      <c r="W57" s="126">
        <v>917278.69</v>
      </c>
      <c r="X57" s="142">
        <v>547711.79</v>
      </c>
      <c r="Y57" s="126">
        <v>944137.98</v>
      </c>
      <c r="Z57" s="142">
        <v>583673.88</v>
      </c>
      <c r="AA57" s="126"/>
      <c r="AB57" s="146"/>
    </row>
    <row r="58" spans="1:28" s="106" customFormat="1" x14ac:dyDescent="0.2">
      <c r="A58" s="109" t="s">
        <v>146</v>
      </c>
      <c r="B58" s="109"/>
      <c r="C58" s="109"/>
      <c r="D58" s="140">
        <f>SUM(D57)</f>
        <v>16608.439999999999</v>
      </c>
      <c r="E58" s="140">
        <f t="shared" ref="E58:AA58" si="10">SUM(E57)</f>
        <v>19148.52</v>
      </c>
      <c r="F58" s="140">
        <f t="shared" si="10"/>
        <v>43490.33</v>
      </c>
      <c r="G58" s="140">
        <f t="shared" si="10"/>
        <v>50078.169999999991</v>
      </c>
      <c r="H58" s="140">
        <f t="shared" si="10"/>
        <v>66306.579999999987</v>
      </c>
      <c r="I58" s="140">
        <f t="shared" si="10"/>
        <v>75145.2</v>
      </c>
      <c r="J58" s="140">
        <f t="shared" si="10"/>
        <v>88602.8</v>
      </c>
      <c r="K58" s="140">
        <f t="shared" si="10"/>
        <v>133840.45000000004</v>
      </c>
      <c r="L58" s="140">
        <f t="shared" si="10"/>
        <v>116967.51999999999</v>
      </c>
      <c r="M58" s="140">
        <f>SUM(M57)</f>
        <v>157174.96</v>
      </c>
      <c r="N58" s="140">
        <f>SUM(N57)</f>
        <v>176264.81999999998</v>
      </c>
      <c r="O58" s="140">
        <f>SUM(O57)</f>
        <v>185212.39</v>
      </c>
      <c r="P58" s="140">
        <f t="shared" si="10"/>
        <v>255059.05000000002</v>
      </c>
      <c r="Q58" s="140">
        <f t="shared" si="10"/>
        <v>213566.71000000002</v>
      </c>
      <c r="R58" s="140">
        <f t="shared" si="10"/>
        <v>327141.85000000003</v>
      </c>
      <c r="S58" s="140">
        <f t="shared" si="10"/>
        <v>302387.8</v>
      </c>
      <c r="T58" s="140">
        <f t="shared" si="10"/>
        <v>409227.4</v>
      </c>
      <c r="U58" s="140">
        <f t="shared" si="10"/>
        <v>838179.82000000007</v>
      </c>
      <c r="V58" s="140">
        <f t="shared" si="10"/>
        <v>481278.43</v>
      </c>
      <c r="W58" s="140">
        <f t="shared" si="10"/>
        <v>917278.69</v>
      </c>
      <c r="X58" s="140">
        <f t="shared" si="10"/>
        <v>547711.79</v>
      </c>
      <c r="Y58" s="140">
        <f t="shared" si="10"/>
        <v>944137.98</v>
      </c>
      <c r="Z58" s="140">
        <f t="shared" si="10"/>
        <v>583673.88</v>
      </c>
      <c r="AA58" s="140">
        <f t="shared" si="10"/>
        <v>0</v>
      </c>
      <c r="AB58" s="146"/>
    </row>
    <row r="59" spans="1:28" x14ac:dyDescent="0.2">
      <c r="A59" s="136" t="s">
        <v>133</v>
      </c>
      <c r="B59" s="136" t="s">
        <v>189</v>
      </c>
      <c r="C59" s="136" t="s">
        <v>190</v>
      </c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6"/>
    </row>
    <row r="60" spans="1:28" x14ac:dyDescent="0.2">
      <c r="A60" s="136"/>
      <c r="B60" s="136" t="s">
        <v>227</v>
      </c>
      <c r="C60" s="136" t="s">
        <v>228</v>
      </c>
      <c r="D60" s="142"/>
      <c r="E60" s="142">
        <v>0</v>
      </c>
      <c r="F60" s="142"/>
      <c r="G60" s="142">
        <v>0</v>
      </c>
      <c r="H60" s="142"/>
      <c r="I60" s="142">
        <v>0</v>
      </c>
      <c r="J60" s="142"/>
      <c r="K60" s="142">
        <v>0</v>
      </c>
      <c r="L60" s="142"/>
      <c r="M60" s="142">
        <v>-198.85</v>
      </c>
      <c r="N60" s="142"/>
      <c r="O60" s="142">
        <v>-198.85</v>
      </c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6"/>
    </row>
    <row r="61" spans="1:28" x14ac:dyDescent="0.2">
      <c r="A61" s="136"/>
      <c r="B61" s="136" t="s">
        <v>193</v>
      </c>
      <c r="C61" s="136" t="s">
        <v>194</v>
      </c>
      <c r="D61" s="142"/>
      <c r="E61" s="126">
        <v>20977.14</v>
      </c>
      <c r="F61" s="142"/>
      <c r="G61" s="126">
        <v>24591.7</v>
      </c>
      <c r="H61" s="142"/>
      <c r="I61" s="126">
        <v>27047.72</v>
      </c>
      <c r="J61" s="142"/>
      <c r="K61" s="126">
        <v>67650.7</v>
      </c>
      <c r="L61" s="142"/>
      <c r="M61" s="126">
        <v>82028.070000000007</v>
      </c>
      <c r="N61" s="142"/>
      <c r="O61" s="126">
        <v>82028.069999999992</v>
      </c>
      <c r="P61" s="142"/>
      <c r="Q61" s="126">
        <v>164012.24000000002</v>
      </c>
      <c r="R61" s="142">
        <v>0</v>
      </c>
      <c r="S61" s="126">
        <v>246439.50999999998</v>
      </c>
      <c r="T61" s="142">
        <v>0</v>
      </c>
      <c r="U61" s="126">
        <v>248747.15</v>
      </c>
      <c r="V61" s="142">
        <v>0</v>
      </c>
      <c r="W61" s="126">
        <v>279294.58</v>
      </c>
      <c r="X61" s="142">
        <v>0</v>
      </c>
      <c r="Y61" s="126">
        <v>279294.58</v>
      </c>
      <c r="Z61" s="142"/>
      <c r="AA61" s="126"/>
      <c r="AB61" s="146"/>
    </row>
    <row r="62" spans="1:28" x14ac:dyDescent="0.2">
      <c r="A62" s="136"/>
      <c r="B62" s="136" t="s">
        <v>175</v>
      </c>
      <c r="C62" s="136" t="s">
        <v>176</v>
      </c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6"/>
    </row>
    <row r="63" spans="1:28" x14ac:dyDescent="0.2">
      <c r="A63" s="136"/>
      <c r="B63" s="136" t="s">
        <v>177</v>
      </c>
      <c r="C63" s="136" t="s">
        <v>178</v>
      </c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6"/>
    </row>
    <row r="64" spans="1:28" x14ac:dyDescent="0.2">
      <c r="A64" s="136"/>
      <c r="B64" s="136" t="s">
        <v>134</v>
      </c>
      <c r="C64" s="136" t="s">
        <v>135</v>
      </c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6"/>
    </row>
    <row r="65" spans="1:28" x14ac:dyDescent="0.2">
      <c r="A65" s="136"/>
      <c r="B65" s="136" t="s">
        <v>136</v>
      </c>
      <c r="C65" s="136" t="s">
        <v>137</v>
      </c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6"/>
    </row>
    <row r="66" spans="1:28" x14ac:dyDescent="0.2">
      <c r="A66" s="136"/>
      <c r="B66" s="136" t="s">
        <v>179</v>
      </c>
      <c r="C66" s="136" t="s">
        <v>180</v>
      </c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6"/>
    </row>
    <row r="67" spans="1:28" x14ac:dyDescent="0.2">
      <c r="A67" s="136"/>
      <c r="B67" s="136" t="s">
        <v>181</v>
      </c>
      <c r="C67" s="136" t="s">
        <v>182</v>
      </c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6"/>
    </row>
    <row r="68" spans="1:28" x14ac:dyDescent="0.2">
      <c r="A68" s="136"/>
      <c r="B68" s="136" t="s">
        <v>183</v>
      </c>
      <c r="C68" s="136" t="s">
        <v>184</v>
      </c>
      <c r="D68" s="142">
        <v>0</v>
      </c>
      <c r="E68" s="142"/>
      <c r="F68" s="142">
        <v>0</v>
      </c>
      <c r="G68" s="142"/>
      <c r="H68" s="142">
        <v>0</v>
      </c>
      <c r="I68" s="142"/>
      <c r="J68" s="142"/>
      <c r="K68" s="142"/>
      <c r="L68" s="142"/>
      <c r="M68" s="142"/>
      <c r="N68" s="142"/>
      <c r="O68" s="142"/>
      <c r="P68" s="142"/>
      <c r="Q68" s="142"/>
      <c r="R68" s="142">
        <v>0</v>
      </c>
      <c r="S68" s="142"/>
      <c r="T68" s="142">
        <v>6199.2</v>
      </c>
      <c r="U68" s="142"/>
      <c r="V68" s="142">
        <v>6199.2</v>
      </c>
      <c r="W68" s="142"/>
      <c r="X68" s="142">
        <v>6199.2</v>
      </c>
      <c r="Y68" s="142"/>
      <c r="Z68" s="142">
        <v>6199.2</v>
      </c>
      <c r="AA68" s="142"/>
      <c r="AB68" s="146"/>
    </row>
    <row r="69" spans="1:28" s="106" customFormat="1" x14ac:dyDescent="0.2">
      <c r="A69" s="109" t="s">
        <v>147</v>
      </c>
      <c r="B69" s="109"/>
      <c r="C69" s="109"/>
      <c r="D69" s="140">
        <f t="shared" ref="D69:AA69" si="11">SUM(D59:D68)</f>
        <v>0</v>
      </c>
      <c r="E69" s="140">
        <f t="shared" si="11"/>
        <v>20977.14</v>
      </c>
      <c r="F69" s="140">
        <f t="shared" si="11"/>
        <v>0</v>
      </c>
      <c r="G69" s="140">
        <f t="shared" si="11"/>
        <v>24591.7</v>
      </c>
      <c r="H69" s="140">
        <f t="shared" si="11"/>
        <v>0</v>
      </c>
      <c r="I69" s="140">
        <f t="shared" si="11"/>
        <v>27047.72</v>
      </c>
      <c r="J69" s="140">
        <f t="shared" si="11"/>
        <v>0</v>
      </c>
      <c r="K69" s="140">
        <f t="shared" si="11"/>
        <v>67650.7</v>
      </c>
      <c r="L69" s="140">
        <f t="shared" si="11"/>
        <v>0</v>
      </c>
      <c r="M69" s="140">
        <f t="shared" si="11"/>
        <v>81829.22</v>
      </c>
      <c r="N69" s="140">
        <f t="shared" si="11"/>
        <v>0</v>
      </c>
      <c r="O69" s="140">
        <f t="shared" si="11"/>
        <v>81829.219999999987</v>
      </c>
      <c r="P69" s="140">
        <f t="shared" si="11"/>
        <v>0</v>
      </c>
      <c r="Q69" s="140">
        <f t="shared" si="11"/>
        <v>164012.24000000002</v>
      </c>
      <c r="R69" s="140">
        <f t="shared" si="11"/>
        <v>0</v>
      </c>
      <c r="S69" s="140">
        <f t="shared" si="11"/>
        <v>246439.50999999998</v>
      </c>
      <c r="T69" s="140">
        <f t="shared" si="11"/>
        <v>6199.2</v>
      </c>
      <c r="U69" s="140">
        <f t="shared" si="11"/>
        <v>248747.15</v>
      </c>
      <c r="V69" s="140">
        <f t="shared" si="11"/>
        <v>6199.2</v>
      </c>
      <c r="W69" s="140">
        <f t="shared" si="11"/>
        <v>279294.58</v>
      </c>
      <c r="X69" s="140">
        <f t="shared" si="11"/>
        <v>6199.2</v>
      </c>
      <c r="Y69" s="140">
        <f t="shared" si="11"/>
        <v>279294.58</v>
      </c>
      <c r="Z69" s="140">
        <f t="shared" si="11"/>
        <v>6199.2</v>
      </c>
      <c r="AA69" s="140">
        <f t="shared" si="11"/>
        <v>0</v>
      </c>
      <c r="AB69" s="146"/>
    </row>
    <row r="70" spans="1:28" x14ac:dyDescent="0.2">
      <c r="A70" s="136" t="s">
        <v>31</v>
      </c>
      <c r="B70" s="136" t="s">
        <v>32</v>
      </c>
      <c r="C70" s="136" t="s">
        <v>33</v>
      </c>
      <c r="D70" s="142">
        <v>0</v>
      </c>
      <c r="E70" s="126">
        <v>30.03</v>
      </c>
      <c r="F70" s="142">
        <v>0</v>
      </c>
      <c r="G70" s="126">
        <v>827.73</v>
      </c>
      <c r="H70" s="142">
        <v>0</v>
      </c>
      <c r="I70" s="126">
        <v>1451.26</v>
      </c>
      <c r="J70" s="142">
        <v>0</v>
      </c>
      <c r="K70" s="126">
        <v>2800.47</v>
      </c>
      <c r="L70" s="142">
        <v>0</v>
      </c>
      <c r="M70" s="126">
        <v>2822.43</v>
      </c>
      <c r="N70" s="142">
        <v>0</v>
      </c>
      <c r="O70" s="126">
        <v>2982.8799999999997</v>
      </c>
      <c r="P70" s="142">
        <v>0</v>
      </c>
      <c r="Q70" s="126">
        <v>3672.15</v>
      </c>
      <c r="R70" s="142">
        <v>0</v>
      </c>
      <c r="S70" s="126">
        <v>3843.6600000000008</v>
      </c>
      <c r="T70" s="142">
        <v>0</v>
      </c>
      <c r="U70" s="126">
        <v>22250.39</v>
      </c>
      <c r="V70" s="142">
        <v>0</v>
      </c>
      <c r="W70" s="126">
        <v>23924.890000000003</v>
      </c>
      <c r="X70" s="142">
        <v>0</v>
      </c>
      <c r="Y70" s="126">
        <v>24100.600000000002</v>
      </c>
      <c r="Z70" s="142"/>
      <c r="AA70" s="126"/>
      <c r="AB70" s="146"/>
    </row>
    <row r="71" spans="1:28" x14ac:dyDescent="0.2">
      <c r="A71" s="136"/>
      <c r="B71" s="136" t="s">
        <v>34</v>
      </c>
      <c r="C71" s="136" t="s">
        <v>35</v>
      </c>
      <c r="D71" s="142">
        <v>7607.0499999999993</v>
      </c>
      <c r="E71" s="126">
        <v>7457.08</v>
      </c>
      <c r="F71" s="142">
        <v>16184.1</v>
      </c>
      <c r="G71" s="126">
        <v>13513.89</v>
      </c>
      <c r="H71" s="142">
        <v>30378.730000000003</v>
      </c>
      <c r="I71" s="126">
        <v>25305.62</v>
      </c>
      <c r="J71" s="142">
        <v>42628.21</v>
      </c>
      <c r="K71" s="126">
        <v>40587.949999999997</v>
      </c>
      <c r="L71" s="142">
        <v>55442.650000000009</v>
      </c>
      <c r="M71" s="126">
        <v>59854</v>
      </c>
      <c r="N71" s="142">
        <v>70840.430000000008</v>
      </c>
      <c r="O71" s="126">
        <v>73165.01999999999</v>
      </c>
      <c r="P71" s="142">
        <v>85896.89</v>
      </c>
      <c r="Q71" s="126">
        <v>94642.049999999988</v>
      </c>
      <c r="R71" s="142">
        <v>97217.38</v>
      </c>
      <c r="S71" s="126">
        <v>112764.71999999999</v>
      </c>
      <c r="T71" s="142">
        <v>109123.88999999998</v>
      </c>
      <c r="U71" s="126">
        <v>384704.56000000006</v>
      </c>
      <c r="V71" s="142">
        <v>120397.40999999999</v>
      </c>
      <c r="W71" s="126">
        <v>428401.16000000003</v>
      </c>
      <c r="X71" s="142">
        <v>131641.08000000002</v>
      </c>
      <c r="Y71" s="126">
        <v>442858.83999999997</v>
      </c>
      <c r="Z71" s="142">
        <v>142879.6</v>
      </c>
      <c r="AA71" s="126"/>
      <c r="AB71" s="146"/>
    </row>
    <row r="72" spans="1:28" x14ac:dyDescent="0.2">
      <c r="A72" s="136"/>
      <c r="B72" s="136" t="s">
        <v>36</v>
      </c>
      <c r="C72" s="136" t="s">
        <v>37</v>
      </c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6"/>
    </row>
    <row r="73" spans="1:28" x14ac:dyDescent="0.2">
      <c r="A73" s="136"/>
      <c r="B73" s="136" t="s">
        <v>38</v>
      </c>
      <c r="C73" s="136" t="s">
        <v>39</v>
      </c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6"/>
    </row>
    <row r="74" spans="1:28" x14ac:dyDescent="0.2">
      <c r="A74" s="136"/>
      <c r="B74" s="136" t="s">
        <v>224</v>
      </c>
      <c r="C74" s="136" t="s">
        <v>225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505</v>
      </c>
      <c r="M74" s="142">
        <v>4125.09</v>
      </c>
      <c r="N74" s="142">
        <v>20407.5</v>
      </c>
      <c r="O74" s="142">
        <v>4389.42</v>
      </c>
      <c r="P74" s="142">
        <v>38015</v>
      </c>
      <c r="Q74" s="142">
        <v>8766.3799999999992</v>
      </c>
      <c r="R74" s="142">
        <v>38015</v>
      </c>
      <c r="S74" s="142">
        <v>16237.460000000001</v>
      </c>
      <c r="T74" s="142">
        <v>39015</v>
      </c>
      <c r="U74" s="142">
        <v>36710.730000000003</v>
      </c>
      <c r="V74" s="142">
        <v>41015</v>
      </c>
      <c r="W74" s="142">
        <v>39905.590000000004</v>
      </c>
      <c r="X74" s="142">
        <v>47815</v>
      </c>
      <c r="Y74" s="142">
        <v>53105.590000000004</v>
      </c>
      <c r="Z74" s="142">
        <v>51823.03</v>
      </c>
      <c r="AA74" s="142"/>
      <c r="AB74" s="146"/>
    </row>
    <row r="75" spans="1:28" s="106" customFormat="1" x14ac:dyDescent="0.2">
      <c r="A75" s="109" t="s">
        <v>3</v>
      </c>
      <c r="B75" s="109"/>
      <c r="C75" s="109"/>
      <c r="D75" s="140">
        <f>SUM(D70:D74)</f>
        <v>7607.0499999999993</v>
      </c>
      <c r="E75" s="140">
        <f t="shared" ref="E75:AA75" si="12">SUM(E70:E74)</f>
        <v>7487.11</v>
      </c>
      <c r="F75" s="140">
        <f t="shared" si="12"/>
        <v>16184.1</v>
      </c>
      <c r="G75" s="140">
        <f t="shared" si="12"/>
        <v>14341.619999999999</v>
      </c>
      <c r="H75" s="140">
        <f t="shared" si="12"/>
        <v>30378.730000000003</v>
      </c>
      <c r="I75" s="140">
        <f t="shared" si="12"/>
        <v>26756.879999999997</v>
      </c>
      <c r="J75" s="140">
        <f t="shared" si="12"/>
        <v>42628.21</v>
      </c>
      <c r="K75" s="140">
        <f t="shared" si="12"/>
        <v>43388.42</v>
      </c>
      <c r="L75" s="140">
        <f t="shared" si="12"/>
        <v>55947.650000000009</v>
      </c>
      <c r="M75" s="140">
        <f>SUM(M70:M74)</f>
        <v>66801.52</v>
      </c>
      <c r="N75" s="140">
        <f t="shared" si="12"/>
        <v>91247.930000000008</v>
      </c>
      <c r="O75" s="140">
        <f t="shared" si="12"/>
        <v>80537.319999999992</v>
      </c>
      <c r="P75" s="140">
        <f t="shared" si="12"/>
        <v>123911.89</v>
      </c>
      <c r="Q75" s="140">
        <f t="shared" si="12"/>
        <v>107080.57999999999</v>
      </c>
      <c r="R75" s="140">
        <f t="shared" si="12"/>
        <v>135232.38</v>
      </c>
      <c r="S75" s="140">
        <f t="shared" si="12"/>
        <v>132845.84</v>
      </c>
      <c r="T75" s="140">
        <f t="shared" si="12"/>
        <v>148138.88999999998</v>
      </c>
      <c r="U75" s="140">
        <f t="shared" si="12"/>
        <v>443665.68000000005</v>
      </c>
      <c r="V75" s="140">
        <f t="shared" si="12"/>
        <v>161412.40999999997</v>
      </c>
      <c r="W75" s="140">
        <f t="shared" si="12"/>
        <v>492231.64000000007</v>
      </c>
      <c r="X75" s="140">
        <f t="shared" si="12"/>
        <v>179456.08000000002</v>
      </c>
      <c r="Y75" s="140">
        <f t="shared" si="12"/>
        <v>520065.02999999997</v>
      </c>
      <c r="Z75" s="140">
        <f t="shared" si="12"/>
        <v>194702.63</v>
      </c>
      <c r="AA75" s="140">
        <f t="shared" si="12"/>
        <v>0</v>
      </c>
      <c r="AB75" s="146"/>
    </row>
    <row r="76" spans="1:28" x14ac:dyDescent="0.2">
      <c r="A76" s="136" t="s">
        <v>40</v>
      </c>
      <c r="B76" s="136" t="s">
        <v>41</v>
      </c>
      <c r="C76" s="136" t="s">
        <v>42</v>
      </c>
      <c r="D76" s="142">
        <v>41144.75</v>
      </c>
      <c r="E76" s="126">
        <v>186553.61000000002</v>
      </c>
      <c r="F76" s="142">
        <v>93493.86</v>
      </c>
      <c r="G76" s="126">
        <v>383510</v>
      </c>
      <c r="H76" s="142">
        <v>163360.28</v>
      </c>
      <c r="I76" s="126">
        <v>415304.19999999995</v>
      </c>
      <c r="J76" s="142">
        <v>227895.14</v>
      </c>
      <c r="K76" s="126">
        <v>890590.65999999992</v>
      </c>
      <c r="L76" s="142">
        <v>289484.21000000002</v>
      </c>
      <c r="M76" s="126">
        <v>1057230.7900000003</v>
      </c>
      <c r="N76" s="142">
        <v>335130.45</v>
      </c>
      <c r="O76" s="126">
        <v>1524514.84</v>
      </c>
      <c r="P76" s="142">
        <v>376654.98</v>
      </c>
      <c r="Q76" s="126">
        <v>2039888.4999999995</v>
      </c>
      <c r="R76" s="142">
        <v>416079.93</v>
      </c>
      <c r="S76" s="126">
        <v>2563051.1800000002</v>
      </c>
      <c r="T76" s="142">
        <v>460114.8</v>
      </c>
      <c r="U76" s="126">
        <v>2954885.1399999997</v>
      </c>
      <c r="V76" s="142">
        <v>503562.03</v>
      </c>
      <c r="W76" s="126">
        <v>3581308.1399999997</v>
      </c>
      <c r="X76" s="142">
        <v>537610.11</v>
      </c>
      <c r="Y76" s="126">
        <v>3655392.48</v>
      </c>
      <c r="Z76" s="142">
        <v>570329.57999999996</v>
      </c>
      <c r="AA76" s="126"/>
      <c r="AB76" s="146"/>
    </row>
    <row r="77" spans="1:28" x14ac:dyDescent="0.2">
      <c r="A77" s="136"/>
      <c r="B77" s="136" t="s">
        <v>67</v>
      </c>
      <c r="C77" s="136" t="s">
        <v>68</v>
      </c>
      <c r="D77" s="142">
        <v>152818.37</v>
      </c>
      <c r="E77" s="126">
        <v>155817.13999999998</v>
      </c>
      <c r="F77" s="142">
        <v>367469.83</v>
      </c>
      <c r="G77" s="126">
        <v>498278.71</v>
      </c>
      <c r="H77" s="142">
        <v>481767.67999999999</v>
      </c>
      <c r="I77" s="126">
        <v>633167.93000000005</v>
      </c>
      <c r="J77" s="142">
        <v>594991.03</v>
      </c>
      <c r="K77" s="126">
        <v>783490.73999999976</v>
      </c>
      <c r="L77" s="142">
        <v>711049.87</v>
      </c>
      <c r="M77" s="126">
        <v>824042.76</v>
      </c>
      <c r="N77" s="142">
        <v>824460.27</v>
      </c>
      <c r="O77" s="126">
        <v>1162496.69</v>
      </c>
      <c r="P77" s="142">
        <v>924513.43</v>
      </c>
      <c r="Q77" s="126">
        <v>1692914.6500000001</v>
      </c>
      <c r="R77" s="142">
        <v>1024894.37</v>
      </c>
      <c r="S77" s="126">
        <v>2234132.5400000005</v>
      </c>
      <c r="T77" s="142">
        <v>1123509.3999999999</v>
      </c>
      <c r="U77" s="126">
        <v>4455660.919999999</v>
      </c>
      <c r="V77" s="142">
        <v>1284282.01</v>
      </c>
      <c r="W77" s="126">
        <v>5232566.2000000011</v>
      </c>
      <c r="X77" s="142">
        <v>1363604.16</v>
      </c>
      <c r="Y77" s="126">
        <v>5299529.03</v>
      </c>
      <c r="Z77" s="142">
        <v>1485871.01</v>
      </c>
      <c r="AA77" s="126"/>
      <c r="AB77" s="146"/>
    </row>
    <row r="78" spans="1:28" x14ac:dyDescent="0.2">
      <c r="A78" s="136"/>
      <c r="B78" s="136" t="s">
        <v>77</v>
      </c>
      <c r="C78" s="136" t="s">
        <v>78</v>
      </c>
      <c r="D78" s="142">
        <v>108217.4</v>
      </c>
      <c r="E78" s="126">
        <v>128819.4</v>
      </c>
      <c r="F78" s="142">
        <v>217327.13</v>
      </c>
      <c r="G78" s="126">
        <v>314325.78999999998</v>
      </c>
      <c r="H78" s="142">
        <v>382064.97</v>
      </c>
      <c r="I78" s="126">
        <v>493799.29</v>
      </c>
      <c r="J78" s="142">
        <v>509108.56</v>
      </c>
      <c r="K78" s="126">
        <v>708789.19999999984</v>
      </c>
      <c r="L78" s="142">
        <v>614646.38</v>
      </c>
      <c r="M78" s="126">
        <v>974701.85</v>
      </c>
      <c r="N78" s="142">
        <v>691222.59</v>
      </c>
      <c r="O78" s="126">
        <v>1466107.9499999997</v>
      </c>
      <c r="P78" s="142">
        <v>791015.56</v>
      </c>
      <c r="Q78" s="126">
        <v>1857501.2699999993</v>
      </c>
      <c r="R78" s="142">
        <v>888088.94</v>
      </c>
      <c r="S78" s="126">
        <v>2757824.2</v>
      </c>
      <c r="T78" s="142">
        <v>969974.55</v>
      </c>
      <c r="U78" s="126">
        <v>5718785.5700000003</v>
      </c>
      <c r="V78" s="142">
        <v>1040009.81</v>
      </c>
      <c r="W78" s="126">
        <v>6530846.7300000004</v>
      </c>
      <c r="X78" s="142">
        <v>1107142.19</v>
      </c>
      <c r="Y78" s="126">
        <v>7170831.6000000006</v>
      </c>
      <c r="Z78" s="142">
        <v>1169513.57</v>
      </c>
      <c r="AA78" s="126"/>
      <c r="AB78" s="146"/>
    </row>
    <row r="79" spans="1:28" s="106" customFormat="1" x14ac:dyDescent="0.2">
      <c r="A79" s="109" t="s">
        <v>4</v>
      </c>
      <c r="B79" s="109"/>
      <c r="C79" s="109"/>
      <c r="D79" s="140">
        <f>SUM(D76:D78)</f>
        <v>302180.52</v>
      </c>
      <c r="E79" s="140">
        <f t="shared" ref="E79:AA79" si="13">SUM(E76:E78)</f>
        <v>471190.15</v>
      </c>
      <c r="F79" s="140">
        <f t="shared" si="13"/>
        <v>678290.82000000007</v>
      </c>
      <c r="G79" s="140">
        <f>SUM(G76:G78)</f>
        <v>1196114.5</v>
      </c>
      <c r="H79" s="140">
        <f t="shared" si="13"/>
        <v>1027192.9299999999</v>
      </c>
      <c r="I79" s="140">
        <f>SUM(I76:I78)</f>
        <v>1542271.42</v>
      </c>
      <c r="J79" s="140">
        <f t="shared" si="13"/>
        <v>1331994.73</v>
      </c>
      <c r="K79" s="140">
        <f>SUM(K76:K78)</f>
        <v>2382870.5999999996</v>
      </c>
      <c r="L79" s="140">
        <f t="shared" si="13"/>
        <v>1615180.46</v>
      </c>
      <c r="M79" s="140">
        <f>SUM(M76:M78)</f>
        <v>2855975.4000000004</v>
      </c>
      <c r="N79" s="140">
        <f t="shared" si="13"/>
        <v>1850813.31</v>
      </c>
      <c r="O79" s="140">
        <f t="shared" si="13"/>
        <v>4153119.48</v>
      </c>
      <c r="P79" s="140">
        <f t="shared" si="13"/>
        <v>2092183.9700000002</v>
      </c>
      <c r="Q79" s="140">
        <f t="shared" si="13"/>
        <v>5590304.419999999</v>
      </c>
      <c r="R79" s="140">
        <f t="shared" si="13"/>
        <v>2329063.2400000002</v>
      </c>
      <c r="S79" s="140">
        <f t="shared" si="13"/>
        <v>7555007.9200000009</v>
      </c>
      <c r="T79" s="140">
        <f t="shared" si="13"/>
        <v>2553598.75</v>
      </c>
      <c r="U79" s="140">
        <f t="shared" si="13"/>
        <v>13129331.629999999</v>
      </c>
      <c r="V79" s="140">
        <f t="shared" si="13"/>
        <v>2827853.85</v>
      </c>
      <c r="W79" s="140">
        <f t="shared" si="13"/>
        <v>15344721.07</v>
      </c>
      <c r="X79" s="140">
        <f t="shared" si="13"/>
        <v>3008356.46</v>
      </c>
      <c r="Y79" s="140">
        <f t="shared" si="13"/>
        <v>16125753.109999999</v>
      </c>
      <c r="Z79" s="140">
        <f t="shared" si="13"/>
        <v>3225714.16</v>
      </c>
      <c r="AA79" s="140">
        <f t="shared" si="13"/>
        <v>0</v>
      </c>
      <c r="AB79" s="146"/>
    </row>
    <row r="80" spans="1:28" s="108" customFormat="1" x14ac:dyDescent="0.2">
      <c r="A80" s="125" t="s">
        <v>79</v>
      </c>
      <c r="B80" s="125"/>
      <c r="C80" s="125"/>
      <c r="D80" s="141">
        <f t="shared" ref="D80:AA80" si="14">SUM(D79,D75,D69,D58,D56,D53,D50,D47,D35,D32,D27,D25,D23,D9)</f>
        <v>384987.98</v>
      </c>
      <c r="E80" s="141">
        <f t="shared" si="14"/>
        <v>783247</v>
      </c>
      <c r="F80" s="141">
        <f t="shared" si="14"/>
        <v>882719.41999999993</v>
      </c>
      <c r="G80" s="141">
        <f t="shared" si="14"/>
        <v>1774466.19</v>
      </c>
      <c r="H80" s="141">
        <f t="shared" si="14"/>
        <v>1441565.26</v>
      </c>
      <c r="I80" s="141">
        <f t="shared" si="14"/>
        <v>2070738.2699999998</v>
      </c>
      <c r="J80" s="141">
        <f t="shared" si="14"/>
        <v>2028637.49</v>
      </c>
      <c r="K80" s="141">
        <f t="shared" si="14"/>
        <v>3475022.2299999995</v>
      </c>
      <c r="L80" s="141">
        <f t="shared" si="14"/>
        <v>2577255.69</v>
      </c>
      <c r="M80" s="141">
        <f t="shared" si="14"/>
        <v>4328647.2400000012</v>
      </c>
      <c r="N80" s="141">
        <f t="shared" si="14"/>
        <v>3169150.1</v>
      </c>
      <c r="O80" s="141">
        <f t="shared" si="14"/>
        <v>5779656.4799999995</v>
      </c>
      <c r="P80" s="141">
        <f t="shared" si="14"/>
        <v>3825291.3200000003</v>
      </c>
      <c r="Q80" s="141">
        <f t="shared" si="14"/>
        <v>7638817.3600000003</v>
      </c>
      <c r="R80" s="141">
        <f t="shared" si="14"/>
        <v>4600130.0000000009</v>
      </c>
      <c r="S80" s="141">
        <f t="shared" si="14"/>
        <v>10361828.24</v>
      </c>
      <c r="T80" s="141">
        <f t="shared" si="14"/>
        <v>5476265.6200000001</v>
      </c>
      <c r="U80" s="141">
        <f t="shared" si="14"/>
        <v>20176947.059999995</v>
      </c>
      <c r="V80" s="141">
        <f t="shared" si="14"/>
        <v>6509486.4400000013</v>
      </c>
      <c r="W80" s="141">
        <f t="shared" si="14"/>
        <v>18033893.210000001</v>
      </c>
      <c r="X80" s="141">
        <f t="shared" si="14"/>
        <v>7505677.5599999996</v>
      </c>
      <c r="Y80" s="141">
        <f t="shared" si="14"/>
        <v>19045375.050000001</v>
      </c>
      <c r="Z80" s="141">
        <f t="shared" si="14"/>
        <v>8459306.709999999</v>
      </c>
      <c r="AA80" s="141">
        <f t="shared" si="14"/>
        <v>0</v>
      </c>
    </row>
    <row r="81" spans="1:27" s="230" customFormat="1" x14ac:dyDescent="0.2">
      <c r="A81" s="27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 t="e">
        <f>+#REF!-X80</f>
        <v>#REF!</v>
      </c>
      <c r="Y81" s="236" t="e">
        <f>+#REF!-Y80</f>
        <v>#REF!</v>
      </c>
      <c r="Z81" s="236">
        <f>Z80/1000/6.3</f>
        <v>1342.7470968253967</v>
      </c>
      <c r="AA81" s="230">
        <f>AA80/1000/6.3</f>
        <v>0</v>
      </c>
    </row>
    <row r="82" spans="1:27" s="230" customFormat="1" x14ac:dyDescent="0.2">
      <c r="S82" s="232"/>
    </row>
    <row r="83" spans="1:27" x14ac:dyDescent="0.2">
      <c r="S83" s="233"/>
    </row>
  </sheetData>
  <mergeCells count="13">
    <mergeCell ref="X4:Y4"/>
    <mergeCell ref="Z4:AA4"/>
    <mergeCell ref="R4:S4"/>
    <mergeCell ref="J4:K4"/>
    <mergeCell ref="L4:M4"/>
    <mergeCell ref="N4:O4"/>
    <mergeCell ref="P4:Q4"/>
    <mergeCell ref="T4:U4"/>
    <mergeCell ref="V4:W4"/>
    <mergeCell ref="A2:C2"/>
    <mergeCell ref="D4:E4"/>
    <mergeCell ref="F4:G4"/>
    <mergeCell ref="H4:I4"/>
  </mergeCells>
  <phoneticPr fontId="1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AA77"/>
  <sheetViews>
    <sheetView showGridLines="0" topLeftCell="B1" workbookViewId="0">
      <selection activeCell="D10" sqref="D10"/>
    </sheetView>
  </sheetViews>
  <sheetFormatPr baseColWidth="10" defaultRowHeight="12.75" x14ac:dyDescent="0.2"/>
  <cols>
    <col min="1" max="1" width="31.5703125" style="90" hidden="1" customWidth="1"/>
    <col min="2" max="2" width="17" style="90" bestFit="1" customWidth="1"/>
    <col min="3" max="3" width="50.7109375" style="90" customWidth="1"/>
    <col min="4" max="4" width="6.7109375" style="90" customWidth="1"/>
    <col min="5" max="7" width="7.7109375" style="90" bestFit="1" customWidth="1"/>
    <col min="8" max="21" width="7.7109375" style="90" customWidth="1"/>
    <col min="22" max="22" width="9.28515625" style="90" bestFit="1" customWidth="1"/>
    <col min="23" max="23" width="8.28515625" style="90" customWidth="1"/>
    <col min="24" max="24" width="9.28515625" style="90" bestFit="1" customWidth="1"/>
    <col min="25" max="25" width="14.140625" style="90" customWidth="1"/>
    <col min="26" max="26" width="9.28515625" style="90" bestFit="1" customWidth="1"/>
    <col min="27" max="27" width="14.140625" style="90" customWidth="1"/>
    <col min="28" max="28" width="17" style="90" customWidth="1"/>
    <col min="29" max="16384" width="11.42578125" style="90"/>
  </cols>
  <sheetData>
    <row r="1" spans="1:27" x14ac:dyDescent="0.2">
      <c r="D1" s="163">
        <v>1000</v>
      </c>
      <c r="E1" s="163">
        <v>6.3</v>
      </c>
      <c r="F1" s="163">
        <v>10</v>
      </c>
      <c r="G1" s="163"/>
    </row>
    <row r="2" spans="1:27" x14ac:dyDescent="0.2">
      <c r="A2" s="265" t="s">
        <v>217</v>
      </c>
      <c r="B2" s="265"/>
      <c r="C2" s="265"/>
    </row>
    <row r="3" spans="1:27" ht="13.5" thickBot="1" x14ac:dyDescent="0.25">
      <c r="A3" s="266">
        <f ca="1">TODAY()</f>
        <v>42862</v>
      </c>
      <c r="B3" s="265"/>
      <c r="C3" s="265"/>
    </row>
    <row r="4" spans="1:27" s="133" customFormat="1" ht="13.5" thickBot="1" x14ac:dyDescent="0.25">
      <c r="A4" s="143"/>
      <c r="B4" s="143"/>
      <c r="C4" s="143"/>
      <c r="D4" s="263" t="s">
        <v>5</v>
      </c>
      <c r="E4" s="264"/>
      <c r="F4" s="263" t="s">
        <v>6</v>
      </c>
      <c r="G4" s="264"/>
      <c r="H4" s="263" t="s">
        <v>7</v>
      </c>
      <c r="I4" s="264"/>
      <c r="J4" s="263" t="s">
        <v>8</v>
      </c>
      <c r="K4" s="264"/>
      <c r="L4" s="263" t="s">
        <v>9</v>
      </c>
      <c r="M4" s="264"/>
      <c r="N4" s="263" t="s">
        <v>10</v>
      </c>
      <c r="O4" s="264"/>
      <c r="P4" s="263" t="s">
        <v>11</v>
      </c>
      <c r="Q4" s="264"/>
      <c r="R4" s="263" t="s">
        <v>197</v>
      </c>
      <c r="S4" s="264"/>
      <c r="T4" s="263" t="s">
        <v>199</v>
      </c>
      <c r="U4" s="264"/>
      <c r="V4" s="263" t="s">
        <v>200</v>
      </c>
      <c r="W4" s="264"/>
      <c r="X4" s="263" t="s">
        <v>201</v>
      </c>
      <c r="Y4" s="264"/>
      <c r="Z4" s="263" t="s">
        <v>202</v>
      </c>
      <c r="AA4" s="264"/>
    </row>
    <row r="5" spans="1:27" s="144" customFormat="1" x14ac:dyDescent="0.2">
      <c r="A5" s="132" t="s">
        <v>15</v>
      </c>
      <c r="B5" s="132" t="s">
        <v>14</v>
      </c>
      <c r="C5" s="132" t="s">
        <v>16</v>
      </c>
      <c r="D5" s="132" t="s">
        <v>167</v>
      </c>
      <c r="E5" s="132" t="s">
        <v>168</v>
      </c>
      <c r="F5" s="132" t="s">
        <v>167</v>
      </c>
      <c r="G5" s="132" t="s">
        <v>168</v>
      </c>
      <c r="H5" s="132" t="s">
        <v>167</v>
      </c>
      <c r="I5" s="132" t="s">
        <v>168</v>
      </c>
      <c r="J5" s="132" t="s">
        <v>167</v>
      </c>
      <c r="K5" s="132" t="s">
        <v>168</v>
      </c>
      <c r="L5" s="132" t="s">
        <v>167</v>
      </c>
      <c r="M5" s="132" t="s">
        <v>168</v>
      </c>
      <c r="N5" s="132" t="s">
        <v>167</v>
      </c>
      <c r="O5" s="132" t="s">
        <v>168</v>
      </c>
      <c r="P5" s="132" t="s">
        <v>167</v>
      </c>
      <c r="Q5" s="132" t="s">
        <v>168</v>
      </c>
      <c r="R5" s="132" t="s">
        <v>167</v>
      </c>
      <c r="S5" s="132" t="s">
        <v>168</v>
      </c>
      <c r="T5" s="132" t="s">
        <v>167</v>
      </c>
      <c r="U5" s="132" t="s">
        <v>168</v>
      </c>
      <c r="V5" s="132" t="s">
        <v>167</v>
      </c>
      <c r="W5" s="132" t="s">
        <v>168</v>
      </c>
      <c r="X5" s="132" t="s">
        <v>167</v>
      </c>
      <c r="Y5" s="132" t="s">
        <v>168</v>
      </c>
      <c r="Z5" s="132" t="s">
        <v>167</v>
      </c>
      <c r="AA5" s="132" t="s">
        <v>168</v>
      </c>
    </row>
    <row r="6" spans="1:27" x14ac:dyDescent="0.2">
      <c r="A6" s="126" t="s">
        <v>17</v>
      </c>
      <c r="B6" s="126" t="s">
        <v>18</v>
      </c>
      <c r="C6" s="126" t="s">
        <v>19</v>
      </c>
      <c r="D6" s="126">
        <f>+'ENE-SEP Bs 11NOV2016'!D6/'ENE-MAR USD AL 18MAR16'!$D$1/'ENE-MAR USD AL 18MAR16'!$E$1</f>
        <v>0</v>
      </c>
      <c r="E6" s="126">
        <f>+'ENE-SEP Bs 11NOV2016'!E6/'ENE-MAR USD AL 18MAR16'!$D$1/'ENE-MAR USD AL 18MAR16'!$E$1</f>
        <v>0</v>
      </c>
      <c r="F6" s="126">
        <f>+'ENE-SEP Bs 11NOV2016'!F6/'ENE-MAR USD AL 18MAR16'!$D$1/'ENE-MAR USD AL 18MAR16'!$E$1</f>
        <v>0</v>
      </c>
      <c r="G6" s="126">
        <f>+'ENE-SEP Bs 11NOV2016'!G6/'ENE-MAR USD AL 18MAR16'!$D$1/'ENE-MAR USD AL 18MAR16'!$E$1</f>
        <v>0</v>
      </c>
      <c r="H6" s="126">
        <f>+'ENE-SEP Bs 11NOV2016'!H6/'ENE-MAR USD AL 18MAR16'!$D$1/'ENE-MAR USD AL 18MAR16'!$E$1</f>
        <v>0</v>
      </c>
      <c r="I6" s="126">
        <f>+'ENE-SEP Bs 11NOV2016'!I6/'ENE-MAR USD AL 18MAR16'!$D$1/'ENE-MAR USD AL 18MAR16'!$F$1</f>
        <v>0</v>
      </c>
      <c r="J6" s="126">
        <f>+'ENE-SEP Bs 11NOV2016'!J6/'ENE-MAR USD AL 18MAR16'!$D$1/'ENE-MAR USD AL 18MAR16'!$E$1</f>
        <v>0</v>
      </c>
      <c r="K6" s="126">
        <f>+'ENE-SEP Bs 11NOV2016'!K6/'ENE-MAR USD AL 18MAR16'!$D$1/'ENE-MAR USD AL 18MAR16'!$F$1</f>
        <v>0</v>
      </c>
      <c r="L6" s="126">
        <f>+'ENE-SEP Bs 11NOV2016'!L6/'ENE-MAR USD AL 18MAR16'!$D$1/'ENE-MAR USD AL 18MAR16'!$E$1</f>
        <v>0</v>
      </c>
      <c r="M6" s="126">
        <f>+'ENE-SEP Bs 11NOV2016'!M6/'ENE-MAR USD AL 18MAR16'!$D$1/'ENE-MAR USD AL 18MAR16'!$F$1</f>
        <v>0</v>
      </c>
      <c r="N6" s="126">
        <f>+'ENE-SEP Bs 11NOV2016'!N6/'ENE-MAR USD AL 18MAR16'!$D$1/'ENE-MAR USD AL 18MAR16'!$E$1</f>
        <v>0</v>
      </c>
      <c r="O6" s="126">
        <f>+'ENE-SEP Bs 11NOV2016'!O6/'ENE-MAR USD AL 18MAR16'!$D$1/'ENE-MAR USD AL 18MAR16'!$F$1</f>
        <v>0</v>
      </c>
      <c r="P6" s="126">
        <f>+'ENE-SEP Bs 11NOV2016'!P6/'ENE-MAR USD AL 18MAR16'!$D$1/'ENE-MAR USD AL 18MAR16'!$E$1</f>
        <v>0</v>
      </c>
      <c r="Q6" s="126">
        <f>+'ENE-SEP Bs 11NOV2016'!Q6/'ENE-MAR USD AL 18MAR16'!$D$1/'ENE-MAR USD AL 18MAR16'!$F$1</f>
        <v>0</v>
      </c>
      <c r="R6" s="126">
        <f>+'ENE-SEP Bs 11NOV2016'!R6/'ENE-MAR USD AL 18MAR16'!$D$1/'ENE-MAR USD AL 18MAR16'!$E$1</f>
        <v>0</v>
      </c>
      <c r="S6" s="126">
        <f>+'ENE-SEP Bs 11NOV2016'!S6/'ENE-MAR USD AL 18MAR16'!$D$1/'ENE-MAR USD AL 18MAR16'!$F$1</f>
        <v>0</v>
      </c>
      <c r="T6" s="126">
        <f>+'ENE-SEP Bs 11NOV2016'!T6/'ENE-MAR USD AL 18MAR16'!$D$1/'ENE-MAR USD AL 18MAR16'!$E$1</f>
        <v>0</v>
      </c>
      <c r="U6" s="126">
        <f>+'ENE-SEP Bs 11NOV2016'!U6/'ENE-MAR USD AL 18MAR16'!$D$1/'ENE-MAR USD AL 18MAR16'!$F$1</f>
        <v>0</v>
      </c>
      <c r="V6" s="126">
        <f>+'ENE-SEP Bs 11NOV2016'!V6/'ENE-MAR USD AL 18MAR16'!$D$1/'ENE-MAR USD AL 18MAR16'!$E$1</f>
        <v>0</v>
      </c>
      <c r="W6" s="126">
        <f>+'ENE-SEP Bs 11NOV2016'!W6/'ENE-MAR USD AL 18MAR16'!$D$1/'ENE-MAR USD AL 18MAR16'!$F$1</f>
        <v>0</v>
      </c>
      <c r="X6" s="126">
        <f>+'ENE-SEP Bs 11NOV2016'!X6/'ENE-MAR USD AL 18MAR16'!$D$1/'ENE-MAR USD AL 18MAR16'!$E$1</f>
        <v>0</v>
      </c>
      <c r="Y6" s="126">
        <f>+'ENE-SEP Bs 11NOV2016'!Y6/'ENE-MAR USD AL 18MAR16'!$D$1/'ENE-MAR USD AL 18MAR16'!$F$1</f>
        <v>0</v>
      </c>
      <c r="Z6" s="126">
        <f>+'ENE-SEP Bs 11NOV2016'!Z6/'ENE-MAR USD AL 18MAR16'!$D$1/'ENE-MAR USD AL 18MAR16'!$E$1</f>
        <v>0</v>
      </c>
      <c r="AA6" s="126">
        <f>+'ENE-SEP Bs 11NOV2016'!AA6/'ENE-MAR USD AL 18MAR16'!$D$1/'ENE-MAR USD AL 18MAR16'!$F$1</f>
        <v>0</v>
      </c>
    </row>
    <row r="7" spans="1:27" x14ac:dyDescent="0.2">
      <c r="A7" s="126"/>
      <c r="B7" s="126" t="s">
        <v>43</v>
      </c>
      <c r="C7" s="126" t="s">
        <v>44</v>
      </c>
      <c r="D7" s="126">
        <f>+'ENE-SEP Bs 11NOV2016'!D7/'ENE-MAR USD AL 18MAR16'!$D$1/'ENE-MAR USD AL 18MAR16'!$E$1</f>
        <v>0</v>
      </c>
      <c r="E7" s="126">
        <f>+'ENE-SEP Bs 11NOV2016'!E7/'ENE-MAR USD AL 18MAR16'!$D$1/'ENE-MAR USD AL 18MAR16'!$E$1</f>
        <v>0</v>
      </c>
      <c r="F7" s="126">
        <f>+'ENE-SEP Bs 11NOV2016'!F7/'ENE-MAR USD AL 18MAR16'!$D$1/'ENE-MAR USD AL 18MAR16'!$E$1</f>
        <v>0</v>
      </c>
      <c r="G7" s="126">
        <f>+'ENE-SEP Bs 11NOV2016'!G7/'ENE-MAR USD AL 18MAR16'!$D$1/'ENE-MAR USD AL 18MAR16'!$E$1</f>
        <v>0</v>
      </c>
      <c r="H7" s="126">
        <f>+'ENE-SEP Bs 11NOV2016'!H7/'ENE-MAR USD AL 18MAR16'!$D$1/'ENE-MAR USD AL 18MAR16'!$E$1</f>
        <v>0</v>
      </c>
      <c r="I7" s="126">
        <f>+'ENE-SEP Bs 11NOV2016'!I7/'ENE-MAR USD AL 18MAR16'!$D$1/'ENE-MAR USD AL 18MAR16'!$F$1</f>
        <v>0</v>
      </c>
      <c r="J7" s="126">
        <f>+'ENE-SEP Bs 11NOV2016'!J7/'ENE-MAR USD AL 18MAR16'!$D$1/'ENE-MAR USD AL 18MAR16'!$E$1</f>
        <v>0</v>
      </c>
      <c r="K7" s="126">
        <f>+'ENE-SEP Bs 11NOV2016'!K7/'ENE-MAR USD AL 18MAR16'!$D$1/'ENE-MAR USD AL 18MAR16'!$F$1</f>
        <v>0</v>
      </c>
      <c r="L7" s="126">
        <f>+'ENE-SEP Bs 11NOV2016'!L7/'ENE-MAR USD AL 18MAR16'!$D$1/'ENE-MAR USD AL 18MAR16'!$E$1</f>
        <v>0</v>
      </c>
      <c r="M7" s="126">
        <f>+'ENE-SEP Bs 11NOV2016'!M7/'ENE-MAR USD AL 18MAR16'!$D$1/'ENE-MAR USD AL 18MAR16'!$F$1</f>
        <v>0</v>
      </c>
      <c r="N7" s="126">
        <f>+'ENE-SEP Bs 11NOV2016'!N7/'ENE-MAR USD AL 18MAR16'!$D$1/'ENE-MAR USD AL 18MAR16'!$E$1</f>
        <v>0</v>
      </c>
      <c r="O7" s="126">
        <f>+'ENE-SEP Bs 11NOV2016'!O7/'ENE-MAR USD AL 18MAR16'!$D$1/'ENE-MAR USD AL 18MAR16'!$F$1</f>
        <v>0</v>
      </c>
      <c r="P7" s="126">
        <f>+'ENE-SEP Bs 11NOV2016'!P7/'ENE-MAR USD AL 18MAR16'!$D$1/'ENE-MAR USD AL 18MAR16'!$E$1</f>
        <v>0</v>
      </c>
      <c r="Q7" s="126">
        <f>+'ENE-SEP Bs 11NOV2016'!Q7/'ENE-MAR USD AL 18MAR16'!$D$1/'ENE-MAR USD AL 18MAR16'!$F$1</f>
        <v>0</v>
      </c>
      <c r="R7" s="126">
        <f>+'ENE-SEP Bs 11NOV2016'!R7/'ENE-MAR USD AL 18MAR16'!$D$1/'ENE-MAR USD AL 18MAR16'!$E$1</f>
        <v>0</v>
      </c>
      <c r="S7" s="126">
        <f>+'ENE-SEP Bs 11NOV2016'!S7/'ENE-MAR USD AL 18MAR16'!$D$1/'ENE-MAR USD AL 18MAR16'!$F$1</f>
        <v>0</v>
      </c>
      <c r="T7" s="126">
        <f>+'ENE-SEP Bs 11NOV2016'!T7/'ENE-MAR USD AL 18MAR16'!$D$1/'ENE-MAR USD AL 18MAR16'!$E$1</f>
        <v>0</v>
      </c>
      <c r="U7" s="126">
        <f>+'ENE-SEP Bs 11NOV2016'!U7/'ENE-MAR USD AL 18MAR16'!$D$1/'ENE-MAR USD AL 18MAR16'!$F$1</f>
        <v>0</v>
      </c>
      <c r="V7" s="126">
        <f>+'ENE-SEP Bs 11NOV2016'!V7/'ENE-MAR USD AL 18MAR16'!$D$1/'ENE-MAR USD AL 18MAR16'!$E$1</f>
        <v>0</v>
      </c>
      <c r="W7" s="126">
        <f>+'ENE-SEP Bs 11NOV2016'!W7/'ENE-MAR USD AL 18MAR16'!$D$1/'ENE-MAR USD AL 18MAR16'!$F$1</f>
        <v>0</v>
      </c>
      <c r="X7" s="126">
        <f>+'ENE-SEP Bs 11NOV2016'!X7/'ENE-MAR USD AL 18MAR16'!$D$1/'ENE-MAR USD AL 18MAR16'!$E$1</f>
        <v>0</v>
      </c>
      <c r="Y7" s="126">
        <f>+'ENE-SEP Bs 11NOV2016'!Y7/'ENE-MAR USD AL 18MAR16'!$D$1/'ENE-MAR USD AL 18MAR16'!$F$1</f>
        <v>0</v>
      </c>
      <c r="Z7" s="126">
        <f>+'ENE-SEP Bs 11NOV2016'!Z7/'ENE-MAR USD AL 18MAR16'!$D$1/'ENE-MAR USD AL 18MAR16'!$E$1</f>
        <v>0</v>
      </c>
      <c r="AA7" s="126">
        <f>+'ENE-SEP Bs 11NOV2016'!AA7/'ENE-MAR USD AL 18MAR16'!$D$1/'ENE-MAR USD AL 18MAR16'!$F$1</f>
        <v>0</v>
      </c>
    </row>
    <row r="8" spans="1:27" x14ac:dyDescent="0.2">
      <c r="A8" s="126"/>
      <c r="B8" s="126" t="s">
        <v>69</v>
      </c>
      <c r="C8" s="126" t="s">
        <v>70</v>
      </c>
      <c r="D8" s="126">
        <f>+'ENE-SEP Bs 11NOV2016'!D8/'ENE-MAR USD AL 18MAR16'!$D$1/'ENE-MAR USD AL 18MAR16'!$E$1</f>
        <v>0</v>
      </c>
      <c r="E8" s="126">
        <f>+'ENE-SEP Bs 11NOV2016'!E8/'ENE-MAR USD AL 18MAR16'!$D$1/'ENE-MAR USD AL 18MAR16'!$E$1</f>
        <v>0</v>
      </c>
      <c r="F8" s="126">
        <f>+'ENE-SEP Bs 11NOV2016'!F8/'ENE-MAR USD AL 18MAR16'!$D$1/'ENE-MAR USD AL 18MAR16'!$E$1</f>
        <v>0</v>
      </c>
      <c r="G8" s="126">
        <f>+'ENE-SEP Bs 11NOV2016'!G8/'ENE-MAR USD AL 18MAR16'!$D$1/'ENE-MAR USD AL 18MAR16'!$E$1</f>
        <v>0</v>
      </c>
      <c r="H8" s="126">
        <f>+'ENE-SEP Bs 11NOV2016'!H8/'ENE-MAR USD AL 18MAR16'!$D$1/'ENE-MAR USD AL 18MAR16'!$E$1</f>
        <v>0</v>
      </c>
      <c r="I8" s="126">
        <f>+'ENE-SEP Bs 11NOV2016'!I8/'ENE-MAR USD AL 18MAR16'!$D$1/'ENE-MAR USD AL 18MAR16'!$F$1</f>
        <v>0</v>
      </c>
      <c r="J8" s="126">
        <f>+'ENE-SEP Bs 11NOV2016'!J8/'ENE-MAR USD AL 18MAR16'!$D$1/'ENE-MAR USD AL 18MAR16'!$E$1</f>
        <v>0</v>
      </c>
      <c r="K8" s="126">
        <f>+'ENE-SEP Bs 11NOV2016'!K8/'ENE-MAR USD AL 18MAR16'!$D$1/'ENE-MAR USD AL 18MAR16'!$F$1</f>
        <v>0</v>
      </c>
      <c r="L8" s="126">
        <f>+'ENE-SEP Bs 11NOV2016'!L8/'ENE-MAR USD AL 18MAR16'!$D$1/'ENE-MAR USD AL 18MAR16'!$E$1</f>
        <v>0</v>
      </c>
      <c r="M8" s="126">
        <f>+'ENE-SEP Bs 11NOV2016'!M8/'ENE-MAR USD AL 18MAR16'!$D$1/'ENE-MAR USD AL 18MAR16'!$F$1</f>
        <v>0</v>
      </c>
      <c r="N8" s="126">
        <f>+'ENE-SEP Bs 11NOV2016'!N8/'ENE-MAR USD AL 18MAR16'!$D$1/'ENE-MAR USD AL 18MAR16'!$E$1</f>
        <v>0</v>
      </c>
      <c r="O8" s="126">
        <f>+'ENE-SEP Bs 11NOV2016'!O8/'ENE-MAR USD AL 18MAR16'!$D$1/'ENE-MAR USD AL 18MAR16'!$F$1</f>
        <v>5.3679999999999995E-3</v>
      </c>
      <c r="P8" s="126">
        <f>+'ENE-SEP Bs 11NOV2016'!P8/'ENE-MAR USD AL 18MAR16'!$D$1/'ENE-MAR USD AL 18MAR16'!$E$1</f>
        <v>0</v>
      </c>
      <c r="Q8" s="126">
        <f>+'ENE-SEP Bs 11NOV2016'!Q8/'ENE-MAR USD AL 18MAR16'!$D$1/'ENE-MAR USD AL 18MAR16'!$F$1</f>
        <v>0</v>
      </c>
      <c r="R8" s="126">
        <f>+'ENE-SEP Bs 11NOV2016'!R8/'ENE-MAR USD AL 18MAR16'!$D$1/'ENE-MAR USD AL 18MAR16'!$E$1</f>
        <v>0</v>
      </c>
      <c r="S8" s="126">
        <f>+'ENE-SEP Bs 11NOV2016'!S8/'ENE-MAR USD AL 18MAR16'!$D$1/'ENE-MAR USD AL 18MAR16'!$F$1</f>
        <v>0</v>
      </c>
      <c r="T8" s="126">
        <f>+'ENE-SEP Bs 11NOV2016'!T8/'ENE-MAR USD AL 18MAR16'!$D$1/'ENE-MAR USD AL 18MAR16'!$E$1</f>
        <v>0</v>
      </c>
      <c r="U8" s="126">
        <f>+'ENE-SEP Bs 11NOV2016'!U8/'ENE-MAR USD AL 18MAR16'!$D$1/'ENE-MAR USD AL 18MAR16'!$F$1</f>
        <v>0</v>
      </c>
      <c r="V8" s="126">
        <f>+'ENE-SEP Bs 11NOV2016'!V8/'ENE-MAR USD AL 18MAR16'!$D$1/'ENE-MAR USD AL 18MAR16'!$E$1</f>
        <v>0</v>
      </c>
      <c r="W8" s="126">
        <f>+'ENE-SEP Bs 11NOV2016'!W8/'ENE-MAR USD AL 18MAR16'!$D$1/'ENE-MAR USD AL 18MAR16'!$F$1</f>
        <v>8.2869999999999992E-3</v>
      </c>
      <c r="X8" s="126">
        <f>+'ENE-SEP Bs 11NOV2016'!X8/'ENE-MAR USD AL 18MAR16'!$D$1/'ENE-MAR USD AL 18MAR16'!$E$1</f>
        <v>0</v>
      </c>
      <c r="Y8" s="126">
        <f>+'ENE-SEP Bs 11NOV2016'!Y8/'ENE-MAR USD AL 18MAR16'!$D$1/'ENE-MAR USD AL 18MAR16'!$F$1</f>
        <v>8.2869999999999992E-3</v>
      </c>
      <c r="Z8" s="126">
        <f>+'ENE-SEP Bs 11NOV2016'!Z8/'ENE-MAR USD AL 18MAR16'!$D$1/'ENE-MAR USD AL 18MAR16'!$E$1</f>
        <v>0</v>
      </c>
      <c r="AA8" s="126">
        <f>+'ENE-SEP Bs 11NOV2016'!AA8/'ENE-MAR USD AL 18MAR16'!$D$1/'ENE-MAR USD AL 18MAR16'!$F$1</f>
        <v>0</v>
      </c>
    </row>
    <row r="9" spans="1:27" s="133" customFormat="1" x14ac:dyDescent="0.2">
      <c r="A9" s="130" t="s">
        <v>142</v>
      </c>
      <c r="B9" s="130"/>
      <c r="C9" s="130"/>
      <c r="D9" s="140">
        <f>SUM(D6:D8)</f>
        <v>0</v>
      </c>
      <c r="E9" s="140">
        <f t="shared" ref="E9:Z9" si="0">SUM(E6:E8)</f>
        <v>0</v>
      </c>
      <c r="F9" s="140">
        <f t="shared" si="0"/>
        <v>0</v>
      </c>
      <c r="G9" s="140">
        <f t="shared" si="0"/>
        <v>0</v>
      </c>
      <c r="H9" s="140">
        <f t="shared" si="0"/>
        <v>0</v>
      </c>
      <c r="I9" s="140">
        <f>SUM(I6:I8)</f>
        <v>0</v>
      </c>
      <c r="J9" s="140">
        <f t="shared" si="0"/>
        <v>0</v>
      </c>
      <c r="K9" s="140">
        <f>SUM(K6:K8)</f>
        <v>0</v>
      </c>
      <c r="L9" s="140">
        <f t="shared" si="0"/>
        <v>0</v>
      </c>
      <c r="M9" s="140">
        <f>SUM(M6:M8)</f>
        <v>0</v>
      </c>
      <c r="N9" s="140">
        <f t="shared" si="0"/>
        <v>0</v>
      </c>
      <c r="O9" s="140">
        <f>SUM(O6:O8)</f>
        <v>5.3679999999999995E-3</v>
      </c>
      <c r="P9" s="140">
        <f t="shared" si="0"/>
        <v>0</v>
      </c>
      <c r="Q9" s="140">
        <f>SUM(Q6:Q8)</f>
        <v>0</v>
      </c>
      <c r="R9" s="140">
        <f t="shared" si="0"/>
        <v>0</v>
      </c>
      <c r="S9" s="140">
        <f>SUM(S6:S8)</f>
        <v>0</v>
      </c>
      <c r="T9" s="140">
        <f t="shared" si="0"/>
        <v>0</v>
      </c>
      <c r="U9" s="140">
        <f>SUM(U6:U8)</f>
        <v>0</v>
      </c>
      <c r="V9" s="140">
        <f t="shared" si="0"/>
        <v>0</v>
      </c>
      <c r="W9" s="140">
        <f>SUM(W6:W8)</f>
        <v>8.2869999999999992E-3</v>
      </c>
      <c r="X9" s="140">
        <f t="shared" si="0"/>
        <v>0</v>
      </c>
      <c r="Y9" s="140">
        <f>SUM(Y6:Y8)</f>
        <v>8.2869999999999992E-3</v>
      </c>
      <c r="Z9" s="140">
        <f t="shared" si="0"/>
        <v>0</v>
      </c>
      <c r="AA9" s="140">
        <f>SUM(AA6:AA8)</f>
        <v>0</v>
      </c>
    </row>
    <row r="10" spans="1:27" x14ac:dyDescent="0.2">
      <c r="A10" s="126" t="s">
        <v>45</v>
      </c>
      <c r="B10" s="126" t="s">
        <v>148</v>
      </c>
      <c r="C10" s="126" t="s">
        <v>149</v>
      </c>
      <c r="D10" s="126">
        <f>+'ENE-SEP Bs 11NOV2016'!D10/'ENE-MAR USD AL 18MAR16'!$D$1/'ENE-MAR USD AL 18MAR16'!$E$1</f>
        <v>0</v>
      </c>
      <c r="E10" s="126">
        <f>+'ENE-SEP Bs 11NOV2016'!E10/'ENE-MAR USD AL 18MAR16'!$D$1/'ENE-MAR USD AL 18MAR16'!$E$1</f>
        <v>2.3085396825396827</v>
      </c>
      <c r="F10" s="126">
        <f>+'ENE-SEP Bs 11NOV2016'!F10/'ENE-MAR USD AL 18MAR16'!$D$1/'ENE-MAR USD AL 18MAR16'!$E$1</f>
        <v>0</v>
      </c>
      <c r="G10" s="126">
        <f>+'ENE-SEP Bs 11NOV2016'!G10/'ENE-MAR USD AL 18MAR16'!$D$1/'ENE-MAR USD AL 18MAR16'!$E$1</f>
        <v>2.8182698412698413</v>
      </c>
      <c r="H10" s="126">
        <f>+'ENE-SEP Bs 11NOV2016'!H10/'ENE-MAR USD AL 18MAR16'!$D$1/'ENE-MAR USD AL 18MAR16'!$E$1</f>
        <v>0</v>
      </c>
      <c r="I10" s="126">
        <f>+'ENE-SEP Bs 11NOV2016'!I10/'ENE-MAR USD AL 18MAR16'!$D$1/'ENE-MAR USD AL 18MAR16'!$F$1</f>
        <v>1.6967959999999997</v>
      </c>
      <c r="J10" s="126">
        <f>+'ENE-SEP Bs 11NOV2016'!J10/'ENE-MAR USD AL 18MAR16'!$D$1/'ENE-MAR USD AL 18MAR16'!$E$1</f>
        <v>0</v>
      </c>
      <c r="K10" s="126">
        <f>+'ENE-SEP Bs 11NOV2016'!K10/'ENE-MAR USD AL 18MAR16'!$D$1/'ENE-MAR USD AL 18MAR16'!$F$1</f>
        <v>0.34748899999999994</v>
      </c>
      <c r="L10" s="126">
        <f>+'ENE-SEP Bs 11NOV2016'!L10/'ENE-MAR USD AL 18MAR16'!$D$1/'ENE-MAR USD AL 18MAR16'!$E$1</f>
        <v>0</v>
      </c>
      <c r="M10" s="126">
        <f>+'ENE-SEP Bs 11NOV2016'!M10/'ENE-MAR USD AL 18MAR16'!$D$1/'ENE-MAR USD AL 18MAR16'!$F$1</f>
        <v>6.8361619999999998</v>
      </c>
      <c r="N10" s="126">
        <f>+'ENE-SEP Bs 11NOV2016'!N10/'ENE-MAR USD AL 18MAR16'!$D$1/'ENE-MAR USD AL 18MAR16'!$E$1</f>
        <v>0</v>
      </c>
      <c r="O10" s="126">
        <f>+'ENE-SEP Bs 11NOV2016'!O10/'ENE-MAR USD AL 18MAR16'!$D$1/'ENE-MAR USD AL 18MAR16'!$F$1</f>
        <v>0.21465499999999996</v>
      </c>
      <c r="P10" s="126">
        <f>+'ENE-SEP Bs 11NOV2016'!P10/'ENE-MAR USD AL 18MAR16'!$D$1/'ENE-MAR USD AL 18MAR16'!$E$1</f>
        <v>0</v>
      </c>
      <c r="Q10" s="126">
        <f>+'ENE-SEP Bs 11NOV2016'!Q10/'ENE-MAR USD AL 18MAR16'!$D$1/'ENE-MAR USD AL 18MAR16'!$F$1</f>
        <v>0.21465499999999996</v>
      </c>
      <c r="R10" s="126">
        <f>+'ENE-SEP Bs 11NOV2016'!R10/'ENE-MAR USD AL 18MAR16'!$D$1/'ENE-MAR USD AL 18MAR16'!$E$1</f>
        <v>0</v>
      </c>
      <c r="S10" s="126">
        <f>+'ENE-SEP Bs 11NOV2016'!S10/'ENE-MAR USD AL 18MAR16'!$D$1/'ENE-MAR USD AL 18MAR16'!$F$1</f>
        <v>0.21870400000000001</v>
      </c>
      <c r="T10" s="126">
        <f>+'ENE-SEP Bs 11NOV2016'!T10/'ENE-MAR USD AL 18MAR16'!$D$1/'ENE-MAR USD AL 18MAR16'!$E$1</f>
        <v>0</v>
      </c>
      <c r="U10" s="126">
        <f>+'ENE-SEP Bs 11NOV2016'!U10/'ENE-MAR USD AL 18MAR16'!$D$1/'ENE-MAR USD AL 18MAR16'!$F$1</f>
        <v>0.21783000000000002</v>
      </c>
      <c r="V10" s="126">
        <f>+'ENE-SEP Bs 11NOV2016'!V10/'ENE-MAR USD AL 18MAR16'!$D$1/'ENE-MAR USD AL 18MAR16'!$E$1</f>
        <v>0</v>
      </c>
      <c r="W10" s="126">
        <f>+'ENE-SEP Bs 11NOV2016'!W10/'ENE-MAR USD AL 18MAR16'!$D$1/'ENE-MAR USD AL 18MAR16'!$F$1</f>
        <v>-561.37884000000008</v>
      </c>
      <c r="X10" s="126">
        <f>+'ENE-SEP Bs 11NOV2016'!X10/'ENE-MAR USD AL 18MAR16'!$D$1/'ENE-MAR USD AL 18MAR16'!$E$1</f>
        <v>0</v>
      </c>
      <c r="Y10" s="126">
        <f>+'ENE-SEP Bs 11NOV2016'!Y10/'ENE-MAR USD AL 18MAR16'!$D$1/'ENE-MAR USD AL 18MAR16'!$F$1</f>
        <v>-553.31388600000002</v>
      </c>
      <c r="Z10" s="126">
        <f>+'ENE-SEP Bs 11NOV2016'!Z10/'ENE-MAR USD AL 18MAR16'!$D$1/'ENE-MAR USD AL 18MAR16'!$E$1</f>
        <v>0</v>
      </c>
      <c r="AA10" s="126">
        <f>+'ENE-SEP Bs 11NOV2016'!AA10/'ENE-MAR USD AL 18MAR16'!$D$1/'ENE-MAR USD AL 18MAR16'!$F$1</f>
        <v>0</v>
      </c>
    </row>
    <row r="11" spans="1:27" x14ac:dyDescent="0.2">
      <c r="A11" s="126"/>
      <c r="B11" s="126" t="s">
        <v>46</v>
      </c>
      <c r="C11" s="126" t="s">
        <v>150</v>
      </c>
      <c r="D11" s="126">
        <f>+'ENE-SEP Bs 11NOV2016'!D12/'ENE-MAR USD AL 18MAR16'!$D$1/'ENE-MAR USD AL 18MAR16'!$E$1</f>
        <v>0</v>
      </c>
      <c r="E11" s="126">
        <f>+'ENE-SEP Bs 11NOV2016'!E12/'ENE-MAR USD AL 18MAR16'!$D$1/'ENE-MAR USD AL 18MAR16'!$E$1</f>
        <v>0</v>
      </c>
      <c r="F11" s="126">
        <f>+'ENE-SEP Bs 11NOV2016'!F12/'ENE-MAR USD AL 18MAR16'!$D$1/'ENE-MAR USD AL 18MAR16'!$E$1</f>
        <v>0</v>
      </c>
      <c r="G11" s="126">
        <f>+'ENE-SEP Bs 11NOV2016'!G12/'ENE-MAR USD AL 18MAR16'!$D$1/'ENE-MAR USD AL 18MAR16'!$E$1</f>
        <v>0</v>
      </c>
      <c r="H11" s="126">
        <f>+'ENE-SEP Bs 11NOV2016'!H12/'ENE-MAR USD AL 18MAR16'!$D$1/'ENE-MAR USD AL 18MAR16'!$E$1</f>
        <v>0</v>
      </c>
      <c r="I11" s="126">
        <f>+'ENE-SEP Bs 11NOV2016'!I12/'ENE-MAR USD AL 18MAR16'!$D$1/'ENE-MAR USD AL 18MAR16'!$F$1</f>
        <v>0</v>
      </c>
      <c r="J11" s="126">
        <f>+'ENE-SEP Bs 11NOV2016'!J12/'ENE-MAR USD AL 18MAR16'!$D$1/'ENE-MAR USD AL 18MAR16'!$E$1</f>
        <v>0</v>
      </c>
      <c r="K11" s="126">
        <f>+'ENE-SEP Bs 11NOV2016'!K12/'ENE-MAR USD AL 18MAR16'!$D$1/'ENE-MAR USD AL 18MAR16'!$F$1</f>
        <v>5.3E-3</v>
      </c>
      <c r="L11" s="126">
        <f>+'ENE-SEP Bs 11NOV2016'!L12/'ENE-MAR USD AL 18MAR16'!$D$1/'ENE-MAR USD AL 18MAR16'!$E$1</f>
        <v>0</v>
      </c>
      <c r="M11" s="126">
        <f>+'ENE-SEP Bs 11NOV2016'!M12/'ENE-MAR USD AL 18MAR16'!$D$1/'ENE-MAR USD AL 18MAR16'!$F$1</f>
        <v>5.3E-3</v>
      </c>
      <c r="N11" s="126">
        <f>+'ENE-SEP Bs 11NOV2016'!N12/'ENE-MAR USD AL 18MAR16'!$D$1/'ENE-MAR USD AL 18MAR16'!$E$1</f>
        <v>0</v>
      </c>
      <c r="O11" s="126">
        <f>+'ENE-SEP Bs 11NOV2016'!O12/'ENE-MAR USD AL 18MAR16'!$D$1/'ENE-MAR USD AL 18MAR16'!$F$1</f>
        <v>5.3E-3</v>
      </c>
      <c r="P11" s="126">
        <f>+'ENE-SEP Bs 11NOV2016'!P12/'ENE-MAR USD AL 18MAR16'!$D$1/'ENE-MAR USD AL 18MAR16'!$E$1</f>
        <v>0</v>
      </c>
      <c r="Q11" s="126">
        <f>+'ENE-SEP Bs 11NOV2016'!Q12/'ENE-MAR USD AL 18MAR16'!$D$1/'ENE-MAR USD AL 18MAR16'!$F$1</f>
        <v>5.3E-3</v>
      </c>
      <c r="R11" s="126">
        <f>+'ENE-SEP Bs 11NOV2016'!R12/'ENE-MAR USD AL 18MAR16'!$D$1/'ENE-MAR USD AL 18MAR16'!$E$1</f>
        <v>0</v>
      </c>
      <c r="S11" s="126">
        <f>+'ENE-SEP Bs 11NOV2016'!S12/'ENE-MAR USD AL 18MAR16'!$D$1/'ENE-MAR USD AL 18MAR16'!$F$1</f>
        <v>5.3E-3</v>
      </c>
      <c r="T11" s="126">
        <f>+'ENE-SEP Bs 11NOV2016'!T12/'ENE-MAR USD AL 18MAR16'!$D$1/'ENE-MAR USD AL 18MAR16'!$E$1</f>
        <v>0</v>
      </c>
      <c r="U11" s="126">
        <f>+'ENE-SEP Bs 11NOV2016'!U12/'ENE-MAR USD AL 18MAR16'!$D$1/'ENE-MAR USD AL 18MAR16'!$F$1</f>
        <v>5.3E-3</v>
      </c>
      <c r="V11" s="126">
        <f>+'ENE-SEP Bs 11NOV2016'!V12/'ENE-MAR USD AL 18MAR16'!$D$1/'ENE-MAR USD AL 18MAR16'!$E$1</f>
        <v>0</v>
      </c>
      <c r="W11" s="126">
        <f>+'ENE-SEP Bs 11NOV2016'!W12/'ENE-MAR USD AL 18MAR16'!$D$1/'ENE-MAR USD AL 18MAR16'!$F$1</f>
        <v>5.3E-3</v>
      </c>
      <c r="X11" s="126">
        <f>+'ENE-SEP Bs 11NOV2016'!X12/'ENE-MAR USD AL 18MAR16'!$D$1/'ENE-MAR USD AL 18MAR16'!$E$1</f>
        <v>0</v>
      </c>
      <c r="Y11" s="126">
        <f>+'ENE-SEP Bs 11NOV2016'!Y12/'ENE-MAR USD AL 18MAR16'!$D$1/'ENE-MAR USD AL 18MAR16'!$F$1</f>
        <v>5.3E-3</v>
      </c>
      <c r="Z11" s="126">
        <f>+'ENE-SEP Bs 11NOV2016'!Z12/'ENE-MAR USD AL 18MAR16'!$D$1/'ENE-MAR USD AL 18MAR16'!$E$1</f>
        <v>0</v>
      </c>
      <c r="AA11" s="126">
        <f>+'ENE-SEP Bs 11NOV2016'!AA12/'ENE-MAR USD AL 18MAR16'!$D$1/'ENE-MAR USD AL 18MAR16'!$F$1</f>
        <v>0</v>
      </c>
    </row>
    <row r="12" spans="1:27" x14ac:dyDescent="0.2">
      <c r="A12" s="126"/>
      <c r="B12" s="126" t="s">
        <v>47</v>
      </c>
      <c r="C12" s="126" t="s">
        <v>138</v>
      </c>
      <c r="D12" s="126">
        <f>+'ENE-SEP Bs 11NOV2016'!D13/'ENE-MAR USD AL 18MAR16'!$D$1/'ENE-MAR USD AL 18MAR16'!$E$1</f>
        <v>0</v>
      </c>
      <c r="E12" s="126">
        <f>+'ENE-SEP Bs 11NOV2016'!E13/'ENE-MAR USD AL 18MAR16'!$D$1/'ENE-MAR USD AL 18MAR16'!$E$1</f>
        <v>0</v>
      </c>
      <c r="F12" s="126">
        <f>+'ENE-SEP Bs 11NOV2016'!F13/'ENE-MAR USD AL 18MAR16'!$D$1/'ENE-MAR USD AL 18MAR16'!$E$1</f>
        <v>0</v>
      </c>
      <c r="G12" s="126">
        <f>+'ENE-SEP Bs 11NOV2016'!G13/'ENE-MAR USD AL 18MAR16'!$D$1/'ENE-MAR USD AL 18MAR16'!$E$1</f>
        <v>0</v>
      </c>
      <c r="H12" s="126">
        <f>+'ENE-SEP Bs 11NOV2016'!H13/'ENE-MAR USD AL 18MAR16'!$D$1/'ENE-MAR USD AL 18MAR16'!$E$1</f>
        <v>0</v>
      </c>
      <c r="I12" s="126">
        <f>+'ENE-SEP Bs 11NOV2016'!I13/'ENE-MAR USD AL 18MAR16'!$D$1/'ENE-MAR USD AL 18MAR16'!$F$1</f>
        <v>0</v>
      </c>
      <c r="J12" s="126">
        <f>+'ENE-SEP Bs 11NOV2016'!J13/'ENE-MAR USD AL 18MAR16'!$D$1/'ENE-MAR USD AL 18MAR16'!$E$1</f>
        <v>0</v>
      </c>
      <c r="K12" s="126">
        <f>+'ENE-SEP Bs 11NOV2016'!K13/'ENE-MAR USD AL 18MAR16'!$D$1/'ENE-MAR USD AL 18MAR16'!$F$1</f>
        <v>0</v>
      </c>
      <c r="L12" s="126">
        <f>+'ENE-SEP Bs 11NOV2016'!L13/'ENE-MAR USD AL 18MAR16'!$D$1/'ENE-MAR USD AL 18MAR16'!$E$1</f>
        <v>0</v>
      </c>
      <c r="M12" s="126">
        <f>+'ENE-SEP Bs 11NOV2016'!M13/'ENE-MAR USD AL 18MAR16'!$D$1/'ENE-MAR USD AL 18MAR16'!$F$1</f>
        <v>0</v>
      </c>
      <c r="N12" s="126">
        <f>+'ENE-SEP Bs 11NOV2016'!N13/'ENE-MAR USD AL 18MAR16'!$D$1/'ENE-MAR USD AL 18MAR16'!$E$1</f>
        <v>0</v>
      </c>
      <c r="O12" s="126">
        <f>+'ENE-SEP Bs 11NOV2016'!O13/'ENE-MAR USD AL 18MAR16'!$D$1/'ENE-MAR USD AL 18MAR16'!$F$1</f>
        <v>0</v>
      </c>
      <c r="P12" s="126">
        <f>+'ENE-SEP Bs 11NOV2016'!P13/'ENE-MAR USD AL 18MAR16'!$D$1/'ENE-MAR USD AL 18MAR16'!$E$1</f>
        <v>0</v>
      </c>
      <c r="Q12" s="126">
        <f>+'ENE-SEP Bs 11NOV2016'!Q13/'ENE-MAR USD AL 18MAR16'!$D$1/'ENE-MAR USD AL 18MAR16'!$F$1</f>
        <v>0</v>
      </c>
      <c r="R12" s="126">
        <f>+'ENE-SEP Bs 11NOV2016'!R13/'ENE-MAR USD AL 18MAR16'!$D$1/'ENE-MAR USD AL 18MAR16'!$E$1</f>
        <v>0</v>
      </c>
      <c r="S12" s="126">
        <f>+'ENE-SEP Bs 11NOV2016'!S13/'ENE-MAR USD AL 18MAR16'!$D$1/'ENE-MAR USD AL 18MAR16'!$F$1</f>
        <v>0</v>
      </c>
      <c r="T12" s="126">
        <f>+'ENE-SEP Bs 11NOV2016'!T13/'ENE-MAR USD AL 18MAR16'!$D$1/'ENE-MAR USD AL 18MAR16'!$E$1</f>
        <v>0</v>
      </c>
      <c r="U12" s="126">
        <f>+'ENE-SEP Bs 11NOV2016'!U13/'ENE-MAR USD AL 18MAR16'!$D$1/'ENE-MAR USD AL 18MAR16'!$F$1</f>
        <v>0</v>
      </c>
      <c r="V12" s="126">
        <f>+'ENE-SEP Bs 11NOV2016'!V13/'ENE-MAR USD AL 18MAR16'!$D$1/'ENE-MAR USD AL 18MAR16'!$E$1</f>
        <v>0</v>
      </c>
      <c r="W12" s="126">
        <f>+'ENE-SEP Bs 11NOV2016'!W13/'ENE-MAR USD AL 18MAR16'!$D$1/'ENE-MAR USD AL 18MAR16'!$F$1</f>
        <v>0</v>
      </c>
      <c r="X12" s="126">
        <f>+'ENE-SEP Bs 11NOV2016'!X13/'ENE-MAR USD AL 18MAR16'!$D$1/'ENE-MAR USD AL 18MAR16'!$E$1</f>
        <v>0</v>
      </c>
      <c r="Y12" s="126">
        <f>+'ENE-SEP Bs 11NOV2016'!Y13/'ENE-MAR USD AL 18MAR16'!$D$1/'ENE-MAR USD AL 18MAR16'!$F$1</f>
        <v>0</v>
      </c>
      <c r="Z12" s="126">
        <f>+'ENE-SEP Bs 11NOV2016'!Z13/'ENE-MAR USD AL 18MAR16'!$D$1/'ENE-MAR USD AL 18MAR16'!$E$1</f>
        <v>0</v>
      </c>
      <c r="AA12" s="126">
        <f>+'ENE-SEP Bs 11NOV2016'!AA13/'ENE-MAR USD AL 18MAR16'!$D$1/'ENE-MAR USD AL 18MAR16'!$F$1</f>
        <v>0</v>
      </c>
    </row>
    <row r="13" spans="1:27" x14ac:dyDescent="0.2">
      <c r="A13" s="126"/>
      <c r="B13" s="126" t="s">
        <v>48</v>
      </c>
      <c r="C13" s="126" t="s">
        <v>141</v>
      </c>
      <c r="D13" s="126">
        <f>+'ENE-SEP Bs 11NOV2016'!D14/'ENE-MAR USD AL 18MAR16'!$D$1/'ENE-MAR USD AL 18MAR16'!$E$1</f>
        <v>0.77096349206349202</v>
      </c>
      <c r="E13" s="126">
        <f>+'ENE-SEP Bs 11NOV2016'!E14/'ENE-MAR USD AL 18MAR16'!$D$1/'ENE-MAR USD AL 18MAR16'!$E$1</f>
        <v>0.6536507936507937</v>
      </c>
      <c r="F13" s="126">
        <f>+'ENE-SEP Bs 11NOV2016'!F14/'ENE-MAR USD AL 18MAR16'!$D$1/'ENE-MAR USD AL 18MAR16'!$E$1</f>
        <v>1.5499412698412696</v>
      </c>
      <c r="G13" s="126">
        <f>+'ENE-SEP Bs 11NOV2016'!G14/'ENE-MAR USD AL 18MAR16'!$D$1/'ENE-MAR USD AL 18MAR16'!$E$1</f>
        <v>1.4445968253968253</v>
      </c>
      <c r="H13" s="126">
        <f>+'ENE-SEP Bs 11NOV2016'!H14/'ENE-MAR USD AL 18MAR16'!$D$1/'ENE-MAR USD AL 18MAR16'!$E$1</f>
        <v>3.681861904761905</v>
      </c>
      <c r="I13" s="126">
        <f>+'ENE-SEP Bs 11NOV2016'!I14/'ENE-MAR USD AL 18MAR16'!$D$1/'ENE-MAR USD AL 18MAR16'!$F$1</f>
        <v>9.5939149999999991</v>
      </c>
      <c r="J13" s="126">
        <f>+'ENE-SEP Bs 11NOV2016'!J14/'ENE-MAR USD AL 18MAR16'!$D$1/'ENE-MAR USD AL 18MAR16'!$E$1</f>
        <v>4.9029777777777772</v>
      </c>
      <c r="K13" s="126">
        <f>+'ENE-SEP Bs 11NOV2016'!K14/'ENE-MAR USD AL 18MAR16'!$D$1/'ENE-MAR USD AL 18MAR16'!$F$1</f>
        <v>10.457668999999999</v>
      </c>
      <c r="L13" s="126">
        <f>+'ENE-SEP Bs 11NOV2016'!L14/'ENE-MAR USD AL 18MAR16'!$D$1/'ENE-MAR USD AL 18MAR16'!$E$1</f>
        <v>6.1263634920634917</v>
      </c>
      <c r="M13" s="126">
        <f>+'ENE-SEP Bs 11NOV2016'!M14/'ENE-MAR USD AL 18MAR16'!$D$1/'ENE-MAR USD AL 18MAR16'!$F$1</f>
        <v>11.45374</v>
      </c>
      <c r="N13" s="126">
        <f>+'ENE-SEP Bs 11NOV2016'!N14/'ENE-MAR USD AL 18MAR16'!$D$1/'ENE-MAR USD AL 18MAR16'!$E$1</f>
        <v>7.677026984126984</v>
      </c>
      <c r="O13" s="126">
        <f>+'ENE-SEP Bs 11NOV2016'!O14/'ENE-MAR USD AL 18MAR16'!$D$1/'ENE-MAR USD AL 18MAR16'!$F$1</f>
        <v>13.078712999999999</v>
      </c>
      <c r="P13" s="126">
        <f>+'ENE-SEP Bs 11NOV2016'!P14/'ENE-MAR USD AL 18MAR16'!$D$1/'ENE-MAR USD AL 18MAR16'!$E$1</f>
        <v>9.1760190476190484</v>
      </c>
      <c r="Q13" s="126">
        <f>+'ENE-SEP Bs 11NOV2016'!Q14/'ENE-MAR USD AL 18MAR16'!$D$1/'ENE-MAR USD AL 18MAR16'!$F$1</f>
        <v>14.375420000000002</v>
      </c>
      <c r="R13" s="126">
        <f>+'ENE-SEP Bs 11NOV2016'!R14/'ENE-MAR USD AL 18MAR16'!$D$1/'ENE-MAR USD AL 18MAR16'!$E$1</f>
        <v>10.687285714285714</v>
      </c>
      <c r="S13" s="126">
        <f>+'ENE-SEP Bs 11NOV2016'!S14/'ENE-MAR USD AL 18MAR16'!$D$1/'ENE-MAR USD AL 18MAR16'!$F$1</f>
        <v>22.377982999999997</v>
      </c>
      <c r="T13" s="126">
        <f>+'ENE-SEP Bs 11NOV2016'!T14/'ENE-MAR USD AL 18MAR16'!$D$1/'ENE-MAR USD AL 18MAR16'!$E$1</f>
        <v>12.195822222222221</v>
      </c>
      <c r="U13" s="126">
        <f>+'ENE-SEP Bs 11NOV2016'!U14/'ENE-MAR USD AL 18MAR16'!$D$1/'ENE-MAR USD AL 18MAR16'!$F$1</f>
        <v>24.614395999999999</v>
      </c>
      <c r="V13" s="126">
        <f>+'ENE-SEP Bs 11NOV2016'!V14/'ENE-MAR USD AL 18MAR16'!$D$1/'ENE-MAR USD AL 18MAR16'!$E$1</f>
        <v>14.107273015873018</v>
      </c>
      <c r="W13" s="126">
        <f>+'ENE-SEP Bs 11NOV2016'!W14/'ENE-MAR USD AL 18MAR16'!$D$1/'ENE-MAR USD AL 18MAR16'!$F$1</f>
        <v>27.4267</v>
      </c>
      <c r="X13" s="126">
        <f>+'ENE-SEP Bs 11NOV2016'!X14/'ENE-MAR USD AL 18MAR16'!$D$1/'ENE-MAR USD AL 18MAR16'!$E$1</f>
        <v>15.690887301587301</v>
      </c>
      <c r="Y13" s="126">
        <f>+'ENE-SEP Bs 11NOV2016'!Y14/'ENE-MAR USD AL 18MAR16'!$D$1/'ENE-MAR USD AL 18MAR16'!$F$1</f>
        <v>27.4267</v>
      </c>
      <c r="Z13" s="126">
        <f>+'ENE-SEP Bs 11NOV2016'!Z14/'ENE-MAR USD AL 18MAR16'!$D$1/'ENE-MAR USD AL 18MAR16'!$E$1</f>
        <v>22.670785714285717</v>
      </c>
      <c r="AA13" s="126">
        <f>+'ENE-SEP Bs 11NOV2016'!AA14/'ENE-MAR USD AL 18MAR16'!$D$1/'ENE-MAR USD AL 18MAR16'!$F$1</f>
        <v>0</v>
      </c>
    </row>
    <row r="14" spans="1:27" x14ac:dyDescent="0.2">
      <c r="A14" s="126"/>
      <c r="B14" s="126" t="s">
        <v>49</v>
      </c>
      <c r="C14" s="126" t="s">
        <v>50</v>
      </c>
      <c r="D14" s="126">
        <f>+'ENE-SEP Bs 11NOV2016'!D15/'ENE-MAR USD AL 18MAR16'!$D$1/'ENE-MAR USD AL 18MAR16'!$E$1</f>
        <v>0</v>
      </c>
      <c r="E14" s="126">
        <f>+'ENE-SEP Bs 11NOV2016'!E15/'ENE-MAR USD AL 18MAR16'!$D$1/'ENE-MAR USD AL 18MAR16'!$E$1</f>
        <v>0</v>
      </c>
      <c r="F14" s="126">
        <f>+'ENE-SEP Bs 11NOV2016'!F15/'ENE-MAR USD AL 18MAR16'!$D$1/'ENE-MAR USD AL 18MAR16'!$E$1</f>
        <v>0</v>
      </c>
      <c r="G14" s="126">
        <f>+'ENE-SEP Bs 11NOV2016'!G15/'ENE-MAR USD AL 18MAR16'!$D$1/'ENE-MAR USD AL 18MAR16'!$E$1</f>
        <v>-3.2761904761904768E-3</v>
      </c>
      <c r="H14" s="126">
        <f>+'ENE-SEP Bs 11NOV2016'!H15/'ENE-MAR USD AL 18MAR16'!$D$1/'ENE-MAR USD AL 18MAR16'!$E$1</f>
        <v>0</v>
      </c>
      <c r="I14" s="126">
        <f>+'ENE-SEP Bs 11NOV2016'!I15/'ENE-MAR USD AL 18MAR16'!$D$1/'ENE-MAR USD AL 18MAR16'!$F$1</f>
        <v>-2.0640000000000003E-3</v>
      </c>
      <c r="J14" s="126">
        <f>+'ENE-SEP Bs 11NOV2016'!J15/'ENE-MAR USD AL 18MAR16'!$D$1/'ENE-MAR USD AL 18MAR16'!$E$1</f>
        <v>0</v>
      </c>
      <c r="K14" s="126">
        <f>+'ENE-SEP Bs 11NOV2016'!K15/'ENE-MAR USD AL 18MAR16'!$D$1/'ENE-MAR USD AL 18MAR16'!$F$1</f>
        <v>-2.0640000000000003E-3</v>
      </c>
      <c r="L14" s="126">
        <f>+'ENE-SEP Bs 11NOV2016'!L15/'ENE-MAR USD AL 18MAR16'!$D$1/'ENE-MAR USD AL 18MAR16'!$E$1</f>
        <v>0</v>
      </c>
      <c r="M14" s="126">
        <f>+'ENE-SEP Bs 11NOV2016'!M15/'ENE-MAR USD AL 18MAR16'!$D$1/'ENE-MAR USD AL 18MAR16'!$F$1</f>
        <v>-4.8739999999999999E-3</v>
      </c>
      <c r="N14" s="126">
        <f>+'ENE-SEP Bs 11NOV2016'!N15/'ENE-MAR USD AL 18MAR16'!$D$1/'ENE-MAR USD AL 18MAR16'!$E$1</f>
        <v>0</v>
      </c>
      <c r="O14" s="126">
        <f>+'ENE-SEP Bs 11NOV2016'!O15/'ENE-MAR USD AL 18MAR16'!$D$1/'ENE-MAR USD AL 18MAR16'!$F$1</f>
        <v>-4.8739999999999999E-3</v>
      </c>
      <c r="P14" s="126">
        <f>+'ENE-SEP Bs 11NOV2016'!P15/'ENE-MAR USD AL 18MAR16'!$D$1/'ENE-MAR USD AL 18MAR16'!$E$1</f>
        <v>0</v>
      </c>
      <c r="Q14" s="126">
        <f>+'ENE-SEP Bs 11NOV2016'!Q15/'ENE-MAR USD AL 18MAR16'!$D$1/'ENE-MAR USD AL 18MAR16'!$F$1</f>
        <v>0</v>
      </c>
      <c r="R14" s="126">
        <f>+'ENE-SEP Bs 11NOV2016'!R15/'ENE-MAR USD AL 18MAR16'!$D$1/'ENE-MAR USD AL 18MAR16'!$E$1</f>
        <v>0</v>
      </c>
      <c r="S14" s="126">
        <f>+'ENE-SEP Bs 11NOV2016'!S15/'ENE-MAR USD AL 18MAR16'!$D$1/'ENE-MAR USD AL 18MAR16'!$F$1</f>
        <v>0</v>
      </c>
      <c r="T14" s="126">
        <f>+'ENE-SEP Bs 11NOV2016'!T15/'ENE-MAR USD AL 18MAR16'!$D$1/'ENE-MAR USD AL 18MAR16'!$E$1</f>
        <v>0</v>
      </c>
      <c r="U14" s="126">
        <f>+'ENE-SEP Bs 11NOV2016'!U15/'ENE-MAR USD AL 18MAR16'!$D$1/'ENE-MAR USD AL 18MAR16'!$F$1</f>
        <v>0</v>
      </c>
      <c r="V14" s="126">
        <f>+'ENE-SEP Bs 11NOV2016'!V15/'ENE-MAR USD AL 18MAR16'!$D$1/'ENE-MAR USD AL 18MAR16'!$E$1</f>
        <v>0</v>
      </c>
      <c r="W14" s="126">
        <f>+'ENE-SEP Bs 11NOV2016'!W15/'ENE-MAR USD AL 18MAR16'!$D$1/'ENE-MAR USD AL 18MAR16'!$F$1</f>
        <v>0</v>
      </c>
      <c r="X14" s="126">
        <f>+'ENE-SEP Bs 11NOV2016'!X15/'ENE-MAR USD AL 18MAR16'!$D$1/'ENE-MAR USD AL 18MAR16'!$E$1</f>
        <v>0</v>
      </c>
      <c r="Y14" s="126">
        <f>+'ENE-SEP Bs 11NOV2016'!Y15/'ENE-MAR USD AL 18MAR16'!$D$1/'ENE-MAR USD AL 18MAR16'!$F$1</f>
        <v>0</v>
      </c>
      <c r="Z14" s="126">
        <f>+'ENE-SEP Bs 11NOV2016'!Z15/'ENE-MAR USD AL 18MAR16'!$D$1/'ENE-MAR USD AL 18MAR16'!$E$1</f>
        <v>0</v>
      </c>
      <c r="AA14" s="126">
        <f>+'ENE-SEP Bs 11NOV2016'!AA15/'ENE-MAR USD AL 18MAR16'!$D$1/'ENE-MAR USD AL 18MAR16'!$F$1</f>
        <v>0</v>
      </c>
    </row>
    <row r="15" spans="1:27" x14ac:dyDescent="0.2">
      <c r="A15" s="126"/>
      <c r="B15" s="126" t="s">
        <v>187</v>
      </c>
      <c r="C15" s="126" t="s">
        <v>188</v>
      </c>
      <c r="D15" s="126">
        <f>+'ENE-SEP Bs 11NOV2016'!D16/'ENE-MAR USD AL 18MAR16'!$D$1/'ENE-MAR USD AL 18MAR16'!$E$1</f>
        <v>0</v>
      </c>
      <c r="E15" s="126">
        <f>+'ENE-SEP Bs 11NOV2016'!E16/'ENE-MAR USD AL 18MAR16'!$D$1/'ENE-MAR USD AL 18MAR16'!$E$1</f>
        <v>0</v>
      </c>
      <c r="F15" s="126">
        <f>+'ENE-SEP Bs 11NOV2016'!F16/'ENE-MAR USD AL 18MAR16'!$D$1/'ENE-MAR USD AL 18MAR16'!$E$1</f>
        <v>0</v>
      </c>
      <c r="G15" s="126">
        <f>+'ENE-SEP Bs 11NOV2016'!G16/'ENE-MAR USD AL 18MAR16'!$D$1/'ENE-MAR USD AL 18MAR16'!$E$1</f>
        <v>0</v>
      </c>
      <c r="H15" s="126">
        <f>+'ENE-SEP Bs 11NOV2016'!H16/'ENE-MAR USD AL 18MAR16'!$D$1/'ENE-MAR USD AL 18MAR16'!$E$1</f>
        <v>0</v>
      </c>
      <c r="I15" s="126">
        <f>+'ENE-SEP Bs 11NOV2016'!I16/'ENE-MAR USD AL 18MAR16'!$D$1/'ENE-MAR USD AL 18MAR16'!$F$1</f>
        <v>0</v>
      </c>
      <c r="J15" s="126">
        <f>+'ENE-SEP Bs 11NOV2016'!J16/'ENE-MAR USD AL 18MAR16'!$D$1/'ENE-MAR USD AL 18MAR16'!$E$1</f>
        <v>0</v>
      </c>
      <c r="K15" s="126">
        <f>+'ENE-SEP Bs 11NOV2016'!K16/'ENE-MAR USD AL 18MAR16'!$D$1/'ENE-MAR USD AL 18MAR16'!$F$1</f>
        <v>0</v>
      </c>
      <c r="L15" s="126">
        <f>+'ENE-SEP Bs 11NOV2016'!L16/'ENE-MAR USD AL 18MAR16'!$D$1/'ENE-MAR USD AL 18MAR16'!$E$1</f>
        <v>0</v>
      </c>
      <c r="M15" s="126">
        <f>+'ENE-SEP Bs 11NOV2016'!M16/'ENE-MAR USD AL 18MAR16'!$D$1/'ENE-MAR USD AL 18MAR16'!$F$1</f>
        <v>0</v>
      </c>
      <c r="N15" s="126">
        <f>+'ENE-SEP Bs 11NOV2016'!N16/'ENE-MAR USD AL 18MAR16'!$D$1/'ENE-MAR USD AL 18MAR16'!$E$1</f>
        <v>0</v>
      </c>
      <c r="O15" s="126">
        <f>+'ENE-SEP Bs 11NOV2016'!O16/'ENE-MAR USD AL 18MAR16'!$D$1/'ENE-MAR USD AL 18MAR16'!$F$1</f>
        <v>0</v>
      </c>
      <c r="P15" s="126">
        <f>+'ENE-SEP Bs 11NOV2016'!P16/'ENE-MAR USD AL 18MAR16'!$D$1/'ENE-MAR USD AL 18MAR16'!$E$1</f>
        <v>0</v>
      </c>
      <c r="Q15" s="126">
        <f>+'ENE-SEP Bs 11NOV2016'!Q16/'ENE-MAR USD AL 18MAR16'!$D$1/'ENE-MAR USD AL 18MAR16'!$F$1</f>
        <v>0</v>
      </c>
      <c r="R15" s="126">
        <f>+'ENE-SEP Bs 11NOV2016'!R16/'ENE-MAR USD AL 18MAR16'!$D$1/'ENE-MAR USD AL 18MAR16'!$E$1</f>
        <v>0</v>
      </c>
      <c r="S15" s="126">
        <f>+'ENE-SEP Bs 11NOV2016'!S16/'ENE-MAR USD AL 18MAR16'!$D$1/'ENE-MAR USD AL 18MAR16'!$F$1</f>
        <v>0</v>
      </c>
      <c r="T15" s="126">
        <f>+'ENE-SEP Bs 11NOV2016'!T16/'ENE-MAR USD AL 18MAR16'!$D$1/'ENE-MAR USD AL 18MAR16'!$E$1</f>
        <v>0</v>
      </c>
      <c r="U15" s="126">
        <f>+'ENE-SEP Bs 11NOV2016'!U16/'ENE-MAR USD AL 18MAR16'!$D$1/'ENE-MAR USD AL 18MAR16'!$F$1</f>
        <v>0</v>
      </c>
      <c r="V15" s="126">
        <f>+'ENE-SEP Bs 11NOV2016'!V16/'ENE-MAR USD AL 18MAR16'!$D$1/'ENE-MAR USD AL 18MAR16'!$E$1</f>
        <v>0</v>
      </c>
      <c r="W15" s="126">
        <f>+'ENE-SEP Bs 11NOV2016'!W16/'ENE-MAR USD AL 18MAR16'!$D$1/'ENE-MAR USD AL 18MAR16'!$F$1</f>
        <v>0</v>
      </c>
      <c r="X15" s="126">
        <f>+'ENE-SEP Bs 11NOV2016'!X16/'ENE-MAR USD AL 18MAR16'!$D$1/'ENE-MAR USD AL 18MAR16'!$E$1</f>
        <v>0</v>
      </c>
      <c r="Y15" s="126">
        <f>+'ENE-SEP Bs 11NOV2016'!Y16/'ENE-MAR USD AL 18MAR16'!$D$1/'ENE-MAR USD AL 18MAR16'!$F$1</f>
        <v>0</v>
      </c>
      <c r="Z15" s="126">
        <f>+'ENE-SEP Bs 11NOV2016'!Z16/'ENE-MAR USD AL 18MAR16'!$D$1/'ENE-MAR USD AL 18MAR16'!$E$1</f>
        <v>0</v>
      </c>
      <c r="AA15" s="126">
        <f>+'ENE-SEP Bs 11NOV2016'!AA16/'ENE-MAR USD AL 18MAR16'!$D$1/'ENE-MAR USD AL 18MAR16'!$F$1</f>
        <v>0</v>
      </c>
    </row>
    <row r="16" spans="1:27" x14ac:dyDescent="0.2">
      <c r="A16" s="126"/>
      <c r="B16" s="126" t="s">
        <v>51</v>
      </c>
      <c r="C16" s="126" t="s">
        <v>52</v>
      </c>
      <c r="D16" s="126">
        <f>+'ENE-SEP Bs 11NOV2016'!D17/'ENE-MAR USD AL 18MAR16'!$D$1/'ENE-MAR USD AL 18MAR16'!$E$1</f>
        <v>0</v>
      </c>
      <c r="E16" s="126">
        <f>+'ENE-SEP Bs 11NOV2016'!E17/'ENE-MAR USD AL 18MAR16'!$D$1/'ENE-MAR USD AL 18MAR16'!$E$1</f>
        <v>0</v>
      </c>
      <c r="F16" s="126">
        <f>+'ENE-SEP Bs 11NOV2016'!F17/'ENE-MAR USD AL 18MAR16'!$D$1/'ENE-MAR USD AL 18MAR16'!$E$1</f>
        <v>0</v>
      </c>
      <c r="G16" s="126">
        <f>+'ENE-SEP Bs 11NOV2016'!G17/'ENE-MAR USD AL 18MAR16'!$D$1/'ENE-MAR USD AL 18MAR16'!$E$1</f>
        <v>0</v>
      </c>
      <c r="H16" s="126">
        <f>+'ENE-SEP Bs 11NOV2016'!H17/'ENE-MAR USD AL 18MAR16'!$D$1/'ENE-MAR USD AL 18MAR16'!$E$1</f>
        <v>0</v>
      </c>
      <c r="I16" s="126">
        <f>+'ENE-SEP Bs 11NOV2016'!I17/'ENE-MAR USD AL 18MAR16'!$D$1/'ENE-MAR USD AL 18MAR16'!$F$1</f>
        <v>0</v>
      </c>
      <c r="J16" s="126">
        <f>+'ENE-SEP Bs 11NOV2016'!J17/'ENE-MAR USD AL 18MAR16'!$D$1/'ENE-MAR USD AL 18MAR16'!$E$1</f>
        <v>0</v>
      </c>
      <c r="K16" s="126">
        <f>+'ENE-SEP Bs 11NOV2016'!K17/'ENE-MAR USD AL 18MAR16'!$D$1/'ENE-MAR USD AL 18MAR16'!$F$1</f>
        <v>0</v>
      </c>
      <c r="L16" s="126">
        <f>+'ENE-SEP Bs 11NOV2016'!L17/'ENE-MAR USD AL 18MAR16'!$D$1/'ENE-MAR USD AL 18MAR16'!$E$1</f>
        <v>0</v>
      </c>
      <c r="M16" s="126">
        <f>+'ENE-SEP Bs 11NOV2016'!M17/'ENE-MAR USD AL 18MAR16'!$D$1/'ENE-MAR USD AL 18MAR16'!$F$1</f>
        <v>0</v>
      </c>
      <c r="N16" s="126">
        <f>+'ENE-SEP Bs 11NOV2016'!N17/'ENE-MAR USD AL 18MAR16'!$D$1/'ENE-MAR USD AL 18MAR16'!$E$1</f>
        <v>0</v>
      </c>
      <c r="O16" s="126">
        <f>+'ENE-SEP Bs 11NOV2016'!O17/'ENE-MAR USD AL 18MAR16'!$D$1/'ENE-MAR USD AL 18MAR16'!$F$1</f>
        <v>0</v>
      </c>
      <c r="P16" s="126">
        <f>+'ENE-SEP Bs 11NOV2016'!P17/'ENE-MAR USD AL 18MAR16'!$D$1/'ENE-MAR USD AL 18MAR16'!$E$1</f>
        <v>0</v>
      </c>
      <c r="Q16" s="126">
        <f>+'ENE-SEP Bs 11NOV2016'!Q17/'ENE-MAR USD AL 18MAR16'!$D$1/'ENE-MAR USD AL 18MAR16'!$F$1</f>
        <v>0</v>
      </c>
      <c r="R16" s="126">
        <f>+'ENE-SEP Bs 11NOV2016'!R17/'ENE-MAR USD AL 18MAR16'!$D$1/'ENE-MAR USD AL 18MAR16'!$E$1</f>
        <v>0</v>
      </c>
      <c r="S16" s="126">
        <f>+'ENE-SEP Bs 11NOV2016'!S17/'ENE-MAR USD AL 18MAR16'!$D$1/'ENE-MAR USD AL 18MAR16'!$F$1</f>
        <v>0</v>
      </c>
      <c r="T16" s="126">
        <f>+'ENE-SEP Bs 11NOV2016'!T17/'ENE-MAR USD AL 18MAR16'!$D$1/'ENE-MAR USD AL 18MAR16'!$E$1</f>
        <v>0</v>
      </c>
      <c r="U16" s="126">
        <f>+'ENE-SEP Bs 11NOV2016'!U17/'ENE-MAR USD AL 18MAR16'!$D$1/'ENE-MAR USD AL 18MAR16'!$F$1</f>
        <v>0</v>
      </c>
      <c r="V16" s="126">
        <f>+'ENE-SEP Bs 11NOV2016'!V17/'ENE-MAR USD AL 18MAR16'!$D$1/'ENE-MAR USD AL 18MAR16'!$E$1</f>
        <v>0</v>
      </c>
      <c r="W16" s="126">
        <f>+'ENE-SEP Bs 11NOV2016'!W17/'ENE-MAR USD AL 18MAR16'!$D$1/'ENE-MAR USD AL 18MAR16'!$F$1</f>
        <v>0</v>
      </c>
      <c r="X16" s="126">
        <f>+'ENE-SEP Bs 11NOV2016'!X17/'ENE-MAR USD AL 18MAR16'!$D$1/'ENE-MAR USD AL 18MAR16'!$E$1</f>
        <v>0</v>
      </c>
      <c r="Y16" s="126">
        <f>+'ENE-SEP Bs 11NOV2016'!Y17/'ENE-MAR USD AL 18MAR16'!$D$1/'ENE-MAR USD AL 18MAR16'!$F$1</f>
        <v>0</v>
      </c>
      <c r="Z16" s="126">
        <f>+'ENE-SEP Bs 11NOV2016'!Z17/'ENE-MAR USD AL 18MAR16'!$D$1/'ENE-MAR USD AL 18MAR16'!$E$1</f>
        <v>0</v>
      </c>
      <c r="AA16" s="126">
        <f>+'ENE-SEP Bs 11NOV2016'!AA17/'ENE-MAR USD AL 18MAR16'!$D$1/'ENE-MAR USD AL 18MAR16'!$F$1</f>
        <v>0</v>
      </c>
    </row>
    <row r="17" spans="1:27" x14ac:dyDescent="0.2">
      <c r="A17" s="126"/>
      <c r="B17" s="126" t="s">
        <v>53</v>
      </c>
      <c r="C17" s="126" t="s">
        <v>54</v>
      </c>
      <c r="D17" s="126">
        <f>+'ENE-SEP Bs 11NOV2016'!D18/'ENE-MAR USD AL 18MAR16'!$D$1/'ENE-MAR USD AL 18MAR16'!$E$1</f>
        <v>0</v>
      </c>
      <c r="E17" s="126">
        <f>+'ENE-SEP Bs 11NOV2016'!E18/'ENE-MAR USD AL 18MAR16'!$D$1/'ENE-MAR USD AL 18MAR16'!$E$1</f>
        <v>0</v>
      </c>
      <c r="F17" s="126">
        <f>+'ENE-SEP Bs 11NOV2016'!F18/'ENE-MAR USD AL 18MAR16'!$D$1/'ENE-MAR USD AL 18MAR16'!$E$1</f>
        <v>0</v>
      </c>
      <c r="G17" s="126">
        <f>+'ENE-SEP Bs 11NOV2016'!G18/'ENE-MAR USD AL 18MAR16'!$D$1/'ENE-MAR USD AL 18MAR16'!$E$1</f>
        <v>0</v>
      </c>
      <c r="H17" s="126">
        <f>+'ENE-SEP Bs 11NOV2016'!H18/'ENE-MAR USD AL 18MAR16'!$D$1/'ENE-MAR USD AL 18MAR16'!$E$1</f>
        <v>0</v>
      </c>
      <c r="I17" s="126">
        <f>+'ENE-SEP Bs 11NOV2016'!I18/'ENE-MAR USD AL 18MAR16'!$D$1/'ENE-MAR USD AL 18MAR16'!$F$1</f>
        <v>0</v>
      </c>
      <c r="J17" s="126">
        <f>+'ENE-SEP Bs 11NOV2016'!J18/'ENE-MAR USD AL 18MAR16'!$D$1/'ENE-MAR USD AL 18MAR16'!$E$1</f>
        <v>0</v>
      </c>
      <c r="K17" s="126">
        <f>+'ENE-SEP Bs 11NOV2016'!K18/'ENE-MAR USD AL 18MAR16'!$D$1/'ENE-MAR USD AL 18MAR16'!$F$1</f>
        <v>3.0800000000000001E-4</v>
      </c>
      <c r="L17" s="126">
        <f>+'ENE-SEP Bs 11NOV2016'!L18/'ENE-MAR USD AL 18MAR16'!$D$1/'ENE-MAR USD AL 18MAR16'!$E$1</f>
        <v>0</v>
      </c>
      <c r="M17" s="126">
        <f>+'ENE-SEP Bs 11NOV2016'!M18/'ENE-MAR USD AL 18MAR16'!$D$1/'ENE-MAR USD AL 18MAR16'!$F$1</f>
        <v>-3.2705999999999999E-2</v>
      </c>
      <c r="N17" s="126">
        <f>+'ENE-SEP Bs 11NOV2016'!N18/'ENE-MAR USD AL 18MAR16'!$D$1/'ENE-MAR USD AL 18MAR16'!$E$1</f>
        <v>0</v>
      </c>
      <c r="O17" s="126">
        <f>+'ENE-SEP Bs 11NOV2016'!O18/'ENE-MAR USD AL 18MAR16'!$D$1/'ENE-MAR USD AL 18MAR16'!$F$1</f>
        <v>-2.7126000000000001E-2</v>
      </c>
      <c r="P17" s="126">
        <f>+'ENE-SEP Bs 11NOV2016'!P18/'ENE-MAR USD AL 18MAR16'!$D$1/'ENE-MAR USD AL 18MAR16'!$E$1</f>
        <v>0</v>
      </c>
      <c r="Q17" s="126">
        <f>+'ENE-SEP Bs 11NOV2016'!Q18/'ENE-MAR USD AL 18MAR16'!$D$1/'ENE-MAR USD AL 18MAR16'!$F$1</f>
        <v>6.9688E-2</v>
      </c>
      <c r="R17" s="126">
        <f>+'ENE-SEP Bs 11NOV2016'!R18/'ENE-MAR USD AL 18MAR16'!$D$1/'ENE-MAR USD AL 18MAR16'!$E$1</f>
        <v>0</v>
      </c>
      <c r="S17" s="126">
        <f>+'ENE-SEP Bs 11NOV2016'!S18/'ENE-MAR USD AL 18MAR16'!$D$1/'ENE-MAR USD AL 18MAR16'!$F$1</f>
        <v>0.32754899999999998</v>
      </c>
      <c r="T17" s="126">
        <f>+'ENE-SEP Bs 11NOV2016'!T18/'ENE-MAR USD AL 18MAR16'!$D$1/'ENE-MAR USD AL 18MAR16'!$E$1</f>
        <v>0</v>
      </c>
      <c r="U17" s="126">
        <f>+'ENE-SEP Bs 11NOV2016'!U18/'ENE-MAR USD AL 18MAR16'!$D$1/'ENE-MAR USD AL 18MAR16'!$F$1</f>
        <v>0.32754899999999998</v>
      </c>
      <c r="V17" s="126">
        <f>+'ENE-SEP Bs 11NOV2016'!V18/'ENE-MAR USD AL 18MAR16'!$D$1/'ENE-MAR USD AL 18MAR16'!$E$1</f>
        <v>0</v>
      </c>
      <c r="W17" s="126">
        <f>+'ENE-SEP Bs 11NOV2016'!W18/'ENE-MAR USD AL 18MAR16'!$D$1/'ENE-MAR USD AL 18MAR16'!$F$1</f>
        <v>0.32754899999999998</v>
      </c>
      <c r="X17" s="126">
        <f>+'ENE-SEP Bs 11NOV2016'!X18/'ENE-MAR USD AL 18MAR16'!$D$1/'ENE-MAR USD AL 18MAR16'!$E$1</f>
        <v>0</v>
      </c>
      <c r="Y17" s="126">
        <f>+'ENE-SEP Bs 11NOV2016'!Y18/'ENE-MAR USD AL 18MAR16'!$D$1/'ENE-MAR USD AL 18MAR16'!$F$1</f>
        <v>0.32754899999999998</v>
      </c>
      <c r="Z17" s="126">
        <f>+'ENE-SEP Bs 11NOV2016'!Z18/'ENE-MAR USD AL 18MAR16'!$D$1/'ENE-MAR USD AL 18MAR16'!$E$1</f>
        <v>0</v>
      </c>
      <c r="AA17" s="126">
        <f>+'ENE-SEP Bs 11NOV2016'!AA18/'ENE-MAR USD AL 18MAR16'!$D$1/'ENE-MAR USD AL 18MAR16'!$F$1</f>
        <v>0</v>
      </c>
    </row>
    <row r="18" spans="1:27" x14ac:dyDescent="0.2">
      <c r="A18" s="126"/>
      <c r="B18" s="126" t="s">
        <v>55</v>
      </c>
      <c r="C18" s="126" t="s">
        <v>151</v>
      </c>
      <c r="D18" s="126">
        <f>+'ENE-SEP Bs 11NOV2016'!D19/'ENE-MAR USD AL 18MAR16'!$D$1/'ENE-MAR USD AL 18MAR16'!$E$1</f>
        <v>0</v>
      </c>
      <c r="E18" s="126">
        <f>+'ENE-SEP Bs 11NOV2016'!E19/'ENE-MAR USD AL 18MAR16'!$D$1/'ENE-MAR USD AL 18MAR16'!$E$1</f>
        <v>0</v>
      </c>
      <c r="F18" s="126">
        <f>+'ENE-SEP Bs 11NOV2016'!F19/'ENE-MAR USD AL 18MAR16'!$D$1/'ENE-MAR USD AL 18MAR16'!$E$1</f>
        <v>0</v>
      </c>
      <c r="G18" s="126">
        <f>+'ENE-SEP Bs 11NOV2016'!G19/'ENE-MAR USD AL 18MAR16'!$D$1/'ENE-MAR USD AL 18MAR16'!$E$1</f>
        <v>13.910741269841271</v>
      </c>
      <c r="H18" s="126">
        <f>+'ENE-SEP Bs 11NOV2016'!H19/'ENE-MAR USD AL 18MAR16'!$D$1/'ENE-MAR USD AL 18MAR16'!$E$1</f>
        <v>0</v>
      </c>
      <c r="I18" s="126">
        <f>+'ENE-SEP Bs 11NOV2016'!I19/'ENE-MAR USD AL 18MAR16'!$D$1/'ENE-MAR USD AL 18MAR16'!$F$1</f>
        <v>18.501285000000003</v>
      </c>
      <c r="J18" s="126">
        <f>+'ENE-SEP Bs 11NOV2016'!J19/'ENE-MAR USD AL 18MAR16'!$D$1/'ENE-MAR USD AL 18MAR16'!$E$1</f>
        <v>0</v>
      </c>
      <c r="K18" s="126">
        <f>+'ENE-SEP Bs 11NOV2016'!K19/'ENE-MAR USD AL 18MAR16'!$D$1/'ENE-MAR USD AL 18MAR16'!$F$1</f>
        <v>36.093132000000004</v>
      </c>
      <c r="L18" s="126">
        <f>+'ENE-SEP Bs 11NOV2016'!L19/'ENE-MAR USD AL 18MAR16'!$D$1/'ENE-MAR USD AL 18MAR16'!$E$1</f>
        <v>0</v>
      </c>
      <c r="M18" s="126">
        <f>+'ENE-SEP Bs 11NOV2016'!M19/'ENE-MAR USD AL 18MAR16'!$D$1/'ENE-MAR USD AL 18MAR16'!$F$1</f>
        <v>36.093132000000004</v>
      </c>
      <c r="N18" s="126">
        <f>+'ENE-SEP Bs 11NOV2016'!N19/'ENE-MAR USD AL 18MAR16'!$D$1/'ENE-MAR USD AL 18MAR16'!$E$1</f>
        <v>0</v>
      </c>
      <c r="O18" s="126">
        <f>+'ENE-SEP Bs 11NOV2016'!O19/'ENE-MAR USD AL 18MAR16'!$D$1/'ENE-MAR USD AL 18MAR16'!$F$1</f>
        <v>36.093132000000004</v>
      </c>
      <c r="P18" s="126">
        <f>+'ENE-SEP Bs 11NOV2016'!P19/'ENE-MAR USD AL 18MAR16'!$D$1/'ENE-MAR USD AL 18MAR16'!$E$1</f>
        <v>0</v>
      </c>
      <c r="Q18" s="126">
        <f>+'ENE-SEP Bs 11NOV2016'!Q19/'ENE-MAR USD AL 18MAR16'!$D$1/'ENE-MAR USD AL 18MAR16'!$F$1</f>
        <v>36.093132000000004</v>
      </c>
      <c r="R18" s="126">
        <f>+'ENE-SEP Bs 11NOV2016'!R19/'ENE-MAR USD AL 18MAR16'!$D$1/'ENE-MAR USD AL 18MAR16'!$E$1</f>
        <v>0</v>
      </c>
      <c r="S18" s="126">
        <f>+'ENE-SEP Bs 11NOV2016'!S19/'ENE-MAR USD AL 18MAR16'!$D$1/'ENE-MAR USD AL 18MAR16'!$F$1</f>
        <v>36.093132000000004</v>
      </c>
      <c r="T18" s="126">
        <f>+'ENE-SEP Bs 11NOV2016'!T19/'ENE-MAR USD AL 18MAR16'!$D$1/'ENE-MAR USD AL 18MAR16'!$E$1</f>
        <v>0</v>
      </c>
      <c r="U18" s="126">
        <f>+'ENE-SEP Bs 11NOV2016'!U19/'ENE-MAR USD AL 18MAR16'!$D$1/'ENE-MAR USD AL 18MAR16'!$F$1</f>
        <v>36.093132000000004</v>
      </c>
      <c r="V18" s="126">
        <f>+'ENE-SEP Bs 11NOV2016'!V19/'ENE-MAR USD AL 18MAR16'!$D$1/'ENE-MAR USD AL 18MAR16'!$E$1</f>
        <v>0</v>
      </c>
      <c r="W18" s="126">
        <f>+'ENE-SEP Bs 11NOV2016'!W19/'ENE-MAR USD AL 18MAR16'!$D$1/'ENE-MAR USD AL 18MAR16'!$F$1</f>
        <v>36.093132000000004</v>
      </c>
      <c r="X18" s="126">
        <f>+'ENE-SEP Bs 11NOV2016'!X19/'ENE-MAR USD AL 18MAR16'!$D$1/'ENE-MAR USD AL 18MAR16'!$E$1</f>
        <v>0</v>
      </c>
      <c r="Y18" s="126">
        <f>+'ENE-SEP Bs 11NOV2016'!Y19/'ENE-MAR USD AL 18MAR16'!$D$1/'ENE-MAR USD AL 18MAR16'!$F$1</f>
        <v>36.093132000000004</v>
      </c>
      <c r="Z18" s="126">
        <f>+'ENE-SEP Bs 11NOV2016'!Z19/'ENE-MAR USD AL 18MAR16'!$D$1/'ENE-MAR USD AL 18MAR16'!$E$1</f>
        <v>0</v>
      </c>
      <c r="AA18" s="126">
        <f>+'ENE-SEP Bs 11NOV2016'!AA19/'ENE-MAR USD AL 18MAR16'!$D$1/'ENE-MAR USD AL 18MAR16'!$F$1</f>
        <v>0</v>
      </c>
    </row>
    <row r="19" spans="1:27" x14ac:dyDescent="0.2">
      <c r="A19" s="126"/>
      <c r="B19" s="126" t="s">
        <v>56</v>
      </c>
      <c r="C19" s="126" t="s">
        <v>152</v>
      </c>
      <c r="D19" s="126">
        <f>+'ENE-SEP Bs 11NOV2016'!D20/'ENE-MAR USD AL 18MAR16'!$D$1/'ENE-MAR USD AL 18MAR16'!$E$1</f>
        <v>0</v>
      </c>
      <c r="E19" s="126">
        <f>+'ENE-SEP Bs 11NOV2016'!E20/'ENE-MAR USD AL 18MAR16'!$D$1/'ENE-MAR USD AL 18MAR16'!$E$1</f>
        <v>0</v>
      </c>
      <c r="F19" s="126">
        <f>+'ENE-SEP Bs 11NOV2016'!F20/'ENE-MAR USD AL 18MAR16'!$D$1/'ENE-MAR USD AL 18MAR16'!$E$1</f>
        <v>0</v>
      </c>
      <c r="G19" s="126">
        <f>+'ENE-SEP Bs 11NOV2016'!G20/'ENE-MAR USD AL 18MAR16'!$D$1/'ENE-MAR USD AL 18MAR16'!$E$1</f>
        <v>0</v>
      </c>
      <c r="H19" s="126">
        <f>+'ENE-SEP Bs 11NOV2016'!H20/'ENE-MAR USD AL 18MAR16'!$D$1/'ENE-MAR USD AL 18MAR16'!$E$1</f>
        <v>0</v>
      </c>
      <c r="I19" s="126">
        <f>+'ENE-SEP Bs 11NOV2016'!I20/'ENE-MAR USD AL 18MAR16'!$D$1/'ENE-MAR USD AL 18MAR16'!$F$1</f>
        <v>0</v>
      </c>
      <c r="J19" s="126">
        <f>+'ENE-SEP Bs 11NOV2016'!J20/'ENE-MAR USD AL 18MAR16'!$D$1/'ENE-MAR USD AL 18MAR16'!$E$1</f>
        <v>0</v>
      </c>
      <c r="K19" s="126">
        <f>+'ENE-SEP Bs 11NOV2016'!K20/'ENE-MAR USD AL 18MAR16'!$D$1/'ENE-MAR USD AL 18MAR16'!$F$1</f>
        <v>3.3449999999999999E-3</v>
      </c>
      <c r="L19" s="126">
        <f>+'ENE-SEP Bs 11NOV2016'!L20/'ENE-MAR USD AL 18MAR16'!$D$1/'ENE-MAR USD AL 18MAR16'!$E$1</f>
        <v>0</v>
      </c>
      <c r="M19" s="126">
        <f>+'ENE-SEP Bs 11NOV2016'!M20/'ENE-MAR USD AL 18MAR16'!$D$1/'ENE-MAR USD AL 18MAR16'!$F$1</f>
        <v>4.0040000000000006E-3</v>
      </c>
      <c r="N19" s="126">
        <f>+'ENE-SEP Bs 11NOV2016'!N20/'ENE-MAR USD AL 18MAR16'!$D$1/'ENE-MAR USD AL 18MAR16'!$E$1</f>
        <v>0</v>
      </c>
      <c r="O19" s="126">
        <f>+'ENE-SEP Bs 11NOV2016'!O20/'ENE-MAR USD AL 18MAR16'!$D$1/'ENE-MAR USD AL 18MAR16'!$F$1</f>
        <v>1.0789E-2</v>
      </c>
      <c r="P19" s="126">
        <f>+'ENE-SEP Bs 11NOV2016'!P20/'ENE-MAR USD AL 18MAR16'!$D$1/'ENE-MAR USD AL 18MAR16'!$E$1</f>
        <v>0</v>
      </c>
      <c r="Q19" s="126">
        <f>+'ENE-SEP Bs 11NOV2016'!Q20/'ENE-MAR USD AL 18MAR16'!$D$1/'ENE-MAR USD AL 18MAR16'!$F$1</f>
        <v>1.0789E-2</v>
      </c>
      <c r="R19" s="126">
        <f>+'ENE-SEP Bs 11NOV2016'!R20/'ENE-MAR USD AL 18MAR16'!$D$1/'ENE-MAR USD AL 18MAR16'!$E$1</f>
        <v>0</v>
      </c>
      <c r="S19" s="126">
        <f>+'ENE-SEP Bs 11NOV2016'!S20/'ENE-MAR USD AL 18MAR16'!$D$1/'ENE-MAR USD AL 18MAR16'!$F$1</f>
        <v>1.0789E-2</v>
      </c>
      <c r="T19" s="126">
        <f>+'ENE-SEP Bs 11NOV2016'!T20/'ENE-MAR USD AL 18MAR16'!$D$1/'ENE-MAR USD AL 18MAR16'!$E$1</f>
        <v>0</v>
      </c>
      <c r="U19" s="126">
        <f>+'ENE-SEP Bs 11NOV2016'!U20/'ENE-MAR USD AL 18MAR16'!$D$1/'ENE-MAR USD AL 18MAR16'!$F$1</f>
        <v>1.0789E-2</v>
      </c>
      <c r="V19" s="126">
        <f>+'ENE-SEP Bs 11NOV2016'!V20/'ENE-MAR USD AL 18MAR16'!$D$1/'ENE-MAR USD AL 18MAR16'!$E$1</f>
        <v>0</v>
      </c>
      <c r="W19" s="126">
        <f>+'ENE-SEP Bs 11NOV2016'!W20/'ENE-MAR USD AL 18MAR16'!$D$1/'ENE-MAR USD AL 18MAR16'!$F$1</f>
        <v>1.0789E-2</v>
      </c>
      <c r="X19" s="126">
        <f>+'ENE-SEP Bs 11NOV2016'!X20/'ENE-MAR USD AL 18MAR16'!$D$1/'ENE-MAR USD AL 18MAR16'!$E$1</f>
        <v>0</v>
      </c>
      <c r="Y19" s="126">
        <f>+'ENE-SEP Bs 11NOV2016'!Y20/'ENE-MAR USD AL 18MAR16'!$D$1/'ENE-MAR USD AL 18MAR16'!$F$1</f>
        <v>1.0789E-2</v>
      </c>
      <c r="Z19" s="126">
        <f>+'ENE-SEP Bs 11NOV2016'!Z20/'ENE-MAR USD AL 18MAR16'!$D$1/'ENE-MAR USD AL 18MAR16'!$E$1</f>
        <v>0</v>
      </c>
      <c r="AA19" s="126">
        <f>+'ENE-SEP Bs 11NOV2016'!AA20/'ENE-MAR USD AL 18MAR16'!$D$1/'ENE-MAR USD AL 18MAR16'!$F$1</f>
        <v>0</v>
      </c>
    </row>
    <row r="20" spans="1:27" x14ac:dyDescent="0.2">
      <c r="A20" s="126"/>
      <c r="B20" s="126" t="s">
        <v>57</v>
      </c>
      <c r="C20" s="126" t="s">
        <v>153</v>
      </c>
      <c r="D20" s="126">
        <f>+'ENE-SEP Bs 11NOV2016'!D21/'ENE-MAR USD AL 18MAR16'!$D$1/'ENE-MAR USD AL 18MAR16'!$E$1</f>
        <v>0</v>
      </c>
      <c r="E20" s="126">
        <f>+'ENE-SEP Bs 11NOV2016'!E21/'ENE-MAR USD AL 18MAR16'!$D$1/'ENE-MAR USD AL 18MAR16'!$E$1</f>
        <v>0</v>
      </c>
      <c r="F20" s="126">
        <f>+'ENE-SEP Bs 11NOV2016'!F21/'ENE-MAR USD AL 18MAR16'!$D$1/'ENE-MAR USD AL 18MAR16'!$E$1</f>
        <v>0</v>
      </c>
      <c r="G20" s="126">
        <f>+'ENE-SEP Bs 11NOV2016'!G21/'ENE-MAR USD AL 18MAR16'!$D$1/'ENE-MAR USD AL 18MAR16'!$E$1</f>
        <v>0</v>
      </c>
      <c r="H20" s="126">
        <f>+'ENE-SEP Bs 11NOV2016'!H21/'ENE-MAR USD AL 18MAR16'!$D$1/'ENE-MAR USD AL 18MAR16'!$E$1</f>
        <v>0</v>
      </c>
      <c r="I20" s="126">
        <f>+'ENE-SEP Bs 11NOV2016'!I21/'ENE-MAR USD AL 18MAR16'!$D$1/'ENE-MAR USD AL 18MAR16'!$F$1</f>
        <v>0</v>
      </c>
      <c r="J20" s="126">
        <f>+'ENE-SEP Bs 11NOV2016'!J21/'ENE-MAR USD AL 18MAR16'!$D$1/'ENE-MAR USD AL 18MAR16'!$E$1</f>
        <v>0</v>
      </c>
      <c r="K20" s="126">
        <f>+'ENE-SEP Bs 11NOV2016'!K21/'ENE-MAR USD AL 18MAR16'!$D$1/'ENE-MAR USD AL 18MAR16'!$F$1</f>
        <v>0</v>
      </c>
      <c r="L20" s="126">
        <f>+'ENE-SEP Bs 11NOV2016'!L21/'ENE-MAR USD AL 18MAR16'!$D$1/'ENE-MAR USD AL 18MAR16'!$E$1</f>
        <v>0</v>
      </c>
      <c r="M20" s="126">
        <f>+'ENE-SEP Bs 11NOV2016'!M21/'ENE-MAR USD AL 18MAR16'!$D$1/'ENE-MAR USD AL 18MAR16'!$F$1</f>
        <v>0</v>
      </c>
      <c r="N20" s="126">
        <f>+'ENE-SEP Bs 11NOV2016'!N21/'ENE-MAR USD AL 18MAR16'!$D$1/'ENE-MAR USD AL 18MAR16'!$E$1</f>
        <v>0</v>
      </c>
      <c r="O20" s="126">
        <f>+'ENE-SEP Bs 11NOV2016'!O21/'ENE-MAR USD AL 18MAR16'!$D$1/'ENE-MAR USD AL 18MAR16'!$F$1</f>
        <v>0</v>
      </c>
      <c r="P20" s="126">
        <f>+'ENE-SEP Bs 11NOV2016'!P21/'ENE-MAR USD AL 18MAR16'!$D$1/'ENE-MAR USD AL 18MAR16'!$E$1</f>
        <v>0</v>
      </c>
      <c r="Q20" s="126">
        <f>+'ENE-SEP Bs 11NOV2016'!Q21/'ENE-MAR USD AL 18MAR16'!$D$1/'ENE-MAR USD AL 18MAR16'!$F$1</f>
        <v>0</v>
      </c>
      <c r="R20" s="126">
        <f>+'ENE-SEP Bs 11NOV2016'!R21/'ENE-MAR USD AL 18MAR16'!$D$1/'ENE-MAR USD AL 18MAR16'!$E$1</f>
        <v>0</v>
      </c>
      <c r="S20" s="126">
        <f>+'ENE-SEP Bs 11NOV2016'!S21/'ENE-MAR USD AL 18MAR16'!$D$1/'ENE-MAR USD AL 18MAR16'!$F$1</f>
        <v>0</v>
      </c>
      <c r="T20" s="126">
        <f>+'ENE-SEP Bs 11NOV2016'!T21/'ENE-MAR USD AL 18MAR16'!$D$1/'ENE-MAR USD AL 18MAR16'!$E$1</f>
        <v>0</v>
      </c>
      <c r="U20" s="126">
        <f>+'ENE-SEP Bs 11NOV2016'!U21/'ENE-MAR USD AL 18MAR16'!$D$1/'ENE-MAR USD AL 18MAR16'!$F$1</f>
        <v>0</v>
      </c>
      <c r="V20" s="126">
        <f>+'ENE-SEP Bs 11NOV2016'!V21/'ENE-MAR USD AL 18MAR16'!$D$1/'ENE-MAR USD AL 18MAR16'!$E$1</f>
        <v>0</v>
      </c>
      <c r="W20" s="126">
        <f>+'ENE-SEP Bs 11NOV2016'!W21/'ENE-MAR USD AL 18MAR16'!$D$1/'ENE-MAR USD AL 18MAR16'!$F$1</f>
        <v>0</v>
      </c>
      <c r="X20" s="126">
        <f>+'ENE-SEP Bs 11NOV2016'!X21/'ENE-MAR USD AL 18MAR16'!$D$1/'ENE-MAR USD AL 18MAR16'!$E$1</f>
        <v>0</v>
      </c>
      <c r="Y20" s="126">
        <f>+'ENE-SEP Bs 11NOV2016'!Y21/'ENE-MAR USD AL 18MAR16'!$D$1/'ENE-MAR USD AL 18MAR16'!$F$1</f>
        <v>0</v>
      </c>
      <c r="Z20" s="126">
        <f>+'ENE-SEP Bs 11NOV2016'!Z21/'ENE-MAR USD AL 18MAR16'!$D$1/'ENE-MAR USD AL 18MAR16'!$E$1</f>
        <v>0</v>
      </c>
      <c r="AA20" s="126">
        <f>+'ENE-SEP Bs 11NOV2016'!AA21/'ENE-MAR USD AL 18MAR16'!$D$1/'ENE-MAR USD AL 18MAR16'!$F$1</f>
        <v>0</v>
      </c>
    </row>
    <row r="21" spans="1:27" x14ac:dyDescent="0.2">
      <c r="A21" s="126"/>
      <c r="B21" s="126" t="s">
        <v>154</v>
      </c>
      <c r="C21" s="126" t="s">
        <v>155</v>
      </c>
      <c r="D21" s="126">
        <f>+'ENE-SEP Bs 11NOV2016'!D22/'ENE-MAR USD AL 18MAR16'!$D$1/'ENE-MAR USD AL 18MAR16'!$E$1</f>
        <v>0</v>
      </c>
      <c r="E21" s="126">
        <f>+'ENE-SEP Bs 11NOV2016'!E22/'ENE-MAR USD AL 18MAR16'!$D$1/'ENE-MAR USD AL 18MAR16'!$E$1</f>
        <v>0</v>
      </c>
      <c r="F21" s="126">
        <f>+'ENE-SEP Bs 11NOV2016'!F22/'ENE-MAR USD AL 18MAR16'!$D$1/'ENE-MAR USD AL 18MAR16'!$E$1</f>
        <v>0</v>
      </c>
      <c r="G21" s="126">
        <f>+'ENE-SEP Bs 11NOV2016'!G22/'ENE-MAR USD AL 18MAR16'!$D$1/'ENE-MAR USD AL 18MAR16'!$E$1</f>
        <v>0</v>
      </c>
      <c r="H21" s="126">
        <f>+'ENE-SEP Bs 11NOV2016'!H22/'ENE-MAR USD AL 18MAR16'!$D$1/'ENE-MAR USD AL 18MAR16'!$E$1</f>
        <v>0</v>
      </c>
      <c r="I21" s="126">
        <f>+'ENE-SEP Bs 11NOV2016'!I22/'ENE-MAR USD AL 18MAR16'!$D$1/'ENE-MAR USD AL 18MAR16'!$F$1</f>
        <v>0</v>
      </c>
      <c r="J21" s="126">
        <f>+'ENE-SEP Bs 11NOV2016'!J22/'ENE-MAR USD AL 18MAR16'!$D$1/'ENE-MAR USD AL 18MAR16'!$E$1</f>
        <v>0</v>
      </c>
      <c r="K21" s="126">
        <f>+'ENE-SEP Bs 11NOV2016'!K22/'ENE-MAR USD AL 18MAR16'!$D$1/'ENE-MAR USD AL 18MAR16'!$F$1</f>
        <v>1.415E-3</v>
      </c>
      <c r="L21" s="126">
        <f>+'ENE-SEP Bs 11NOV2016'!L22/'ENE-MAR USD AL 18MAR16'!$D$1/'ENE-MAR USD AL 18MAR16'!$E$1</f>
        <v>0</v>
      </c>
      <c r="M21" s="126">
        <f>+'ENE-SEP Bs 11NOV2016'!M22/'ENE-MAR USD AL 18MAR16'!$D$1/'ENE-MAR USD AL 18MAR16'!$F$1</f>
        <v>1.415E-3</v>
      </c>
      <c r="N21" s="126">
        <f>+'ENE-SEP Bs 11NOV2016'!N22/'ENE-MAR USD AL 18MAR16'!$D$1/'ENE-MAR USD AL 18MAR16'!$E$1</f>
        <v>0</v>
      </c>
      <c r="O21" s="126">
        <f>+'ENE-SEP Bs 11NOV2016'!O22/'ENE-MAR USD AL 18MAR16'!$D$1/'ENE-MAR USD AL 18MAR16'!$F$1</f>
        <v>1.415E-3</v>
      </c>
      <c r="P21" s="126">
        <f>+'ENE-SEP Bs 11NOV2016'!P22/'ENE-MAR USD AL 18MAR16'!$D$1/'ENE-MAR USD AL 18MAR16'!$E$1</f>
        <v>0</v>
      </c>
      <c r="Q21" s="126">
        <f>+'ENE-SEP Bs 11NOV2016'!Q22/'ENE-MAR USD AL 18MAR16'!$D$1/'ENE-MAR USD AL 18MAR16'!$F$1</f>
        <v>1.415E-3</v>
      </c>
      <c r="R21" s="126">
        <f>+'ENE-SEP Bs 11NOV2016'!R22/'ENE-MAR USD AL 18MAR16'!$D$1/'ENE-MAR USD AL 18MAR16'!$E$1</f>
        <v>0</v>
      </c>
      <c r="S21" s="126">
        <f>+'ENE-SEP Bs 11NOV2016'!S22/'ENE-MAR USD AL 18MAR16'!$D$1/'ENE-MAR USD AL 18MAR16'!$F$1</f>
        <v>1.415E-3</v>
      </c>
      <c r="T21" s="126">
        <f>+'ENE-SEP Bs 11NOV2016'!T22/'ENE-MAR USD AL 18MAR16'!$D$1/'ENE-MAR USD AL 18MAR16'!$E$1</f>
        <v>0</v>
      </c>
      <c r="U21" s="126">
        <f>+'ENE-SEP Bs 11NOV2016'!U22/'ENE-MAR USD AL 18MAR16'!$D$1/'ENE-MAR USD AL 18MAR16'!$F$1</f>
        <v>1.415E-3</v>
      </c>
      <c r="V21" s="126">
        <f>+'ENE-SEP Bs 11NOV2016'!V22/'ENE-MAR USD AL 18MAR16'!$D$1/'ENE-MAR USD AL 18MAR16'!$E$1</f>
        <v>0</v>
      </c>
      <c r="W21" s="126">
        <f>+'ENE-SEP Bs 11NOV2016'!W22/'ENE-MAR USD AL 18MAR16'!$D$1/'ENE-MAR USD AL 18MAR16'!$F$1</f>
        <v>1.415E-3</v>
      </c>
      <c r="X21" s="126">
        <f>+'ENE-SEP Bs 11NOV2016'!X22/'ENE-MAR USD AL 18MAR16'!$D$1/'ENE-MAR USD AL 18MAR16'!$E$1</f>
        <v>0</v>
      </c>
      <c r="Y21" s="126">
        <f>+'ENE-SEP Bs 11NOV2016'!Y22/'ENE-MAR USD AL 18MAR16'!$D$1/'ENE-MAR USD AL 18MAR16'!$F$1</f>
        <v>1.415E-3</v>
      </c>
      <c r="Z21" s="126">
        <f>+'ENE-SEP Bs 11NOV2016'!Z22/'ENE-MAR USD AL 18MAR16'!$D$1/'ENE-MAR USD AL 18MAR16'!$E$1</f>
        <v>0</v>
      </c>
      <c r="AA21" s="126">
        <f>+'ENE-SEP Bs 11NOV2016'!AA22/'ENE-MAR USD AL 18MAR16'!$D$1/'ENE-MAR USD AL 18MAR16'!$F$1</f>
        <v>0</v>
      </c>
    </row>
    <row r="22" spans="1:27" s="133" customFormat="1" x14ac:dyDescent="0.2">
      <c r="A22" s="130" t="s">
        <v>0</v>
      </c>
      <c r="B22" s="130"/>
      <c r="C22" s="130"/>
      <c r="D22" s="140">
        <f>SUM(D10:D21)</f>
        <v>0.77096349206349202</v>
      </c>
      <c r="E22" s="140">
        <f t="shared" ref="E22:AA22" si="1">SUM(E10:E21)</f>
        <v>2.9621904761904765</v>
      </c>
      <c r="F22" s="140">
        <f t="shared" si="1"/>
        <v>1.5499412698412696</v>
      </c>
      <c r="G22" s="140">
        <f t="shared" si="1"/>
        <v>18.170331746031746</v>
      </c>
      <c r="H22" s="140">
        <f t="shared" si="1"/>
        <v>3.681861904761905</v>
      </c>
      <c r="I22" s="140">
        <f t="shared" si="1"/>
        <v>29.789932</v>
      </c>
      <c r="J22" s="140">
        <f t="shared" si="1"/>
        <v>4.9029777777777772</v>
      </c>
      <c r="K22" s="140">
        <f t="shared" si="1"/>
        <v>46.906594000000005</v>
      </c>
      <c r="L22" s="140">
        <f t="shared" si="1"/>
        <v>6.1263634920634917</v>
      </c>
      <c r="M22" s="140">
        <f t="shared" si="1"/>
        <v>54.356173000000005</v>
      </c>
      <c r="N22" s="140">
        <f t="shared" si="1"/>
        <v>7.677026984126984</v>
      </c>
      <c r="O22" s="140">
        <f>SUM(O10:O21)</f>
        <v>49.372004000000011</v>
      </c>
      <c r="P22" s="140">
        <f>SUM(P10:P21)</f>
        <v>9.1760190476190484</v>
      </c>
      <c r="Q22" s="140">
        <f t="shared" si="1"/>
        <v>50.770399000000012</v>
      </c>
      <c r="R22" s="140">
        <f t="shared" si="1"/>
        <v>10.687285714285714</v>
      </c>
      <c r="S22" s="140">
        <f t="shared" si="1"/>
        <v>59.034872000000007</v>
      </c>
      <c r="T22" s="140">
        <f t="shared" si="1"/>
        <v>12.195822222222221</v>
      </c>
      <c r="U22" s="140">
        <f t="shared" si="1"/>
        <v>61.27041100000001</v>
      </c>
      <c r="V22" s="140">
        <f t="shared" si="1"/>
        <v>14.107273015873018</v>
      </c>
      <c r="W22" s="140">
        <f t="shared" si="1"/>
        <v>-497.51395500000007</v>
      </c>
      <c r="X22" s="140">
        <f t="shared" si="1"/>
        <v>15.690887301587301</v>
      </c>
      <c r="Y22" s="140">
        <f t="shared" si="1"/>
        <v>-489.44900100000001</v>
      </c>
      <c r="Z22" s="140">
        <f t="shared" si="1"/>
        <v>22.670785714285717</v>
      </c>
      <c r="AA22" s="140">
        <f t="shared" si="1"/>
        <v>0</v>
      </c>
    </row>
    <row r="23" spans="1:27" x14ac:dyDescent="0.2">
      <c r="A23" s="126" t="s">
        <v>20</v>
      </c>
      <c r="B23" s="126" t="s">
        <v>21</v>
      </c>
      <c r="C23" s="126" t="s">
        <v>22</v>
      </c>
      <c r="D23" s="126">
        <f>+'ENE-SEP Bs 11NOV2016'!D24/'ENE-MAR USD AL 18MAR16'!$D$1/'ENE-MAR USD AL 18MAR16'!$E$1</f>
        <v>1.96954126984127</v>
      </c>
      <c r="E23" s="126">
        <f>+'ENE-SEP Bs 11NOV2016'!E24/'ENE-MAR USD AL 18MAR16'!$D$1/'ENE-MAR USD AL 18MAR16'!$E$1</f>
        <v>1.725746031746032</v>
      </c>
      <c r="F23" s="126">
        <f>+'ENE-SEP Bs 11NOV2016'!F24/'ENE-MAR USD AL 18MAR16'!$D$1/'ENE-MAR USD AL 18MAR16'!$E$1</f>
        <v>4.9677952380952375</v>
      </c>
      <c r="G23" s="126">
        <f>+'ENE-SEP Bs 11NOV2016'!G24/'ENE-MAR USD AL 18MAR16'!$D$1/'ENE-MAR USD AL 18MAR16'!$E$1</f>
        <v>4.5257015873015867</v>
      </c>
      <c r="H23" s="126">
        <f>+'ENE-SEP Bs 11NOV2016'!H24/'ENE-MAR USD AL 18MAR16'!$D$1/'ENE-MAR USD AL 18MAR16'!$E$1</f>
        <v>7.8014031746031751</v>
      </c>
      <c r="I23" s="126">
        <f>+'ENE-SEP Bs 11NOV2016'!I24/'ENE-MAR USD AL 18MAR16'!$D$1/'ENE-MAR USD AL 18MAR16'!$F$1</f>
        <v>-1.8596259999999993</v>
      </c>
      <c r="J23" s="126">
        <f>+'ENE-SEP Bs 11NOV2016'!J24/'ENE-MAR USD AL 18MAR16'!$D$1/'ENE-MAR USD AL 18MAR16'!$E$1</f>
        <v>11.309285714285716</v>
      </c>
      <c r="K23" s="126">
        <f>+'ENE-SEP Bs 11NOV2016'!K24/'ENE-MAR USD AL 18MAR16'!$D$1/'ENE-MAR USD AL 18MAR16'!$F$1</f>
        <v>3.4913070000000004</v>
      </c>
      <c r="L23" s="126">
        <f>+'ENE-SEP Bs 11NOV2016'!L24/'ENE-MAR USD AL 18MAR16'!$D$1/'ENE-MAR USD AL 18MAR16'!$E$1</f>
        <v>16.481944444444444</v>
      </c>
      <c r="M23" s="126">
        <f>+'ENE-SEP Bs 11NOV2016'!M24/'ENE-MAR USD AL 18MAR16'!$D$1/'ENE-MAR USD AL 18MAR16'!$F$1</f>
        <v>7.7784980000000008</v>
      </c>
      <c r="N23" s="126">
        <f>+'ENE-SEP Bs 11NOV2016'!N24/'ENE-MAR USD AL 18MAR16'!$D$1/'ENE-MAR USD AL 18MAR16'!$E$1</f>
        <v>22.46260634920635</v>
      </c>
      <c r="O23" s="126">
        <f>+'ENE-SEP Bs 11NOV2016'!O24/'ENE-MAR USD AL 18MAR16'!$D$1/'ENE-MAR USD AL 18MAR16'!$F$1</f>
        <v>10.966112000000001</v>
      </c>
      <c r="P23" s="126">
        <f>+'ENE-SEP Bs 11NOV2016'!P24/'ENE-MAR USD AL 18MAR16'!$D$1/'ENE-MAR USD AL 18MAR16'!$E$1</f>
        <v>31.080419047619056</v>
      </c>
      <c r="Q23" s="126">
        <f>+'ENE-SEP Bs 11NOV2016'!Q24/'ENE-MAR USD AL 18MAR16'!$D$1/'ENE-MAR USD AL 18MAR16'!$F$1</f>
        <v>15.616835999999997</v>
      </c>
      <c r="R23" s="126">
        <f>+'ENE-SEP Bs 11NOV2016'!R24/'ENE-MAR USD AL 18MAR16'!$D$1/'ENE-MAR USD AL 18MAR16'!$E$1</f>
        <v>48.723788888888897</v>
      </c>
      <c r="S23" s="126">
        <f>+'ENE-SEP Bs 11NOV2016'!S24/'ENE-MAR USD AL 18MAR16'!$D$1/'ENE-MAR USD AL 18MAR16'!$F$1</f>
        <v>22.179328000000002</v>
      </c>
      <c r="T23" s="126">
        <f>+'ENE-SEP Bs 11NOV2016'!T24/'ENE-MAR USD AL 18MAR16'!$D$1/'ENE-MAR USD AL 18MAR16'!$E$1</f>
        <v>83.923593650793663</v>
      </c>
      <c r="U23" s="126">
        <f>+'ENE-SEP Bs 11NOV2016'!U24/'ENE-MAR USD AL 18MAR16'!$D$1/'ENE-MAR USD AL 18MAR16'!$F$1</f>
        <v>111.76802000000001</v>
      </c>
      <c r="V23" s="126">
        <f>+'ENE-SEP Bs 11NOV2016'!V24/'ENE-MAR USD AL 18MAR16'!$D$1/'ENE-MAR USD AL 18MAR16'!$E$1</f>
        <v>122.99456031746031</v>
      </c>
      <c r="W23" s="126">
        <f>+'ENE-SEP Bs 11NOV2016'!W24/'ENE-MAR USD AL 18MAR16'!$D$1/'ENE-MAR USD AL 18MAR16'!$F$1</f>
        <v>117.60365400000001</v>
      </c>
      <c r="X23" s="126">
        <f>+'ENE-SEP Bs 11NOV2016'!X24/'ENE-MAR USD AL 18MAR16'!$D$1/'ENE-MAR USD AL 18MAR16'!$E$1</f>
        <v>167.11512063492066</v>
      </c>
      <c r="Y23" s="126">
        <f>+'ENE-SEP Bs 11NOV2016'!Y24/'ENE-MAR USD AL 18MAR16'!$D$1/'ENE-MAR USD AL 18MAR16'!$F$1</f>
        <v>122.47173799999999</v>
      </c>
      <c r="Z23" s="126">
        <f>+'ENE-SEP Bs 11NOV2016'!Z24/'ENE-MAR USD AL 18MAR16'!$D$1/'ENE-MAR USD AL 18MAR16'!$E$1</f>
        <v>205.9649428571428</v>
      </c>
      <c r="AA23" s="126">
        <f>+'ENE-SEP Bs 11NOV2016'!AA24/'ENE-MAR USD AL 18MAR16'!$D$1/'ENE-MAR USD AL 18MAR16'!$F$1</f>
        <v>0</v>
      </c>
    </row>
    <row r="24" spans="1:27" s="133" customFormat="1" x14ac:dyDescent="0.2">
      <c r="A24" s="130" t="s">
        <v>1</v>
      </c>
      <c r="B24" s="130"/>
      <c r="C24" s="130"/>
      <c r="D24" s="140">
        <f>SUM(D23)</f>
        <v>1.96954126984127</v>
      </c>
      <c r="E24" s="140">
        <f t="shared" ref="E24:Z24" si="2">SUM(E23)</f>
        <v>1.725746031746032</v>
      </c>
      <c r="F24" s="140">
        <f t="shared" si="2"/>
        <v>4.9677952380952375</v>
      </c>
      <c r="G24" s="140">
        <f t="shared" si="2"/>
        <v>4.5257015873015867</v>
      </c>
      <c r="H24" s="140">
        <f t="shared" si="2"/>
        <v>7.8014031746031751</v>
      </c>
      <c r="I24" s="140">
        <f t="shared" si="2"/>
        <v>-1.8596259999999993</v>
      </c>
      <c r="J24" s="140">
        <f t="shared" si="2"/>
        <v>11.309285714285716</v>
      </c>
      <c r="K24" s="140">
        <f>SUM(K23)</f>
        <v>3.4913070000000004</v>
      </c>
      <c r="L24" s="140">
        <f t="shared" si="2"/>
        <v>16.481944444444444</v>
      </c>
      <c r="M24" s="140">
        <f>SUM(M23)</f>
        <v>7.7784980000000008</v>
      </c>
      <c r="N24" s="140">
        <f t="shared" si="2"/>
        <v>22.46260634920635</v>
      </c>
      <c r="O24" s="140">
        <f>SUM(O23)</f>
        <v>10.966112000000001</v>
      </c>
      <c r="P24" s="140">
        <f t="shared" si="2"/>
        <v>31.080419047619056</v>
      </c>
      <c r="Q24" s="140">
        <f>SUM(Q23)</f>
        <v>15.616835999999997</v>
      </c>
      <c r="R24" s="140">
        <f t="shared" si="2"/>
        <v>48.723788888888897</v>
      </c>
      <c r="S24" s="140">
        <f>SUM(S23)</f>
        <v>22.179328000000002</v>
      </c>
      <c r="T24" s="140">
        <f t="shared" si="2"/>
        <v>83.923593650793663</v>
      </c>
      <c r="U24" s="140">
        <f>SUM(U23)</f>
        <v>111.76802000000001</v>
      </c>
      <c r="V24" s="140">
        <f t="shared" si="2"/>
        <v>122.99456031746031</v>
      </c>
      <c r="W24" s="140">
        <f>SUM(W23)</f>
        <v>117.60365400000001</v>
      </c>
      <c r="X24" s="140">
        <f t="shared" si="2"/>
        <v>167.11512063492066</v>
      </c>
      <c r="Y24" s="140">
        <f>SUM(Y23)</f>
        <v>122.47173799999999</v>
      </c>
      <c r="Z24" s="140">
        <f t="shared" si="2"/>
        <v>205.9649428571428</v>
      </c>
      <c r="AA24" s="140">
        <f>SUM(AA23)</f>
        <v>0</v>
      </c>
    </row>
    <row r="25" spans="1:27" x14ac:dyDescent="0.2">
      <c r="A25" s="126" t="s">
        <v>23</v>
      </c>
      <c r="B25" s="126" t="s">
        <v>24</v>
      </c>
      <c r="C25" s="126" t="s">
        <v>25</v>
      </c>
      <c r="D25" s="126">
        <f>+'ENE-SEP Bs 11NOV2016'!D26/'ENE-MAR USD AL 18MAR16'!$D$1/'ENE-MAR USD AL 18MAR16'!$E$1</f>
        <v>5.5098793650793656</v>
      </c>
      <c r="E25" s="126">
        <f>+'ENE-SEP Bs 11NOV2016'!E26/'ENE-MAR USD AL 18MAR16'!$D$1/'ENE-MAR USD AL 18MAR16'!$E$1</f>
        <v>16.403377777777777</v>
      </c>
      <c r="F25" s="126">
        <f>+'ENE-SEP Bs 11NOV2016'!F26/'ENE-MAR USD AL 18MAR16'!$D$1/'ENE-MAR USD AL 18MAR16'!$E$1</f>
        <v>14.884144444444445</v>
      </c>
      <c r="G25" s="126">
        <f>+'ENE-SEP Bs 11NOV2016'!G26/'ENE-MAR USD AL 18MAR16'!$D$1/'ENE-MAR USD AL 18MAR16'!$E$1</f>
        <v>29.605526984126989</v>
      </c>
      <c r="H25" s="126">
        <f>+'ENE-SEP Bs 11NOV2016'!H26/'ENE-MAR USD AL 18MAR16'!$D$1/'ENE-MAR USD AL 18MAR16'!$E$1</f>
        <v>36.882342857142852</v>
      </c>
      <c r="I25" s="126">
        <f>+'ENE-SEP Bs 11NOV2016'!I26/'ENE-MAR USD AL 18MAR16'!$D$1/'ENE-MAR USD AL 18MAR16'!$F$1</f>
        <v>12.912037000000003</v>
      </c>
      <c r="J25" s="126">
        <f>+'ENE-SEP Bs 11NOV2016'!J26/'ENE-MAR USD AL 18MAR16'!$D$1/'ENE-MAR USD AL 18MAR16'!$E$1</f>
        <v>70.392433333333344</v>
      </c>
      <c r="K25" s="126">
        <f>+'ENE-SEP Bs 11NOV2016'!K26/'ENE-MAR USD AL 18MAR16'!$D$1/'ENE-MAR USD AL 18MAR16'!$F$1</f>
        <v>30.618604999999995</v>
      </c>
      <c r="L25" s="126">
        <f>+'ENE-SEP Bs 11NOV2016'!L26/'ENE-MAR USD AL 18MAR16'!$D$1/'ENE-MAR USD AL 18MAR16'!$E$1</f>
        <v>96.880103174603192</v>
      </c>
      <c r="M25" s="126">
        <f>+'ENE-SEP Bs 11NOV2016'!M26/'ENE-MAR USD AL 18MAR16'!$D$1/'ENE-MAR USD AL 18MAR16'!$F$1</f>
        <v>45.835588000000001</v>
      </c>
      <c r="N25" s="126">
        <f>+'ENE-SEP Bs 11NOV2016'!N26/'ENE-MAR USD AL 18MAR16'!$D$1/'ENE-MAR USD AL 18MAR16'!$E$1</f>
        <v>127.24812539682543</v>
      </c>
      <c r="O25" s="126">
        <f>+'ENE-SEP Bs 11NOV2016'!O26/'ENE-MAR USD AL 18MAR16'!$D$1/'ENE-MAR USD AL 18MAR16'!$F$1</f>
        <v>52.890179000000003</v>
      </c>
      <c r="P25" s="126">
        <f>+'ENE-SEP Bs 11NOV2016'!P26/'ENE-MAR USD AL 18MAR16'!$D$1/'ENE-MAR USD AL 18MAR16'!$E$1</f>
        <v>155.37118253968256</v>
      </c>
      <c r="Q25" s="126">
        <f>+'ENE-SEP Bs 11NOV2016'!Q26/'ENE-MAR USD AL 18MAR16'!$D$1/'ENE-MAR USD AL 18MAR16'!$F$1</f>
        <v>75.356842999999998</v>
      </c>
      <c r="R25" s="126">
        <f>+'ENE-SEP Bs 11NOV2016'!R26/'ENE-MAR USD AL 18MAR16'!$D$1/'ENE-MAR USD AL 18MAR16'!$E$1</f>
        <v>185.79751746031749</v>
      </c>
      <c r="S25" s="126">
        <f>+'ENE-SEP Bs 11NOV2016'!S26/'ENE-MAR USD AL 18MAR16'!$D$1/'ENE-MAR USD AL 18MAR16'!$F$1</f>
        <v>95.104094000000018</v>
      </c>
      <c r="T25" s="126">
        <f>+'ENE-SEP Bs 11NOV2016'!T26/'ENE-MAR USD AL 18MAR16'!$D$1/'ENE-MAR USD AL 18MAR16'!$E$1</f>
        <v>210.9602142857143</v>
      </c>
      <c r="U25" s="126">
        <f>+'ENE-SEP Bs 11NOV2016'!U26/'ENE-MAR USD AL 18MAR16'!$D$1/'ENE-MAR USD AL 18MAR16'!$F$1</f>
        <v>214.50898900000001</v>
      </c>
      <c r="V25" s="126">
        <f>+'ENE-SEP Bs 11NOV2016'!V26/'ENE-MAR USD AL 18MAR16'!$D$1/'ENE-MAR USD AL 18MAR16'!$E$1</f>
        <v>253.08380952380955</v>
      </c>
      <c r="W25" s="126">
        <f>+'ENE-SEP Bs 11NOV2016'!W26/'ENE-MAR USD AL 18MAR16'!$D$1/'ENE-MAR USD AL 18MAR16'!$F$1</f>
        <v>276.92155300000002</v>
      </c>
      <c r="X25" s="126">
        <f>+'ENE-SEP Bs 11NOV2016'!X26/'ENE-MAR USD AL 18MAR16'!$D$1/'ENE-MAR USD AL 18MAR16'!$E$1</f>
        <v>282.74083650793648</v>
      </c>
      <c r="Y25" s="126">
        <f>+'ENE-SEP Bs 11NOV2016'!Y26/'ENE-MAR USD AL 18MAR16'!$D$1/'ENE-MAR USD AL 18MAR16'!$F$1</f>
        <v>278.70326</v>
      </c>
      <c r="Z25" s="126">
        <f>+'ENE-SEP Bs 11NOV2016'!Z26/'ENE-MAR USD AL 18MAR16'!$D$1/'ENE-MAR USD AL 18MAR16'!$E$1</f>
        <v>304.34110793650791</v>
      </c>
      <c r="AA25" s="126">
        <f>+'ENE-SEP Bs 11NOV2016'!AA26/'ENE-MAR USD AL 18MAR16'!$D$1/'ENE-MAR USD AL 18MAR16'!$F$1</f>
        <v>0</v>
      </c>
    </row>
    <row r="26" spans="1:27" s="133" customFormat="1" x14ac:dyDescent="0.2">
      <c r="A26" s="130" t="s">
        <v>143</v>
      </c>
      <c r="B26" s="130"/>
      <c r="C26" s="130"/>
      <c r="D26" s="140">
        <f>SUM(D25)</f>
        <v>5.5098793650793656</v>
      </c>
      <c r="E26" s="140">
        <f t="shared" ref="E26:Z26" si="3">SUM(E25)</f>
        <v>16.403377777777777</v>
      </c>
      <c r="F26" s="140">
        <f t="shared" si="3"/>
        <v>14.884144444444445</v>
      </c>
      <c r="G26" s="140">
        <f t="shared" si="3"/>
        <v>29.605526984126989</v>
      </c>
      <c r="H26" s="140">
        <f t="shared" si="3"/>
        <v>36.882342857142852</v>
      </c>
      <c r="I26" s="140">
        <f>SUM(I25)</f>
        <v>12.912037000000003</v>
      </c>
      <c r="J26" s="140">
        <f t="shared" si="3"/>
        <v>70.392433333333344</v>
      </c>
      <c r="K26" s="140">
        <f>SUM(K25)</f>
        <v>30.618604999999995</v>
      </c>
      <c r="L26" s="140">
        <f t="shared" si="3"/>
        <v>96.880103174603192</v>
      </c>
      <c r="M26" s="140">
        <f>SUM(M25)</f>
        <v>45.835588000000001</v>
      </c>
      <c r="N26" s="140">
        <f t="shared" si="3"/>
        <v>127.24812539682543</v>
      </c>
      <c r="O26" s="140">
        <f>SUM(O25)</f>
        <v>52.890179000000003</v>
      </c>
      <c r="P26" s="140">
        <f t="shared" si="3"/>
        <v>155.37118253968256</v>
      </c>
      <c r="Q26" s="140">
        <f>SUM(Q25)</f>
        <v>75.356842999999998</v>
      </c>
      <c r="R26" s="140">
        <f t="shared" si="3"/>
        <v>185.79751746031749</v>
      </c>
      <c r="S26" s="140">
        <f>SUM(S25)</f>
        <v>95.104094000000018</v>
      </c>
      <c r="T26" s="140">
        <f t="shared" si="3"/>
        <v>210.9602142857143</v>
      </c>
      <c r="U26" s="140">
        <f>SUM(U25)</f>
        <v>214.50898900000001</v>
      </c>
      <c r="V26" s="140">
        <f t="shared" si="3"/>
        <v>253.08380952380955</v>
      </c>
      <c r="W26" s="140">
        <f>SUM(W25)</f>
        <v>276.92155300000002</v>
      </c>
      <c r="X26" s="140">
        <f t="shared" si="3"/>
        <v>282.74083650793648</v>
      </c>
      <c r="Y26" s="140">
        <f>SUM(Y25)</f>
        <v>278.70326</v>
      </c>
      <c r="Z26" s="140">
        <f t="shared" si="3"/>
        <v>304.34110793650791</v>
      </c>
      <c r="AA26" s="140">
        <f>SUM(AA25)</f>
        <v>0</v>
      </c>
    </row>
    <row r="27" spans="1:27" x14ac:dyDescent="0.2">
      <c r="A27" s="126" t="s">
        <v>58</v>
      </c>
      <c r="B27" s="126" t="s">
        <v>59</v>
      </c>
      <c r="C27" s="126" t="s">
        <v>60</v>
      </c>
      <c r="D27" s="126">
        <f>+'ENE-SEP Bs 11NOV2016'!D28/'ENE-MAR USD AL 18MAR16'!$D$1/'ENE-MAR USD AL 18MAR16'!$E$1</f>
        <v>0</v>
      </c>
      <c r="E27" s="126">
        <f>+'ENE-SEP Bs 11NOV2016'!E28/'ENE-MAR USD AL 18MAR16'!$D$1/'ENE-MAR USD AL 18MAR16'!$E$1</f>
        <v>2.2346126984126991</v>
      </c>
      <c r="F27" s="126">
        <f>+'ENE-SEP Bs 11NOV2016'!F28/'ENE-MAR USD AL 18MAR16'!$D$1/'ENE-MAR USD AL 18MAR16'!$E$1</f>
        <v>0</v>
      </c>
      <c r="G27" s="126">
        <f>+'ENE-SEP Bs 11NOV2016'!G28/'ENE-MAR USD AL 18MAR16'!$D$1/'ENE-MAR USD AL 18MAR16'!$E$1</f>
        <v>4.2396095238095244</v>
      </c>
      <c r="H27" s="126">
        <f>+'ENE-SEP Bs 11NOV2016'!H28/'ENE-MAR USD AL 18MAR16'!$D$1/'ENE-MAR USD AL 18MAR16'!$E$1</f>
        <v>0</v>
      </c>
      <c r="I27" s="126">
        <f>+'ENE-SEP Bs 11NOV2016'!I28/'ENE-MAR USD AL 18MAR16'!$D$1/'ENE-MAR USD AL 18MAR16'!$F$1</f>
        <v>6.4503849999999989</v>
      </c>
      <c r="J27" s="126">
        <f>+'ENE-SEP Bs 11NOV2016'!J28/'ENE-MAR USD AL 18MAR16'!$D$1/'ENE-MAR USD AL 18MAR16'!$E$1</f>
        <v>0</v>
      </c>
      <c r="K27" s="126">
        <f>+'ENE-SEP Bs 11NOV2016'!K28/'ENE-MAR USD AL 18MAR16'!$D$1/'ENE-MAR USD AL 18MAR16'!$F$1</f>
        <v>8.8946139999999989</v>
      </c>
      <c r="L27" s="126">
        <f>+'ENE-SEP Bs 11NOV2016'!L28/'ENE-MAR USD AL 18MAR16'!$D$1/'ENE-MAR USD AL 18MAR16'!$E$1</f>
        <v>0</v>
      </c>
      <c r="M27" s="126">
        <f>+'ENE-SEP Bs 11NOV2016'!M28/'ENE-MAR USD AL 18MAR16'!$D$1/'ENE-MAR USD AL 18MAR16'!$F$1</f>
        <v>11.698171000000004</v>
      </c>
      <c r="N27" s="126">
        <f>+'ENE-SEP Bs 11NOV2016'!N28/'ENE-MAR USD AL 18MAR16'!$D$1/'ENE-MAR USD AL 18MAR16'!$E$1</f>
        <v>0</v>
      </c>
      <c r="O27" s="126">
        <f>+'ENE-SEP Bs 11NOV2016'!O28/'ENE-MAR USD AL 18MAR16'!$D$1/'ENE-MAR USD AL 18MAR16'!$F$1</f>
        <v>18.726895999999996</v>
      </c>
      <c r="P27" s="126">
        <f>+'ENE-SEP Bs 11NOV2016'!P28/'ENE-MAR USD AL 18MAR16'!$D$1/'ENE-MAR USD AL 18MAR16'!$E$1</f>
        <v>0</v>
      </c>
      <c r="Q27" s="126">
        <f>+'ENE-SEP Bs 11NOV2016'!Q28/'ENE-MAR USD AL 18MAR16'!$D$1/'ENE-MAR USD AL 18MAR16'!$F$1</f>
        <v>20.854454000000008</v>
      </c>
      <c r="R27" s="126">
        <f>+'ENE-SEP Bs 11NOV2016'!R28/'ENE-MAR USD AL 18MAR16'!$D$1/'ENE-MAR USD AL 18MAR16'!$E$1</f>
        <v>0</v>
      </c>
      <c r="S27" s="126">
        <f>+'ENE-SEP Bs 11NOV2016'!S28/'ENE-MAR USD AL 18MAR16'!$D$1/'ENE-MAR USD AL 18MAR16'!$F$1</f>
        <v>26.116196000000013</v>
      </c>
      <c r="T27" s="126">
        <f>+'ENE-SEP Bs 11NOV2016'!T28/'ENE-MAR USD AL 18MAR16'!$D$1/'ENE-MAR USD AL 18MAR16'!$E$1</f>
        <v>0</v>
      </c>
      <c r="U27" s="126">
        <f>+'ENE-SEP Bs 11NOV2016'!U28/'ENE-MAR USD AL 18MAR16'!$D$1/'ENE-MAR USD AL 18MAR16'!$F$1</f>
        <v>33.80097</v>
      </c>
      <c r="V27" s="126">
        <f>+'ENE-SEP Bs 11NOV2016'!V28/'ENE-MAR USD AL 18MAR16'!$D$1/'ENE-MAR USD AL 18MAR16'!$E$1</f>
        <v>0</v>
      </c>
      <c r="W27" s="126">
        <f>+'ENE-SEP Bs 11NOV2016'!W28/'ENE-MAR USD AL 18MAR16'!$D$1/'ENE-MAR USD AL 18MAR16'!$F$1</f>
        <v>41.587800000000001</v>
      </c>
      <c r="X27" s="126">
        <f>+'ENE-SEP Bs 11NOV2016'!X28/'ENE-MAR USD AL 18MAR16'!$D$1/'ENE-MAR USD AL 18MAR16'!$E$1</f>
        <v>0</v>
      </c>
      <c r="Y27" s="126">
        <f>+'ENE-SEP Bs 11NOV2016'!Y28/'ENE-MAR USD AL 18MAR16'!$D$1/'ENE-MAR USD AL 18MAR16'!$F$1</f>
        <v>41.587800000000001</v>
      </c>
      <c r="Z27" s="126">
        <f>+'ENE-SEP Bs 11NOV2016'!Z28/'ENE-MAR USD AL 18MAR16'!$D$1/'ENE-MAR USD AL 18MAR16'!$E$1</f>
        <v>0</v>
      </c>
      <c r="AA27" s="126">
        <f>+'ENE-SEP Bs 11NOV2016'!AA28/'ENE-MAR USD AL 18MAR16'!$D$1/'ENE-MAR USD AL 18MAR16'!$F$1</f>
        <v>0</v>
      </c>
    </row>
    <row r="28" spans="1:27" x14ac:dyDescent="0.2">
      <c r="A28" s="126"/>
      <c r="B28" s="126" t="s">
        <v>61</v>
      </c>
      <c r="C28" s="126" t="s">
        <v>62</v>
      </c>
      <c r="D28" s="126">
        <f>+'ENE-SEP Bs 11NOV2016'!D29/'ENE-MAR USD AL 18MAR16'!$D$1/'ENE-MAR USD AL 18MAR16'!$E$1</f>
        <v>0.30135714285714282</v>
      </c>
      <c r="E28" s="126">
        <f>+'ENE-SEP Bs 11NOV2016'!E29/'ENE-MAR USD AL 18MAR16'!$D$1/'ENE-MAR USD AL 18MAR16'!$E$1</f>
        <v>17.28648888888889</v>
      </c>
      <c r="F28" s="126">
        <f>+'ENE-SEP Bs 11NOV2016'!F29/'ENE-MAR USD AL 18MAR16'!$D$1/'ENE-MAR USD AL 18MAR16'!$E$1</f>
        <v>0.68425714285714279</v>
      </c>
      <c r="G28" s="126">
        <f>+'ENE-SEP Bs 11NOV2016'!G29/'ENE-MAR USD AL 18MAR16'!$D$1/'ENE-MAR USD AL 18MAR16'!$E$1</f>
        <v>16.157166666666669</v>
      </c>
      <c r="H28" s="126">
        <f>+'ENE-SEP Bs 11NOV2016'!H29/'ENE-MAR USD AL 18MAR16'!$D$1/'ENE-MAR USD AL 18MAR16'!$E$1</f>
        <v>0.82157936507936502</v>
      </c>
      <c r="I28" s="126">
        <f>+'ENE-SEP Bs 11NOV2016'!I29/'ENE-MAR USD AL 18MAR16'!$D$1/'ENE-MAR USD AL 18MAR16'!$F$1</f>
        <v>-2.7334930000000002</v>
      </c>
      <c r="J28" s="126">
        <f>+'ENE-SEP Bs 11NOV2016'!J29/'ENE-MAR USD AL 18MAR16'!$D$1/'ENE-MAR USD AL 18MAR16'!$E$1</f>
        <v>1.2371460317460314</v>
      </c>
      <c r="K28" s="126">
        <f>+'ENE-SEP Bs 11NOV2016'!K29/'ENE-MAR USD AL 18MAR16'!$D$1/'ENE-MAR USD AL 18MAR16'!$F$1</f>
        <v>-1.6887820000000004</v>
      </c>
      <c r="L28" s="126">
        <f>+'ENE-SEP Bs 11NOV2016'!L29/'ENE-MAR USD AL 18MAR16'!$D$1/'ENE-MAR USD AL 18MAR16'!$E$1</f>
        <v>1.6501730158730161</v>
      </c>
      <c r="M28" s="126">
        <f>+'ENE-SEP Bs 11NOV2016'!M29/'ENE-MAR USD AL 18MAR16'!$D$1/'ENE-MAR USD AL 18MAR16'!$F$1</f>
        <v>-1.0790970000000002</v>
      </c>
      <c r="N28" s="126">
        <f>+'ENE-SEP Bs 11NOV2016'!N29/'ENE-MAR USD AL 18MAR16'!$D$1/'ENE-MAR USD AL 18MAR16'!$E$1</f>
        <v>2.0631999999999997</v>
      </c>
      <c r="O28" s="126">
        <f>+'ENE-SEP Bs 11NOV2016'!O29/'ENE-MAR USD AL 18MAR16'!$D$1/'ENE-MAR USD AL 18MAR16'!$F$1</f>
        <v>-0.86550200000000022</v>
      </c>
      <c r="P28" s="126">
        <f>+'ENE-SEP Bs 11NOV2016'!P29/'ENE-MAR USD AL 18MAR16'!$D$1/'ENE-MAR USD AL 18MAR16'!$E$1</f>
        <v>9.5499841269841284</v>
      </c>
      <c r="Q28" s="126">
        <f>+'ENE-SEP Bs 11NOV2016'!Q29/'ENE-MAR USD AL 18MAR16'!$D$1/'ENE-MAR USD AL 18MAR16'!$F$1</f>
        <v>-10.648126000000001</v>
      </c>
      <c r="R28" s="126">
        <f>+'ENE-SEP Bs 11NOV2016'!R29/'ENE-MAR USD AL 18MAR16'!$D$1/'ENE-MAR USD AL 18MAR16'!$E$1</f>
        <v>30.425936507936512</v>
      </c>
      <c r="S28" s="126">
        <f>+'ENE-SEP Bs 11NOV2016'!S29/'ENE-MAR USD AL 18MAR16'!$D$1/'ENE-MAR USD AL 18MAR16'!$F$1</f>
        <v>5.4457269999999998</v>
      </c>
      <c r="T28" s="126">
        <f>+'ENE-SEP Bs 11NOV2016'!T29/'ENE-MAR USD AL 18MAR16'!$D$1/'ENE-MAR USD AL 18MAR16'!$E$1</f>
        <v>54.615430158730149</v>
      </c>
      <c r="U28" s="126">
        <f>+'ENE-SEP Bs 11NOV2016'!U29/'ENE-MAR USD AL 18MAR16'!$D$1/'ENE-MAR USD AL 18MAR16'!$F$1</f>
        <v>124.88728599999999</v>
      </c>
      <c r="V28" s="126">
        <f>+'ENE-SEP Bs 11NOV2016'!V29/'ENE-MAR USD AL 18MAR16'!$D$1/'ENE-MAR USD AL 18MAR16'!$E$1</f>
        <v>76.879047619047611</v>
      </c>
      <c r="W28" s="126">
        <f>+'ENE-SEP Bs 11NOV2016'!W29/'ENE-MAR USD AL 18MAR16'!$D$1/'ENE-MAR USD AL 18MAR16'!$F$1</f>
        <v>150.54430400000001</v>
      </c>
      <c r="X28" s="126">
        <f>+'ENE-SEP Bs 11NOV2016'!X29/'ENE-MAR USD AL 18MAR16'!$D$1/'ENE-MAR USD AL 18MAR16'!$E$1</f>
        <v>116.21927142857143</v>
      </c>
      <c r="Y28" s="126">
        <f>+'ENE-SEP Bs 11NOV2016'!Y29/'ENE-MAR USD AL 18MAR16'!$D$1/'ENE-MAR USD AL 18MAR16'!$F$1</f>
        <v>152.39917200000002</v>
      </c>
      <c r="Z28" s="126">
        <f>+'ENE-SEP Bs 11NOV2016'!Z29/'ENE-MAR USD AL 18MAR16'!$D$1/'ENE-MAR USD AL 18MAR16'!$E$1</f>
        <v>156.22901111111113</v>
      </c>
      <c r="AA28" s="126">
        <f>+'ENE-SEP Bs 11NOV2016'!AA29/'ENE-MAR USD AL 18MAR16'!$D$1/'ENE-MAR USD AL 18MAR16'!$F$1</f>
        <v>0</v>
      </c>
    </row>
    <row r="29" spans="1:27" x14ac:dyDescent="0.2">
      <c r="A29" s="126"/>
      <c r="B29" s="126" t="s">
        <v>63</v>
      </c>
      <c r="C29" s="126" t="s">
        <v>64</v>
      </c>
      <c r="D29" s="126">
        <f>+'ENE-SEP Bs 11NOV2016'!D31/'ENE-MAR USD AL 18MAR16'!$D$1/'ENE-MAR USD AL 18MAR16'!$E$1</f>
        <v>0</v>
      </c>
      <c r="E29" s="126">
        <f>+'ENE-SEP Bs 11NOV2016'!E31/'ENE-MAR USD AL 18MAR16'!$D$1/'ENE-MAR USD AL 18MAR16'!$E$1</f>
        <v>5.4809523809523822E-2</v>
      </c>
      <c r="F29" s="126">
        <f>+'ENE-SEP Bs 11NOV2016'!F31/'ENE-MAR USD AL 18MAR16'!$D$1/'ENE-MAR USD AL 18MAR16'!$E$1</f>
        <v>0</v>
      </c>
      <c r="G29" s="126">
        <f>+'ENE-SEP Bs 11NOV2016'!G31/'ENE-MAR USD AL 18MAR16'!$D$1/'ENE-MAR USD AL 18MAR16'!$E$1</f>
        <v>0.70533809523809521</v>
      </c>
      <c r="H29" s="126">
        <f>+'ENE-SEP Bs 11NOV2016'!H31/'ENE-MAR USD AL 18MAR16'!$D$1/'ENE-MAR USD AL 18MAR16'!$E$1</f>
        <v>0</v>
      </c>
      <c r="I29" s="126">
        <f>+'ENE-SEP Bs 11NOV2016'!I31/'ENE-MAR USD AL 18MAR16'!$D$1/'ENE-MAR USD AL 18MAR16'!$F$1</f>
        <v>0.62352399999999997</v>
      </c>
      <c r="J29" s="126">
        <f>+'ENE-SEP Bs 11NOV2016'!J31/'ENE-MAR USD AL 18MAR16'!$D$1/'ENE-MAR USD AL 18MAR16'!$E$1</f>
        <v>0</v>
      </c>
      <c r="K29" s="126">
        <f>+'ENE-SEP Bs 11NOV2016'!K31/'ENE-MAR USD AL 18MAR16'!$D$1/'ENE-MAR USD AL 18MAR16'!$F$1</f>
        <v>0.72608499999999987</v>
      </c>
      <c r="L29" s="126">
        <f>+'ENE-SEP Bs 11NOV2016'!L31/'ENE-MAR USD AL 18MAR16'!$D$1/'ENE-MAR USD AL 18MAR16'!$E$1</f>
        <v>0</v>
      </c>
      <c r="M29" s="126">
        <f>+'ENE-SEP Bs 11NOV2016'!M31/'ENE-MAR USD AL 18MAR16'!$D$1/'ENE-MAR USD AL 18MAR16'!$F$1</f>
        <v>0.91642299999999999</v>
      </c>
      <c r="N29" s="126">
        <f>+'ENE-SEP Bs 11NOV2016'!N31/'ENE-MAR USD AL 18MAR16'!$D$1/'ENE-MAR USD AL 18MAR16'!$E$1</f>
        <v>0</v>
      </c>
      <c r="O29" s="126">
        <f>+'ENE-SEP Bs 11NOV2016'!O31/'ENE-MAR USD AL 18MAR16'!$D$1/'ENE-MAR USD AL 18MAR16'!$F$1</f>
        <v>1.6326430000000003</v>
      </c>
      <c r="P29" s="126">
        <f>+'ENE-SEP Bs 11NOV2016'!P31/'ENE-MAR USD AL 18MAR16'!$D$1/'ENE-MAR USD AL 18MAR16'!$E$1</f>
        <v>0</v>
      </c>
      <c r="Q29" s="126">
        <f>+'ENE-SEP Bs 11NOV2016'!Q31/'ENE-MAR USD AL 18MAR16'!$D$1/'ENE-MAR USD AL 18MAR16'!$F$1</f>
        <v>2.1318290000000002</v>
      </c>
      <c r="R29" s="126">
        <f>+'ENE-SEP Bs 11NOV2016'!R31/'ENE-MAR USD AL 18MAR16'!$D$1/'ENE-MAR USD AL 18MAR16'!$E$1</f>
        <v>0</v>
      </c>
      <c r="S29" s="126">
        <f>+'ENE-SEP Bs 11NOV2016'!S31/'ENE-MAR USD AL 18MAR16'!$D$1/'ENE-MAR USD AL 18MAR16'!$F$1</f>
        <v>2.5410559999999998</v>
      </c>
      <c r="T29" s="126">
        <f>+'ENE-SEP Bs 11NOV2016'!T31/'ENE-MAR USD AL 18MAR16'!$D$1/'ENE-MAR USD AL 18MAR16'!$E$1</f>
        <v>0</v>
      </c>
      <c r="U29" s="126">
        <f>+'ENE-SEP Bs 11NOV2016'!U31/'ENE-MAR USD AL 18MAR16'!$D$1/'ENE-MAR USD AL 18MAR16'!$F$1</f>
        <v>3.3500519999999994</v>
      </c>
      <c r="V29" s="126">
        <f>+'ENE-SEP Bs 11NOV2016'!V31/'ENE-MAR USD AL 18MAR16'!$D$1/'ENE-MAR USD AL 18MAR16'!$E$1</f>
        <v>0</v>
      </c>
      <c r="W29" s="126">
        <f>+'ENE-SEP Bs 11NOV2016'!W31/'ENE-MAR USD AL 18MAR16'!$D$1/'ENE-MAR USD AL 18MAR16'!$F$1</f>
        <v>3.958844</v>
      </c>
      <c r="X29" s="126">
        <f>+'ENE-SEP Bs 11NOV2016'!X31/'ENE-MAR USD AL 18MAR16'!$D$1/'ENE-MAR USD AL 18MAR16'!$E$1</f>
        <v>0</v>
      </c>
      <c r="Y29" s="126">
        <f>+'ENE-SEP Bs 11NOV2016'!Y31/'ENE-MAR USD AL 18MAR16'!$D$1/'ENE-MAR USD AL 18MAR16'!$F$1</f>
        <v>4.082825999999999</v>
      </c>
      <c r="Z29" s="126">
        <f>+'ENE-SEP Bs 11NOV2016'!Z31/'ENE-MAR USD AL 18MAR16'!$D$1/'ENE-MAR USD AL 18MAR16'!$E$1</f>
        <v>0</v>
      </c>
      <c r="AA29" s="126">
        <f>+'ENE-SEP Bs 11NOV2016'!AA31/'ENE-MAR USD AL 18MAR16'!$D$1/'ENE-MAR USD AL 18MAR16'!$F$1</f>
        <v>0</v>
      </c>
    </row>
    <row r="30" spans="1:27" s="133" customFormat="1" x14ac:dyDescent="0.2">
      <c r="A30" s="130" t="s">
        <v>2</v>
      </c>
      <c r="B30" s="130"/>
      <c r="C30" s="130"/>
      <c r="D30" s="140">
        <f>SUM(D27:D29)</f>
        <v>0.30135714285714282</v>
      </c>
      <c r="E30" s="140">
        <f t="shared" ref="E30:Z30" si="4">SUM(E27:E29)</f>
        <v>19.575911111111115</v>
      </c>
      <c r="F30" s="140">
        <f t="shared" si="4"/>
        <v>0.68425714285714279</v>
      </c>
      <c r="G30" s="140">
        <f t="shared" si="4"/>
        <v>21.102114285714286</v>
      </c>
      <c r="H30" s="140">
        <f t="shared" si="4"/>
        <v>0.82157936507936502</v>
      </c>
      <c r="I30" s="140">
        <f>SUM(I27:I29)</f>
        <v>4.3404159999999985</v>
      </c>
      <c r="J30" s="140">
        <f t="shared" si="4"/>
        <v>1.2371460317460314</v>
      </c>
      <c r="K30" s="140">
        <f>SUM(K27:K29)</f>
        <v>7.9319169999999986</v>
      </c>
      <c r="L30" s="140">
        <f t="shared" si="4"/>
        <v>1.6501730158730161</v>
      </c>
      <c r="M30" s="140">
        <f>SUM(M27:M29)</f>
        <v>11.535497000000003</v>
      </c>
      <c r="N30" s="140">
        <f t="shared" si="4"/>
        <v>2.0631999999999997</v>
      </c>
      <c r="O30" s="140">
        <f>SUM(O27:O29)</f>
        <v>19.494036999999999</v>
      </c>
      <c r="P30" s="140">
        <f t="shared" si="4"/>
        <v>9.5499841269841284</v>
      </c>
      <c r="Q30" s="140">
        <f>SUM(Q27:Q29)</f>
        <v>12.338157000000006</v>
      </c>
      <c r="R30" s="140">
        <f t="shared" si="4"/>
        <v>30.425936507936512</v>
      </c>
      <c r="S30" s="140">
        <f>SUM(S27:S29)</f>
        <v>34.102979000000012</v>
      </c>
      <c r="T30" s="140">
        <f t="shared" si="4"/>
        <v>54.615430158730149</v>
      </c>
      <c r="U30" s="140">
        <f>SUM(U27:U29)</f>
        <v>162.038308</v>
      </c>
      <c r="V30" s="140">
        <f t="shared" si="4"/>
        <v>76.879047619047611</v>
      </c>
      <c r="W30" s="140">
        <f>SUM(W27:W29)</f>
        <v>196.09094800000003</v>
      </c>
      <c r="X30" s="140">
        <f t="shared" si="4"/>
        <v>116.21927142857143</v>
      </c>
      <c r="Y30" s="140">
        <f>SUM(Y27:Y29)</f>
        <v>198.06979800000005</v>
      </c>
      <c r="Z30" s="140">
        <f t="shared" si="4"/>
        <v>156.22901111111113</v>
      </c>
      <c r="AA30" s="140">
        <f>SUM(AA27:AA29)</f>
        <v>0</v>
      </c>
    </row>
    <row r="31" spans="1:27" x14ac:dyDescent="0.2">
      <c r="A31" s="126" t="s">
        <v>169</v>
      </c>
      <c r="B31" s="126" t="s">
        <v>204</v>
      </c>
      <c r="C31" s="126" t="s">
        <v>205</v>
      </c>
      <c r="D31" s="126">
        <f>+'ENE-SEP Bs 11NOV2016'!D33/'ENE-MAR USD AL 18MAR16'!$D$1/'ENE-MAR USD AL 18MAR16'!$E$1</f>
        <v>0</v>
      </c>
      <c r="E31" s="126">
        <f>+'ENE-SEP Bs 11NOV2016'!E33/'ENE-MAR USD AL 18MAR16'!$D$1/'ENE-MAR USD AL 18MAR16'!$E$1</f>
        <v>0</v>
      </c>
      <c r="F31" s="126">
        <f>+'ENE-SEP Bs 11NOV2016'!F33/'ENE-MAR USD AL 18MAR16'!$D$1/'ENE-MAR USD AL 18MAR16'!$E$1</f>
        <v>0</v>
      </c>
      <c r="G31" s="126">
        <f>+'ENE-SEP Bs 11NOV2016'!G33/'ENE-MAR USD AL 18MAR16'!$D$1/'ENE-MAR USD AL 18MAR16'!$E$1</f>
        <v>0</v>
      </c>
      <c r="H31" s="126">
        <f>+'ENE-SEP Bs 11NOV2016'!H33/'ENE-MAR USD AL 18MAR16'!$D$1/'ENE-MAR USD AL 18MAR16'!$E$1</f>
        <v>0</v>
      </c>
      <c r="I31" s="126">
        <f>+'ENE-SEP Bs 11NOV2016'!I33/'ENE-MAR USD AL 18MAR16'!$D$1/'ENE-MAR USD AL 18MAR16'!$F$1</f>
        <v>0</v>
      </c>
      <c r="J31" s="126">
        <f>+'ENE-SEP Bs 11NOV2016'!J33/'ENE-MAR USD AL 18MAR16'!$D$1/'ENE-MAR USD AL 18MAR16'!$E$1</f>
        <v>0</v>
      </c>
      <c r="K31" s="126">
        <f>+'ENE-SEP Bs 11NOV2016'!K33/'ENE-MAR USD AL 18MAR16'!$D$1/'ENE-MAR USD AL 18MAR16'!$F$1</f>
        <v>1.5529999999999999E-3</v>
      </c>
      <c r="L31" s="126">
        <f>+'ENE-SEP Bs 11NOV2016'!L33/'ENE-MAR USD AL 18MAR16'!$D$1/'ENE-MAR USD AL 18MAR16'!$E$1</f>
        <v>0</v>
      </c>
      <c r="M31" s="126">
        <f>+'ENE-SEP Bs 11NOV2016'!M33/'ENE-MAR USD AL 18MAR16'!$D$1/'ENE-MAR USD AL 18MAR16'!$F$1</f>
        <v>1.5529999999999999E-3</v>
      </c>
      <c r="N31" s="126">
        <f>+'ENE-SEP Bs 11NOV2016'!N33/'ENE-MAR USD AL 18MAR16'!$D$1/'ENE-MAR USD AL 18MAR16'!$E$1</f>
        <v>0</v>
      </c>
      <c r="O31" s="126">
        <f>+'ENE-SEP Bs 11NOV2016'!O33/'ENE-MAR USD AL 18MAR16'!$D$1/'ENE-MAR USD AL 18MAR16'!$F$1</f>
        <v>1.5529999999999999E-3</v>
      </c>
      <c r="P31" s="126">
        <f>+'ENE-SEP Bs 11NOV2016'!P33/'ENE-MAR USD AL 18MAR16'!$D$1/'ENE-MAR USD AL 18MAR16'!$E$1</f>
        <v>0</v>
      </c>
      <c r="Q31" s="126">
        <f>+'ENE-SEP Bs 11NOV2016'!Q33/'ENE-MAR USD AL 18MAR16'!$D$1/'ENE-MAR USD AL 18MAR16'!$F$1</f>
        <v>1.5529999999999999E-3</v>
      </c>
      <c r="R31" s="126">
        <f>+'ENE-SEP Bs 11NOV2016'!R33/'ENE-MAR USD AL 18MAR16'!$D$1/'ENE-MAR USD AL 18MAR16'!$E$1</f>
        <v>0</v>
      </c>
      <c r="S31" s="126">
        <f>+'ENE-SEP Bs 11NOV2016'!S33/'ENE-MAR USD AL 18MAR16'!$D$1/'ENE-MAR USD AL 18MAR16'!$F$1</f>
        <v>1.5529999999999999E-3</v>
      </c>
      <c r="T31" s="126">
        <f>+'ENE-SEP Bs 11NOV2016'!T33/'ENE-MAR USD AL 18MAR16'!$D$1/'ENE-MAR USD AL 18MAR16'!$E$1</f>
        <v>0</v>
      </c>
      <c r="U31" s="126">
        <f>+'ENE-SEP Bs 11NOV2016'!U33/'ENE-MAR USD AL 18MAR16'!$D$1/'ENE-MAR USD AL 18MAR16'!$F$1</f>
        <v>1.5529999999999999E-3</v>
      </c>
      <c r="V31" s="126">
        <f>+'ENE-SEP Bs 11NOV2016'!V33/'ENE-MAR USD AL 18MAR16'!$D$1/'ENE-MAR USD AL 18MAR16'!$E$1</f>
        <v>0</v>
      </c>
      <c r="W31" s="126">
        <f>+'ENE-SEP Bs 11NOV2016'!W33/'ENE-MAR USD AL 18MAR16'!$D$1/'ENE-MAR USD AL 18MAR16'!$F$1</f>
        <v>1.5529999999999999E-3</v>
      </c>
      <c r="X31" s="126">
        <f>+'ENE-SEP Bs 11NOV2016'!X33/'ENE-MAR USD AL 18MAR16'!$D$1/'ENE-MAR USD AL 18MAR16'!$E$1</f>
        <v>0</v>
      </c>
      <c r="Y31" s="126">
        <f>+'ENE-SEP Bs 11NOV2016'!Y33/'ENE-MAR USD AL 18MAR16'!$D$1/'ENE-MAR USD AL 18MAR16'!$F$1</f>
        <v>1.5529999999999999E-3</v>
      </c>
      <c r="Z31" s="126">
        <f>+'ENE-SEP Bs 11NOV2016'!Z33/'ENE-MAR USD AL 18MAR16'!$D$1/'ENE-MAR USD AL 18MAR16'!$E$1</f>
        <v>0</v>
      </c>
      <c r="AA31" s="126">
        <f>+'ENE-SEP Bs 11NOV2016'!AA33/'ENE-MAR USD AL 18MAR16'!$D$1/'ENE-MAR USD AL 18MAR16'!$F$1</f>
        <v>0</v>
      </c>
    </row>
    <row r="32" spans="1:27" x14ac:dyDescent="0.2">
      <c r="A32" s="126"/>
      <c r="B32" s="126" t="s">
        <v>170</v>
      </c>
      <c r="C32" s="126" t="s">
        <v>171</v>
      </c>
      <c r="D32" s="126">
        <f>+'ENE-SEP Bs 11NOV2016'!D34/'ENE-MAR USD AL 18MAR16'!$D$1/'ENE-MAR USD AL 18MAR16'!$E$1</f>
        <v>0</v>
      </c>
      <c r="E32" s="126">
        <f>+'ENE-SEP Bs 11NOV2016'!E34/'ENE-MAR USD AL 18MAR16'!$D$1/'ENE-MAR USD AL 18MAR16'!$E$1</f>
        <v>0</v>
      </c>
      <c r="F32" s="126">
        <f>+'ENE-SEP Bs 11NOV2016'!F34/'ENE-MAR USD AL 18MAR16'!$D$1/'ENE-MAR USD AL 18MAR16'!$E$1</f>
        <v>0</v>
      </c>
      <c r="G32" s="126">
        <f>+'ENE-SEP Bs 11NOV2016'!G34/'ENE-MAR USD AL 18MAR16'!$D$1/'ENE-MAR USD AL 18MAR16'!$E$1</f>
        <v>0</v>
      </c>
      <c r="H32" s="126">
        <f>+'ENE-SEP Bs 11NOV2016'!H34/'ENE-MAR USD AL 18MAR16'!$D$1/'ENE-MAR USD AL 18MAR16'!$E$1</f>
        <v>0</v>
      </c>
      <c r="I32" s="126">
        <f>+'ENE-SEP Bs 11NOV2016'!I34/'ENE-MAR USD AL 18MAR16'!$D$1/'ENE-MAR USD AL 18MAR16'!$F$1</f>
        <v>0</v>
      </c>
      <c r="J32" s="126">
        <f>+'ENE-SEP Bs 11NOV2016'!J34/'ENE-MAR USD AL 18MAR16'!$D$1/'ENE-MAR USD AL 18MAR16'!$E$1</f>
        <v>0</v>
      </c>
      <c r="K32" s="126">
        <f>+'ENE-SEP Bs 11NOV2016'!K34/'ENE-MAR USD AL 18MAR16'!$D$1/'ENE-MAR USD AL 18MAR16'!$F$1</f>
        <v>0</v>
      </c>
      <c r="L32" s="126">
        <f>+'ENE-SEP Bs 11NOV2016'!L34/'ENE-MAR USD AL 18MAR16'!$D$1/'ENE-MAR USD AL 18MAR16'!$E$1</f>
        <v>0</v>
      </c>
      <c r="M32" s="126">
        <f>+'ENE-SEP Bs 11NOV2016'!M34/'ENE-MAR USD AL 18MAR16'!$D$1/'ENE-MAR USD AL 18MAR16'!$F$1</f>
        <v>0</v>
      </c>
      <c r="N32" s="126">
        <f>+'ENE-SEP Bs 11NOV2016'!N34/'ENE-MAR USD AL 18MAR16'!$D$1/'ENE-MAR USD AL 18MAR16'!$E$1</f>
        <v>0</v>
      </c>
      <c r="O32" s="126">
        <f>+'ENE-SEP Bs 11NOV2016'!O34/'ENE-MAR USD AL 18MAR16'!$D$1/'ENE-MAR USD AL 18MAR16'!$F$1</f>
        <v>0</v>
      </c>
      <c r="P32" s="126">
        <f>+'ENE-SEP Bs 11NOV2016'!P34/'ENE-MAR USD AL 18MAR16'!$D$1/'ENE-MAR USD AL 18MAR16'!$E$1</f>
        <v>0</v>
      </c>
      <c r="Q32" s="126">
        <f>+'ENE-SEP Bs 11NOV2016'!Q34/'ENE-MAR USD AL 18MAR16'!$D$1/'ENE-MAR USD AL 18MAR16'!$F$1</f>
        <v>0</v>
      </c>
      <c r="R32" s="126">
        <f>+'ENE-SEP Bs 11NOV2016'!R34/'ENE-MAR USD AL 18MAR16'!$D$1/'ENE-MAR USD AL 18MAR16'!$E$1</f>
        <v>0</v>
      </c>
      <c r="S32" s="126">
        <f>+'ENE-SEP Bs 11NOV2016'!S34/'ENE-MAR USD AL 18MAR16'!$D$1/'ENE-MAR USD AL 18MAR16'!$F$1</f>
        <v>0</v>
      </c>
      <c r="T32" s="126">
        <f>+'ENE-SEP Bs 11NOV2016'!T34/'ENE-MAR USD AL 18MAR16'!$D$1/'ENE-MAR USD AL 18MAR16'!$E$1</f>
        <v>0</v>
      </c>
      <c r="U32" s="126">
        <f>+'ENE-SEP Bs 11NOV2016'!U34/'ENE-MAR USD AL 18MAR16'!$D$1/'ENE-MAR USD AL 18MAR16'!$F$1</f>
        <v>0</v>
      </c>
      <c r="V32" s="126">
        <f>+'ENE-SEP Bs 11NOV2016'!V34/'ENE-MAR USD AL 18MAR16'!$D$1/'ENE-MAR USD AL 18MAR16'!$E$1</f>
        <v>0</v>
      </c>
      <c r="W32" s="126">
        <f>+'ENE-SEP Bs 11NOV2016'!W34/'ENE-MAR USD AL 18MAR16'!$D$1/'ENE-MAR USD AL 18MAR16'!$F$1</f>
        <v>0</v>
      </c>
      <c r="X32" s="126">
        <f>+'ENE-SEP Bs 11NOV2016'!X34/'ENE-MAR USD AL 18MAR16'!$D$1/'ENE-MAR USD AL 18MAR16'!$E$1</f>
        <v>0</v>
      </c>
      <c r="Y32" s="126">
        <f>+'ENE-SEP Bs 11NOV2016'!Y34/'ENE-MAR USD AL 18MAR16'!$D$1/'ENE-MAR USD AL 18MAR16'!$F$1</f>
        <v>0</v>
      </c>
      <c r="Z32" s="126">
        <f>+'ENE-SEP Bs 11NOV2016'!Z34/'ENE-MAR USD AL 18MAR16'!$D$1/'ENE-MAR USD AL 18MAR16'!$E$1</f>
        <v>0</v>
      </c>
      <c r="AA32" s="126">
        <f>+'ENE-SEP Bs 11NOV2016'!AA34/'ENE-MAR USD AL 18MAR16'!$D$1/'ENE-MAR USD AL 18MAR16'!$F$1</f>
        <v>0</v>
      </c>
    </row>
    <row r="33" spans="1:27" s="133" customFormat="1" x14ac:dyDescent="0.2">
      <c r="A33" s="130" t="s">
        <v>172</v>
      </c>
      <c r="B33" s="130"/>
      <c r="C33" s="130"/>
      <c r="D33" s="140">
        <f>SUM(D31:D32)</f>
        <v>0</v>
      </c>
      <c r="E33" s="140">
        <f t="shared" ref="E33:Z33" si="5">SUM(E31:E32)</f>
        <v>0</v>
      </c>
      <c r="F33" s="140">
        <f t="shared" si="5"/>
        <v>0</v>
      </c>
      <c r="G33" s="140">
        <f t="shared" si="5"/>
        <v>0</v>
      </c>
      <c r="H33" s="140">
        <f t="shared" si="5"/>
        <v>0</v>
      </c>
      <c r="I33" s="140">
        <f>SUM(I31:I32)</f>
        <v>0</v>
      </c>
      <c r="J33" s="140">
        <f t="shared" si="5"/>
        <v>0</v>
      </c>
      <c r="K33" s="140">
        <f>SUM(K31:K32)</f>
        <v>1.5529999999999999E-3</v>
      </c>
      <c r="L33" s="140">
        <f t="shared" si="5"/>
        <v>0</v>
      </c>
      <c r="M33" s="140">
        <f>SUM(M31:M32)</f>
        <v>1.5529999999999999E-3</v>
      </c>
      <c r="N33" s="140">
        <f t="shared" si="5"/>
        <v>0</v>
      </c>
      <c r="O33" s="140">
        <f>SUM(O31:O32)</f>
        <v>1.5529999999999999E-3</v>
      </c>
      <c r="P33" s="140">
        <f t="shared" si="5"/>
        <v>0</v>
      </c>
      <c r="Q33" s="140">
        <f>SUM(Q31:Q32)</f>
        <v>1.5529999999999999E-3</v>
      </c>
      <c r="R33" s="140">
        <f t="shared" si="5"/>
        <v>0</v>
      </c>
      <c r="S33" s="140">
        <f>SUM(S31:S32)</f>
        <v>1.5529999999999999E-3</v>
      </c>
      <c r="T33" s="140">
        <f t="shared" si="5"/>
        <v>0</v>
      </c>
      <c r="U33" s="140">
        <f>SUM(U31:U32)</f>
        <v>1.5529999999999999E-3</v>
      </c>
      <c r="V33" s="140">
        <f t="shared" si="5"/>
        <v>0</v>
      </c>
      <c r="W33" s="140">
        <f>SUM(W31:W32)</f>
        <v>1.5529999999999999E-3</v>
      </c>
      <c r="X33" s="140">
        <f t="shared" si="5"/>
        <v>0</v>
      </c>
      <c r="Y33" s="140">
        <f>SUM(Y31:Y32)</f>
        <v>1.5529999999999999E-3</v>
      </c>
      <c r="Z33" s="140">
        <f t="shared" si="5"/>
        <v>0</v>
      </c>
      <c r="AA33" s="140">
        <f>SUM(AA31:AA32)</f>
        <v>0</v>
      </c>
    </row>
    <row r="34" spans="1:27" x14ac:dyDescent="0.2">
      <c r="A34" s="126" t="s">
        <v>26</v>
      </c>
      <c r="B34" s="126" t="s">
        <v>65</v>
      </c>
      <c r="C34" s="126" t="s">
        <v>66</v>
      </c>
      <c r="D34" s="126">
        <f>+'ENE-SEP Bs 11NOV2016'!D36/'ENE-MAR USD AL 18MAR16'!$D$1/'ENE-MAR USD AL 18MAR16'!$E$1</f>
        <v>0</v>
      </c>
      <c r="E34" s="126">
        <f>+'ENE-SEP Bs 11NOV2016'!E36/'ENE-MAR USD AL 18MAR16'!$D$1/'ENE-MAR USD AL 18MAR16'!$E$1</f>
        <v>4.5080952380952388E-2</v>
      </c>
      <c r="F34" s="126">
        <f>+'ENE-SEP Bs 11NOV2016'!F36/'ENE-MAR USD AL 18MAR16'!$D$1/'ENE-MAR USD AL 18MAR16'!$E$1</f>
        <v>0</v>
      </c>
      <c r="G34" s="126">
        <f>+'ENE-SEP Bs 11NOV2016'!G36/'ENE-MAR USD AL 18MAR16'!$D$1/'ENE-MAR USD AL 18MAR16'!$E$1</f>
        <v>0.15158095238095237</v>
      </c>
      <c r="H34" s="126">
        <f>+'ENE-SEP Bs 11NOV2016'!H36/'ENE-MAR USD AL 18MAR16'!$D$1/'ENE-MAR USD AL 18MAR16'!$E$1</f>
        <v>0</v>
      </c>
      <c r="I34" s="126">
        <f>+'ENE-SEP Bs 11NOV2016'!I36/'ENE-MAR USD AL 18MAR16'!$D$1/'ENE-MAR USD AL 18MAR16'!$F$1</f>
        <v>-1.101931</v>
      </c>
      <c r="J34" s="126">
        <f>+'ENE-SEP Bs 11NOV2016'!J36/'ENE-MAR USD AL 18MAR16'!$D$1/'ENE-MAR USD AL 18MAR16'!$E$1</f>
        <v>0</v>
      </c>
      <c r="K34" s="126">
        <f>+'ENE-SEP Bs 11NOV2016'!K36/'ENE-MAR USD AL 18MAR16'!$D$1/'ENE-MAR USD AL 18MAR16'!$F$1</f>
        <v>-1.101931</v>
      </c>
      <c r="L34" s="126">
        <f>+'ENE-SEP Bs 11NOV2016'!L36/'ENE-MAR USD AL 18MAR16'!$D$1/'ENE-MAR USD AL 18MAR16'!$E$1</f>
        <v>0</v>
      </c>
      <c r="M34" s="126">
        <f>+'ENE-SEP Bs 11NOV2016'!M36/'ENE-MAR USD AL 18MAR16'!$D$1/'ENE-MAR USD AL 18MAR16'!$F$1</f>
        <v>-0.95889899999999995</v>
      </c>
      <c r="N34" s="126">
        <f>+'ENE-SEP Bs 11NOV2016'!N36/'ENE-MAR USD AL 18MAR16'!$D$1/'ENE-MAR USD AL 18MAR16'!$E$1</f>
        <v>0</v>
      </c>
      <c r="O34" s="126">
        <f>+'ENE-SEP Bs 11NOV2016'!O36/'ENE-MAR USD AL 18MAR16'!$D$1/'ENE-MAR USD AL 18MAR16'!$F$1</f>
        <v>-0.80269699999999988</v>
      </c>
      <c r="P34" s="126">
        <f>+'ENE-SEP Bs 11NOV2016'!P36/'ENE-MAR USD AL 18MAR16'!$D$1/'ENE-MAR USD AL 18MAR16'!$E$1</f>
        <v>0</v>
      </c>
      <c r="Q34" s="126">
        <f>+'ENE-SEP Bs 11NOV2016'!Q36/'ENE-MAR USD AL 18MAR16'!$D$1/'ENE-MAR USD AL 18MAR16'!$F$1</f>
        <v>-0.70895499999999989</v>
      </c>
      <c r="R34" s="126">
        <f>+'ENE-SEP Bs 11NOV2016'!R36/'ENE-MAR USD AL 18MAR16'!$D$1/'ENE-MAR USD AL 18MAR16'!$E$1</f>
        <v>0</v>
      </c>
      <c r="S34" s="126">
        <f>+'ENE-SEP Bs 11NOV2016'!S36/'ENE-MAR USD AL 18MAR16'!$D$1/'ENE-MAR USD AL 18MAR16'!$F$1</f>
        <v>0.50967300000000015</v>
      </c>
      <c r="T34" s="126">
        <f>+'ENE-SEP Bs 11NOV2016'!T36/'ENE-MAR USD AL 18MAR16'!$D$1/'ENE-MAR USD AL 18MAR16'!$E$1</f>
        <v>0</v>
      </c>
      <c r="U34" s="126">
        <f>+'ENE-SEP Bs 11NOV2016'!U36/'ENE-MAR USD AL 18MAR16'!$D$1/'ENE-MAR USD AL 18MAR16'!$F$1</f>
        <v>0.58353700000000008</v>
      </c>
      <c r="V34" s="126">
        <f>+'ENE-SEP Bs 11NOV2016'!V36/'ENE-MAR USD AL 18MAR16'!$D$1/'ENE-MAR USD AL 18MAR16'!$E$1</f>
        <v>0</v>
      </c>
      <c r="W34" s="126">
        <f>+'ENE-SEP Bs 11NOV2016'!W36/'ENE-MAR USD AL 18MAR16'!$D$1/'ENE-MAR USD AL 18MAR16'!$F$1</f>
        <v>0.61511700000000014</v>
      </c>
      <c r="X34" s="126">
        <f>+'ENE-SEP Bs 11NOV2016'!X36/'ENE-MAR USD AL 18MAR16'!$D$1/'ENE-MAR USD AL 18MAR16'!$E$1</f>
        <v>0</v>
      </c>
      <c r="Y34" s="126">
        <f>+'ENE-SEP Bs 11NOV2016'!Y36/'ENE-MAR USD AL 18MAR16'!$D$1/'ENE-MAR USD AL 18MAR16'!$F$1</f>
        <v>0.83267799999999992</v>
      </c>
      <c r="Z34" s="126">
        <f>+'ENE-SEP Bs 11NOV2016'!Z36/'ENE-MAR USD AL 18MAR16'!$D$1/'ENE-MAR USD AL 18MAR16'!$E$1</f>
        <v>0</v>
      </c>
      <c r="AA34" s="126">
        <f>+'ENE-SEP Bs 11NOV2016'!AA36/'ENE-MAR USD AL 18MAR16'!$D$1/'ENE-MAR USD AL 18MAR16'!$F$1</f>
        <v>0</v>
      </c>
    </row>
    <row r="35" spans="1:27" x14ac:dyDescent="0.2">
      <c r="A35" s="126"/>
      <c r="B35" s="126" t="s">
        <v>203</v>
      </c>
      <c r="C35" s="126" t="s">
        <v>12</v>
      </c>
      <c r="D35" s="126">
        <f>+'ENE-SEP Bs 11NOV2016'!D37/'ENE-MAR USD AL 18MAR16'!$D$1/'ENE-MAR USD AL 18MAR16'!$E$1</f>
        <v>0</v>
      </c>
      <c r="E35" s="126">
        <f>+'ENE-SEP Bs 11NOV2016'!E37/'ENE-MAR USD AL 18MAR16'!$D$1/'ENE-MAR USD AL 18MAR16'!$E$1</f>
        <v>0</v>
      </c>
      <c r="F35" s="126">
        <f>+'ENE-SEP Bs 11NOV2016'!F37/'ENE-MAR USD AL 18MAR16'!$D$1/'ENE-MAR USD AL 18MAR16'!$E$1</f>
        <v>0</v>
      </c>
      <c r="G35" s="126">
        <f>+'ENE-SEP Bs 11NOV2016'!G37/'ENE-MAR USD AL 18MAR16'!$D$1/'ENE-MAR USD AL 18MAR16'!$E$1</f>
        <v>0</v>
      </c>
      <c r="H35" s="126">
        <f>+'ENE-SEP Bs 11NOV2016'!H37/'ENE-MAR USD AL 18MAR16'!$D$1/'ENE-MAR USD AL 18MAR16'!$E$1</f>
        <v>0</v>
      </c>
      <c r="I35" s="126">
        <f>+'ENE-SEP Bs 11NOV2016'!I37/'ENE-MAR USD AL 18MAR16'!$D$1/'ENE-MAR USD AL 18MAR16'!$F$1</f>
        <v>0</v>
      </c>
      <c r="J35" s="126">
        <f>+'ENE-SEP Bs 11NOV2016'!J37/'ENE-MAR USD AL 18MAR16'!$D$1/'ENE-MAR USD AL 18MAR16'!$E$1</f>
        <v>0</v>
      </c>
      <c r="K35" s="126">
        <f>+'ENE-SEP Bs 11NOV2016'!K37/'ENE-MAR USD AL 18MAR16'!$D$1/'ENE-MAR USD AL 18MAR16'!$F$1</f>
        <v>0</v>
      </c>
      <c r="L35" s="126">
        <f>+'ENE-SEP Bs 11NOV2016'!L37/'ENE-MAR USD AL 18MAR16'!$D$1/'ENE-MAR USD AL 18MAR16'!$E$1</f>
        <v>0</v>
      </c>
      <c r="M35" s="126">
        <f>+'ENE-SEP Bs 11NOV2016'!M37/'ENE-MAR USD AL 18MAR16'!$D$1/'ENE-MAR USD AL 18MAR16'!$F$1</f>
        <v>0</v>
      </c>
      <c r="N35" s="126">
        <f>+'ENE-SEP Bs 11NOV2016'!N37/'ENE-MAR USD AL 18MAR16'!$D$1/'ENE-MAR USD AL 18MAR16'!$E$1</f>
        <v>0</v>
      </c>
      <c r="O35" s="126">
        <f>+'ENE-SEP Bs 11NOV2016'!O37/'ENE-MAR USD AL 18MAR16'!$D$1/'ENE-MAR USD AL 18MAR16'!$F$1</f>
        <v>0</v>
      </c>
      <c r="P35" s="126">
        <f>+'ENE-SEP Bs 11NOV2016'!P37/'ENE-MAR USD AL 18MAR16'!$D$1/'ENE-MAR USD AL 18MAR16'!$E$1</f>
        <v>0</v>
      </c>
      <c r="Q35" s="126">
        <f>+'ENE-SEP Bs 11NOV2016'!Q37/'ENE-MAR USD AL 18MAR16'!$D$1/'ENE-MAR USD AL 18MAR16'!$F$1</f>
        <v>0</v>
      </c>
      <c r="R35" s="126">
        <f>+'ENE-SEP Bs 11NOV2016'!R37/'ENE-MAR USD AL 18MAR16'!$D$1/'ENE-MAR USD AL 18MAR16'!$E$1</f>
        <v>0</v>
      </c>
      <c r="S35" s="126">
        <f>+'ENE-SEP Bs 11NOV2016'!S37/'ENE-MAR USD AL 18MAR16'!$D$1/'ENE-MAR USD AL 18MAR16'!$F$1</f>
        <v>0</v>
      </c>
      <c r="T35" s="126">
        <f>+'ENE-SEP Bs 11NOV2016'!T37/'ENE-MAR USD AL 18MAR16'!$D$1/'ENE-MAR USD AL 18MAR16'!$E$1</f>
        <v>0</v>
      </c>
      <c r="U35" s="126">
        <f>+'ENE-SEP Bs 11NOV2016'!U37/'ENE-MAR USD AL 18MAR16'!$D$1/'ENE-MAR USD AL 18MAR16'!$F$1</f>
        <v>0</v>
      </c>
      <c r="V35" s="126">
        <f>+'ENE-SEP Bs 11NOV2016'!V37/'ENE-MAR USD AL 18MAR16'!$D$1/'ENE-MAR USD AL 18MAR16'!$E$1</f>
        <v>0</v>
      </c>
      <c r="W35" s="126">
        <f>+'ENE-SEP Bs 11NOV2016'!W37/'ENE-MAR USD AL 18MAR16'!$D$1/'ENE-MAR USD AL 18MAR16'!$F$1</f>
        <v>0</v>
      </c>
      <c r="X35" s="126">
        <f>+'ENE-SEP Bs 11NOV2016'!X37/'ENE-MAR USD AL 18MAR16'!$D$1/'ENE-MAR USD AL 18MAR16'!$E$1</f>
        <v>0</v>
      </c>
      <c r="Y35" s="126">
        <f>+'ENE-SEP Bs 11NOV2016'!Y37/'ENE-MAR USD AL 18MAR16'!$D$1/'ENE-MAR USD AL 18MAR16'!$F$1</f>
        <v>0</v>
      </c>
      <c r="Z35" s="126">
        <f>+'ENE-SEP Bs 11NOV2016'!Z37/'ENE-MAR USD AL 18MAR16'!$D$1/'ENE-MAR USD AL 18MAR16'!$E$1</f>
        <v>0</v>
      </c>
      <c r="AA35" s="126">
        <f>+'ENE-SEP Bs 11NOV2016'!AA37/'ENE-MAR USD AL 18MAR16'!$D$1/'ENE-MAR USD AL 18MAR16'!$F$1</f>
        <v>0</v>
      </c>
    </row>
    <row r="36" spans="1:27" x14ac:dyDescent="0.2">
      <c r="A36" s="126"/>
      <c r="B36" s="126" t="s">
        <v>71</v>
      </c>
      <c r="C36" s="126" t="s">
        <v>72</v>
      </c>
      <c r="D36" s="126">
        <f>+'ENE-SEP Bs 11NOV2016'!D38/'ENE-MAR USD AL 18MAR16'!$D$1/'ENE-MAR USD AL 18MAR16'!$E$1</f>
        <v>0</v>
      </c>
      <c r="E36" s="126">
        <f>+'ENE-SEP Bs 11NOV2016'!E38/'ENE-MAR USD AL 18MAR16'!$D$1/'ENE-MAR USD AL 18MAR16'!$E$1</f>
        <v>0</v>
      </c>
      <c r="F36" s="126">
        <f>+'ENE-SEP Bs 11NOV2016'!F38/'ENE-MAR USD AL 18MAR16'!$D$1/'ENE-MAR USD AL 18MAR16'!$E$1</f>
        <v>0</v>
      </c>
      <c r="G36" s="126">
        <f>+'ENE-SEP Bs 11NOV2016'!G38/'ENE-MAR USD AL 18MAR16'!$D$1/'ENE-MAR USD AL 18MAR16'!$E$1</f>
        <v>0.16107301587301587</v>
      </c>
      <c r="H36" s="126">
        <f>+'ENE-SEP Bs 11NOV2016'!H38/'ENE-MAR USD AL 18MAR16'!$D$1/'ENE-MAR USD AL 18MAR16'!$E$1</f>
        <v>0</v>
      </c>
      <c r="I36" s="126">
        <f>+'ENE-SEP Bs 11NOV2016'!I38/'ENE-MAR USD AL 18MAR16'!$D$1/'ENE-MAR USD AL 18MAR16'!$F$1</f>
        <v>0.10147599999999998</v>
      </c>
      <c r="J36" s="126">
        <f>+'ENE-SEP Bs 11NOV2016'!J38/'ENE-MAR USD AL 18MAR16'!$D$1/'ENE-MAR USD AL 18MAR16'!$E$1</f>
        <v>0</v>
      </c>
      <c r="K36" s="126">
        <f>+'ENE-SEP Bs 11NOV2016'!K38/'ENE-MAR USD AL 18MAR16'!$D$1/'ENE-MAR USD AL 18MAR16'!$F$1</f>
        <v>0.10147599999999998</v>
      </c>
      <c r="L36" s="126">
        <f>+'ENE-SEP Bs 11NOV2016'!L38/'ENE-MAR USD AL 18MAR16'!$D$1/'ENE-MAR USD AL 18MAR16'!$E$1</f>
        <v>0</v>
      </c>
      <c r="M36" s="126">
        <f>+'ENE-SEP Bs 11NOV2016'!M38/'ENE-MAR USD AL 18MAR16'!$D$1/'ENE-MAR USD AL 18MAR16'!$F$1</f>
        <v>0.10147599999999998</v>
      </c>
      <c r="N36" s="126">
        <f>+'ENE-SEP Bs 11NOV2016'!N38/'ENE-MAR USD AL 18MAR16'!$D$1/'ENE-MAR USD AL 18MAR16'!$E$1</f>
        <v>0</v>
      </c>
      <c r="O36" s="126">
        <f>+'ENE-SEP Bs 11NOV2016'!O38/'ENE-MAR USD AL 18MAR16'!$D$1/'ENE-MAR USD AL 18MAR16'!$F$1</f>
        <v>0.10147599999999998</v>
      </c>
      <c r="P36" s="126">
        <f>+'ENE-SEP Bs 11NOV2016'!P38/'ENE-MAR USD AL 18MAR16'!$D$1/'ENE-MAR USD AL 18MAR16'!$E$1</f>
        <v>0</v>
      </c>
      <c r="Q36" s="126">
        <f>+'ENE-SEP Bs 11NOV2016'!Q38/'ENE-MAR USD AL 18MAR16'!$D$1/'ENE-MAR USD AL 18MAR16'!$F$1</f>
        <v>0.10147599999999998</v>
      </c>
      <c r="R36" s="126">
        <f>+'ENE-SEP Bs 11NOV2016'!R38/'ENE-MAR USD AL 18MAR16'!$D$1/'ENE-MAR USD AL 18MAR16'!$E$1</f>
        <v>0</v>
      </c>
      <c r="S36" s="126">
        <f>+'ENE-SEP Bs 11NOV2016'!S38/'ENE-MAR USD AL 18MAR16'!$D$1/'ENE-MAR USD AL 18MAR16'!$F$1</f>
        <v>0.10147599999999998</v>
      </c>
      <c r="T36" s="126">
        <f>+'ENE-SEP Bs 11NOV2016'!T38/'ENE-MAR USD AL 18MAR16'!$D$1/'ENE-MAR USD AL 18MAR16'!$E$1</f>
        <v>0</v>
      </c>
      <c r="U36" s="126">
        <f>+'ENE-SEP Bs 11NOV2016'!U38/'ENE-MAR USD AL 18MAR16'!$D$1/'ENE-MAR USD AL 18MAR16'!$F$1</f>
        <v>0.10147599999999998</v>
      </c>
      <c r="V36" s="126">
        <f>+'ENE-SEP Bs 11NOV2016'!V38/'ENE-MAR USD AL 18MAR16'!$D$1/'ENE-MAR USD AL 18MAR16'!$E$1</f>
        <v>0</v>
      </c>
      <c r="W36" s="126">
        <f>+'ENE-SEP Bs 11NOV2016'!W38/'ENE-MAR USD AL 18MAR16'!$D$1/'ENE-MAR USD AL 18MAR16'!$F$1</f>
        <v>0.10147599999999998</v>
      </c>
      <c r="X36" s="126">
        <f>+'ENE-SEP Bs 11NOV2016'!X38/'ENE-MAR USD AL 18MAR16'!$D$1/'ENE-MAR USD AL 18MAR16'!$E$1</f>
        <v>0</v>
      </c>
      <c r="Y36" s="126">
        <f>+'ENE-SEP Bs 11NOV2016'!Y38/'ENE-MAR USD AL 18MAR16'!$D$1/'ENE-MAR USD AL 18MAR16'!$F$1</f>
        <v>0.10147599999999998</v>
      </c>
      <c r="Z36" s="126">
        <f>+'ENE-SEP Bs 11NOV2016'!Z38/'ENE-MAR USD AL 18MAR16'!$D$1/'ENE-MAR USD AL 18MAR16'!$E$1</f>
        <v>0</v>
      </c>
      <c r="AA36" s="126">
        <f>+'ENE-SEP Bs 11NOV2016'!AA38/'ENE-MAR USD AL 18MAR16'!$D$1/'ENE-MAR USD AL 18MAR16'!$F$1</f>
        <v>0</v>
      </c>
    </row>
    <row r="37" spans="1:27" x14ac:dyDescent="0.2">
      <c r="A37" s="126"/>
      <c r="B37" s="126" t="s">
        <v>220</v>
      </c>
      <c r="C37" s="126" t="s">
        <v>221</v>
      </c>
      <c r="D37" s="126">
        <f>+'ENE-SEP Bs 11NOV2016'!D39/'ENE-MAR USD AL 18MAR16'!$D$1/'ENE-MAR USD AL 18MAR16'!$E$1</f>
        <v>0</v>
      </c>
      <c r="E37" s="126">
        <f>+'ENE-SEP Bs 11NOV2016'!E39/'ENE-MAR USD AL 18MAR16'!$D$1/'ENE-MAR USD AL 18MAR16'!$E$1</f>
        <v>0</v>
      </c>
      <c r="F37" s="126">
        <f>+'ENE-SEP Bs 11NOV2016'!F39/'ENE-MAR USD AL 18MAR16'!$D$1/'ENE-MAR USD AL 18MAR16'!$E$1</f>
        <v>0</v>
      </c>
      <c r="G37" s="126">
        <f>+'ENE-SEP Bs 11NOV2016'!G39/'ENE-MAR USD AL 18MAR16'!$D$1/'ENE-MAR USD AL 18MAR16'!$E$1</f>
        <v>0</v>
      </c>
      <c r="H37" s="126">
        <f>+'ENE-SEP Bs 11NOV2016'!H39/'ENE-MAR USD AL 18MAR16'!$D$1/'ENE-MAR USD AL 18MAR16'!$E$1</f>
        <v>0</v>
      </c>
      <c r="I37" s="126">
        <f>+'ENE-SEP Bs 11NOV2016'!I39/'ENE-MAR USD AL 18MAR16'!$D$1/'ENE-MAR USD AL 18MAR16'!$F$1</f>
        <v>0</v>
      </c>
      <c r="J37" s="126">
        <f>+'ENE-SEP Bs 11NOV2016'!J39/'ENE-MAR USD AL 18MAR16'!$D$1/'ENE-MAR USD AL 18MAR16'!$E$1</f>
        <v>0</v>
      </c>
      <c r="K37" s="126">
        <f>+'ENE-SEP Bs 11NOV2016'!K39/'ENE-MAR USD AL 18MAR16'!$D$1/'ENE-MAR USD AL 18MAR16'!$F$1</f>
        <v>0</v>
      </c>
      <c r="L37" s="126">
        <f>+'ENE-SEP Bs 11NOV2016'!L39/'ENE-MAR USD AL 18MAR16'!$D$1/'ENE-MAR USD AL 18MAR16'!$E$1</f>
        <v>0.62738095238095237</v>
      </c>
      <c r="M37" s="126">
        <f>+'ENE-SEP Bs 11NOV2016'!M39/'ENE-MAR USD AL 18MAR16'!$D$1/'ENE-MAR USD AL 18MAR16'!$F$1</f>
        <v>0</v>
      </c>
      <c r="N37" s="126">
        <f>+'ENE-SEP Bs 11NOV2016'!N39/'ENE-MAR USD AL 18MAR16'!$D$1/'ENE-MAR USD AL 18MAR16'!$E$1</f>
        <v>1.2547619047619047</v>
      </c>
      <c r="O37" s="126">
        <f>+'ENE-SEP Bs 11NOV2016'!O39/'ENE-MAR USD AL 18MAR16'!$D$1/'ENE-MAR USD AL 18MAR16'!$F$1</f>
        <v>0</v>
      </c>
      <c r="P37" s="126">
        <f>+'ENE-SEP Bs 11NOV2016'!P39/'ENE-MAR USD AL 18MAR16'!$D$1/'ENE-MAR USD AL 18MAR16'!$E$1</f>
        <v>1.8821428571428571</v>
      </c>
      <c r="Q37" s="126">
        <f>+'ENE-SEP Bs 11NOV2016'!Q39/'ENE-MAR USD AL 18MAR16'!$D$1/'ENE-MAR USD AL 18MAR16'!$F$1</f>
        <v>0</v>
      </c>
      <c r="R37" s="126">
        <f>+'ENE-SEP Bs 11NOV2016'!R39/'ENE-MAR USD AL 18MAR16'!$D$1/'ENE-MAR USD AL 18MAR16'!$E$1</f>
        <v>2.5095238095238095</v>
      </c>
      <c r="S37" s="126">
        <f>+'ENE-SEP Bs 11NOV2016'!S39/'ENE-MAR USD AL 18MAR16'!$D$1/'ENE-MAR USD AL 18MAR16'!$F$1</f>
        <v>0</v>
      </c>
      <c r="T37" s="126">
        <f>+'ENE-SEP Bs 11NOV2016'!T39/'ENE-MAR USD AL 18MAR16'!$D$1/'ENE-MAR USD AL 18MAR16'!$E$1</f>
        <v>3.1369047619047619</v>
      </c>
      <c r="U37" s="126">
        <f>+'ENE-SEP Bs 11NOV2016'!U39/'ENE-MAR USD AL 18MAR16'!$D$1/'ENE-MAR USD AL 18MAR16'!$F$1</f>
        <v>0</v>
      </c>
      <c r="V37" s="126">
        <f>+'ENE-SEP Bs 11NOV2016'!V39/'ENE-MAR USD AL 18MAR16'!$D$1/'ENE-MAR USD AL 18MAR16'!$E$1</f>
        <v>3.7642857142857142</v>
      </c>
      <c r="W37" s="126">
        <f>+'ENE-SEP Bs 11NOV2016'!W39/'ENE-MAR USD AL 18MAR16'!$D$1/'ENE-MAR USD AL 18MAR16'!$F$1</f>
        <v>0</v>
      </c>
      <c r="X37" s="126">
        <f>+'ENE-SEP Bs 11NOV2016'!X39/'ENE-MAR USD AL 18MAR16'!$D$1/'ENE-MAR USD AL 18MAR16'!$E$1</f>
        <v>4.3916666666666666</v>
      </c>
      <c r="Y37" s="126">
        <f>+'ENE-SEP Bs 11NOV2016'!Y39/'ENE-MAR USD AL 18MAR16'!$D$1/'ENE-MAR USD AL 18MAR16'!$F$1</f>
        <v>0</v>
      </c>
      <c r="Z37" s="126">
        <f>+'ENE-SEP Bs 11NOV2016'!Z39/'ENE-MAR USD AL 18MAR16'!$D$1/'ENE-MAR USD AL 18MAR16'!$E$1</f>
        <v>5.019047619047619</v>
      </c>
      <c r="AA37" s="126">
        <f>+'ENE-SEP Bs 11NOV2016'!AA39/'ENE-MAR USD AL 18MAR16'!$D$1/'ENE-MAR USD AL 18MAR16'!$F$1</f>
        <v>0</v>
      </c>
    </row>
    <row r="38" spans="1:27" x14ac:dyDescent="0.2">
      <c r="A38" s="126"/>
      <c r="B38" s="126" t="s">
        <v>139</v>
      </c>
      <c r="C38" s="126" t="s">
        <v>140</v>
      </c>
      <c r="D38" s="126">
        <f>+'ENE-SEP Bs 11NOV2016'!D40/'ENE-MAR USD AL 18MAR16'!$D$1/'ENE-MAR USD AL 18MAR16'!$E$1</f>
        <v>0</v>
      </c>
      <c r="E38" s="126">
        <f>+'ENE-SEP Bs 11NOV2016'!E40/'ENE-MAR USD AL 18MAR16'!$D$1/'ENE-MAR USD AL 18MAR16'!$E$1</f>
        <v>0</v>
      </c>
      <c r="F38" s="126">
        <f>+'ENE-SEP Bs 11NOV2016'!F40/'ENE-MAR USD AL 18MAR16'!$D$1/'ENE-MAR USD AL 18MAR16'!$E$1</f>
        <v>0</v>
      </c>
      <c r="G38" s="126">
        <f>+'ENE-SEP Bs 11NOV2016'!G40/'ENE-MAR USD AL 18MAR16'!$D$1/'ENE-MAR USD AL 18MAR16'!$E$1</f>
        <v>0</v>
      </c>
      <c r="H38" s="126">
        <f>+'ENE-SEP Bs 11NOV2016'!H40/'ENE-MAR USD AL 18MAR16'!$D$1/'ENE-MAR USD AL 18MAR16'!$E$1</f>
        <v>0</v>
      </c>
      <c r="I38" s="126">
        <f>+'ENE-SEP Bs 11NOV2016'!I40/'ENE-MAR USD AL 18MAR16'!$D$1/'ENE-MAR USD AL 18MAR16'!$F$1</f>
        <v>0</v>
      </c>
      <c r="J38" s="126">
        <f>+'ENE-SEP Bs 11NOV2016'!J40/'ENE-MAR USD AL 18MAR16'!$D$1/'ENE-MAR USD AL 18MAR16'!$E$1</f>
        <v>0</v>
      </c>
      <c r="K38" s="126">
        <f>+'ENE-SEP Bs 11NOV2016'!K40/'ENE-MAR USD AL 18MAR16'!$D$1/'ENE-MAR USD AL 18MAR16'!$F$1</f>
        <v>0</v>
      </c>
      <c r="L38" s="126">
        <f>+'ENE-SEP Bs 11NOV2016'!L40/'ENE-MAR USD AL 18MAR16'!$D$1/'ENE-MAR USD AL 18MAR16'!$E$1</f>
        <v>0</v>
      </c>
      <c r="M38" s="126">
        <f>+'ENE-SEP Bs 11NOV2016'!M40/'ENE-MAR USD AL 18MAR16'!$D$1/'ENE-MAR USD AL 18MAR16'!$F$1</f>
        <v>0</v>
      </c>
      <c r="N38" s="126">
        <f>+'ENE-SEP Bs 11NOV2016'!N40/'ENE-MAR USD AL 18MAR16'!$D$1/'ENE-MAR USD AL 18MAR16'!$E$1</f>
        <v>0</v>
      </c>
      <c r="O38" s="126">
        <f>+'ENE-SEP Bs 11NOV2016'!O40/'ENE-MAR USD AL 18MAR16'!$D$1/'ENE-MAR USD AL 18MAR16'!$F$1</f>
        <v>0</v>
      </c>
      <c r="P38" s="126">
        <f>+'ENE-SEP Bs 11NOV2016'!P40/'ENE-MAR USD AL 18MAR16'!$D$1/'ENE-MAR USD AL 18MAR16'!$E$1</f>
        <v>0</v>
      </c>
      <c r="Q38" s="126">
        <f>+'ENE-SEP Bs 11NOV2016'!Q40/'ENE-MAR USD AL 18MAR16'!$D$1/'ENE-MAR USD AL 18MAR16'!$F$1</f>
        <v>0</v>
      </c>
      <c r="R38" s="126">
        <f>+'ENE-SEP Bs 11NOV2016'!R40/'ENE-MAR USD AL 18MAR16'!$D$1/'ENE-MAR USD AL 18MAR16'!$E$1</f>
        <v>0</v>
      </c>
      <c r="S38" s="126">
        <f>+'ENE-SEP Bs 11NOV2016'!S40/'ENE-MAR USD AL 18MAR16'!$D$1/'ENE-MAR USD AL 18MAR16'!$F$1</f>
        <v>0</v>
      </c>
      <c r="T38" s="126">
        <f>+'ENE-SEP Bs 11NOV2016'!T40/'ENE-MAR USD AL 18MAR16'!$D$1/'ENE-MAR USD AL 18MAR16'!$E$1</f>
        <v>0</v>
      </c>
      <c r="U38" s="126">
        <f>+'ENE-SEP Bs 11NOV2016'!U40/'ENE-MAR USD AL 18MAR16'!$D$1/'ENE-MAR USD AL 18MAR16'!$F$1</f>
        <v>0</v>
      </c>
      <c r="V38" s="126">
        <f>+'ENE-SEP Bs 11NOV2016'!V40/'ENE-MAR USD AL 18MAR16'!$D$1/'ENE-MAR USD AL 18MAR16'!$E$1</f>
        <v>0</v>
      </c>
      <c r="W38" s="126">
        <f>+'ENE-SEP Bs 11NOV2016'!W40/'ENE-MAR USD AL 18MAR16'!$D$1/'ENE-MAR USD AL 18MAR16'!$F$1</f>
        <v>0</v>
      </c>
      <c r="X38" s="126">
        <f>+'ENE-SEP Bs 11NOV2016'!X40/'ENE-MAR USD AL 18MAR16'!$D$1/'ENE-MAR USD AL 18MAR16'!$E$1</f>
        <v>0</v>
      </c>
      <c r="Y38" s="126">
        <f>+'ENE-SEP Bs 11NOV2016'!Y40/'ENE-MAR USD AL 18MAR16'!$D$1/'ENE-MAR USD AL 18MAR16'!$F$1</f>
        <v>0</v>
      </c>
      <c r="Z38" s="126">
        <f>+'ENE-SEP Bs 11NOV2016'!Z40/'ENE-MAR USD AL 18MAR16'!$D$1/'ENE-MAR USD AL 18MAR16'!$E$1</f>
        <v>0</v>
      </c>
      <c r="AA38" s="126">
        <f>+'ENE-SEP Bs 11NOV2016'!AA40/'ENE-MAR USD AL 18MAR16'!$D$1/'ENE-MAR USD AL 18MAR16'!$F$1</f>
        <v>0</v>
      </c>
    </row>
    <row r="39" spans="1:27" x14ac:dyDescent="0.2">
      <c r="A39" s="126"/>
      <c r="B39" s="126" t="s">
        <v>73</v>
      </c>
      <c r="C39" s="126" t="s">
        <v>74</v>
      </c>
      <c r="D39" s="126">
        <f>+'ENE-SEP Bs 11NOV2016'!D41/'ENE-MAR USD AL 18MAR16'!$D$1/'ENE-MAR USD AL 18MAR16'!$E$1</f>
        <v>0.74857142857142867</v>
      </c>
      <c r="E39" s="126">
        <f>+'ENE-SEP Bs 11NOV2016'!E41/'ENE-MAR USD AL 18MAR16'!$D$1/'ENE-MAR USD AL 18MAR16'!$E$1</f>
        <v>0.64271904761904763</v>
      </c>
      <c r="F39" s="126">
        <f>+'ENE-SEP Bs 11NOV2016'!F41/'ENE-MAR USD AL 18MAR16'!$D$1/'ENE-MAR USD AL 18MAR16'!$E$1</f>
        <v>0.89071428571428579</v>
      </c>
      <c r="G39" s="126">
        <f>+'ENE-SEP Bs 11NOV2016'!G41/'ENE-MAR USD AL 18MAR16'!$D$1/'ENE-MAR USD AL 18MAR16'!$E$1</f>
        <v>0.78301904761904773</v>
      </c>
      <c r="H39" s="126">
        <f>+'ENE-SEP Bs 11NOV2016'!H41/'ENE-MAR USD AL 18MAR16'!$D$1/'ENE-MAR USD AL 18MAR16'!$E$1</f>
        <v>1.2393238095238097</v>
      </c>
      <c r="I39" s="126">
        <f>+'ENE-SEP Bs 11NOV2016'!I41/'ENE-MAR USD AL 18MAR16'!$D$1/'ENE-MAR USD AL 18MAR16'!$F$1</f>
        <v>0.71246599999999993</v>
      </c>
      <c r="J39" s="126">
        <f>+'ENE-SEP Bs 11NOV2016'!J41/'ENE-MAR USD AL 18MAR16'!$D$1/'ENE-MAR USD AL 18MAR16'!$E$1</f>
        <v>1.9060539682539681</v>
      </c>
      <c r="K39" s="126">
        <f>+'ENE-SEP Bs 11NOV2016'!K41/'ENE-MAR USD AL 18MAR16'!$D$1/'ENE-MAR USD AL 18MAR16'!$F$1</f>
        <v>0.77038600000000002</v>
      </c>
      <c r="L39" s="126">
        <f>+'ENE-SEP Bs 11NOV2016'!L41/'ENE-MAR USD AL 18MAR16'!$D$1/'ENE-MAR USD AL 18MAR16'!$E$1</f>
        <v>3.2911873015873012</v>
      </c>
      <c r="M39" s="126">
        <f>+'ENE-SEP Bs 11NOV2016'!M41/'ENE-MAR USD AL 18MAR16'!$D$1/'ENE-MAR USD AL 18MAR16'!$F$1</f>
        <v>0.9311529999999999</v>
      </c>
      <c r="N39" s="126">
        <f>+'ENE-SEP Bs 11NOV2016'!N41/'ENE-MAR USD AL 18MAR16'!$D$1/'ENE-MAR USD AL 18MAR16'!$E$1</f>
        <v>5.4949206349206356</v>
      </c>
      <c r="O39" s="126">
        <f>+'ENE-SEP Bs 11NOV2016'!O41/'ENE-MAR USD AL 18MAR16'!$D$1/'ENE-MAR USD AL 18MAR16'!$F$1</f>
        <v>1.73095</v>
      </c>
      <c r="P39" s="126">
        <f>+'ENE-SEP Bs 11NOV2016'!P41/'ENE-MAR USD AL 18MAR16'!$D$1/'ENE-MAR USD AL 18MAR16'!$E$1</f>
        <v>7.07936507936508</v>
      </c>
      <c r="Q39" s="126">
        <f>+'ENE-SEP Bs 11NOV2016'!Q41/'ENE-MAR USD AL 18MAR16'!$D$1/'ENE-MAR USD AL 18MAR16'!$F$1</f>
        <v>1.7284839999999995</v>
      </c>
      <c r="R39" s="126">
        <f>+'ENE-SEP Bs 11NOV2016'!R41/'ENE-MAR USD AL 18MAR16'!$D$1/'ENE-MAR USD AL 18MAR16'!$E$1</f>
        <v>7.9404761904761907</v>
      </c>
      <c r="S39" s="126">
        <f>+'ENE-SEP Bs 11NOV2016'!S41/'ENE-MAR USD AL 18MAR16'!$D$1/'ENE-MAR USD AL 18MAR16'!$F$1</f>
        <v>1.7758879999999997</v>
      </c>
      <c r="T39" s="126">
        <f>+'ENE-SEP Bs 11NOV2016'!T41/'ENE-MAR USD AL 18MAR16'!$D$1/'ENE-MAR USD AL 18MAR16'!$E$1</f>
        <v>8.412698412698413</v>
      </c>
      <c r="U39" s="126">
        <f>+'ENE-SEP Bs 11NOV2016'!U41/'ENE-MAR USD AL 18MAR16'!$D$1/'ENE-MAR USD AL 18MAR16'!$F$1</f>
        <v>2.1189880000000003</v>
      </c>
      <c r="V39" s="126">
        <f>+'ENE-SEP Bs 11NOV2016'!V41/'ENE-MAR USD AL 18MAR16'!$D$1/'ENE-MAR USD AL 18MAR16'!$E$1</f>
        <v>8.6666666666666679</v>
      </c>
      <c r="W39" s="126">
        <f>+'ENE-SEP Bs 11NOV2016'!W41/'ENE-MAR USD AL 18MAR16'!$D$1/'ENE-MAR USD AL 18MAR16'!$F$1</f>
        <v>2.8082729999999994</v>
      </c>
      <c r="X39" s="126">
        <f>+'ENE-SEP Bs 11NOV2016'!X41/'ENE-MAR USD AL 18MAR16'!$D$1/'ENE-MAR USD AL 18MAR16'!$E$1</f>
        <v>8.7301587301587311</v>
      </c>
      <c r="Y39" s="126">
        <f>+'ENE-SEP Bs 11NOV2016'!Y41/'ENE-MAR USD AL 18MAR16'!$D$1/'ENE-MAR USD AL 18MAR16'!$F$1</f>
        <v>2.8136019999999999</v>
      </c>
      <c r="Z39" s="126">
        <f>+'ENE-SEP Bs 11NOV2016'!Z41/'ENE-MAR USD AL 18MAR16'!$D$1/'ENE-MAR USD AL 18MAR16'!$E$1</f>
        <v>8.7301587301587311</v>
      </c>
      <c r="AA39" s="126">
        <f>+'ENE-SEP Bs 11NOV2016'!AA41/'ENE-MAR USD AL 18MAR16'!$D$1/'ENE-MAR USD AL 18MAR16'!$F$1</f>
        <v>0</v>
      </c>
    </row>
    <row r="40" spans="1:27" x14ac:dyDescent="0.2">
      <c r="A40" s="126"/>
      <c r="B40" s="126" t="s">
        <v>185</v>
      </c>
      <c r="C40" s="126" t="s">
        <v>186</v>
      </c>
      <c r="D40" s="126">
        <f>+'ENE-SEP Bs 11NOV2016'!D42/'ENE-MAR USD AL 18MAR16'!$D$1/'ENE-MAR USD AL 18MAR16'!$E$1</f>
        <v>0</v>
      </c>
      <c r="E40" s="126">
        <f>+'ENE-SEP Bs 11NOV2016'!E42/'ENE-MAR USD AL 18MAR16'!$D$1/'ENE-MAR USD AL 18MAR16'!$E$1</f>
        <v>0</v>
      </c>
      <c r="F40" s="126">
        <f>+'ENE-SEP Bs 11NOV2016'!F42/'ENE-MAR USD AL 18MAR16'!$D$1/'ENE-MAR USD AL 18MAR16'!$E$1</f>
        <v>0</v>
      </c>
      <c r="G40" s="126">
        <f>+'ENE-SEP Bs 11NOV2016'!G42/'ENE-MAR USD AL 18MAR16'!$D$1/'ENE-MAR USD AL 18MAR16'!$E$1</f>
        <v>0</v>
      </c>
      <c r="H40" s="126">
        <f>+'ENE-SEP Bs 11NOV2016'!H42/'ENE-MAR USD AL 18MAR16'!$D$1/'ENE-MAR USD AL 18MAR16'!$E$1</f>
        <v>0</v>
      </c>
      <c r="I40" s="126">
        <f>+'ENE-SEP Bs 11NOV2016'!I42/'ENE-MAR USD AL 18MAR16'!$D$1/'ENE-MAR USD AL 18MAR16'!$F$1</f>
        <v>0</v>
      </c>
      <c r="J40" s="126">
        <f>+'ENE-SEP Bs 11NOV2016'!J42/'ENE-MAR USD AL 18MAR16'!$D$1/'ENE-MAR USD AL 18MAR16'!$E$1</f>
        <v>0</v>
      </c>
      <c r="K40" s="126">
        <f>+'ENE-SEP Bs 11NOV2016'!K42/'ENE-MAR USD AL 18MAR16'!$D$1/'ENE-MAR USD AL 18MAR16'!$F$1</f>
        <v>0</v>
      </c>
      <c r="L40" s="126">
        <f>+'ENE-SEP Bs 11NOV2016'!L42/'ENE-MAR USD AL 18MAR16'!$D$1/'ENE-MAR USD AL 18MAR16'!$E$1</f>
        <v>0</v>
      </c>
      <c r="M40" s="126">
        <f>+'ENE-SEP Bs 11NOV2016'!M42/'ENE-MAR USD AL 18MAR16'!$D$1/'ENE-MAR USD AL 18MAR16'!$F$1</f>
        <v>0</v>
      </c>
      <c r="N40" s="126">
        <f>+'ENE-SEP Bs 11NOV2016'!N42/'ENE-MAR USD AL 18MAR16'!$D$1/'ENE-MAR USD AL 18MAR16'!$E$1</f>
        <v>0</v>
      </c>
      <c r="O40" s="126">
        <f>+'ENE-SEP Bs 11NOV2016'!O42/'ENE-MAR USD AL 18MAR16'!$D$1/'ENE-MAR USD AL 18MAR16'!$F$1</f>
        <v>0</v>
      </c>
      <c r="P40" s="126">
        <f>+'ENE-SEP Bs 11NOV2016'!P42/'ENE-MAR USD AL 18MAR16'!$D$1/'ENE-MAR USD AL 18MAR16'!$E$1</f>
        <v>0</v>
      </c>
      <c r="Q40" s="126">
        <f>+'ENE-SEP Bs 11NOV2016'!Q42/'ENE-MAR USD AL 18MAR16'!$D$1/'ENE-MAR USD AL 18MAR16'!$F$1</f>
        <v>0</v>
      </c>
      <c r="R40" s="126">
        <f>+'ENE-SEP Bs 11NOV2016'!R42/'ENE-MAR USD AL 18MAR16'!$D$1/'ENE-MAR USD AL 18MAR16'!$E$1</f>
        <v>0</v>
      </c>
      <c r="S40" s="126">
        <f>+'ENE-SEP Bs 11NOV2016'!S42/'ENE-MAR USD AL 18MAR16'!$D$1/'ENE-MAR USD AL 18MAR16'!$F$1</f>
        <v>0</v>
      </c>
      <c r="T40" s="126">
        <f>+'ENE-SEP Bs 11NOV2016'!T42/'ENE-MAR USD AL 18MAR16'!$D$1/'ENE-MAR USD AL 18MAR16'!$E$1</f>
        <v>0</v>
      </c>
      <c r="U40" s="126">
        <f>+'ENE-SEP Bs 11NOV2016'!U42/'ENE-MAR USD AL 18MAR16'!$D$1/'ENE-MAR USD AL 18MAR16'!$F$1</f>
        <v>0</v>
      </c>
      <c r="V40" s="126">
        <f>+'ENE-SEP Bs 11NOV2016'!V42/'ENE-MAR USD AL 18MAR16'!$D$1/'ENE-MAR USD AL 18MAR16'!$E$1</f>
        <v>0</v>
      </c>
      <c r="W40" s="126">
        <f>+'ENE-SEP Bs 11NOV2016'!W42/'ENE-MAR USD AL 18MAR16'!$D$1/'ENE-MAR USD AL 18MAR16'!$F$1</f>
        <v>0</v>
      </c>
      <c r="X40" s="126">
        <f>+'ENE-SEP Bs 11NOV2016'!X42/'ENE-MAR USD AL 18MAR16'!$D$1/'ENE-MAR USD AL 18MAR16'!$E$1</f>
        <v>0</v>
      </c>
      <c r="Y40" s="126">
        <f>+'ENE-SEP Bs 11NOV2016'!Y42/'ENE-MAR USD AL 18MAR16'!$D$1/'ENE-MAR USD AL 18MAR16'!$F$1</f>
        <v>0</v>
      </c>
      <c r="Z40" s="126">
        <f>+'ENE-SEP Bs 11NOV2016'!Z42/'ENE-MAR USD AL 18MAR16'!$D$1/'ENE-MAR USD AL 18MAR16'!$E$1</f>
        <v>0</v>
      </c>
      <c r="AA40" s="126">
        <f>+'ENE-SEP Bs 11NOV2016'!AA42/'ENE-MAR USD AL 18MAR16'!$D$1/'ENE-MAR USD AL 18MAR16'!$F$1</f>
        <v>0</v>
      </c>
    </row>
    <row r="41" spans="1:27" x14ac:dyDescent="0.2">
      <c r="A41" s="126"/>
      <c r="B41" s="126" t="s">
        <v>156</v>
      </c>
      <c r="C41" s="126" t="s">
        <v>157</v>
      </c>
      <c r="D41" s="126">
        <f>+'ENE-SEP Bs 11NOV2016'!D43/'ENE-MAR USD AL 18MAR16'!$D$1/'ENE-MAR USD AL 18MAR16'!$E$1</f>
        <v>0</v>
      </c>
      <c r="E41" s="126">
        <f>+'ENE-SEP Bs 11NOV2016'!E43/'ENE-MAR USD AL 18MAR16'!$D$1/'ENE-MAR USD AL 18MAR16'!$E$1</f>
        <v>3.4603174603174601E-2</v>
      </c>
      <c r="F41" s="126">
        <f>+'ENE-SEP Bs 11NOV2016'!F43/'ENE-MAR USD AL 18MAR16'!$D$1/'ENE-MAR USD AL 18MAR16'!$E$1</f>
        <v>0</v>
      </c>
      <c r="G41" s="126">
        <f>+'ENE-SEP Bs 11NOV2016'!G43/'ENE-MAR USD AL 18MAR16'!$D$1/'ENE-MAR USD AL 18MAR16'!$E$1</f>
        <v>0.19130158730158731</v>
      </c>
      <c r="H41" s="126">
        <f>+'ENE-SEP Bs 11NOV2016'!H43/'ENE-MAR USD AL 18MAR16'!$D$1/'ENE-MAR USD AL 18MAR16'!$E$1</f>
        <v>0</v>
      </c>
      <c r="I41" s="126">
        <f>+'ENE-SEP Bs 11NOV2016'!I43/'ENE-MAR USD AL 18MAR16'!$D$1/'ENE-MAR USD AL 18MAR16'!$F$1</f>
        <v>0.12052</v>
      </c>
      <c r="J41" s="126">
        <f>+'ENE-SEP Bs 11NOV2016'!J43/'ENE-MAR USD AL 18MAR16'!$D$1/'ENE-MAR USD AL 18MAR16'!$E$1</f>
        <v>0</v>
      </c>
      <c r="K41" s="126">
        <f>+'ENE-SEP Bs 11NOV2016'!K43/'ENE-MAR USD AL 18MAR16'!$D$1/'ENE-MAR USD AL 18MAR16'!$F$1</f>
        <v>0.26763799999999999</v>
      </c>
      <c r="L41" s="126">
        <f>+'ENE-SEP Bs 11NOV2016'!L43/'ENE-MAR USD AL 18MAR16'!$D$1/'ENE-MAR USD AL 18MAR16'!$E$1</f>
        <v>0</v>
      </c>
      <c r="M41" s="126">
        <f>+'ENE-SEP Bs 11NOV2016'!M43/'ENE-MAR USD AL 18MAR16'!$D$1/'ENE-MAR USD AL 18MAR16'!$F$1</f>
        <v>0.26763799999999999</v>
      </c>
      <c r="N41" s="126">
        <f>+'ENE-SEP Bs 11NOV2016'!N43/'ENE-MAR USD AL 18MAR16'!$D$1/'ENE-MAR USD AL 18MAR16'!$E$1</f>
        <v>0</v>
      </c>
      <c r="O41" s="126">
        <f>+'ENE-SEP Bs 11NOV2016'!O43/'ENE-MAR USD AL 18MAR16'!$D$1/'ENE-MAR USD AL 18MAR16'!$F$1</f>
        <v>0.32940800000000003</v>
      </c>
      <c r="P41" s="126">
        <f>+'ENE-SEP Bs 11NOV2016'!P43/'ENE-MAR USD AL 18MAR16'!$D$1/'ENE-MAR USD AL 18MAR16'!$E$1</f>
        <v>0</v>
      </c>
      <c r="Q41" s="126">
        <f>+'ENE-SEP Bs 11NOV2016'!Q43/'ENE-MAR USD AL 18MAR16'!$D$1/'ENE-MAR USD AL 18MAR16'!$F$1</f>
        <v>0.57351800000000008</v>
      </c>
      <c r="R41" s="126">
        <f>+'ENE-SEP Bs 11NOV2016'!R43/'ENE-MAR USD AL 18MAR16'!$D$1/'ENE-MAR USD AL 18MAR16'!$E$1</f>
        <v>0</v>
      </c>
      <c r="S41" s="126">
        <f>+'ENE-SEP Bs 11NOV2016'!S43/'ENE-MAR USD AL 18MAR16'!$D$1/'ENE-MAR USD AL 18MAR16'!$F$1</f>
        <v>2.453255</v>
      </c>
      <c r="T41" s="126">
        <f>+'ENE-SEP Bs 11NOV2016'!T43/'ENE-MAR USD AL 18MAR16'!$D$1/'ENE-MAR USD AL 18MAR16'!$E$1</f>
        <v>0</v>
      </c>
      <c r="U41" s="126">
        <f>+'ENE-SEP Bs 11NOV2016'!U43/'ENE-MAR USD AL 18MAR16'!$D$1/'ENE-MAR USD AL 18MAR16'!$F$1</f>
        <v>3.9404220000000003</v>
      </c>
      <c r="V41" s="126">
        <f>+'ENE-SEP Bs 11NOV2016'!V43/'ENE-MAR USD AL 18MAR16'!$D$1/'ENE-MAR USD AL 18MAR16'!$E$1</f>
        <v>0</v>
      </c>
      <c r="W41" s="126">
        <f>+'ENE-SEP Bs 11NOV2016'!W43/'ENE-MAR USD AL 18MAR16'!$D$1/'ENE-MAR USD AL 18MAR16'!$F$1</f>
        <v>7.3790420000000001</v>
      </c>
      <c r="X41" s="126">
        <f>+'ENE-SEP Bs 11NOV2016'!X43/'ENE-MAR USD AL 18MAR16'!$D$1/'ENE-MAR USD AL 18MAR16'!$E$1</f>
        <v>0</v>
      </c>
      <c r="Y41" s="126">
        <f>+'ENE-SEP Bs 11NOV2016'!Y43/'ENE-MAR USD AL 18MAR16'!$D$1/'ENE-MAR USD AL 18MAR16'!$F$1</f>
        <v>7.8928770000000004</v>
      </c>
      <c r="Z41" s="126">
        <f>+'ENE-SEP Bs 11NOV2016'!Z43/'ENE-MAR USD AL 18MAR16'!$D$1/'ENE-MAR USD AL 18MAR16'!$E$1</f>
        <v>0</v>
      </c>
      <c r="AA41" s="126">
        <f>+'ENE-SEP Bs 11NOV2016'!AA43/'ENE-MAR USD AL 18MAR16'!$D$1/'ENE-MAR USD AL 18MAR16'!$F$1</f>
        <v>0</v>
      </c>
    </row>
    <row r="42" spans="1:27" x14ac:dyDescent="0.2">
      <c r="A42" s="126"/>
      <c r="B42" s="136" t="s">
        <v>214</v>
      </c>
      <c r="C42" s="136" t="s">
        <v>215</v>
      </c>
      <c r="D42" s="126">
        <f>+'ENE-SEP Bs 11NOV2016'!D44/'ENE-MAR USD AL 18MAR16'!$D$1/'ENE-MAR USD AL 18MAR16'!$E$1</f>
        <v>0</v>
      </c>
      <c r="E42" s="126">
        <f>+'ENE-SEP Bs 11NOV2016'!E44/'ENE-MAR USD AL 18MAR16'!$D$1/'ENE-MAR USD AL 18MAR16'!$E$1</f>
        <v>1.5396825396825394E-3</v>
      </c>
      <c r="F42" s="126">
        <f>+'ENE-SEP Bs 11NOV2016'!F44/'ENE-MAR USD AL 18MAR16'!$D$1/'ENE-MAR USD AL 18MAR16'!$E$1</f>
        <v>0</v>
      </c>
      <c r="G42" s="126">
        <f>+'ENE-SEP Bs 11NOV2016'!G44/'ENE-MAR USD AL 18MAR16'!$D$1/'ENE-MAR USD AL 18MAR16'!$E$1</f>
        <v>1.5396825396825394E-3</v>
      </c>
      <c r="H42" s="126">
        <f>+'ENE-SEP Bs 11NOV2016'!H44/'ENE-MAR USD AL 18MAR16'!$D$1/'ENE-MAR USD AL 18MAR16'!$E$1</f>
        <v>0</v>
      </c>
      <c r="I42" s="126">
        <f>+'ENE-SEP Bs 11NOV2016'!I44/'ENE-MAR USD AL 18MAR16'!$D$1/'ENE-MAR USD AL 18MAR16'!$F$1</f>
        <v>9.6999999999999983E-4</v>
      </c>
      <c r="J42" s="126">
        <f>+'ENE-SEP Bs 11NOV2016'!J44/'ENE-MAR USD AL 18MAR16'!$D$1/'ENE-MAR USD AL 18MAR16'!$E$1</f>
        <v>0</v>
      </c>
      <c r="K42" s="126">
        <f>+'ENE-SEP Bs 11NOV2016'!K44/'ENE-MAR USD AL 18MAR16'!$D$1/'ENE-MAR USD AL 18MAR16'!$F$1</f>
        <v>9.6999999999999983E-4</v>
      </c>
      <c r="L42" s="126">
        <f>+'ENE-SEP Bs 11NOV2016'!L44/'ENE-MAR USD AL 18MAR16'!$D$1/'ENE-MAR USD AL 18MAR16'!$E$1</f>
        <v>0</v>
      </c>
      <c r="M42" s="126">
        <f>+'ENE-SEP Bs 11NOV2016'!M44/'ENE-MAR USD AL 18MAR16'!$D$1/'ENE-MAR USD AL 18MAR16'!$F$1</f>
        <v>9.6999999999999983E-4</v>
      </c>
      <c r="N42" s="126">
        <f>+'ENE-SEP Bs 11NOV2016'!N44/'ENE-MAR USD AL 18MAR16'!$D$1/'ENE-MAR USD AL 18MAR16'!$E$1</f>
        <v>0</v>
      </c>
      <c r="O42" s="126">
        <f>+'ENE-SEP Bs 11NOV2016'!O44/'ENE-MAR USD AL 18MAR16'!$D$1/'ENE-MAR USD AL 18MAR16'!$F$1</f>
        <v>9.6999999999999983E-4</v>
      </c>
      <c r="P42" s="126">
        <f>+'ENE-SEP Bs 11NOV2016'!P44/'ENE-MAR USD AL 18MAR16'!$D$1/'ENE-MAR USD AL 18MAR16'!$E$1</f>
        <v>0</v>
      </c>
      <c r="Q42" s="126">
        <f>+'ENE-SEP Bs 11NOV2016'!Q44/'ENE-MAR USD AL 18MAR16'!$D$1/'ENE-MAR USD AL 18MAR16'!$F$1</f>
        <v>9.6999999999999983E-4</v>
      </c>
      <c r="R42" s="126">
        <f>+'ENE-SEP Bs 11NOV2016'!R44/'ENE-MAR USD AL 18MAR16'!$D$1/'ENE-MAR USD AL 18MAR16'!$E$1</f>
        <v>0</v>
      </c>
      <c r="S42" s="126">
        <f>+'ENE-SEP Bs 11NOV2016'!S44/'ENE-MAR USD AL 18MAR16'!$D$1/'ENE-MAR USD AL 18MAR16'!$F$1</f>
        <v>9.6999999999999983E-4</v>
      </c>
      <c r="T42" s="126">
        <f>+'ENE-SEP Bs 11NOV2016'!T44/'ENE-MAR USD AL 18MAR16'!$D$1/'ENE-MAR USD AL 18MAR16'!$E$1</f>
        <v>0</v>
      </c>
      <c r="U42" s="126">
        <f>+'ENE-SEP Bs 11NOV2016'!U44/'ENE-MAR USD AL 18MAR16'!$D$1/'ENE-MAR USD AL 18MAR16'!$F$1</f>
        <v>9.6999999999999983E-4</v>
      </c>
      <c r="V42" s="126">
        <f>+'ENE-SEP Bs 11NOV2016'!V44/'ENE-MAR USD AL 18MAR16'!$D$1/'ENE-MAR USD AL 18MAR16'!$E$1</f>
        <v>0</v>
      </c>
      <c r="W42" s="126">
        <f>+'ENE-SEP Bs 11NOV2016'!W44/'ENE-MAR USD AL 18MAR16'!$D$1/'ENE-MAR USD AL 18MAR16'!$F$1</f>
        <v>9.6999999999999983E-4</v>
      </c>
      <c r="X42" s="126">
        <f>+'ENE-SEP Bs 11NOV2016'!X44/'ENE-MAR USD AL 18MAR16'!$D$1/'ENE-MAR USD AL 18MAR16'!$E$1</f>
        <v>0</v>
      </c>
      <c r="Y42" s="126">
        <f>+'ENE-SEP Bs 11NOV2016'!Y44/'ENE-MAR USD AL 18MAR16'!$D$1/'ENE-MAR USD AL 18MAR16'!$F$1</f>
        <v>9.6999999999999983E-4</v>
      </c>
      <c r="Z42" s="126">
        <f>+'ENE-SEP Bs 11NOV2016'!Z44/'ENE-MAR USD AL 18MAR16'!$D$1/'ENE-MAR USD AL 18MAR16'!$E$1</f>
        <v>0</v>
      </c>
      <c r="AA42" s="126">
        <f>+'ENE-SEP Bs 11NOV2016'!AA44/'ENE-MAR USD AL 18MAR16'!$D$1/'ENE-MAR USD AL 18MAR16'!$F$1</f>
        <v>0</v>
      </c>
    </row>
    <row r="43" spans="1:27" x14ac:dyDescent="0.2">
      <c r="A43" s="126"/>
      <c r="B43" s="136"/>
      <c r="C43" s="136"/>
      <c r="D43" s="126">
        <f>+'ENE-SEP Bs 11NOV2016'!D45/'ENE-MAR USD AL 18MAR16'!$D$1/'ENE-MAR USD AL 18MAR16'!$E$1</f>
        <v>0</v>
      </c>
      <c r="E43" s="126">
        <f>+'ENE-SEP Bs 11NOV2016'!E45/'ENE-MAR USD AL 18MAR16'!$D$1/'ENE-MAR USD AL 18MAR16'!$E$1</f>
        <v>0</v>
      </c>
      <c r="F43" s="126">
        <f>+'ENE-SEP Bs 11NOV2016'!F45/'ENE-MAR USD AL 18MAR16'!$D$1/'ENE-MAR USD AL 18MAR16'!$E$1</f>
        <v>0</v>
      </c>
      <c r="G43" s="126">
        <f>+'ENE-SEP Bs 11NOV2016'!G45/'ENE-MAR USD AL 18MAR16'!$D$1/'ENE-MAR USD AL 18MAR16'!$E$1</f>
        <v>0</v>
      </c>
      <c r="H43" s="126">
        <f>+'ENE-SEP Bs 11NOV2016'!H45/'ENE-MAR USD AL 18MAR16'!$D$1/'ENE-MAR USD AL 18MAR16'!$E$1</f>
        <v>0</v>
      </c>
      <c r="I43" s="126">
        <f>+'ENE-SEP Bs 11NOV2016'!I45/'ENE-MAR USD AL 18MAR16'!$D$1/'ENE-MAR USD AL 18MAR16'!$F$1</f>
        <v>0</v>
      </c>
      <c r="J43" s="126">
        <f>+'ENE-SEP Bs 11NOV2016'!J45/'ENE-MAR USD AL 18MAR16'!$D$1/'ENE-MAR USD AL 18MAR16'!$E$1</f>
        <v>0</v>
      </c>
      <c r="K43" s="126">
        <f>+'ENE-SEP Bs 11NOV2016'!K45/'ENE-MAR USD AL 18MAR16'!$D$1/'ENE-MAR USD AL 18MAR16'!$F$1</f>
        <v>0</v>
      </c>
      <c r="L43" s="126">
        <f>+'ENE-SEP Bs 11NOV2016'!L45/'ENE-MAR USD AL 18MAR16'!$D$1/'ENE-MAR USD AL 18MAR16'!$E$1</f>
        <v>0</v>
      </c>
      <c r="M43" s="126">
        <f>+'ENE-SEP Bs 11NOV2016'!M45/'ENE-MAR USD AL 18MAR16'!$D$1/'ENE-MAR USD AL 18MAR16'!$F$1</f>
        <v>0</v>
      </c>
      <c r="N43" s="126">
        <f>+'ENE-SEP Bs 11NOV2016'!N45/'ENE-MAR USD AL 18MAR16'!$D$1/'ENE-MAR USD AL 18MAR16'!$E$1</f>
        <v>0.18412698412698411</v>
      </c>
      <c r="O43" s="126">
        <f>+'ENE-SEP Bs 11NOV2016'!O45/'ENE-MAR USD AL 18MAR16'!$D$1/'ENE-MAR USD AL 18MAR16'!$F$1</f>
        <v>0.11551900000000001</v>
      </c>
      <c r="P43" s="126">
        <f>+'ENE-SEP Bs 11NOV2016'!P45/'ENE-MAR USD AL 18MAR16'!$D$1/'ENE-MAR USD AL 18MAR16'!$E$1</f>
        <v>0.18412698412698411</v>
      </c>
      <c r="Q43" s="126">
        <f>+'ENE-SEP Bs 11NOV2016'!Q45/'ENE-MAR USD AL 18MAR16'!$D$1/'ENE-MAR USD AL 18MAR16'!$F$1</f>
        <v>0.11551900000000001</v>
      </c>
      <c r="R43" s="126">
        <f>+'ENE-SEP Bs 11NOV2016'!R45/'ENE-MAR USD AL 18MAR16'!$D$1/'ENE-MAR USD AL 18MAR16'!$E$1</f>
        <v>0.18412698412698411</v>
      </c>
      <c r="S43" s="126">
        <f>+'ENE-SEP Bs 11NOV2016'!S45/'ENE-MAR USD AL 18MAR16'!$D$1/'ENE-MAR USD AL 18MAR16'!$F$1</f>
        <v>0.11551900000000001</v>
      </c>
      <c r="T43" s="126">
        <f>+'ENE-SEP Bs 11NOV2016'!T45/'ENE-MAR USD AL 18MAR16'!$D$1/'ENE-MAR USD AL 18MAR16'!$E$1</f>
        <v>0.18412698412698411</v>
      </c>
      <c r="U43" s="126">
        <f>+'ENE-SEP Bs 11NOV2016'!U45/'ENE-MAR USD AL 18MAR16'!$D$1/'ENE-MAR USD AL 18MAR16'!$F$1</f>
        <v>0.11551900000000001</v>
      </c>
      <c r="V43" s="126">
        <f>+'ENE-SEP Bs 11NOV2016'!V45/'ENE-MAR USD AL 18MAR16'!$D$1/'ENE-MAR USD AL 18MAR16'!$E$1</f>
        <v>0.65396825396825398</v>
      </c>
      <c r="W43" s="126">
        <f>+'ENE-SEP Bs 11NOV2016'!W45/'ENE-MAR USD AL 18MAR16'!$D$1/'ENE-MAR USD AL 18MAR16'!$F$1</f>
        <v>0.11551900000000001</v>
      </c>
      <c r="X43" s="126">
        <f>+'ENE-SEP Bs 11NOV2016'!X45/'ENE-MAR USD AL 18MAR16'!$D$1/'ENE-MAR USD AL 18MAR16'!$E$1</f>
        <v>1.1206349206349207</v>
      </c>
      <c r="Y43" s="126">
        <f>+'ENE-SEP Bs 11NOV2016'!Y45/'ENE-MAR USD AL 18MAR16'!$D$1/'ENE-MAR USD AL 18MAR16'!$F$1</f>
        <v>0.11551900000000001</v>
      </c>
      <c r="Z43" s="126">
        <f>+'ENE-SEP Bs 11NOV2016'!Z45/'ENE-MAR USD AL 18MAR16'!$D$1/'ENE-MAR USD AL 18MAR16'!$E$1</f>
        <v>1.5873015873015874</v>
      </c>
      <c r="AA43" s="126">
        <f>+'ENE-SEP Bs 11NOV2016'!AA45/'ENE-MAR USD AL 18MAR16'!$D$1/'ENE-MAR USD AL 18MAR16'!$F$1</f>
        <v>0</v>
      </c>
    </row>
    <row r="44" spans="1:27" x14ac:dyDescent="0.2">
      <c r="A44" s="126"/>
      <c r="B44" s="136"/>
      <c r="C44" s="136"/>
      <c r="D44" s="126">
        <f>+'ENE-SEP Bs 11NOV2016'!D46/'ENE-MAR USD AL 18MAR16'!$D$1/'ENE-MAR USD AL 18MAR16'!$E$1</f>
        <v>0</v>
      </c>
      <c r="E44" s="126">
        <f>+'ENE-SEP Bs 11NOV2016'!E46/'ENE-MAR USD AL 18MAR16'!$D$1/'ENE-MAR USD AL 18MAR16'!$E$1</f>
        <v>0</v>
      </c>
      <c r="F44" s="126">
        <f>+'ENE-SEP Bs 11NOV2016'!F46/'ENE-MAR USD AL 18MAR16'!$D$1/'ENE-MAR USD AL 18MAR16'!$E$1</f>
        <v>0</v>
      </c>
      <c r="G44" s="126">
        <f>+'ENE-SEP Bs 11NOV2016'!G46/'ENE-MAR USD AL 18MAR16'!$D$1/'ENE-MAR USD AL 18MAR16'!$E$1</f>
        <v>0</v>
      </c>
      <c r="H44" s="126">
        <f>+'ENE-SEP Bs 11NOV2016'!H46/'ENE-MAR USD AL 18MAR16'!$D$1/'ENE-MAR USD AL 18MAR16'!$E$1</f>
        <v>0</v>
      </c>
      <c r="I44" s="126">
        <f>+'ENE-SEP Bs 11NOV2016'!I46/'ENE-MAR USD AL 18MAR16'!$D$1/'ENE-MAR USD AL 18MAR16'!$F$1</f>
        <v>0</v>
      </c>
      <c r="J44" s="126">
        <f>+'ENE-SEP Bs 11NOV2016'!J46/'ENE-MAR USD AL 18MAR16'!$D$1/'ENE-MAR USD AL 18MAR16'!$E$1</f>
        <v>0</v>
      </c>
      <c r="K44" s="126">
        <f>+'ENE-SEP Bs 11NOV2016'!K46/'ENE-MAR USD AL 18MAR16'!$D$1/'ENE-MAR USD AL 18MAR16'!$F$1</f>
        <v>0</v>
      </c>
      <c r="L44" s="126">
        <f>+'ENE-SEP Bs 11NOV2016'!L46/'ENE-MAR USD AL 18MAR16'!$D$1/'ENE-MAR USD AL 18MAR16'!$E$1</f>
        <v>0.20634920634920637</v>
      </c>
      <c r="M44" s="126">
        <f>+'ENE-SEP Bs 11NOV2016'!M46/'ENE-MAR USD AL 18MAR16'!$D$1/'ENE-MAR USD AL 18MAR16'!$F$1</f>
        <v>0</v>
      </c>
      <c r="N44" s="126">
        <f>+'ENE-SEP Bs 11NOV2016'!N46/'ENE-MAR USD AL 18MAR16'!$D$1/'ENE-MAR USD AL 18MAR16'!$E$1</f>
        <v>0.41269841269841273</v>
      </c>
      <c r="O44" s="126">
        <f>+'ENE-SEP Bs 11NOV2016'!O46/'ENE-MAR USD AL 18MAR16'!$D$1/'ENE-MAR USD AL 18MAR16'!$F$1</f>
        <v>0</v>
      </c>
      <c r="P44" s="126">
        <f>+'ENE-SEP Bs 11NOV2016'!P46/'ENE-MAR USD AL 18MAR16'!$D$1/'ENE-MAR USD AL 18MAR16'!$E$1</f>
        <v>0.61904761904761907</v>
      </c>
      <c r="Q44" s="126">
        <f>+'ENE-SEP Bs 11NOV2016'!Q46/'ENE-MAR USD AL 18MAR16'!$D$1/'ENE-MAR USD AL 18MAR16'!$F$1</f>
        <v>0</v>
      </c>
      <c r="R44" s="126">
        <f>+'ENE-SEP Bs 11NOV2016'!R46/'ENE-MAR USD AL 18MAR16'!$D$1/'ENE-MAR USD AL 18MAR16'!$E$1</f>
        <v>0.82539682539682546</v>
      </c>
      <c r="S44" s="126">
        <f>+'ENE-SEP Bs 11NOV2016'!S46/'ENE-MAR USD AL 18MAR16'!$D$1/'ENE-MAR USD AL 18MAR16'!$F$1</f>
        <v>0</v>
      </c>
      <c r="T44" s="126">
        <f>+'ENE-SEP Bs 11NOV2016'!T46/'ENE-MAR USD AL 18MAR16'!$D$1/'ENE-MAR USD AL 18MAR16'!$E$1</f>
        <v>1.0317460317460319</v>
      </c>
      <c r="U44" s="126">
        <f>+'ENE-SEP Bs 11NOV2016'!U46/'ENE-MAR USD AL 18MAR16'!$D$1/'ENE-MAR USD AL 18MAR16'!$F$1</f>
        <v>0</v>
      </c>
      <c r="V44" s="126">
        <f>+'ENE-SEP Bs 11NOV2016'!V46/'ENE-MAR USD AL 18MAR16'!$D$1/'ENE-MAR USD AL 18MAR16'!$E$1</f>
        <v>1.2380952380952381</v>
      </c>
      <c r="W44" s="126">
        <f>+'ENE-SEP Bs 11NOV2016'!W46/'ENE-MAR USD AL 18MAR16'!$D$1/'ENE-MAR USD AL 18MAR16'!$F$1</f>
        <v>0</v>
      </c>
      <c r="X44" s="126">
        <f>+'ENE-SEP Bs 11NOV2016'!X46/'ENE-MAR USD AL 18MAR16'!$D$1/'ENE-MAR USD AL 18MAR16'!$E$1</f>
        <v>1.4444444444444444</v>
      </c>
      <c r="Y44" s="126">
        <f>+'ENE-SEP Bs 11NOV2016'!Y46/'ENE-MAR USD AL 18MAR16'!$D$1/'ENE-MAR USD AL 18MAR16'!$F$1</f>
        <v>0</v>
      </c>
      <c r="Z44" s="126">
        <f>+'ENE-SEP Bs 11NOV2016'!Z46/'ENE-MAR USD AL 18MAR16'!$D$1/'ENE-MAR USD AL 18MAR16'!$E$1</f>
        <v>1.6507936507936509</v>
      </c>
      <c r="AA44" s="126">
        <f>+'ENE-SEP Bs 11NOV2016'!AA46/'ENE-MAR USD AL 18MAR16'!$D$1/'ENE-MAR USD AL 18MAR16'!$F$1</f>
        <v>0</v>
      </c>
    </row>
    <row r="45" spans="1:27" s="133" customFormat="1" x14ac:dyDescent="0.2">
      <c r="A45" s="130" t="s">
        <v>144</v>
      </c>
      <c r="B45" s="130"/>
      <c r="C45" s="130"/>
      <c r="D45" s="140">
        <f>SUM(D34:D44)</f>
        <v>0.74857142857142867</v>
      </c>
      <c r="E45" s="140">
        <f t="shared" ref="E45:AA45" si="6">SUM(E34:E44)</f>
        <v>0.72394285714285711</v>
      </c>
      <c r="F45" s="140">
        <f t="shared" si="6"/>
        <v>0.89071428571428579</v>
      </c>
      <c r="G45" s="140">
        <f t="shared" si="6"/>
        <v>1.2885142857142857</v>
      </c>
      <c r="H45" s="140">
        <f t="shared" si="6"/>
        <v>1.2393238095238097</v>
      </c>
      <c r="I45" s="140">
        <f t="shared" si="6"/>
        <v>-0.16649900000000015</v>
      </c>
      <c r="J45" s="140">
        <f t="shared" si="6"/>
        <v>1.9060539682539681</v>
      </c>
      <c r="K45" s="140">
        <f t="shared" si="6"/>
        <v>3.8538999999999907E-2</v>
      </c>
      <c r="L45" s="140">
        <f t="shared" si="6"/>
        <v>4.1249174603174596</v>
      </c>
      <c r="M45" s="140">
        <f t="shared" si="6"/>
        <v>0.34233799999999998</v>
      </c>
      <c r="N45" s="140">
        <f t="shared" si="6"/>
        <v>7.3465079365079378</v>
      </c>
      <c r="O45" s="140">
        <f t="shared" si="6"/>
        <v>1.4756259999999999</v>
      </c>
      <c r="P45" s="140">
        <f t="shared" si="6"/>
        <v>9.7646825396825392</v>
      </c>
      <c r="Q45" s="140">
        <f t="shared" si="6"/>
        <v>1.8110119999999996</v>
      </c>
      <c r="R45" s="140">
        <f t="shared" si="6"/>
        <v>11.459523809523809</v>
      </c>
      <c r="S45" s="140">
        <f t="shared" si="6"/>
        <v>4.9567809999999994</v>
      </c>
      <c r="T45" s="140">
        <f t="shared" si="6"/>
        <v>12.765476190476189</v>
      </c>
      <c r="U45" s="140">
        <f t="shared" si="6"/>
        <v>6.8609120000000008</v>
      </c>
      <c r="V45" s="140">
        <f t="shared" si="6"/>
        <v>14.323015873015873</v>
      </c>
      <c r="W45" s="140">
        <f t="shared" si="6"/>
        <v>11.020397000000001</v>
      </c>
      <c r="X45" s="140">
        <f t="shared" si="6"/>
        <v>15.686904761904762</v>
      </c>
      <c r="Y45" s="140">
        <f t="shared" si="6"/>
        <v>11.757122000000003</v>
      </c>
      <c r="Z45" s="140">
        <f t="shared" si="6"/>
        <v>16.987301587301587</v>
      </c>
      <c r="AA45" s="140">
        <f t="shared" si="6"/>
        <v>0</v>
      </c>
    </row>
    <row r="46" spans="1:27" x14ac:dyDescent="0.2">
      <c r="A46" s="126" t="s">
        <v>158</v>
      </c>
      <c r="B46" s="126" t="s">
        <v>159</v>
      </c>
      <c r="C46" s="126" t="s">
        <v>160</v>
      </c>
      <c r="D46" s="126">
        <f>+'ENE-SEP Bs 11NOV2016'!D48/'ENE-MAR USD AL 18MAR16'!$D$1/'ENE-MAR USD AL 18MAR16'!$E$1</f>
        <v>0</v>
      </c>
      <c r="E46" s="126">
        <f>+'ENE-SEP Bs 11NOV2016'!E48/'ENE-MAR USD AL 18MAR16'!$D$1/'ENE-MAR USD AL 18MAR16'!$E$1</f>
        <v>0</v>
      </c>
      <c r="F46" s="126">
        <f>+'ENE-SEP Bs 11NOV2016'!F48/'ENE-MAR USD AL 18MAR16'!$D$1/'ENE-MAR USD AL 18MAR16'!$E$1</f>
        <v>0</v>
      </c>
      <c r="G46" s="126">
        <f>+'ENE-SEP Bs 11NOV2016'!G48/'ENE-MAR USD AL 18MAR16'!$D$1/'ENE-MAR USD AL 18MAR16'!$E$1</f>
        <v>0</v>
      </c>
      <c r="H46" s="126">
        <f>+'ENE-SEP Bs 11NOV2016'!H48/'ENE-MAR USD AL 18MAR16'!$D$1/'ENE-MAR USD AL 18MAR16'!$E$1</f>
        <v>0</v>
      </c>
      <c r="I46" s="126">
        <f>+'ENE-SEP Bs 11NOV2016'!I48/'ENE-MAR USD AL 18MAR16'!$D$1/'ENE-MAR USD AL 18MAR16'!$F$1</f>
        <v>-7.3412050000000004</v>
      </c>
      <c r="J46" s="126">
        <f>+'ENE-SEP Bs 11NOV2016'!J48/'ENE-MAR USD AL 18MAR16'!$D$1/'ENE-MAR USD AL 18MAR16'!$E$1</f>
        <v>0</v>
      </c>
      <c r="K46" s="126">
        <f>+'ENE-SEP Bs 11NOV2016'!K48/'ENE-MAR USD AL 18MAR16'!$D$1/'ENE-MAR USD AL 18MAR16'!$F$1</f>
        <v>-7.3412050000000004</v>
      </c>
      <c r="L46" s="126">
        <f>+'ENE-SEP Bs 11NOV2016'!L48/'ENE-MAR USD AL 18MAR16'!$D$1/'ENE-MAR USD AL 18MAR16'!$E$1</f>
        <v>0</v>
      </c>
      <c r="M46" s="126">
        <f>+'ENE-SEP Bs 11NOV2016'!M48/'ENE-MAR USD AL 18MAR16'!$D$1/'ENE-MAR USD AL 18MAR16'!$F$1</f>
        <v>-7.3412050000000004</v>
      </c>
      <c r="N46" s="126">
        <f>+'ENE-SEP Bs 11NOV2016'!N48/'ENE-MAR USD AL 18MAR16'!$D$1/'ENE-MAR USD AL 18MAR16'!$E$1</f>
        <v>0</v>
      </c>
      <c r="O46" s="126">
        <f>+'ENE-SEP Bs 11NOV2016'!O48/'ENE-MAR USD AL 18MAR16'!$D$1/'ENE-MAR USD AL 18MAR16'!$F$1</f>
        <v>-7.3412050000000004</v>
      </c>
      <c r="P46" s="126">
        <f>+'ENE-SEP Bs 11NOV2016'!P48/'ENE-MAR USD AL 18MAR16'!$D$1/'ENE-MAR USD AL 18MAR16'!$E$1</f>
        <v>0</v>
      </c>
      <c r="Q46" s="126">
        <f>+'ENE-SEP Bs 11NOV2016'!Q48/'ENE-MAR USD AL 18MAR16'!$D$1/'ENE-MAR USD AL 18MAR16'!$F$1</f>
        <v>-7.3412050000000004</v>
      </c>
      <c r="R46" s="126">
        <f>+'ENE-SEP Bs 11NOV2016'!R48/'ENE-MAR USD AL 18MAR16'!$D$1/'ENE-MAR USD AL 18MAR16'!$E$1</f>
        <v>0</v>
      </c>
      <c r="S46" s="126">
        <f>+'ENE-SEP Bs 11NOV2016'!S48/'ENE-MAR USD AL 18MAR16'!$D$1/'ENE-MAR USD AL 18MAR16'!$F$1</f>
        <v>-7.3412050000000004</v>
      </c>
      <c r="T46" s="126">
        <f>+'ENE-SEP Bs 11NOV2016'!T48/'ENE-MAR USD AL 18MAR16'!$D$1/'ENE-MAR USD AL 18MAR16'!$E$1</f>
        <v>0</v>
      </c>
      <c r="U46" s="126">
        <f>+'ENE-SEP Bs 11NOV2016'!U48/'ENE-MAR USD AL 18MAR16'!$D$1/'ENE-MAR USD AL 18MAR16'!$F$1</f>
        <v>-7.3412050000000004</v>
      </c>
      <c r="V46" s="126">
        <f>+'ENE-SEP Bs 11NOV2016'!V48/'ENE-MAR USD AL 18MAR16'!$D$1/'ENE-MAR USD AL 18MAR16'!$E$1</f>
        <v>0</v>
      </c>
      <c r="W46" s="126">
        <f>+'ENE-SEP Bs 11NOV2016'!W48/'ENE-MAR USD AL 18MAR16'!$D$1/'ENE-MAR USD AL 18MAR16'!$F$1</f>
        <v>-7.3412050000000004</v>
      </c>
      <c r="X46" s="126">
        <f>+'ENE-SEP Bs 11NOV2016'!X48/'ENE-MAR USD AL 18MAR16'!$D$1/'ENE-MAR USD AL 18MAR16'!$E$1</f>
        <v>0</v>
      </c>
      <c r="Y46" s="126">
        <f>+'ENE-SEP Bs 11NOV2016'!Y48/'ENE-MAR USD AL 18MAR16'!$D$1/'ENE-MAR USD AL 18MAR16'!$F$1</f>
        <v>-7.3412050000000004</v>
      </c>
      <c r="Z46" s="126">
        <f>+'ENE-SEP Bs 11NOV2016'!Z48/'ENE-MAR USD AL 18MAR16'!$D$1/'ENE-MAR USD AL 18MAR16'!$E$1</f>
        <v>0</v>
      </c>
      <c r="AA46" s="126">
        <f>+'ENE-SEP Bs 11NOV2016'!AA48/'ENE-MAR USD AL 18MAR16'!$D$1/'ENE-MAR USD AL 18MAR16'!$F$1</f>
        <v>0</v>
      </c>
    </row>
    <row r="47" spans="1:27" x14ac:dyDescent="0.2">
      <c r="A47" s="126"/>
      <c r="B47" s="126" t="s">
        <v>161</v>
      </c>
      <c r="C47" s="126" t="s">
        <v>13</v>
      </c>
      <c r="D47" s="126">
        <f>+'ENE-SEP Bs 11NOV2016'!D49/'ENE-MAR USD AL 18MAR16'!$D$1/'ENE-MAR USD AL 18MAR16'!$E$1</f>
        <v>0</v>
      </c>
      <c r="E47" s="126">
        <f>+'ENE-SEP Bs 11NOV2016'!E49/'ENE-MAR USD AL 18MAR16'!$D$1/'ENE-MAR USD AL 18MAR16'!$E$1</f>
        <v>0</v>
      </c>
      <c r="F47" s="126">
        <f>+'ENE-SEP Bs 11NOV2016'!F49/'ENE-MAR USD AL 18MAR16'!$D$1/'ENE-MAR USD AL 18MAR16'!$E$1</f>
        <v>0</v>
      </c>
      <c r="G47" s="126">
        <f>+'ENE-SEP Bs 11NOV2016'!G49/'ENE-MAR USD AL 18MAR16'!$D$1/'ENE-MAR USD AL 18MAR16'!$E$1</f>
        <v>0</v>
      </c>
      <c r="H47" s="126">
        <f>+'ENE-SEP Bs 11NOV2016'!H49/'ENE-MAR USD AL 18MAR16'!$D$1/'ENE-MAR USD AL 18MAR16'!$E$1</f>
        <v>0</v>
      </c>
      <c r="I47" s="126">
        <f>+'ENE-SEP Bs 11NOV2016'!I49/'ENE-MAR USD AL 18MAR16'!$D$1/'ENE-MAR USD AL 18MAR16'!$F$1</f>
        <v>0</v>
      </c>
      <c r="J47" s="126">
        <f>+'ENE-SEP Bs 11NOV2016'!J49/'ENE-MAR USD AL 18MAR16'!$D$1/'ENE-MAR USD AL 18MAR16'!$E$1</f>
        <v>0</v>
      </c>
      <c r="K47" s="126">
        <f>+'ENE-SEP Bs 11NOV2016'!K49/'ENE-MAR USD AL 18MAR16'!$D$1/'ENE-MAR USD AL 18MAR16'!$F$1</f>
        <v>0</v>
      </c>
      <c r="L47" s="126">
        <f>+'ENE-SEP Bs 11NOV2016'!L49/'ENE-MAR USD AL 18MAR16'!$D$1/'ENE-MAR USD AL 18MAR16'!$E$1</f>
        <v>0</v>
      </c>
      <c r="M47" s="126">
        <f>+'ENE-SEP Bs 11NOV2016'!M49/'ENE-MAR USD AL 18MAR16'!$D$1/'ENE-MAR USD AL 18MAR16'!$F$1</f>
        <v>0</v>
      </c>
      <c r="N47" s="126">
        <f>+'ENE-SEP Bs 11NOV2016'!N49/'ENE-MAR USD AL 18MAR16'!$D$1/'ENE-MAR USD AL 18MAR16'!$E$1</f>
        <v>0</v>
      </c>
      <c r="O47" s="126">
        <f>+'ENE-SEP Bs 11NOV2016'!O49/'ENE-MAR USD AL 18MAR16'!$D$1/'ENE-MAR USD AL 18MAR16'!$F$1</f>
        <v>0</v>
      </c>
      <c r="P47" s="126">
        <f>+'ENE-SEP Bs 11NOV2016'!P49/'ENE-MAR USD AL 18MAR16'!$D$1/'ENE-MAR USD AL 18MAR16'!$E$1</f>
        <v>0</v>
      </c>
      <c r="Q47" s="126">
        <f>+'ENE-SEP Bs 11NOV2016'!Q49/'ENE-MAR USD AL 18MAR16'!$D$1/'ENE-MAR USD AL 18MAR16'!$F$1</f>
        <v>0</v>
      </c>
      <c r="R47" s="126">
        <f>+'ENE-SEP Bs 11NOV2016'!R49/'ENE-MAR USD AL 18MAR16'!$D$1/'ENE-MAR USD AL 18MAR16'!$E$1</f>
        <v>0</v>
      </c>
      <c r="S47" s="126">
        <f>+'ENE-SEP Bs 11NOV2016'!S49/'ENE-MAR USD AL 18MAR16'!$D$1/'ENE-MAR USD AL 18MAR16'!$F$1</f>
        <v>0</v>
      </c>
      <c r="T47" s="126">
        <f>+'ENE-SEP Bs 11NOV2016'!T49/'ENE-MAR USD AL 18MAR16'!$D$1/'ENE-MAR USD AL 18MAR16'!$E$1</f>
        <v>0</v>
      </c>
      <c r="U47" s="126">
        <f>+'ENE-SEP Bs 11NOV2016'!U49/'ENE-MAR USD AL 18MAR16'!$D$1/'ENE-MAR USD AL 18MAR16'!$F$1</f>
        <v>1.763E-3</v>
      </c>
      <c r="V47" s="126">
        <f>+'ENE-SEP Bs 11NOV2016'!V49/'ENE-MAR USD AL 18MAR16'!$D$1/'ENE-MAR USD AL 18MAR16'!$E$1</f>
        <v>0</v>
      </c>
      <c r="W47" s="126">
        <f>+'ENE-SEP Bs 11NOV2016'!W49/'ENE-MAR USD AL 18MAR16'!$D$1/'ENE-MAR USD AL 18MAR16'!$F$1</f>
        <v>1.763E-3</v>
      </c>
      <c r="X47" s="126">
        <f>+'ENE-SEP Bs 11NOV2016'!X49/'ENE-MAR USD AL 18MAR16'!$D$1/'ENE-MAR USD AL 18MAR16'!$E$1</f>
        <v>0</v>
      </c>
      <c r="Y47" s="126">
        <f>+'ENE-SEP Bs 11NOV2016'!Y49/'ENE-MAR USD AL 18MAR16'!$D$1/'ENE-MAR USD AL 18MAR16'!$F$1</f>
        <v>1.763E-3</v>
      </c>
      <c r="Z47" s="126">
        <f>+'ENE-SEP Bs 11NOV2016'!Z49/'ENE-MAR USD AL 18MAR16'!$D$1/'ENE-MAR USD AL 18MAR16'!$E$1</f>
        <v>0</v>
      </c>
      <c r="AA47" s="126">
        <f>+'ENE-SEP Bs 11NOV2016'!AA49/'ENE-MAR USD AL 18MAR16'!$D$1/'ENE-MAR USD AL 18MAR16'!$F$1</f>
        <v>0</v>
      </c>
    </row>
    <row r="48" spans="1:27" s="133" customFormat="1" x14ac:dyDescent="0.2">
      <c r="A48" s="130" t="s">
        <v>162</v>
      </c>
      <c r="B48" s="130"/>
      <c r="C48" s="130"/>
      <c r="D48" s="140">
        <f>SUM(D46:D47)</f>
        <v>0</v>
      </c>
      <c r="E48" s="140">
        <f t="shared" ref="E48:Z48" si="7">SUM(E46:E47)</f>
        <v>0</v>
      </c>
      <c r="F48" s="140">
        <f t="shared" si="7"/>
        <v>0</v>
      </c>
      <c r="G48" s="140">
        <f t="shared" si="7"/>
        <v>0</v>
      </c>
      <c r="H48" s="140">
        <f t="shared" si="7"/>
        <v>0</v>
      </c>
      <c r="I48" s="140">
        <f>SUM(I46:I47)</f>
        <v>-7.3412050000000004</v>
      </c>
      <c r="J48" s="140">
        <f t="shared" si="7"/>
        <v>0</v>
      </c>
      <c r="K48" s="140">
        <f>SUM(K46:K47)</f>
        <v>-7.3412050000000004</v>
      </c>
      <c r="L48" s="140">
        <f t="shared" si="7"/>
        <v>0</v>
      </c>
      <c r="M48" s="140">
        <f>SUM(M46:M47)</f>
        <v>-7.3412050000000004</v>
      </c>
      <c r="N48" s="140">
        <f t="shared" si="7"/>
        <v>0</v>
      </c>
      <c r="O48" s="140">
        <f>SUM(O46:O47)</f>
        <v>-7.3412050000000004</v>
      </c>
      <c r="P48" s="140">
        <f t="shared" si="7"/>
        <v>0</v>
      </c>
      <c r="Q48" s="140">
        <f>SUM(Q46:Q47)</f>
        <v>-7.3412050000000004</v>
      </c>
      <c r="R48" s="140">
        <f t="shared" si="7"/>
        <v>0</v>
      </c>
      <c r="S48" s="140">
        <f>SUM(S46:S47)</f>
        <v>-7.3412050000000004</v>
      </c>
      <c r="T48" s="140">
        <f t="shared" si="7"/>
        <v>0</v>
      </c>
      <c r="U48" s="140">
        <f>SUM(U46:U47)</f>
        <v>-7.339442</v>
      </c>
      <c r="V48" s="140">
        <f t="shared" si="7"/>
        <v>0</v>
      </c>
      <c r="W48" s="140">
        <f>SUM(W46:W47)</f>
        <v>-7.339442</v>
      </c>
      <c r="X48" s="140">
        <f t="shared" si="7"/>
        <v>0</v>
      </c>
      <c r="Y48" s="140">
        <f>SUM(Y46:Y47)</f>
        <v>-7.339442</v>
      </c>
      <c r="Z48" s="140">
        <f t="shared" si="7"/>
        <v>0</v>
      </c>
      <c r="AA48" s="140">
        <f>SUM(AA46:AA47)</f>
        <v>0</v>
      </c>
    </row>
    <row r="49" spans="1:27" x14ac:dyDescent="0.2">
      <c r="A49" s="126" t="s">
        <v>163</v>
      </c>
      <c r="B49" s="126" t="s">
        <v>173</v>
      </c>
      <c r="C49" s="126" t="s">
        <v>174</v>
      </c>
      <c r="D49" s="126">
        <f>+'ENE-SEP Bs 11NOV2016'!D51/'ENE-MAR USD AL 18MAR16'!$D$1/'ENE-MAR USD AL 18MAR16'!$E$1</f>
        <v>0</v>
      </c>
      <c r="E49" s="126">
        <f>+'ENE-SEP Bs 11NOV2016'!E51/'ENE-MAR USD AL 18MAR16'!$D$1/'ENE-MAR USD AL 18MAR16'!$E$1</f>
        <v>0</v>
      </c>
      <c r="F49" s="126">
        <f>+'ENE-SEP Bs 11NOV2016'!F51/'ENE-MAR USD AL 18MAR16'!$D$1/'ENE-MAR USD AL 18MAR16'!$E$1</f>
        <v>0</v>
      </c>
      <c r="G49" s="126">
        <f>+'ENE-SEP Bs 11NOV2016'!G51/'ENE-MAR USD AL 18MAR16'!$D$1/'ENE-MAR USD AL 18MAR16'!$E$1</f>
        <v>0</v>
      </c>
      <c r="H49" s="126">
        <f>+'ENE-SEP Bs 11NOV2016'!H51/'ENE-MAR USD AL 18MAR16'!$D$1/'ENE-MAR USD AL 18MAR16'!$E$1</f>
        <v>0</v>
      </c>
      <c r="I49" s="126">
        <f>+'ENE-SEP Bs 11NOV2016'!I51/'ENE-MAR USD AL 18MAR16'!$D$1/'ENE-MAR USD AL 18MAR16'!$F$1</f>
        <v>0</v>
      </c>
      <c r="J49" s="126">
        <f>+'ENE-SEP Bs 11NOV2016'!J51/'ENE-MAR USD AL 18MAR16'!$D$1/'ENE-MAR USD AL 18MAR16'!$E$1</f>
        <v>0</v>
      </c>
      <c r="K49" s="126">
        <f>+'ENE-SEP Bs 11NOV2016'!K51/'ENE-MAR USD AL 18MAR16'!$D$1/'ENE-MAR USD AL 18MAR16'!$F$1</f>
        <v>0</v>
      </c>
      <c r="L49" s="126">
        <f>+'ENE-SEP Bs 11NOV2016'!L51/'ENE-MAR USD AL 18MAR16'!$D$1/'ENE-MAR USD AL 18MAR16'!$E$1</f>
        <v>0</v>
      </c>
      <c r="M49" s="126">
        <f>+'ENE-SEP Bs 11NOV2016'!M51/'ENE-MAR USD AL 18MAR16'!$D$1/'ENE-MAR USD AL 18MAR16'!$F$1</f>
        <v>0</v>
      </c>
      <c r="N49" s="126">
        <f>+'ENE-SEP Bs 11NOV2016'!N51/'ENE-MAR USD AL 18MAR16'!$D$1/'ENE-MAR USD AL 18MAR16'!$E$1</f>
        <v>0</v>
      </c>
      <c r="O49" s="126">
        <f>+'ENE-SEP Bs 11NOV2016'!O51/'ENE-MAR USD AL 18MAR16'!$D$1/'ENE-MAR USD AL 18MAR16'!$F$1</f>
        <v>0</v>
      </c>
      <c r="P49" s="126">
        <f>+'ENE-SEP Bs 11NOV2016'!P51/'ENE-MAR USD AL 18MAR16'!$D$1/'ENE-MAR USD AL 18MAR16'!$E$1</f>
        <v>0</v>
      </c>
      <c r="Q49" s="126">
        <f>+'ENE-SEP Bs 11NOV2016'!Q51/'ENE-MAR USD AL 18MAR16'!$D$1/'ENE-MAR USD AL 18MAR16'!$F$1</f>
        <v>0</v>
      </c>
      <c r="R49" s="126">
        <f>+'ENE-SEP Bs 11NOV2016'!R51/'ENE-MAR USD AL 18MAR16'!$D$1/'ENE-MAR USD AL 18MAR16'!$E$1</f>
        <v>0</v>
      </c>
      <c r="S49" s="126">
        <f>+'ENE-SEP Bs 11NOV2016'!S51/'ENE-MAR USD AL 18MAR16'!$D$1/'ENE-MAR USD AL 18MAR16'!$F$1</f>
        <v>0</v>
      </c>
      <c r="T49" s="126">
        <f>+'ENE-SEP Bs 11NOV2016'!T51/'ENE-MAR USD AL 18MAR16'!$D$1/'ENE-MAR USD AL 18MAR16'!$E$1</f>
        <v>0</v>
      </c>
      <c r="U49" s="126">
        <f>+'ENE-SEP Bs 11NOV2016'!U51/'ENE-MAR USD AL 18MAR16'!$D$1/'ENE-MAR USD AL 18MAR16'!$F$1</f>
        <v>0</v>
      </c>
      <c r="V49" s="126">
        <f>+'ENE-SEP Bs 11NOV2016'!V51/'ENE-MAR USD AL 18MAR16'!$D$1/'ENE-MAR USD AL 18MAR16'!$E$1</f>
        <v>0</v>
      </c>
      <c r="W49" s="126">
        <f>+'ENE-SEP Bs 11NOV2016'!W51/'ENE-MAR USD AL 18MAR16'!$D$1/'ENE-MAR USD AL 18MAR16'!$F$1</f>
        <v>0</v>
      </c>
      <c r="X49" s="126">
        <f>+'ENE-SEP Bs 11NOV2016'!X51/'ENE-MAR USD AL 18MAR16'!$D$1/'ENE-MAR USD AL 18MAR16'!$E$1</f>
        <v>0</v>
      </c>
      <c r="Y49" s="126">
        <f>+'ENE-SEP Bs 11NOV2016'!Y51/'ENE-MAR USD AL 18MAR16'!$D$1/'ENE-MAR USD AL 18MAR16'!$F$1</f>
        <v>0</v>
      </c>
      <c r="Z49" s="126">
        <f>+'ENE-SEP Bs 11NOV2016'!Z51/'ENE-MAR USD AL 18MAR16'!$D$1/'ENE-MAR USD AL 18MAR16'!$E$1</f>
        <v>0</v>
      </c>
      <c r="AA49" s="126">
        <f>+'ENE-SEP Bs 11NOV2016'!AA51/'ENE-MAR USD AL 18MAR16'!$D$1/'ENE-MAR USD AL 18MAR16'!$F$1</f>
        <v>0</v>
      </c>
    </row>
    <row r="50" spans="1:27" x14ac:dyDescent="0.2">
      <c r="A50" s="126"/>
      <c r="B50" s="126" t="s">
        <v>164</v>
      </c>
      <c r="C50" s="126" t="s">
        <v>165</v>
      </c>
      <c r="D50" s="126">
        <f>+'ENE-SEP Bs 11NOV2016'!D52/'ENE-MAR USD AL 18MAR16'!$D$1/'ENE-MAR USD AL 18MAR16'!$E$1</f>
        <v>0</v>
      </c>
      <c r="E50" s="126">
        <f>+'ENE-SEP Bs 11NOV2016'!E52/'ENE-MAR USD AL 18MAR16'!$D$1/'ENE-MAR USD AL 18MAR16'!$E$1</f>
        <v>0</v>
      </c>
      <c r="F50" s="126">
        <f>+'ENE-SEP Bs 11NOV2016'!F52/'ENE-MAR USD AL 18MAR16'!$D$1/'ENE-MAR USD AL 18MAR16'!$E$1</f>
        <v>0</v>
      </c>
      <c r="G50" s="126">
        <f>+'ENE-SEP Bs 11NOV2016'!G52/'ENE-MAR USD AL 18MAR16'!$D$1/'ENE-MAR USD AL 18MAR16'!$E$1</f>
        <v>0</v>
      </c>
      <c r="H50" s="126">
        <f>+'ENE-SEP Bs 11NOV2016'!H52/'ENE-MAR USD AL 18MAR16'!$D$1/'ENE-MAR USD AL 18MAR16'!$E$1</f>
        <v>0</v>
      </c>
      <c r="I50" s="126">
        <f>+'ENE-SEP Bs 11NOV2016'!I52/'ENE-MAR USD AL 18MAR16'!$D$1/'ENE-MAR USD AL 18MAR16'!$F$1</f>
        <v>0</v>
      </c>
      <c r="J50" s="126">
        <f>+'ENE-SEP Bs 11NOV2016'!J52/'ENE-MAR USD AL 18MAR16'!$D$1/'ENE-MAR USD AL 18MAR16'!$E$1</f>
        <v>0</v>
      </c>
      <c r="K50" s="126">
        <f>+'ENE-SEP Bs 11NOV2016'!K52/'ENE-MAR USD AL 18MAR16'!$D$1/'ENE-MAR USD AL 18MAR16'!$F$1</f>
        <v>0</v>
      </c>
      <c r="L50" s="126">
        <f>+'ENE-SEP Bs 11NOV2016'!L52/'ENE-MAR USD AL 18MAR16'!$D$1/'ENE-MAR USD AL 18MAR16'!$E$1</f>
        <v>0</v>
      </c>
      <c r="M50" s="126">
        <f>+'ENE-SEP Bs 11NOV2016'!M52/'ENE-MAR USD AL 18MAR16'!$D$1/'ENE-MAR USD AL 18MAR16'!$F$1</f>
        <v>0</v>
      </c>
      <c r="N50" s="126">
        <f>+'ENE-SEP Bs 11NOV2016'!N52/'ENE-MAR USD AL 18MAR16'!$D$1/'ENE-MAR USD AL 18MAR16'!$E$1</f>
        <v>0</v>
      </c>
      <c r="O50" s="126">
        <f>+'ENE-SEP Bs 11NOV2016'!O52/'ENE-MAR USD AL 18MAR16'!$D$1/'ENE-MAR USD AL 18MAR16'!$F$1</f>
        <v>0</v>
      </c>
      <c r="P50" s="126">
        <f>+'ENE-SEP Bs 11NOV2016'!P52/'ENE-MAR USD AL 18MAR16'!$D$1/'ENE-MAR USD AL 18MAR16'!$E$1</f>
        <v>0</v>
      </c>
      <c r="Q50" s="126">
        <f>+'ENE-SEP Bs 11NOV2016'!Q52/'ENE-MAR USD AL 18MAR16'!$D$1/'ENE-MAR USD AL 18MAR16'!$F$1</f>
        <v>0</v>
      </c>
      <c r="R50" s="126">
        <f>+'ENE-SEP Bs 11NOV2016'!R52/'ENE-MAR USD AL 18MAR16'!$D$1/'ENE-MAR USD AL 18MAR16'!$E$1</f>
        <v>0</v>
      </c>
      <c r="S50" s="126">
        <f>+'ENE-SEP Bs 11NOV2016'!S52/'ENE-MAR USD AL 18MAR16'!$D$1/'ENE-MAR USD AL 18MAR16'!$F$1</f>
        <v>0</v>
      </c>
      <c r="T50" s="126">
        <f>+'ENE-SEP Bs 11NOV2016'!T52/'ENE-MAR USD AL 18MAR16'!$D$1/'ENE-MAR USD AL 18MAR16'!$E$1</f>
        <v>0</v>
      </c>
      <c r="U50" s="126">
        <f>+'ENE-SEP Bs 11NOV2016'!U52/'ENE-MAR USD AL 18MAR16'!$D$1/'ENE-MAR USD AL 18MAR16'!$F$1</f>
        <v>0</v>
      </c>
      <c r="V50" s="126">
        <f>+'ENE-SEP Bs 11NOV2016'!V52/'ENE-MAR USD AL 18MAR16'!$D$1/'ENE-MAR USD AL 18MAR16'!$E$1</f>
        <v>0</v>
      </c>
      <c r="W50" s="126">
        <f>+'ENE-SEP Bs 11NOV2016'!W52/'ENE-MAR USD AL 18MAR16'!$D$1/'ENE-MAR USD AL 18MAR16'!$F$1</f>
        <v>0</v>
      </c>
      <c r="X50" s="126">
        <f>+'ENE-SEP Bs 11NOV2016'!X52/'ENE-MAR USD AL 18MAR16'!$D$1/'ENE-MAR USD AL 18MAR16'!$E$1</f>
        <v>0</v>
      </c>
      <c r="Y50" s="126">
        <f>+'ENE-SEP Bs 11NOV2016'!Y52/'ENE-MAR USD AL 18MAR16'!$D$1/'ENE-MAR USD AL 18MAR16'!$F$1</f>
        <v>0</v>
      </c>
      <c r="Z50" s="126">
        <f>+'ENE-SEP Bs 11NOV2016'!Z52/'ENE-MAR USD AL 18MAR16'!$D$1/'ENE-MAR USD AL 18MAR16'!$E$1</f>
        <v>0</v>
      </c>
      <c r="AA50" s="126">
        <f>+'ENE-SEP Bs 11NOV2016'!AA52/'ENE-MAR USD AL 18MAR16'!$D$1/'ENE-MAR USD AL 18MAR16'!$F$1</f>
        <v>0</v>
      </c>
    </row>
    <row r="51" spans="1:27" s="133" customFormat="1" x14ac:dyDescent="0.2">
      <c r="A51" s="130" t="s">
        <v>166</v>
      </c>
      <c r="B51" s="130"/>
      <c r="C51" s="130"/>
      <c r="D51" s="140">
        <f>SUM(D49:D50)</f>
        <v>0</v>
      </c>
      <c r="E51" s="140">
        <f t="shared" ref="E51:Z51" si="8">SUM(E49:E50)</f>
        <v>0</v>
      </c>
      <c r="F51" s="140">
        <f t="shared" si="8"/>
        <v>0</v>
      </c>
      <c r="G51" s="140">
        <f t="shared" si="8"/>
        <v>0</v>
      </c>
      <c r="H51" s="140">
        <f t="shared" si="8"/>
        <v>0</v>
      </c>
      <c r="I51" s="140">
        <f>SUM(I49:I50)</f>
        <v>0</v>
      </c>
      <c r="J51" s="140">
        <f t="shared" si="8"/>
        <v>0</v>
      </c>
      <c r="K51" s="140">
        <f>SUM(K49:K50)</f>
        <v>0</v>
      </c>
      <c r="L51" s="140">
        <f t="shared" si="8"/>
        <v>0</v>
      </c>
      <c r="M51" s="140">
        <f>SUM(M49:M50)</f>
        <v>0</v>
      </c>
      <c r="N51" s="140">
        <f t="shared" si="8"/>
        <v>0</v>
      </c>
      <c r="O51" s="140">
        <f>SUM(O49:O50)</f>
        <v>0</v>
      </c>
      <c r="P51" s="140">
        <f t="shared" si="8"/>
        <v>0</v>
      </c>
      <c r="Q51" s="140">
        <f>SUM(Q49:Q50)</f>
        <v>0</v>
      </c>
      <c r="R51" s="140">
        <f t="shared" si="8"/>
        <v>0</v>
      </c>
      <c r="S51" s="140">
        <f>SUM(S49:S50)</f>
        <v>0</v>
      </c>
      <c r="T51" s="140">
        <f t="shared" si="8"/>
        <v>0</v>
      </c>
      <c r="U51" s="140">
        <f>SUM(U49:U50)</f>
        <v>0</v>
      </c>
      <c r="V51" s="140">
        <f t="shared" si="8"/>
        <v>0</v>
      </c>
      <c r="W51" s="140">
        <f>SUM(W49:W50)</f>
        <v>0</v>
      </c>
      <c r="X51" s="140">
        <f t="shared" si="8"/>
        <v>0</v>
      </c>
      <c r="Y51" s="140">
        <f>SUM(Y49:Y50)</f>
        <v>0</v>
      </c>
      <c r="Z51" s="140">
        <f t="shared" si="8"/>
        <v>0</v>
      </c>
      <c r="AA51" s="140">
        <f>SUM(AA49:AA50)</f>
        <v>0</v>
      </c>
    </row>
    <row r="52" spans="1:27" x14ac:dyDescent="0.2">
      <c r="A52" s="126" t="s">
        <v>27</v>
      </c>
      <c r="B52" s="126" t="s">
        <v>191</v>
      </c>
      <c r="C52" s="126" t="s">
        <v>192</v>
      </c>
      <c r="D52" s="126">
        <f>+'ENE-SEP Bs 11NOV2016'!D54/'ENE-MAR USD AL 18MAR16'!$D$1/'ENE-MAR USD AL 18MAR16'!$E$1</f>
        <v>0</v>
      </c>
      <c r="E52" s="126">
        <f>+'ENE-SEP Bs 11NOV2016'!E54/'ENE-MAR USD AL 18MAR16'!$D$1/'ENE-MAR USD AL 18MAR16'!$E$1</f>
        <v>0</v>
      </c>
      <c r="F52" s="126">
        <f>+'ENE-SEP Bs 11NOV2016'!F54/'ENE-MAR USD AL 18MAR16'!$D$1/'ENE-MAR USD AL 18MAR16'!$E$1</f>
        <v>0</v>
      </c>
      <c r="G52" s="126">
        <f>+'ENE-SEP Bs 11NOV2016'!G54/'ENE-MAR USD AL 18MAR16'!$D$1/'ENE-MAR USD AL 18MAR16'!$E$1</f>
        <v>0</v>
      </c>
      <c r="H52" s="126">
        <f>+'ENE-SEP Bs 11NOV2016'!H54/'ENE-MAR USD AL 18MAR16'!$D$1/'ENE-MAR USD AL 18MAR16'!$E$1</f>
        <v>0</v>
      </c>
      <c r="I52" s="126">
        <f>+'ENE-SEP Bs 11NOV2016'!I54/'ENE-MAR USD AL 18MAR16'!$D$1/'ENE-MAR USD AL 18MAR16'!$F$1</f>
        <v>0</v>
      </c>
      <c r="J52" s="126">
        <f>+'ENE-SEP Bs 11NOV2016'!J54/'ENE-MAR USD AL 18MAR16'!$D$1/'ENE-MAR USD AL 18MAR16'!$E$1</f>
        <v>0</v>
      </c>
      <c r="K52" s="126">
        <f>+'ENE-SEP Bs 11NOV2016'!K54/'ENE-MAR USD AL 18MAR16'!$D$1/'ENE-MAR USD AL 18MAR16'!$F$1</f>
        <v>0</v>
      </c>
      <c r="L52" s="126">
        <f>+'ENE-SEP Bs 11NOV2016'!L54/'ENE-MAR USD AL 18MAR16'!$D$1/'ENE-MAR USD AL 18MAR16'!$E$1</f>
        <v>0</v>
      </c>
      <c r="M52" s="126">
        <f>+'ENE-SEP Bs 11NOV2016'!M54/'ENE-MAR USD AL 18MAR16'!$D$1/'ENE-MAR USD AL 18MAR16'!$F$1</f>
        <v>0</v>
      </c>
      <c r="N52" s="126">
        <f>+'ENE-SEP Bs 11NOV2016'!N54/'ENE-MAR USD AL 18MAR16'!$D$1/'ENE-MAR USD AL 18MAR16'!$E$1</f>
        <v>0</v>
      </c>
      <c r="O52" s="126">
        <f>+'ENE-SEP Bs 11NOV2016'!O54/'ENE-MAR USD AL 18MAR16'!$D$1/'ENE-MAR USD AL 18MAR16'!$F$1</f>
        <v>0</v>
      </c>
      <c r="P52" s="126">
        <f>+'ENE-SEP Bs 11NOV2016'!P54/'ENE-MAR USD AL 18MAR16'!$D$1/'ENE-MAR USD AL 18MAR16'!$E$1</f>
        <v>0</v>
      </c>
      <c r="Q52" s="126">
        <f>+'ENE-SEP Bs 11NOV2016'!Q54/'ENE-MAR USD AL 18MAR16'!$D$1/'ENE-MAR USD AL 18MAR16'!$F$1</f>
        <v>0</v>
      </c>
      <c r="R52" s="126">
        <f>+'ENE-SEP Bs 11NOV2016'!R54/'ENE-MAR USD AL 18MAR16'!$D$1/'ENE-MAR USD AL 18MAR16'!$E$1</f>
        <v>0</v>
      </c>
      <c r="S52" s="126">
        <f>+'ENE-SEP Bs 11NOV2016'!S54/'ENE-MAR USD AL 18MAR16'!$D$1/'ENE-MAR USD AL 18MAR16'!$F$1</f>
        <v>0</v>
      </c>
      <c r="T52" s="126">
        <f>+'ENE-SEP Bs 11NOV2016'!T54/'ENE-MAR USD AL 18MAR16'!$D$1/'ENE-MAR USD AL 18MAR16'!$E$1</f>
        <v>0</v>
      </c>
      <c r="U52" s="126">
        <f>+'ENE-SEP Bs 11NOV2016'!U54/'ENE-MAR USD AL 18MAR16'!$D$1/'ENE-MAR USD AL 18MAR16'!$F$1</f>
        <v>0</v>
      </c>
      <c r="V52" s="126">
        <f>+'ENE-SEP Bs 11NOV2016'!V54/'ENE-MAR USD AL 18MAR16'!$D$1/'ENE-MAR USD AL 18MAR16'!$E$1</f>
        <v>0</v>
      </c>
      <c r="W52" s="126">
        <f>+'ENE-SEP Bs 11NOV2016'!W54/'ENE-MAR USD AL 18MAR16'!$D$1/'ENE-MAR USD AL 18MAR16'!$F$1</f>
        <v>0</v>
      </c>
      <c r="X52" s="126">
        <f>+'ENE-SEP Bs 11NOV2016'!X54/'ENE-MAR USD AL 18MAR16'!$D$1/'ENE-MAR USD AL 18MAR16'!$E$1</f>
        <v>0</v>
      </c>
      <c r="Y52" s="126">
        <f>+'ENE-SEP Bs 11NOV2016'!Y54/'ENE-MAR USD AL 18MAR16'!$D$1/'ENE-MAR USD AL 18MAR16'!$F$1</f>
        <v>0</v>
      </c>
      <c r="Z52" s="126">
        <f>+'ENE-SEP Bs 11NOV2016'!Z54/'ENE-MAR USD AL 18MAR16'!$D$1/'ENE-MAR USD AL 18MAR16'!$E$1</f>
        <v>0</v>
      </c>
      <c r="AA52" s="126">
        <f>+'ENE-SEP Bs 11NOV2016'!AA54/'ENE-MAR USD AL 18MAR16'!$D$1/'ENE-MAR USD AL 18MAR16'!$F$1</f>
        <v>0</v>
      </c>
    </row>
    <row r="53" spans="1:27" x14ac:dyDescent="0.2">
      <c r="A53" s="126"/>
      <c r="B53" s="126" t="s">
        <v>75</v>
      </c>
      <c r="C53" s="126" t="s">
        <v>76</v>
      </c>
      <c r="D53" s="126">
        <f>+'ENE-SEP Bs 11NOV2016'!D55/'ENE-MAR USD AL 18MAR16'!$D$1/'ENE-MAR USD AL 18MAR16'!$E$1</f>
        <v>0</v>
      </c>
      <c r="E53" s="126">
        <f>+'ENE-SEP Bs 11NOV2016'!E55/'ENE-MAR USD AL 18MAR16'!$D$1/'ENE-MAR USD AL 18MAR16'!$E$1</f>
        <v>0.58408253968253965</v>
      </c>
      <c r="F53" s="126">
        <f>+'ENE-SEP Bs 11NOV2016'!F55/'ENE-MAR USD AL 18MAR16'!$D$1/'ENE-MAR USD AL 18MAR16'!$E$1</f>
        <v>0</v>
      </c>
      <c r="G53" s="126">
        <f>+'ENE-SEP Bs 11NOV2016'!G55/'ENE-MAR USD AL 18MAR16'!$D$1/'ENE-MAR USD AL 18MAR16'!$E$1</f>
        <v>2.9808587301587299</v>
      </c>
      <c r="H53" s="126">
        <f>+'ENE-SEP Bs 11NOV2016'!H55/'ENE-MAR USD AL 18MAR16'!$D$1/'ENE-MAR USD AL 18MAR16'!$E$1</f>
        <v>0</v>
      </c>
      <c r="I53" s="126">
        <f>+'ENE-SEP Bs 11NOV2016'!I55/'ENE-MAR USD AL 18MAR16'!$D$1/'ENE-MAR USD AL 18MAR16'!$F$1</f>
        <v>2.2766500000000001</v>
      </c>
      <c r="J53" s="126">
        <f>+'ENE-SEP Bs 11NOV2016'!J55/'ENE-MAR USD AL 18MAR16'!$D$1/'ENE-MAR USD AL 18MAR16'!$E$1</f>
        <v>0</v>
      </c>
      <c r="K53" s="126">
        <f>+'ENE-SEP Bs 11NOV2016'!K55/'ENE-MAR USD AL 18MAR16'!$D$1/'ENE-MAR USD AL 18MAR16'!$F$1</f>
        <v>3.0798959999999997</v>
      </c>
      <c r="L53" s="126">
        <f>+'ENE-SEP Bs 11NOV2016'!L55/'ENE-MAR USD AL 18MAR16'!$D$1/'ENE-MAR USD AL 18MAR16'!$E$1</f>
        <v>0</v>
      </c>
      <c r="M53" s="126">
        <f>+'ENE-SEP Bs 11NOV2016'!M55/'ENE-MAR USD AL 18MAR16'!$D$1/'ENE-MAR USD AL 18MAR16'!$F$1</f>
        <v>4.178172</v>
      </c>
      <c r="N53" s="126">
        <f>+'ENE-SEP Bs 11NOV2016'!N55/'ENE-MAR USD AL 18MAR16'!$D$1/'ENE-MAR USD AL 18MAR16'!$E$1</f>
        <v>0</v>
      </c>
      <c r="O53" s="126">
        <f>+'ENE-SEP Bs 11NOV2016'!O55/'ENE-MAR USD AL 18MAR16'!$D$1/'ENE-MAR USD AL 18MAR16'!$F$1</f>
        <v>1.032133</v>
      </c>
      <c r="P53" s="126">
        <f>+'ENE-SEP Bs 11NOV2016'!P55/'ENE-MAR USD AL 18MAR16'!$D$1/'ENE-MAR USD AL 18MAR16'!$E$1</f>
        <v>0</v>
      </c>
      <c r="Q53" s="126">
        <f>+'ENE-SEP Bs 11NOV2016'!Q55/'ENE-MAR USD AL 18MAR16'!$D$1/'ENE-MAR USD AL 18MAR16'!$F$1</f>
        <v>7.8317460000000008</v>
      </c>
      <c r="R53" s="126">
        <f>+'ENE-SEP Bs 11NOV2016'!R55/'ENE-MAR USD AL 18MAR16'!$D$1/'ENE-MAR USD AL 18MAR16'!$E$1</f>
        <v>0</v>
      </c>
      <c r="S53" s="126">
        <f>+'ENE-SEP Bs 11NOV2016'!S55/'ENE-MAR USD AL 18MAR16'!$D$1/'ENE-MAR USD AL 18MAR16'!$F$1</f>
        <v>4.4763150000000005</v>
      </c>
      <c r="T53" s="126">
        <f>+'ENE-SEP Bs 11NOV2016'!T55/'ENE-MAR USD AL 18MAR16'!$D$1/'ENE-MAR USD AL 18MAR16'!$E$1</f>
        <v>0</v>
      </c>
      <c r="U53" s="126">
        <f>+'ENE-SEP Bs 11NOV2016'!U55/'ENE-MAR USD AL 18MAR16'!$D$1/'ENE-MAR USD AL 18MAR16'!$F$1</f>
        <v>2.5935519999999999</v>
      </c>
      <c r="V53" s="126">
        <f>+'ENE-SEP Bs 11NOV2016'!V55/'ENE-MAR USD AL 18MAR16'!$D$1/'ENE-MAR USD AL 18MAR16'!$E$1</f>
        <v>0</v>
      </c>
      <c r="W53" s="126">
        <f>+'ENE-SEP Bs 11NOV2016'!W55/'ENE-MAR USD AL 18MAR16'!$D$1/'ENE-MAR USD AL 18MAR16'!$F$1</f>
        <v>3.2437530000000003</v>
      </c>
      <c r="X53" s="126">
        <f>+'ENE-SEP Bs 11NOV2016'!X55/'ENE-MAR USD AL 18MAR16'!$D$1/'ENE-MAR USD AL 18MAR16'!$E$1</f>
        <v>0</v>
      </c>
      <c r="Y53" s="126">
        <f>+'ENE-SEP Bs 11NOV2016'!Y55/'ENE-MAR USD AL 18MAR16'!$D$1/'ENE-MAR USD AL 18MAR16'!$F$1</f>
        <v>3.3851529999999999</v>
      </c>
      <c r="Z53" s="126">
        <f>+'ENE-SEP Bs 11NOV2016'!Z55/'ENE-MAR USD AL 18MAR16'!$D$1/'ENE-MAR USD AL 18MAR16'!$E$1</f>
        <v>0</v>
      </c>
      <c r="AA53" s="126">
        <f>+'ENE-SEP Bs 11NOV2016'!AA55/'ENE-MAR USD AL 18MAR16'!$D$1/'ENE-MAR USD AL 18MAR16'!$F$1</f>
        <v>0</v>
      </c>
    </row>
    <row r="54" spans="1:27" s="133" customFormat="1" x14ac:dyDescent="0.2">
      <c r="A54" s="130" t="s">
        <v>145</v>
      </c>
      <c r="B54" s="130"/>
      <c r="C54" s="130"/>
      <c r="D54" s="140">
        <f>SUM(D52:D53)</f>
        <v>0</v>
      </c>
      <c r="E54" s="140">
        <f t="shared" ref="E54:Z54" si="9">SUM(E52:E53)</f>
        <v>0.58408253968253965</v>
      </c>
      <c r="F54" s="140">
        <f t="shared" si="9"/>
        <v>0</v>
      </c>
      <c r="G54" s="140">
        <f t="shared" si="9"/>
        <v>2.9808587301587299</v>
      </c>
      <c r="H54" s="140">
        <f t="shared" si="9"/>
        <v>0</v>
      </c>
      <c r="I54" s="140">
        <f>SUM(I52:I53)</f>
        <v>2.2766500000000001</v>
      </c>
      <c r="J54" s="140">
        <f t="shared" si="9"/>
        <v>0</v>
      </c>
      <c r="K54" s="140">
        <f>SUM(K52:K53)</f>
        <v>3.0798959999999997</v>
      </c>
      <c r="L54" s="140">
        <f t="shared" si="9"/>
        <v>0</v>
      </c>
      <c r="M54" s="140">
        <f>SUM(M52:M53)</f>
        <v>4.178172</v>
      </c>
      <c r="N54" s="140">
        <f t="shared" si="9"/>
        <v>0</v>
      </c>
      <c r="O54" s="140">
        <f>SUM(O52:O53)</f>
        <v>1.032133</v>
      </c>
      <c r="P54" s="140">
        <f t="shared" si="9"/>
        <v>0</v>
      </c>
      <c r="Q54" s="140">
        <f>SUM(Q52:Q53)</f>
        <v>7.8317460000000008</v>
      </c>
      <c r="R54" s="140">
        <f t="shared" si="9"/>
        <v>0</v>
      </c>
      <c r="S54" s="140">
        <f>SUM(S52:S53)</f>
        <v>4.4763150000000005</v>
      </c>
      <c r="T54" s="140">
        <f t="shared" si="9"/>
        <v>0</v>
      </c>
      <c r="U54" s="140">
        <f>SUM(U52:U53)</f>
        <v>2.5935519999999999</v>
      </c>
      <c r="V54" s="140">
        <f t="shared" si="9"/>
        <v>0</v>
      </c>
      <c r="W54" s="140">
        <f>SUM(W52:W53)</f>
        <v>3.2437530000000003</v>
      </c>
      <c r="X54" s="140">
        <f t="shared" si="9"/>
        <v>0</v>
      </c>
      <c r="Y54" s="140">
        <f>SUM(Y52:Y53)</f>
        <v>3.3851529999999999</v>
      </c>
      <c r="Z54" s="140">
        <f t="shared" si="9"/>
        <v>0</v>
      </c>
      <c r="AA54" s="140">
        <f>SUM(AA52:AA53)</f>
        <v>0</v>
      </c>
    </row>
    <row r="55" spans="1:27" x14ac:dyDescent="0.2">
      <c r="A55" s="126" t="s">
        <v>28</v>
      </c>
      <c r="B55" s="126" t="s">
        <v>29</v>
      </c>
      <c r="C55" s="126" t="s">
        <v>30</v>
      </c>
      <c r="D55" s="126">
        <f>+'ENE-SEP Bs 11NOV2016'!D57/'ENE-MAR USD AL 18MAR16'!$D$1/'ENE-MAR USD AL 18MAR16'!$E$1</f>
        <v>2.6362603174603172</v>
      </c>
      <c r="E55" s="126">
        <f>+'ENE-SEP Bs 11NOV2016'!E57/'ENE-MAR USD AL 18MAR16'!$D$1/'ENE-MAR USD AL 18MAR16'!$E$1</f>
        <v>3.0394476190476194</v>
      </c>
      <c r="F55" s="126">
        <f>+'ENE-SEP Bs 11NOV2016'!F57/'ENE-MAR USD AL 18MAR16'!$D$1/'ENE-MAR USD AL 18MAR16'!$E$1</f>
        <v>6.9032269841269844</v>
      </c>
      <c r="G55" s="126">
        <f>+'ENE-SEP Bs 11NOV2016'!G57/'ENE-MAR USD AL 18MAR16'!$D$1/'ENE-MAR USD AL 18MAR16'!$E$1</f>
        <v>7.9489158730158724</v>
      </c>
      <c r="H55" s="126">
        <f>+'ENE-SEP Bs 11NOV2016'!H57/'ENE-MAR USD AL 18MAR16'!$D$1/'ENE-MAR USD AL 18MAR16'!$E$1</f>
        <v>10.524853968253966</v>
      </c>
      <c r="I55" s="126">
        <f>+'ENE-SEP Bs 11NOV2016'!I57/'ENE-MAR USD AL 18MAR16'!$D$1/'ENE-MAR USD AL 18MAR16'!$F$1</f>
        <v>7.5145200000000001</v>
      </c>
      <c r="J55" s="126">
        <f>+'ENE-SEP Bs 11NOV2016'!J57/'ENE-MAR USD AL 18MAR16'!$D$1/'ENE-MAR USD AL 18MAR16'!$E$1</f>
        <v>14.063936507936509</v>
      </c>
      <c r="K55" s="126">
        <f>+'ENE-SEP Bs 11NOV2016'!K57/'ENE-MAR USD AL 18MAR16'!$D$1/'ENE-MAR USD AL 18MAR16'!$F$1</f>
        <v>13.384045000000004</v>
      </c>
      <c r="L55" s="126">
        <f>+'ENE-SEP Bs 11NOV2016'!L57/'ENE-MAR USD AL 18MAR16'!$D$1/'ENE-MAR USD AL 18MAR16'!$E$1</f>
        <v>18.566273015873016</v>
      </c>
      <c r="M55" s="126">
        <f>+'ENE-SEP Bs 11NOV2016'!M57/'ENE-MAR USD AL 18MAR16'!$D$1/'ENE-MAR USD AL 18MAR16'!$F$1</f>
        <v>15.717496000000001</v>
      </c>
      <c r="N55" s="126">
        <f>+'ENE-SEP Bs 11NOV2016'!N57/'ENE-MAR USD AL 18MAR16'!$D$1/'ENE-MAR USD AL 18MAR16'!$E$1</f>
        <v>27.978542857142855</v>
      </c>
      <c r="O55" s="126">
        <f>+'ENE-SEP Bs 11NOV2016'!O57/'ENE-MAR USD AL 18MAR16'!$D$1/'ENE-MAR USD AL 18MAR16'!$F$1</f>
        <v>18.521239000000001</v>
      </c>
      <c r="P55" s="126">
        <f>+'ENE-SEP Bs 11NOV2016'!P57/'ENE-MAR USD AL 18MAR16'!$D$1/'ENE-MAR USD AL 18MAR16'!$E$1</f>
        <v>40.485563492063498</v>
      </c>
      <c r="Q55" s="126">
        <f>+'ENE-SEP Bs 11NOV2016'!Q57/'ENE-MAR USD AL 18MAR16'!$D$1/'ENE-MAR USD AL 18MAR16'!$F$1</f>
        <v>21.356671000000002</v>
      </c>
      <c r="R55" s="126">
        <f>+'ENE-SEP Bs 11NOV2016'!R57/'ENE-MAR USD AL 18MAR16'!$D$1/'ENE-MAR USD AL 18MAR16'!$E$1</f>
        <v>51.927277777777782</v>
      </c>
      <c r="S55" s="126">
        <f>+'ENE-SEP Bs 11NOV2016'!S57/'ENE-MAR USD AL 18MAR16'!$D$1/'ENE-MAR USD AL 18MAR16'!$F$1</f>
        <v>30.238779999999998</v>
      </c>
      <c r="T55" s="126">
        <f>+'ENE-SEP Bs 11NOV2016'!T57/'ENE-MAR USD AL 18MAR16'!$D$1/'ENE-MAR USD AL 18MAR16'!$E$1</f>
        <v>64.956730158730167</v>
      </c>
      <c r="U55" s="126">
        <f>+'ENE-SEP Bs 11NOV2016'!U57/'ENE-MAR USD AL 18MAR16'!$D$1/'ENE-MAR USD AL 18MAR16'!$F$1</f>
        <v>83.817982000000001</v>
      </c>
      <c r="V55" s="126">
        <f>+'ENE-SEP Bs 11NOV2016'!V57/'ENE-MAR USD AL 18MAR16'!$D$1/'ENE-MAR USD AL 18MAR16'!$E$1</f>
        <v>76.393401587301597</v>
      </c>
      <c r="W55" s="126">
        <f>+'ENE-SEP Bs 11NOV2016'!W57/'ENE-MAR USD AL 18MAR16'!$D$1/'ENE-MAR USD AL 18MAR16'!$F$1</f>
        <v>91.727868999999998</v>
      </c>
      <c r="X55" s="126">
        <f>+'ENE-SEP Bs 11NOV2016'!X57/'ENE-MAR USD AL 18MAR16'!$D$1/'ENE-MAR USD AL 18MAR16'!$E$1</f>
        <v>86.938379365079385</v>
      </c>
      <c r="Y55" s="126">
        <f>+'ENE-SEP Bs 11NOV2016'!Y57/'ENE-MAR USD AL 18MAR16'!$D$1/'ENE-MAR USD AL 18MAR16'!$F$1</f>
        <v>94.413798</v>
      </c>
      <c r="Z55" s="126">
        <f>+'ENE-SEP Bs 11NOV2016'!Z57/'ENE-MAR USD AL 18MAR16'!$D$1/'ENE-MAR USD AL 18MAR16'!$E$1</f>
        <v>92.646647619047627</v>
      </c>
      <c r="AA55" s="126">
        <f>+'ENE-SEP Bs 11NOV2016'!AA57/'ENE-MAR USD AL 18MAR16'!$D$1/'ENE-MAR USD AL 18MAR16'!$F$1</f>
        <v>0</v>
      </c>
    </row>
    <row r="56" spans="1:27" s="133" customFormat="1" x14ac:dyDescent="0.2">
      <c r="A56" s="130" t="s">
        <v>146</v>
      </c>
      <c r="B56" s="130"/>
      <c r="C56" s="130"/>
      <c r="D56" s="140">
        <f>SUM(D55)</f>
        <v>2.6362603174603172</v>
      </c>
      <c r="E56" s="140">
        <f t="shared" ref="E56:Z56" si="10">SUM(E55)</f>
        <v>3.0394476190476194</v>
      </c>
      <c r="F56" s="140">
        <f t="shared" si="10"/>
        <v>6.9032269841269844</v>
      </c>
      <c r="G56" s="140">
        <f t="shared" si="10"/>
        <v>7.9489158730158724</v>
      </c>
      <c r="H56" s="140">
        <f t="shared" si="10"/>
        <v>10.524853968253966</v>
      </c>
      <c r="I56" s="140">
        <f>SUM(I55)</f>
        <v>7.5145200000000001</v>
      </c>
      <c r="J56" s="140">
        <f t="shared" si="10"/>
        <v>14.063936507936509</v>
      </c>
      <c r="K56" s="140">
        <f>SUM(K55)</f>
        <v>13.384045000000004</v>
      </c>
      <c r="L56" s="140">
        <f t="shared" si="10"/>
        <v>18.566273015873016</v>
      </c>
      <c r="M56" s="140">
        <f>SUM(M55)</f>
        <v>15.717496000000001</v>
      </c>
      <c r="N56" s="140">
        <f t="shared" si="10"/>
        <v>27.978542857142855</v>
      </c>
      <c r="O56" s="140">
        <f>SUM(O55)</f>
        <v>18.521239000000001</v>
      </c>
      <c r="P56" s="140">
        <f t="shared" si="10"/>
        <v>40.485563492063498</v>
      </c>
      <c r="Q56" s="140">
        <f>SUM(Q55)</f>
        <v>21.356671000000002</v>
      </c>
      <c r="R56" s="140">
        <f t="shared" si="10"/>
        <v>51.927277777777782</v>
      </c>
      <c r="S56" s="140">
        <f>SUM(S55)</f>
        <v>30.238779999999998</v>
      </c>
      <c r="T56" s="140">
        <f t="shared" si="10"/>
        <v>64.956730158730167</v>
      </c>
      <c r="U56" s="140">
        <f>SUM(U55)</f>
        <v>83.817982000000001</v>
      </c>
      <c r="V56" s="140">
        <f t="shared" si="10"/>
        <v>76.393401587301597</v>
      </c>
      <c r="W56" s="140">
        <f>SUM(W55)</f>
        <v>91.727868999999998</v>
      </c>
      <c r="X56" s="140">
        <f t="shared" si="10"/>
        <v>86.938379365079385</v>
      </c>
      <c r="Y56" s="140">
        <f>SUM(Y55)</f>
        <v>94.413798</v>
      </c>
      <c r="Z56" s="140">
        <f t="shared" si="10"/>
        <v>92.646647619047627</v>
      </c>
      <c r="AA56" s="140">
        <f>SUM(AA55)</f>
        <v>0</v>
      </c>
    </row>
    <row r="57" spans="1:27" x14ac:dyDescent="0.2">
      <c r="A57" s="126" t="s">
        <v>133</v>
      </c>
      <c r="B57" s="126" t="s">
        <v>189</v>
      </c>
      <c r="C57" s="126" t="s">
        <v>190</v>
      </c>
      <c r="D57" s="126">
        <f>+'ENE-SEP Bs 11NOV2016'!D59/'ENE-MAR USD AL 18MAR16'!$D$1/'ENE-MAR USD AL 18MAR16'!$E$1</f>
        <v>0</v>
      </c>
      <c r="E57" s="126">
        <f>+'ENE-SEP Bs 11NOV2016'!E59/'ENE-MAR USD AL 18MAR16'!$D$1/'ENE-MAR USD AL 18MAR16'!$E$1</f>
        <v>0</v>
      </c>
      <c r="F57" s="126">
        <f>+'ENE-SEP Bs 11NOV2016'!F59/'ENE-MAR USD AL 18MAR16'!$D$1/'ENE-MAR USD AL 18MAR16'!$E$1</f>
        <v>0</v>
      </c>
      <c r="G57" s="126">
        <f>+'ENE-SEP Bs 11NOV2016'!G59/'ENE-MAR USD AL 18MAR16'!$D$1/'ENE-MAR USD AL 18MAR16'!$E$1</f>
        <v>0</v>
      </c>
      <c r="H57" s="126">
        <f>+'ENE-SEP Bs 11NOV2016'!H59/'ENE-MAR USD AL 18MAR16'!$D$1/'ENE-MAR USD AL 18MAR16'!$E$1</f>
        <v>0</v>
      </c>
      <c r="I57" s="126">
        <f>+'ENE-SEP Bs 11NOV2016'!I59/'ENE-MAR USD AL 18MAR16'!$D$1/'ENE-MAR USD AL 18MAR16'!$F$1</f>
        <v>0</v>
      </c>
      <c r="J57" s="126">
        <f>+'ENE-SEP Bs 11NOV2016'!J59/'ENE-MAR USD AL 18MAR16'!$D$1/'ENE-MAR USD AL 18MAR16'!$E$1</f>
        <v>0</v>
      </c>
      <c r="K57" s="126">
        <f>+'ENE-SEP Bs 11NOV2016'!K59/'ENE-MAR USD AL 18MAR16'!$D$1/'ENE-MAR USD AL 18MAR16'!$F$1</f>
        <v>0</v>
      </c>
      <c r="L57" s="126">
        <f>+'ENE-SEP Bs 11NOV2016'!L59/'ENE-MAR USD AL 18MAR16'!$D$1/'ENE-MAR USD AL 18MAR16'!$E$1</f>
        <v>0</v>
      </c>
      <c r="M57" s="126">
        <f>+'ENE-SEP Bs 11NOV2016'!M59/'ENE-MAR USD AL 18MAR16'!$D$1/'ENE-MAR USD AL 18MAR16'!$F$1</f>
        <v>0</v>
      </c>
      <c r="N57" s="126">
        <f>+'ENE-SEP Bs 11NOV2016'!N59/'ENE-MAR USD AL 18MAR16'!$D$1/'ENE-MAR USD AL 18MAR16'!$E$1</f>
        <v>0</v>
      </c>
      <c r="O57" s="126">
        <f>+'ENE-SEP Bs 11NOV2016'!O59/'ENE-MAR USD AL 18MAR16'!$D$1/'ENE-MAR USD AL 18MAR16'!$F$1</f>
        <v>0</v>
      </c>
      <c r="P57" s="126">
        <f>+'ENE-SEP Bs 11NOV2016'!P59/'ENE-MAR USD AL 18MAR16'!$D$1/'ENE-MAR USD AL 18MAR16'!$E$1</f>
        <v>0</v>
      </c>
      <c r="Q57" s="126">
        <f>+'ENE-SEP Bs 11NOV2016'!Q59/'ENE-MAR USD AL 18MAR16'!$D$1/'ENE-MAR USD AL 18MAR16'!$F$1</f>
        <v>0</v>
      </c>
      <c r="R57" s="126">
        <f>+'ENE-SEP Bs 11NOV2016'!R59/'ENE-MAR USD AL 18MAR16'!$D$1/'ENE-MAR USD AL 18MAR16'!$E$1</f>
        <v>0</v>
      </c>
      <c r="S57" s="126">
        <f>+'ENE-SEP Bs 11NOV2016'!S59/'ENE-MAR USD AL 18MAR16'!$D$1/'ENE-MAR USD AL 18MAR16'!$F$1</f>
        <v>0</v>
      </c>
      <c r="T57" s="126">
        <f>+'ENE-SEP Bs 11NOV2016'!T59/'ENE-MAR USD AL 18MAR16'!$D$1/'ENE-MAR USD AL 18MAR16'!$E$1</f>
        <v>0</v>
      </c>
      <c r="U57" s="126">
        <f>+'ENE-SEP Bs 11NOV2016'!U59/'ENE-MAR USD AL 18MAR16'!$D$1/'ENE-MAR USD AL 18MAR16'!$F$1</f>
        <v>0</v>
      </c>
      <c r="V57" s="126">
        <f>+'ENE-SEP Bs 11NOV2016'!V59/'ENE-MAR USD AL 18MAR16'!$D$1/'ENE-MAR USD AL 18MAR16'!$E$1</f>
        <v>0</v>
      </c>
      <c r="W57" s="126">
        <f>+'ENE-SEP Bs 11NOV2016'!W59/'ENE-MAR USD AL 18MAR16'!$D$1/'ENE-MAR USD AL 18MAR16'!$F$1</f>
        <v>0</v>
      </c>
      <c r="X57" s="126">
        <f>+'ENE-SEP Bs 11NOV2016'!X59/'ENE-MAR USD AL 18MAR16'!$D$1/'ENE-MAR USD AL 18MAR16'!$E$1</f>
        <v>0</v>
      </c>
      <c r="Y57" s="126">
        <f>+'ENE-SEP Bs 11NOV2016'!Y59/'ENE-MAR USD AL 18MAR16'!$D$1/'ENE-MAR USD AL 18MAR16'!$F$1</f>
        <v>0</v>
      </c>
      <c r="Z57" s="126">
        <f>+'ENE-SEP Bs 11NOV2016'!Z59/'ENE-MAR USD AL 18MAR16'!$D$1/'ENE-MAR USD AL 18MAR16'!$E$1</f>
        <v>0</v>
      </c>
      <c r="AA57" s="126">
        <f>+'ENE-SEP Bs 11NOV2016'!AA59/'ENE-MAR USD AL 18MAR16'!$D$1/'ENE-MAR USD AL 18MAR16'!$F$1</f>
        <v>0</v>
      </c>
    </row>
    <row r="58" spans="1:27" x14ac:dyDescent="0.2">
      <c r="A58" s="126"/>
      <c r="B58" s="126" t="s">
        <v>193</v>
      </c>
      <c r="C58" s="126" t="s">
        <v>194</v>
      </c>
      <c r="D58" s="126">
        <f>+'ENE-SEP Bs 11NOV2016'!D61/'ENE-MAR USD AL 18MAR16'!$D$1/'ENE-MAR USD AL 18MAR16'!$E$1</f>
        <v>0</v>
      </c>
      <c r="E58" s="126">
        <f>+'ENE-SEP Bs 11NOV2016'!E61/'ENE-MAR USD AL 18MAR16'!$D$1/'ENE-MAR USD AL 18MAR16'!$E$1</f>
        <v>3.3297047619047619</v>
      </c>
      <c r="F58" s="126">
        <f>+'ENE-SEP Bs 11NOV2016'!F61/'ENE-MAR USD AL 18MAR16'!$D$1/'ENE-MAR USD AL 18MAR16'!$E$1</f>
        <v>0</v>
      </c>
      <c r="G58" s="126">
        <f>+'ENE-SEP Bs 11NOV2016'!G61/'ENE-MAR USD AL 18MAR16'!$D$1/'ENE-MAR USD AL 18MAR16'!$E$1</f>
        <v>3.9034444444444443</v>
      </c>
      <c r="H58" s="126">
        <f>+'ENE-SEP Bs 11NOV2016'!H61/'ENE-MAR USD AL 18MAR16'!$D$1/'ENE-MAR USD AL 18MAR16'!$E$1</f>
        <v>0</v>
      </c>
      <c r="I58" s="126">
        <f>+'ENE-SEP Bs 11NOV2016'!I61/'ENE-MAR USD AL 18MAR16'!$D$1/'ENE-MAR USD AL 18MAR16'!$F$1</f>
        <v>2.7047720000000002</v>
      </c>
      <c r="J58" s="126">
        <f>+'ENE-SEP Bs 11NOV2016'!J61/'ENE-MAR USD AL 18MAR16'!$D$1/'ENE-MAR USD AL 18MAR16'!$E$1</f>
        <v>0</v>
      </c>
      <c r="K58" s="126">
        <f>+'ENE-SEP Bs 11NOV2016'!K61/'ENE-MAR USD AL 18MAR16'!$D$1/'ENE-MAR USD AL 18MAR16'!$F$1</f>
        <v>6.7650699999999997</v>
      </c>
      <c r="L58" s="126">
        <f>+'ENE-SEP Bs 11NOV2016'!L61/'ENE-MAR USD AL 18MAR16'!$D$1/'ENE-MAR USD AL 18MAR16'!$E$1</f>
        <v>0</v>
      </c>
      <c r="M58" s="126">
        <f>+'ENE-SEP Bs 11NOV2016'!M61/'ENE-MAR USD AL 18MAR16'!$D$1/'ENE-MAR USD AL 18MAR16'!$F$1</f>
        <v>8.2028070000000017</v>
      </c>
      <c r="N58" s="126">
        <f>+'ENE-SEP Bs 11NOV2016'!N61/'ENE-MAR USD AL 18MAR16'!$D$1/'ENE-MAR USD AL 18MAR16'!$E$1</f>
        <v>0</v>
      </c>
      <c r="O58" s="126">
        <f>+'ENE-SEP Bs 11NOV2016'!O61/'ENE-MAR USD AL 18MAR16'!$D$1/'ENE-MAR USD AL 18MAR16'!$F$1</f>
        <v>8.2028069999999982</v>
      </c>
      <c r="P58" s="126">
        <f>+'ENE-SEP Bs 11NOV2016'!P61/'ENE-MAR USD AL 18MAR16'!$D$1/'ENE-MAR USD AL 18MAR16'!$E$1</f>
        <v>0</v>
      </c>
      <c r="Q58" s="126">
        <f>+'ENE-SEP Bs 11NOV2016'!Q61/'ENE-MAR USD AL 18MAR16'!$D$1/'ENE-MAR USD AL 18MAR16'!$F$1</f>
        <v>16.401224000000003</v>
      </c>
      <c r="R58" s="126">
        <f>+'ENE-SEP Bs 11NOV2016'!R61/'ENE-MAR USD AL 18MAR16'!$D$1/'ENE-MAR USD AL 18MAR16'!$E$1</f>
        <v>0</v>
      </c>
      <c r="S58" s="126">
        <f>+'ENE-SEP Bs 11NOV2016'!S61/'ENE-MAR USD AL 18MAR16'!$D$1/'ENE-MAR USD AL 18MAR16'!$F$1</f>
        <v>24.643950999999998</v>
      </c>
      <c r="T58" s="126">
        <f>+'ENE-SEP Bs 11NOV2016'!T61/'ENE-MAR USD AL 18MAR16'!$D$1/'ENE-MAR USD AL 18MAR16'!$E$1</f>
        <v>0</v>
      </c>
      <c r="U58" s="126">
        <f>+'ENE-SEP Bs 11NOV2016'!U61/'ENE-MAR USD AL 18MAR16'!$D$1/'ENE-MAR USD AL 18MAR16'!$F$1</f>
        <v>24.874715000000002</v>
      </c>
      <c r="V58" s="126">
        <f>+'ENE-SEP Bs 11NOV2016'!V61/'ENE-MAR USD AL 18MAR16'!$D$1/'ENE-MAR USD AL 18MAR16'!$E$1</f>
        <v>0</v>
      </c>
      <c r="W58" s="126">
        <f>+'ENE-SEP Bs 11NOV2016'!W61/'ENE-MAR USD AL 18MAR16'!$D$1/'ENE-MAR USD AL 18MAR16'!$F$1</f>
        <v>27.929458</v>
      </c>
      <c r="X58" s="126">
        <f>+'ENE-SEP Bs 11NOV2016'!X61/'ENE-MAR USD AL 18MAR16'!$D$1/'ENE-MAR USD AL 18MAR16'!$E$1</f>
        <v>0</v>
      </c>
      <c r="Y58" s="126">
        <f>+'ENE-SEP Bs 11NOV2016'!Y61/'ENE-MAR USD AL 18MAR16'!$D$1/'ENE-MAR USD AL 18MAR16'!$F$1</f>
        <v>27.929458</v>
      </c>
      <c r="Z58" s="126">
        <f>+'ENE-SEP Bs 11NOV2016'!Z61/'ENE-MAR USD AL 18MAR16'!$D$1/'ENE-MAR USD AL 18MAR16'!$E$1</f>
        <v>0</v>
      </c>
      <c r="AA58" s="126">
        <f>+'ENE-SEP Bs 11NOV2016'!AA61/'ENE-MAR USD AL 18MAR16'!$D$1/'ENE-MAR USD AL 18MAR16'!$F$1</f>
        <v>0</v>
      </c>
    </row>
    <row r="59" spans="1:27" x14ac:dyDescent="0.2">
      <c r="A59" s="126"/>
      <c r="B59" s="126" t="s">
        <v>175</v>
      </c>
      <c r="C59" s="126" t="s">
        <v>176</v>
      </c>
      <c r="D59" s="126">
        <f>+'ENE-SEP Bs 11NOV2016'!D62/'ENE-MAR USD AL 18MAR16'!$D$1/'ENE-MAR USD AL 18MAR16'!$E$1</f>
        <v>0</v>
      </c>
      <c r="E59" s="126">
        <f>+'ENE-SEP Bs 11NOV2016'!E62/'ENE-MAR USD AL 18MAR16'!$D$1/'ENE-MAR USD AL 18MAR16'!$E$1</f>
        <v>0</v>
      </c>
      <c r="F59" s="126">
        <f>+'ENE-SEP Bs 11NOV2016'!F62/'ENE-MAR USD AL 18MAR16'!$D$1/'ENE-MAR USD AL 18MAR16'!$E$1</f>
        <v>0</v>
      </c>
      <c r="G59" s="126">
        <f>+'ENE-SEP Bs 11NOV2016'!G62/'ENE-MAR USD AL 18MAR16'!$D$1/'ENE-MAR USD AL 18MAR16'!$E$1</f>
        <v>0</v>
      </c>
      <c r="H59" s="126">
        <f>+'ENE-SEP Bs 11NOV2016'!H62/'ENE-MAR USD AL 18MAR16'!$D$1/'ENE-MAR USD AL 18MAR16'!$E$1</f>
        <v>0</v>
      </c>
      <c r="I59" s="126">
        <f>+'ENE-SEP Bs 11NOV2016'!I62/'ENE-MAR USD AL 18MAR16'!$D$1/'ENE-MAR USD AL 18MAR16'!$F$1</f>
        <v>0</v>
      </c>
      <c r="J59" s="126">
        <f>+'ENE-SEP Bs 11NOV2016'!J62/'ENE-MAR USD AL 18MAR16'!$D$1/'ENE-MAR USD AL 18MAR16'!$E$1</f>
        <v>0</v>
      </c>
      <c r="K59" s="126">
        <f>+'ENE-SEP Bs 11NOV2016'!K62/'ENE-MAR USD AL 18MAR16'!$D$1/'ENE-MAR USD AL 18MAR16'!$F$1</f>
        <v>0</v>
      </c>
      <c r="L59" s="126">
        <f>+'ENE-SEP Bs 11NOV2016'!L62/'ENE-MAR USD AL 18MAR16'!$D$1/'ENE-MAR USD AL 18MAR16'!$E$1</f>
        <v>0</v>
      </c>
      <c r="M59" s="126">
        <f>+'ENE-SEP Bs 11NOV2016'!M62/'ENE-MAR USD AL 18MAR16'!$D$1/'ENE-MAR USD AL 18MAR16'!$F$1</f>
        <v>0</v>
      </c>
      <c r="N59" s="126">
        <f>+'ENE-SEP Bs 11NOV2016'!N62/'ENE-MAR USD AL 18MAR16'!$D$1/'ENE-MAR USD AL 18MAR16'!$E$1</f>
        <v>0</v>
      </c>
      <c r="O59" s="126">
        <f>+'ENE-SEP Bs 11NOV2016'!O62/'ENE-MAR USD AL 18MAR16'!$D$1/'ENE-MAR USD AL 18MAR16'!$F$1</f>
        <v>0</v>
      </c>
      <c r="P59" s="126">
        <f>+'ENE-SEP Bs 11NOV2016'!P62/'ENE-MAR USD AL 18MAR16'!$D$1/'ENE-MAR USD AL 18MAR16'!$E$1</f>
        <v>0</v>
      </c>
      <c r="Q59" s="126">
        <f>+'ENE-SEP Bs 11NOV2016'!Q62/'ENE-MAR USD AL 18MAR16'!$D$1/'ENE-MAR USD AL 18MAR16'!$F$1</f>
        <v>0</v>
      </c>
      <c r="R59" s="126">
        <f>+'ENE-SEP Bs 11NOV2016'!R62/'ENE-MAR USD AL 18MAR16'!$D$1/'ENE-MAR USD AL 18MAR16'!$E$1</f>
        <v>0</v>
      </c>
      <c r="S59" s="126">
        <f>+'ENE-SEP Bs 11NOV2016'!S62/'ENE-MAR USD AL 18MAR16'!$D$1/'ENE-MAR USD AL 18MAR16'!$F$1</f>
        <v>0</v>
      </c>
      <c r="T59" s="126">
        <f>+'ENE-SEP Bs 11NOV2016'!T62/'ENE-MAR USD AL 18MAR16'!$D$1/'ENE-MAR USD AL 18MAR16'!$E$1</f>
        <v>0</v>
      </c>
      <c r="U59" s="126">
        <f>+'ENE-SEP Bs 11NOV2016'!U62/'ENE-MAR USD AL 18MAR16'!$D$1/'ENE-MAR USD AL 18MAR16'!$F$1</f>
        <v>0</v>
      </c>
      <c r="V59" s="126">
        <f>+'ENE-SEP Bs 11NOV2016'!V62/'ENE-MAR USD AL 18MAR16'!$D$1/'ENE-MAR USD AL 18MAR16'!$E$1</f>
        <v>0</v>
      </c>
      <c r="W59" s="126">
        <f>+'ENE-SEP Bs 11NOV2016'!W62/'ENE-MAR USD AL 18MAR16'!$D$1/'ENE-MAR USD AL 18MAR16'!$F$1</f>
        <v>0</v>
      </c>
      <c r="X59" s="126">
        <f>+'ENE-SEP Bs 11NOV2016'!X62/'ENE-MAR USD AL 18MAR16'!$D$1/'ENE-MAR USD AL 18MAR16'!$E$1</f>
        <v>0</v>
      </c>
      <c r="Y59" s="126">
        <f>+'ENE-SEP Bs 11NOV2016'!Y62/'ENE-MAR USD AL 18MAR16'!$D$1/'ENE-MAR USD AL 18MAR16'!$F$1</f>
        <v>0</v>
      </c>
      <c r="Z59" s="126">
        <f>+'ENE-SEP Bs 11NOV2016'!Z62/'ENE-MAR USD AL 18MAR16'!$D$1/'ENE-MAR USD AL 18MAR16'!$E$1</f>
        <v>0</v>
      </c>
      <c r="AA59" s="126">
        <f>+'ENE-SEP Bs 11NOV2016'!AA62/'ENE-MAR USD AL 18MAR16'!$D$1/'ENE-MAR USD AL 18MAR16'!$F$1</f>
        <v>0</v>
      </c>
    </row>
    <row r="60" spans="1:27" x14ac:dyDescent="0.2">
      <c r="A60" s="126"/>
      <c r="B60" s="126" t="s">
        <v>177</v>
      </c>
      <c r="C60" s="126" t="s">
        <v>178</v>
      </c>
      <c r="D60" s="126">
        <f>+'ENE-SEP Bs 11NOV2016'!D63/'ENE-MAR USD AL 18MAR16'!$D$1/'ENE-MAR USD AL 18MAR16'!$E$1</f>
        <v>0</v>
      </c>
      <c r="E60" s="126">
        <f>+'ENE-SEP Bs 11NOV2016'!E63/'ENE-MAR USD AL 18MAR16'!$D$1/'ENE-MAR USD AL 18MAR16'!$E$1</f>
        <v>0</v>
      </c>
      <c r="F60" s="126">
        <f>+'ENE-SEP Bs 11NOV2016'!F63/'ENE-MAR USD AL 18MAR16'!$D$1/'ENE-MAR USD AL 18MAR16'!$E$1</f>
        <v>0</v>
      </c>
      <c r="G60" s="126">
        <f>+'ENE-SEP Bs 11NOV2016'!G63/'ENE-MAR USD AL 18MAR16'!$D$1/'ENE-MAR USD AL 18MAR16'!$E$1</f>
        <v>0</v>
      </c>
      <c r="H60" s="126">
        <f>+'ENE-SEP Bs 11NOV2016'!H63/'ENE-MAR USD AL 18MAR16'!$D$1/'ENE-MAR USD AL 18MAR16'!$E$1</f>
        <v>0</v>
      </c>
      <c r="I60" s="126">
        <f>+'ENE-SEP Bs 11NOV2016'!I63/'ENE-MAR USD AL 18MAR16'!$D$1/'ENE-MAR USD AL 18MAR16'!$F$1</f>
        <v>0</v>
      </c>
      <c r="J60" s="126">
        <f>+'ENE-SEP Bs 11NOV2016'!J63/'ENE-MAR USD AL 18MAR16'!$D$1/'ENE-MAR USD AL 18MAR16'!$E$1</f>
        <v>0</v>
      </c>
      <c r="K60" s="126">
        <f>+'ENE-SEP Bs 11NOV2016'!K63/'ENE-MAR USD AL 18MAR16'!$D$1/'ENE-MAR USD AL 18MAR16'!$F$1</f>
        <v>0</v>
      </c>
      <c r="L60" s="126">
        <f>+'ENE-SEP Bs 11NOV2016'!L63/'ENE-MAR USD AL 18MAR16'!$D$1/'ENE-MAR USD AL 18MAR16'!$E$1</f>
        <v>0</v>
      </c>
      <c r="M60" s="126">
        <f>+'ENE-SEP Bs 11NOV2016'!M63/'ENE-MAR USD AL 18MAR16'!$D$1/'ENE-MAR USD AL 18MAR16'!$F$1</f>
        <v>0</v>
      </c>
      <c r="N60" s="126">
        <f>+'ENE-SEP Bs 11NOV2016'!N63/'ENE-MAR USD AL 18MAR16'!$D$1/'ENE-MAR USD AL 18MAR16'!$E$1</f>
        <v>0</v>
      </c>
      <c r="O60" s="126">
        <f>+'ENE-SEP Bs 11NOV2016'!O63/'ENE-MAR USD AL 18MAR16'!$D$1/'ENE-MAR USD AL 18MAR16'!$F$1</f>
        <v>0</v>
      </c>
      <c r="P60" s="126">
        <f>+'ENE-SEP Bs 11NOV2016'!P63/'ENE-MAR USD AL 18MAR16'!$D$1/'ENE-MAR USD AL 18MAR16'!$E$1</f>
        <v>0</v>
      </c>
      <c r="Q60" s="126">
        <f>+'ENE-SEP Bs 11NOV2016'!Q63/'ENE-MAR USD AL 18MAR16'!$D$1/'ENE-MAR USD AL 18MAR16'!$F$1</f>
        <v>0</v>
      </c>
      <c r="R60" s="126">
        <f>+'ENE-SEP Bs 11NOV2016'!R63/'ENE-MAR USD AL 18MAR16'!$D$1/'ENE-MAR USD AL 18MAR16'!$E$1</f>
        <v>0</v>
      </c>
      <c r="S60" s="126">
        <f>+'ENE-SEP Bs 11NOV2016'!S63/'ENE-MAR USD AL 18MAR16'!$D$1/'ENE-MAR USD AL 18MAR16'!$F$1</f>
        <v>0</v>
      </c>
      <c r="T60" s="126">
        <f>+'ENE-SEP Bs 11NOV2016'!T63/'ENE-MAR USD AL 18MAR16'!$D$1/'ENE-MAR USD AL 18MAR16'!$E$1</f>
        <v>0</v>
      </c>
      <c r="U60" s="126">
        <f>+'ENE-SEP Bs 11NOV2016'!U63/'ENE-MAR USD AL 18MAR16'!$D$1/'ENE-MAR USD AL 18MAR16'!$F$1</f>
        <v>0</v>
      </c>
      <c r="V60" s="126">
        <f>+'ENE-SEP Bs 11NOV2016'!V63/'ENE-MAR USD AL 18MAR16'!$D$1/'ENE-MAR USD AL 18MAR16'!$E$1</f>
        <v>0</v>
      </c>
      <c r="W60" s="126">
        <f>+'ENE-SEP Bs 11NOV2016'!W63/'ENE-MAR USD AL 18MAR16'!$D$1/'ENE-MAR USD AL 18MAR16'!$F$1</f>
        <v>0</v>
      </c>
      <c r="X60" s="126">
        <f>+'ENE-SEP Bs 11NOV2016'!X63/'ENE-MAR USD AL 18MAR16'!$D$1/'ENE-MAR USD AL 18MAR16'!$E$1</f>
        <v>0</v>
      </c>
      <c r="Y60" s="126">
        <f>+'ENE-SEP Bs 11NOV2016'!Y63/'ENE-MAR USD AL 18MAR16'!$D$1/'ENE-MAR USD AL 18MAR16'!$F$1</f>
        <v>0</v>
      </c>
      <c r="Z60" s="126">
        <f>+'ENE-SEP Bs 11NOV2016'!Z63/'ENE-MAR USD AL 18MAR16'!$D$1/'ENE-MAR USD AL 18MAR16'!$E$1</f>
        <v>0</v>
      </c>
      <c r="AA60" s="126">
        <f>+'ENE-SEP Bs 11NOV2016'!AA63/'ENE-MAR USD AL 18MAR16'!$D$1/'ENE-MAR USD AL 18MAR16'!$F$1</f>
        <v>0</v>
      </c>
    </row>
    <row r="61" spans="1:27" x14ac:dyDescent="0.2">
      <c r="A61" s="126"/>
      <c r="B61" s="126" t="s">
        <v>134</v>
      </c>
      <c r="C61" s="126" t="s">
        <v>135</v>
      </c>
      <c r="D61" s="126">
        <f>+'ENE-SEP Bs 11NOV2016'!D64/'ENE-MAR USD AL 18MAR16'!$D$1/'ENE-MAR USD AL 18MAR16'!$E$1</f>
        <v>0</v>
      </c>
      <c r="E61" s="126">
        <f>+'ENE-SEP Bs 11NOV2016'!E64/'ENE-MAR USD AL 18MAR16'!$D$1/'ENE-MAR USD AL 18MAR16'!$E$1</f>
        <v>0</v>
      </c>
      <c r="F61" s="126">
        <f>+'ENE-SEP Bs 11NOV2016'!F64/'ENE-MAR USD AL 18MAR16'!$D$1/'ENE-MAR USD AL 18MAR16'!$E$1</f>
        <v>0</v>
      </c>
      <c r="G61" s="126">
        <f>+'ENE-SEP Bs 11NOV2016'!G64/'ENE-MAR USD AL 18MAR16'!$D$1/'ENE-MAR USD AL 18MAR16'!$E$1</f>
        <v>0</v>
      </c>
      <c r="H61" s="126">
        <f>+'ENE-SEP Bs 11NOV2016'!H64/'ENE-MAR USD AL 18MAR16'!$D$1/'ENE-MAR USD AL 18MAR16'!$E$1</f>
        <v>0</v>
      </c>
      <c r="I61" s="126">
        <f>+'ENE-SEP Bs 11NOV2016'!I64/'ENE-MAR USD AL 18MAR16'!$D$1/'ENE-MAR USD AL 18MAR16'!$F$1</f>
        <v>0</v>
      </c>
      <c r="J61" s="126">
        <f>+'ENE-SEP Bs 11NOV2016'!J64/'ENE-MAR USD AL 18MAR16'!$D$1/'ENE-MAR USD AL 18MAR16'!$E$1</f>
        <v>0</v>
      </c>
      <c r="K61" s="126">
        <f>+'ENE-SEP Bs 11NOV2016'!K64/'ENE-MAR USD AL 18MAR16'!$D$1/'ENE-MAR USD AL 18MAR16'!$F$1</f>
        <v>0</v>
      </c>
      <c r="L61" s="126">
        <f>+'ENE-SEP Bs 11NOV2016'!L64/'ENE-MAR USD AL 18MAR16'!$D$1/'ENE-MAR USD AL 18MAR16'!$E$1</f>
        <v>0</v>
      </c>
      <c r="M61" s="126">
        <f>+'ENE-SEP Bs 11NOV2016'!M64/'ENE-MAR USD AL 18MAR16'!$D$1/'ENE-MAR USD AL 18MAR16'!$F$1</f>
        <v>0</v>
      </c>
      <c r="N61" s="126">
        <f>+'ENE-SEP Bs 11NOV2016'!N64/'ENE-MAR USD AL 18MAR16'!$D$1/'ENE-MAR USD AL 18MAR16'!$E$1</f>
        <v>0</v>
      </c>
      <c r="O61" s="126">
        <f>+'ENE-SEP Bs 11NOV2016'!O64/'ENE-MAR USD AL 18MAR16'!$D$1/'ENE-MAR USD AL 18MAR16'!$F$1</f>
        <v>0</v>
      </c>
      <c r="P61" s="126">
        <f>+'ENE-SEP Bs 11NOV2016'!P64/'ENE-MAR USD AL 18MAR16'!$D$1/'ENE-MAR USD AL 18MAR16'!$E$1</f>
        <v>0</v>
      </c>
      <c r="Q61" s="126">
        <f>+'ENE-SEP Bs 11NOV2016'!Q64/'ENE-MAR USD AL 18MAR16'!$D$1/'ENE-MAR USD AL 18MAR16'!$F$1</f>
        <v>0</v>
      </c>
      <c r="R61" s="126">
        <f>+'ENE-SEP Bs 11NOV2016'!R64/'ENE-MAR USD AL 18MAR16'!$D$1/'ENE-MAR USD AL 18MAR16'!$E$1</f>
        <v>0</v>
      </c>
      <c r="S61" s="126">
        <f>+'ENE-SEP Bs 11NOV2016'!S64/'ENE-MAR USD AL 18MAR16'!$D$1/'ENE-MAR USD AL 18MAR16'!$F$1</f>
        <v>0</v>
      </c>
      <c r="T61" s="126">
        <f>+'ENE-SEP Bs 11NOV2016'!T64/'ENE-MAR USD AL 18MAR16'!$D$1/'ENE-MAR USD AL 18MAR16'!$E$1</f>
        <v>0</v>
      </c>
      <c r="U61" s="126">
        <f>+'ENE-SEP Bs 11NOV2016'!U64/'ENE-MAR USD AL 18MAR16'!$D$1/'ENE-MAR USD AL 18MAR16'!$F$1</f>
        <v>0</v>
      </c>
      <c r="V61" s="126">
        <f>+'ENE-SEP Bs 11NOV2016'!V64/'ENE-MAR USD AL 18MAR16'!$D$1/'ENE-MAR USD AL 18MAR16'!$E$1</f>
        <v>0</v>
      </c>
      <c r="W61" s="126">
        <f>+'ENE-SEP Bs 11NOV2016'!W64/'ENE-MAR USD AL 18MAR16'!$D$1/'ENE-MAR USD AL 18MAR16'!$F$1</f>
        <v>0</v>
      </c>
      <c r="X61" s="126">
        <f>+'ENE-SEP Bs 11NOV2016'!X64/'ENE-MAR USD AL 18MAR16'!$D$1/'ENE-MAR USD AL 18MAR16'!$E$1</f>
        <v>0</v>
      </c>
      <c r="Y61" s="126">
        <f>+'ENE-SEP Bs 11NOV2016'!Y64/'ENE-MAR USD AL 18MAR16'!$D$1/'ENE-MAR USD AL 18MAR16'!$F$1</f>
        <v>0</v>
      </c>
      <c r="Z61" s="126">
        <f>+'ENE-SEP Bs 11NOV2016'!Z64/'ENE-MAR USD AL 18MAR16'!$D$1/'ENE-MAR USD AL 18MAR16'!$E$1</f>
        <v>0</v>
      </c>
      <c r="AA61" s="126">
        <f>+'ENE-SEP Bs 11NOV2016'!AA64/'ENE-MAR USD AL 18MAR16'!$D$1/'ENE-MAR USD AL 18MAR16'!$F$1</f>
        <v>0</v>
      </c>
    </row>
    <row r="62" spans="1:27" x14ac:dyDescent="0.2">
      <c r="A62" s="126"/>
      <c r="B62" s="126" t="s">
        <v>136</v>
      </c>
      <c r="C62" s="126" t="s">
        <v>137</v>
      </c>
      <c r="D62" s="126">
        <f>+'ENE-SEP Bs 11NOV2016'!D65/'ENE-MAR USD AL 18MAR16'!$D$1/'ENE-MAR USD AL 18MAR16'!$E$1</f>
        <v>0</v>
      </c>
      <c r="E62" s="126">
        <f>+'ENE-SEP Bs 11NOV2016'!E65/'ENE-MAR USD AL 18MAR16'!$D$1/'ENE-MAR USD AL 18MAR16'!$E$1</f>
        <v>0</v>
      </c>
      <c r="F62" s="126">
        <f>+'ENE-SEP Bs 11NOV2016'!F65/'ENE-MAR USD AL 18MAR16'!$D$1/'ENE-MAR USD AL 18MAR16'!$E$1</f>
        <v>0</v>
      </c>
      <c r="G62" s="126">
        <f>+'ENE-SEP Bs 11NOV2016'!G65/'ENE-MAR USD AL 18MAR16'!$D$1/'ENE-MAR USD AL 18MAR16'!$E$1</f>
        <v>0</v>
      </c>
      <c r="H62" s="126">
        <f>+'ENE-SEP Bs 11NOV2016'!H65/'ENE-MAR USD AL 18MAR16'!$D$1/'ENE-MAR USD AL 18MAR16'!$E$1</f>
        <v>0</v>
      </c>
      <c r="I62" s="126">
        <f>+'ENE-SEP Bs 11NOV2016'!I65/'ENE-MAR USD AL 18MAR16'!$D$1/'ENE-MAR USD AL 18MAR16'!$F$1</f>
        <v>0</v>
      </c>
      <c r="J62" s="126">
        <f>+'ENE-SEP Bs 11NOV2016'!J65/'ENE-MAR USD AL 18MAR16'!$D$1/'ENE-MAR USD AL 18MAR16'!$E$1</f>
        <v>0</v>
      </c>
      <c r="K62" s="126">
        <f>+'ENE-SEP Bs 11NOV2016'!K65/'ENE-MAR USD AL 18MAR16'!$D$1/'ENE-MAR USD AL 18MAR16'!$F$1</f>
        <v>0</v>
      </c>
      <c r="L62" s="126">
        <f>+'ENE-SEP Bs 11NOV2016'!L65/'ENE-MAR USD AL 18MAR16'!$D$1/'ENE-MAR USD AL 18MAR16'!$E$1</f>
        <v>0</v>
      </c>
      <c r="M62" s="126">
        <f>+'ENE-SEP Bs 11NOV2016'!M65/'ENE-MAR USD AL 18MAR16'!$D$1/'ENE-MAR USD AL 18MAR16'!$F$1</f>
        <v>0</v>
      </c>
      <c r="N62" s="126">
        <f>+'ENE-SEP Bs 11NOV2016'!N65/'ENE-MAR USD AL 18MAR16'!$D$1/'ENE-MAR USD AL 18MAR16'!$E$1</f>
        <v>0</v>
      </c>
      <c r="O62" s="126">
        <f>+'ENE-SEP Bs 11NOV2016'!O65/'ENE-MAR USD AL 18MAR16'!$D$1/'ENE-MAR USD AL 18MAR16'!$F$1</f>
        <v>0</v>
      </c>
      <c r="P62" s="126">
        <f>+'ENE-SEP Bs 11NOV2016'!P65/'ENE-MAR USD AL 18MAR16'!$D$1/'ENE-MAR USD AL 18MAR16'!$E$1</f>
        <v>0</v>
      </c>
      <c r="Q62" s="126">
        <f>+'ENE-SEP Bs 11NOV2016'!Q65/'ENE-MAR USD AL 18MAR16'!$D$1/'ENE-MAR USD AL 18MAR16'!$F$1</f>
        <v>0</v>
      </c>
      <c r="R62" s="126">
        <f>+'ENE-SEP Bs 11NOV2016'!R65/'ENE-MAR USD AL 18MAR16'!$D$1/'ENE-MAR USD AL 18MAR16'!$E$1</f>
        <v>0</v>
      </c>
      <c r="S62" s="126">
        <f>+'ENE-SEP Bs 11NOV2016'!S65/'ENE-MAR USD AL 18MAR16'!$D$1/'ENE-MAR USD AL 18MAR16'!$F$1</f>
        <v>0</v>
      </c>
      <c r="T62" s="126">
        <f>+'ENE-SEP Bs 11NOV2016'!T65/'ENE-MAR USD AL 18MAR16'!$D$1/'ENE-MAR USD AL 18MAR16'!$E$1</f>
        <v>0</v>
      </c>
      <c r="U62" s="126">
        <f>+'ENE-SEP Bs 11NOV2016'!U65/'ENE-MAR USD AL 18MAR16'!$D$1/'ENE-MAR USD AL 18MAR16'!$F$1</f>
        <v>0</v>
      </c>
      <c r="V62" s="126">
        <f>+'ENE-SEP Bs 11NOV2016'!V65/'ENE-MAR USD AL 18MAR16'!$D$1/'ENE-MAR USD AL 18MAR16'!$E$1</f>
        <v>0</v>
      </c>
      <c r="W62" s="126">
        <f>+'ENE-SEP Bs 11NOV2016'!W65/'ENE-MAR USD AL 18MAR16'!$D$1/'ENE-MAR USD AL 18MAR16'!$F$1</f>
        <v>0</v>
      </c>
      <c r="X62" s="126">
        <f>+'ENE-SEP Bs 11NOV2016'!X65/'ENE-MAR USD AL 18MAR16'!$D$1/'ENE-MAR USD AL 18MAR16'!$E$1</f>
        <v>0</v>
      </c>
      <c r="Y62" s="126">
        <f>+'ENE-SEP Bs 11NOV2016'!Y65/'ENE-MAR USD AL 18MAR16'!$D$1/'ENE-MAR USD AL 18MAR16'!$F$1</f>
        <v>0</v>
      </c>
      <c r="Z62" s="126">
        <f>+'ENE-SEP Bs 11NOV2016'!Z65/'ENE-MAR USD AL 18MAR16'!$D$1/'ENE-MAR USD AL 18MAR16'!$E$1</f>
        <v>0</v>
      </c>
      <c r="AA62" s="126">
        <f>+'ENE-SEP Bs 11NOV2016'!AA65/'ENE-MAR USD AL 18MAR16'!$D$1/'ENE-MAR USD AL 18MAR16'!$F$1</f>
        <v>0</v>
      </c>
    </row>
    <row r="63" spans="1:27" x14ac:dyDescent="0.2">
      <c r="A63" s="126"/>
      <c r="B63" s="126" t="s">
        <v>179</v>
      </c>
      <c r="C63" s="126" t="s">
        <v>180</v>
      </c>
      <c r="D63" s="126">
        <f>+'ENE-SEP Bs 11NOV2016'!D66/'ENE-MAR USD AL 18MAR16'!$D$1/'ENE-MAR USD AL 18MAR16'!$E$1</f>
        <v>0</v>
      </c>
      <c r="E63" s="126">
        <f>+'ENE-SEP Bs 11NOV2016'!E66/'ENE-MAR USD AL 18MAR16'!$D$1/'ENE-MAR USD AL 18MAR16'!$E$1</f>
        <v>0</v>
      </c>
      <c r="F63" s="126">
        <f>+'ENE-SEP Bs 11NOV2016'!F66/'ENE-MAR USD AL 18MAR16'!$D$1/'ENE-MAR USD AL 18MAR16'!$E$1</f>
        <v>0</v>
      </c>
      <c r="G63" s="126">
        <f>+'ENE-SEP Bs 11NOV2016'!G66/'ENE-MAR USD AL 18MAR16'!$D$1/'ENE-MAR USD AL 18MAR16'!$E$1</f>
        <v>0</v>
      </c>
      <c r="H63" s="126">
        <f>+'ENE-SEP Bs 11NOV2016'!H66/'ENE-MAR USD AL 18MAR16'!$D$1/'ENE-MAR USD AL 18MAR16'!$E$1</f>
        <v>0</v>
      </c>
      <c r="I63" s="126">
        <f>+'ENE-SEP Bs 11NOV2016'!I66/'ENE-MAR USD AL 18MAR16'!$D$1/'ENE-MAR USD AL 18MAR16'!$F$1</f>
        <v>0</v>
      </c>
      <c r="J63" s="126">
        <f>+'ENE-SEP Bs 11NOV2016'!J66/'ENE-MAR USD AL 18MAR16'!$D$1/'ENE-MAR USD AL 18MAR16'!$E$1</f>
        <v>0</v>
      </c>
      <c r="K63" s="126">
        <f>+'ENE-SEP Bs 11NOV2016'!K66/'ENE-MAR USD AL 18MAR16'!$D$1/'ENE-MAR USD AL 18MAR16'!$F$1</f>
        <v>0</v>
      </c>
      <c r="L63" s="126">
        <f>+'ENE-SEP Bs 11NOV2016'!L66/'ENE-MAR USD AL 18MAR16'!$D$1/'ENE-MAR USD AL 18MAR16'!$E$1</f>
        <v>0</v>
      </c>
      <c r="M63" s="126">
        <f>+'ENE-SEP Bs 11NOV2016'!M66/'ENE-MAR USD AL 18MAR16'!$D$1/'ENE-MAR USD AL 18MAR16'!$F$1</f>
        <v>0</v>
      </c>
      <c r="N63" s="126">
        <f>+'ENE-SEP Bs 11NOV2016'!N66/'ENE-MAR USD AL 18MAR16'!$D$1/'ENE-MAR USD AL 18MAR16'!$E$1</f>
        <v>0</v>
      </c>
      <c r="O63" s="126">
        <f>+'ENE-SEP Bs 11NOV2016'!O66/'ENE-MAR USD AL 18MAR16'!$D$1/'ENE-MAR USD AL 18MAR16'!$F$1</f>
        <v>0</v>
      </c>
      <c r="P63" s="126">
        <f>+'ENE-SEP Bs 11NOV2016'!P66/'ENE-MAR USD AL 18MAR16'!$D$1/'ENE-MAR USD AL 18MAR16'!$E$1</f>
        <v>0</v>
      </c>
      <c r="Q63" s="126">
        <f>+'ENE-SEP Bs 11NOV2016'!Q66/'ENE-MAR USD AL 18MAR16'!$D$1/'ENE-MAR USD AL 18MAR16'!$F$1</f>
        <v>0</v>
      </c>
      <c r="R63" s="126">
        <f>+'ENE-SEP Bs 11NOV2016'!R66/'ENE-MAR USD AL 18MAR16'!$D$1/'ENE-MAR USD AL 18MAR16'!$E$1</f>
        <v>0</v>
      </c>
      <c r="S63" s="126">
        <f>+'ENE-SEP Bs 11NOV2016'!S66/'ENE-MAR USD AL 18MAR16'!$D$1/'ENE-MAR USD AL 18MAR16'!$F$1</f>
        <v>0</v>
      </c>
      <c r="T63" s="126">
        <f>+'ENE-SEP Bs 11NOV2016'!T66/'ENE-MAR USD AL 18MAR16'!$D$1/'ENE-MAR USD AL 18MAR16'!$E$1</f>
        <v>0</v>
      </c>
      <c r="U63" s="126">
        <f>+'ENE-SEP Bs 11NOV2016'!U66/'ENE-MAR USD AL 18MAR16'!$D$1/'ENE-MAR USD AL 18MAR16'!$F$1</f>
        <v>0</v>
      </c>
      <c r="V63" s="126">
        <f>+'ENE-SEP Bs 11NOV2016'!V66/'ENE-MAR USD AL 18MAR16'!$D$1/'ENE-MAR USD AL 18MAR16'!$E$1</f>
        <v>0</v>
      </c>
      <c r="W63" s="126">
        <f>+'ENE-SEP Bs 11NOV2016'!W66/'ENE-MAR USD AL 18MAR16'!$D$1/'ENE-MAR USD AL 18MAR16'!$F$1</f>
        <v>0</v>
      </c>
      <c r="X63" s="126">
        <f>+'ENE-SEP Bs 11NOV2016'!X66/'ENE-MAR USD AL 18MAR16'!$D$1/'ENE-MAR USD AL 18MAR16'!$E$1</f>
        <v>0</v>
      </c>
      <c r="Y63" s="126">
        <f>+'ENE-SEP Bs 11NOV2016'!Y66/'ENE-MAR USD AL 18MAR16'!$D$1/'ENE-MAR USD AL 18MAR16'!$F$1</f>
        <v>0</v>
      </c>
      <c r="Z63" s="126">
        <f>+'ENE-SEP Bs 11NOV2016'!Z66/'ENE-MAR USD AL 18MAR16'!$D$1/'ENE-MAR USD AL 18MAR16'!$E$1</f>
        <v>0</v>
      </c>
      <c r="AA63" s="126">
        <f>+'ENE-SEP Bs 11NOV2016'!AA66/'ENE-MAR USD AL 18MAR16'!$D$1/'ENE-MAR USD AL 18MAR16'!$F$1</f>
        <v>0</v>
      </c>
    </row>
    <row r="64" spans="1:27" x14ac:dyDescent="0.2">
      <c r="A64" s="126"/>
      <c r="B64" s="126" t="s">
        <v>181</v>
      </c>
      <c r="C64" s="126" t="s">
        <v>182</v>
      </c>
      <c r="D64" s="126">
        <f>+'ENE-SEP Bs 11NOV2016'!D67/'ENE-MAR USD AL 18MAR16'!$D$1/'ENE-MAR USD AL 18MAR16'!$E$1</f>
        <v>0</v>
      </c>
      <c r="E64" s="126">
        <f>+'ENE-SEP Bs 11NOV2016'!E67/'ENE-MAR USD AL 18MAR16'!$D$1/'ENE-MAR USD AL 18MAR16'!$E$1</f>
        <v>0</v>
      </c>
      <c r="F64" s="126">
        <f>+'ENE-SEP Bs 11NOV2016'!F67/'ENE-MAR USD AL 18MAR16'!$D$1/'ENE-MAR USD AL 18MAR16'!$E$1</f>
        <v>0</v>
      </c>
      <c r="G64" s="126">
        <f>+'ENE-SEP Bs 11NOV2016'!G67/'ENE-MAR USD AL 18MAR16'!$D$1/'ENE-MAR USD AL 18MAR16'!$E$1</f>
        <v>0</v>
      </c>
      <c r="H64" s="126">
        <f>+'ENE-SEP Bs 11NOV2016'!H67/'ENE-MAR USD AL 18MAR16'!$D$1/'ENE-MAR USD AL 18MAR16'!$E$1</f>
        <v>0</v>
      </c>
      <c r="I64" s="126">
        <f>+'ENE-SEP Bs 11NOV2016'!I67/'ENE-MAR USD AL 18MAR16'!$D$1/'ENE-MAR USD AL 18MAR16'!$F$1</f>
        <v>0</v>
      </c>
      <c r="J64" s="126">
        <f>+'ENE-SEP Bs 11NOV2016'!J67/'ENE-MAR USD AL 18MAR16'!$D$1/'ENE-MAR USD AL 18MAR16'!$E$1</f>
        <v>0</v>
      </c>
      <c r="K64" s="126">
        <f>+'ENE-SEP Bs 11NOV2016'!K67/'ENE-MAR USD AL 18MAR16'!$D$1/'ENE-MAR USD AL 18MAR16'!$F$1</f>
        <v>0</v>
      </c>
      <c r="L64" s="126">
        <f>+'ENE-SEP Bs 11NOV2016'!L67/'ENE-MAR USD AL 18MAR16'!$D$1/'ENE-MAR USD AL 18MAR16'!$E$1</f>
        <v>0</v>
      </c>
      <c r="M64" s="126">
        <f>+'ENE-SEP Bs 11NOV2016'!M67/'ENE-MAR USD AL 18MAR16'!$D$1/'ENE-MAR USD AL 18MAR16'!$F$1</f>
        <v>0</v>
      </c>
      <c r="N64" s="126">
        <f>+'ENE-SEP Bs 11NOV2016'!N67/'ENE-MAR USD AL 18MAR16'!$D$1/'ENE-MAR USD AL 18MAR16'!$E$1</f>
        <v>0</v>
      </c>
      <c r="O64" s="126">
        <f>+'ENE-SEP Bs 11NOV2016'!O67/'ENE-MAR USD AL 18MAR16'!$D$1/'ENE-MAR USD AL 18MAR16'!$F$1</f>
        <v>0</v>
      </c>
      <c r="P64" s="126">
        <f>+'ENE-SEP Bs 11NOV2016'!P67/'ENE-MAR USD AL 18MAR16'!$D$1/'ENE-MAR USD AL 18MAR16'!$E$1</f>
        <v>0</v>
      </c>
      <c r="Q64" s="126">
        <f>+'ENE-SEP Bs 11NOV2016'!Q67/'ENE-MAR USD AL 18MAR16'!$D$1/'ENE-MAR USD AL 18MAR16'!$F$1</f>
        <v>0</v>
      </c>
      <c r="R64" s="126">
        <f>+'ENE-SEP Bs 11NOV2016'!R67/'ENE-MAR USD AL 18MAR16'!$D$1/'ENE-MAR USD AL 18MAR16'!$E$1</f>
        <v>0</v>
      </c>
      <c r="S64" s="126">
        <f>+'ENE-SEP Bs 11NOV2016'!S67/'ENE-MAR USD AL 18MAR16'!$D$1/'ENE-MAR USD AL 18MAR16'!$F$1</f>
        <v>0</v>
      </c>
      <c r="T64" s="126">
        <f>+'ENE-SEP Bs 11NOV2016'!T67/'ENE-MAR USD AL 18MAR16'!$D$1/'ENE-MAR USD AL 18MAR16'!$E$1</f>
        <v>0</v>
      </c>
      <c r="U64" s="126">
        <f>+'ENE-SEP Bs 11NOV2016'!U67/'ENE-MAR USD AL 18MAR16'!$D$1/'ENE-MAR USD AL 18MAR16'!$F$1</f>
        <v>0</v>
      </c>
      <c r="V64" s="126">
        <f>+'ENE-SEP Bs 11NOV2016'!V67/'ENE-MAR USD AL 18MAR16'!$D$1/'ENE-MAR USD AL 18MAR16'!$E$1</f>
        <v>0</v>
      </c>
      <c r="W64" s="126">
        <f>+'ENE-SEP Bs 11NOV2016'!W67/'ENE-MAR USD AL 18MAR16'!$D$1/'ENE-MAR USD AL 18MAR16'!$F$1</f>
        <v>0</v>
      </c>
      <c r="X64" s="126">
        <f>+'ENE-SEP Bs 11NOV2016'!X67/'ENE-MAR USD AL 18MAR16'!$D$1/'ENE-MAR USD AL 18MAR16'!$E$1</f>
        <v>0</v>
      </c>
      <c r="Y64" s="126">
        <f>+'ENE-SEP Bs 11NOV2016'!Y67/'ENE-MAR USD AL 18MAR16'!$D$1/'ENE-MAR USD AL 18MAR16'!$F$1</f>
        <v>0</v>
      </c>
      <c r="Z64" s="126">
        <f>+'ENE-SEP Bs 11NOV2016'!Z67/'ENE-MAR USD AL 18MAR16'!$D$1/'ENE-MAR USD AL 18MAR16'!$E$1</f>
        <v>0</v>
      </c>
      <c r="AA64" s="126">
        <f>+'ENE-SEP Bs 11NOV2016'!AA67/'ENE-MAR USD AL 18MAR16'!$D$1/'ENE-MAR USD AL 18MAR16'!$F$1</f>
        <v>0</v>
      </c>
    </row>
    <row r="65" spans="1:27" x14ac:dyDescent="0.2">
      <c r="A65" s="126"/>
      <c r="B65" s="126" t="s">
        <v>183</v>
      </c>
      <c r="C65" s="126" t="s">
        <v>184</v>
      </c>
      <c r="D65" s="126">
        <f>+'ENE-SEP Bs 11NOV2016'!D68/'ENE-MAR USD AL 18MAR16'!$D$1/'ENE-MAR USD AL 18MAR16'!$E$1</f>
        <v>0</v>
      </c>
      <c r="E65" s="126">
        <f>+'ENE-SEP Bs 11NOV2016'!E68/'ENE-MAR USD AL 18MAR16'!$D$1/'ENE-MAR USD AL 18MAR16'!$E$1</f>
        <v>0</v>
      </c>
      <c r="F65" s="126">
        <f>+'ENE-SEP Bs 11NOV2016'!F68/'ENE-MAR USD AL 18MAR16'!$D$1/'ENE-MAR USD AL 18MAR16'!$E$1</f>
        <v>0</v>
      </c>
      <c r="G65" s="126">
        <f>+'ENE-SEP Bs 11NOV2016'!G68/'ENE-MAR USD AL 18MAR16'!$D$1/'ENE-MAR USD AL 18MAR16'!$E$1</f>
        <v>0</v>
      </c>
      <c r="H65" s="126">
        <f>+'ENE-SEP Bs 11NOV2016'!H68/'ENE-MAR USD AL 18MAR16'!$D$1/'ENE-MAR USD AL 18MAR16'!$E$1</f>
        <v>0</v>
      </c>
      <c r="I65" s="126">
        <f>+'ENE-SEP Bs 11NOV2016'!I68/'ENE-MAR USD AL 18MAR16'!$D$1/'ENE-MAR USD AL 18MAR16'!$F$1</f>
        <v>0</v>
      </c>
      <c r="J65" s="126">
        <f>+'ENE-SEP Bs 11NOV2016'!J68/'ENE-MAR USD AL 18MAR16'!$D$1/'ENE-MAR USD AL 18MAR16'!$E$1</f>
        <v>0</v>
      </c>
      <c r="K65" s="126">
        <f>+'ENE-SEP Bs 11NOV2016'!K68/'ENE-MAR USD AL 18MAR16'!$D$1/'ENE-MAR USD AL 18MAR16'!$F$1</f>
        <v>0</v>
      </c>
      <c r="L65" s="126">
        <f>+'ENE-SEP Bs 11NOV2016'!L68/'ENE-MAR USD AL 18MAR16'!$D$1/'ENE-MAR USD AL 18MAR16'!$E$1</f>
        <v>0</v>
      </c>
      <c r="M65" s="126">
        <f>+'ENE-SEP Bs 11NOV2016'!M68/'ENE-MAR USD AL 18MAR16'!$D$1/'ENE-MAR USD AL 18MAR16'!$F$1</f>
        <v>0</v>
      </c>
      <c r="N65" s="126">
        <f>+'ENE-SEP Bs 11NOV2016'!N68/'ENE-MAR USD AL 18MAR16'!$D$1/'ENE-MAR USD AL 18MAR16'!$E$1</f>
        <v>0</v>
      </c>
      <c r="O65" s="126">
        <f>+'ENE-SEP Bs 11NOV2016'!O68/'ENE-MAR USD AL 18MAR16'!$D$1/'ENE-MAR USD AL 18MAR16'!$F$1</f>
        <v>0</v>
      </c>
      <c r="P65" s="126">
        <f>+'ENE-SEP Bs 11NOV2016'!P68/'ENE-MAR USD AL 18MAR16'!$D$1/'ENE-MAR USD AL 18MAR16'!$E$1</f>
        <v>0</v>
      </c>
      <c r="Q65" s="126">
        <f>+'ENE-SEP Bs 11NOV2016'!Q68/'ENE-MAR USD AL 18MAR16'!$D$1/'ENE-MAR USD AL 18MAR16'!$F$1</f>
        <v>0</v>
      </c>
      <c r="R65" s="126">
        <f>+'ENE-SEP Bs 11NOV2016'!R68/'ENE-MAR USD AL 18MAR16'!$D$1/'ENE-MAR USD AL 18MAR16'!$E$1</f>
        <v>0</v>
      </c>
      <c r="S65" s="126">
        <f>+'ENE-SEP Bs 11NOV2016'!S68/'ENE-MAR USD AL 18MAR16'!$D$1/'ENE-MAR USD AL 18MAR16'!$F$1</f>
        <v>0</v>
      </c>
      <c r="T65" s="126">
        <f>+'ENE-SEP Bs 11NOV2016'!T68/'ENE-MAR USD AL 18MAR16'!$D$1/'ENE-MAR USD AL 18MAR16'!$E$1</f>
        <v>0.98399999999999987</v>
      </c>
      <c r="U65" s="126">
        <f>+'ENE-SEP Bs 11NOV2016'!U68/'ENE-MAR USD AL 18MAR16'!$D$1/'ENE-MAR USD AL 18MAR16'!$F$1</f>
        <v>0</v>
      </c>
      <c r="V65" s="126">
        <f>+'ENE-SEP Bs 11NOV2016'!V68/'ENE-MAR USD AL 18MAR16'!$D$1/'ENE-MAR USD AL 18MAR16'!$E$1</f>
        <v>0.98399999999999987</v>
      </c>
      <c r="W65" s="126">
        <f>+'ENE-SEP Bs 11NOV2016'!W68/'ENE-MAR USD AL 18MAR16'!$D$1/'ENE-MAR USD AL 18MAR16'!$F$1</f>
        <v>0</v>
      </c>
      <c r="X65" s="126">
        <f>+'ENE-SEP Bs 11NOV2016'!X68/'ENE-MAR USD AL 18MAR16'!$D$1/'ENE-MAR USD AL 18MAR16'!$E$1</f>
        <v>0.98399999999999987</v>
      </c>
      <c r="Y65" s="126">
        <f>+'ENE-SEP Bs 11NOV2016'!Y68/'ENE-MAR USD AL 18MAR16'!$D$1/'ENE-MAR USD AL 18MAR16'!$F$1</f>
        <v>0</v>
      </c>
      <c r="Z65" s="126">
        <f>+'ENE-SEP Bs 11NOV2016'!Z68/'ENE-MAR USD AL 18MAR16'!$D$1/'ENE-MAR USD AL 18MAR16'!$E$1</f>
        <v>0.98399999999999987</v>
      </c>
      <c r="AA65" s="126">
        <f>+'ENE-SEP Bs 11NOV2016'!AA68/'ENE-MAR USD AL 18MAR16'!$D$1/'ENE-MAR USD AL 18MAR16'!$F$1</f>
        <v>0</v>
      </c>
    </row>
    <row r="66" spans="1:27" s="133" customFormat="1" x14ac:dyDescent="0.2">
      <c r="A66" s="130" t="s">
        <v>147</v>
      </c>
      <c r="B66" s="130"/>
      <c r="C66" s="130"/>
      <c r="D66" s="140">
        <f>SUM(D57:D65)</f>
        <v>0</v>
      </c>
      <c r="E66" s="140">
        <f t="shared" ref="E66:Z66" si="11">SUM(E57:E65)</f>
        <v>3.3297047619047619</v>
      </c>
      <c r="F66" s="140">
        <f t="shared" si="11"/>
        <v>0</v>
      </c>
      <c r="G66" s="140">
        <f t="shared" si="11"/>
        <v>3.9034444444444443</v>
      </c>
      <c r="H66" s="140">
        <f t="shared" si="11"/>
        <v>0</v>
      </c>
      <c r="I66" s="140">
        <f>SUM(I57:I65)</f>
        <v>2.7047720000000002</v>
      </c>
      <c r="J66" s="140">
        <f t="shared" si="11"/>
        <v>0</v>
      </c>
      <c r="K66" s="140">
        <f>SUM(K57:K65)</f>
        <v>6.7650699999999997</v>
      </c>
      <c r="L66" s="140">
        <f t="shared" si="11"/>
        <v>0</v>
      </c>
      <c r="M66" s="140">
        <f>SUM(M57:M65)</f>
        <v>8.2028070000000017</v>
      </c>
      <c r="N66" s="140">
        <f t="shared" si="11"/>
        <v>0</v>
      </c>
      <c r="O66" s="140">
        <f>SUM(O57:O65)</f>
        <v>8.2028069999999982</v>
      </c>
      <c r="P66" s="140">
        <f t="shared" si="11"/>
        <v>0</v>
      </c>
      <c r="Q66" s="140">
        <f>SUM(Q57:Q65)</f>
        <v>16.401224000000003</v>
      </c>
      <c r="R66" s="140">
        <f t="shared" si="11"/>
        <v>0</v>
      </c>
      <c r="S66" s="140">
        <f>SUM(S57:S65)</f>
        <v>24.643950999999998</v>
      </c>
      <c r="T66" s="140">
        <f t="shared" si="11"/>
        <v>0.98399999999999987</v>
      </c>
      <c r="U66" s="140">
        <f>SUM(U57:U65)</f>
        <v>24.874715000000002</v>
      </c>
      <c r="V66" s="140">
        <f t="shared" si="11"/>
        <v>0.98399999999999987</v>
      </c>
      <c r="W66" s="140">
        <f>SUM(W57:W65)</f>
        <v>27.929458</v>
      </c>
      <c r="X66" s="140">
        <f t="shared" si="11"/>
        <v>0.98399999999999987</v>
      </c>
      <c r="Y66" s="140">
        <f>SUM(Y57:Y65)</f>
        <v>27.929458</v>
      </c>
      <c r="Z66" s="140">
        <f t="shared" si="11"/>
        <v>0.98399999999999987</v>
      </c>
      <c r="AA66" s="140">
        <f>SUM(AA57:AA65)</f>
        <v>0</v>
      </c>
    </row>
    <row r="67" spans="1:27" x14ac:dyDescent="0.2">
      <c r="A67" s="126" t="s">
        <v>31</v>
      </c>
      <c r="B67" s="126" t="s">
        <v>32</v>
      </c>
      <c r="C67" s="126" t="s">
        <v>33</v>
      </c>
      <c r="D67" s="126">
        <f>+'ENE-SEP Bs 11NOV2016'!D70/'ENE-MAR USD AL 18MAR16'!$D$1/'ENE-MAR USD AL 18MAR16'!$E$1</f>
        <v>0</v>
      </c>
      <c r="E67" s="126">
        <f>+'ENE-SEP Bs 11NOV2016'!E70/'ENE-MAR USD AL 18MAR16'!$D$1/'ENE-MAR USD AL 18MAR16'!$E$1</f>
        <v>4.7666666666666673E-3</v>
      </c>
      <c r="F67" s="126">
        <f>+'ENE-SEP Bs 11NOV2016'!F70/'ENE-MAR USD AL 18MAR16'!$D$1/'ENE-MAR USD AL 18MAR16'!$E$1</f>
        <v>0</v>
      </c>
      <c r="G67" s="126">
        <f>+'ENE-SEP Bs 11NOV2016'!G70/'ENE-MAR USD AL 18MAR16'!$D$1/'ENE-MAR USD AL 18MAR16'!$E$1</f>
        <v>0.13138571428571427</v>
      </c>
      <c r="H67" s="126">
        <f>+'ENE-SEP Bs 11NOV2016'!H70/'ENE-MAR USD AL 18MAR16'!$D$1/'ENE-MAR USD AL 18MAR16'!$E$1</f>
        <v>0</v>
      </c>
      <c r="I67" s="126">
        <f>+'ENE-SEP Bs 11NOV2016'!I70/'ENE-MAR USD AL 18MAR16'!$D$1/'ENE-MAR USD AL 18MAR16'!$F$1</f>
        <v>0.145126</v>
      </c>
      <c r="J67" s="126">
        <f>+'ENE-SEP Bs 11NOV2016'!J70/'ENE-MAR USD AL 18MAR16'!$D$1/'ENE-MAR USD AL 18MAR16'!$E$1</f>
        <v>0</v>
      </c>
      <c r="K67" s="126">
        <f>+'ENE-SEP Bs 11NOV2016'!K70/'ENE-MAR USD AL 18MAR16'!$D$1/'ENE-MAR USD AL 18MAR16'!$F$1</f>
        <v>0.28004699999999999</v>
      </c>
      <c r="L67" s="126">
        <f>+'ENE-SEP Bs 11NOV2016'!L70/'ENE-MAR USD AL 18MAR16'!$D$1/'ENE-MAR USD AL 18MAR16'!$E$1</f>
        <v>0</v>
      </c>
      <c r="M67" s="126">
        <f>+'ENE-SEP Bs 11NOV2016'!M70/'ENE-MAR USD AL 18MAR16'!$D$1/'ENE-MAR USD AL 18MAR16'!$F$1</f>
        <v>0.28224299999999997</v>
      </c>
      <c r="N67" s="126">
        <f>+'ENE-SEP Bs 11NOV2016'!N70/'ENE-MAR USD AL 18MAR16'!$D$1/'ENE-MAR USD AL 18MAR16'!$E$1</f>
        <v>0</v>
      </c>
      <c r="O67" s="126">
        <f>+'ENE-SEP Bs 11NOV2016'!O70/'ENE-MAR USD AL 18MAR16'!$D$1/'ENE-MAR USD AL 18MAR16'!$F$1</f>
        <v>0.298288</v>
      </c>
      <c r="P67" s="126">
        <f>+'ENE-SEP Bs 11NOV2016'!P70/'ENE-MAR USD AL 18MAR16'!$D$1/'ENE-MAR USD AL 18MAR16'!$E$1</f>
        <v>0</v>
      </c>
      <c r="Q67" s="126">
        <f>+'ENE-SEP Bs 11NOV2016'!Q70/'ENE-MAR USD AL 18MAR16'!$D$1/'ENE-MAR USD AL 18MAR16'!$F$1</f>
        <v>0.36721500000000001</v>
      </c>
      <c r="R67" s="126">
        <f>+'ENE-SEP Bs 11NOV2016'!R70/'ENE-MAR USD AL 18MAR16'!$D$1/'ENE-MAR USD AL 18MAR16'!$E$1</f>
        <v>0</v>
      </c>
      <c r="S67" s="126">
        <f>+'ENE-SEP Bs 11NOV2016'!S70/'ENE-MAR USD AL 18MAR16'!$D$1/'ENE-MAR USD AL 18MAR16'!$F$1</f>
        <v>0.3843660000000001</v>
      </c>
      <c r="T67" s="126">
        <f>+'ENE-SEP Bs 11NOV2016'!T70/'ENE-MAR USD AL 18MAR16'!$D$1/'ENE-MAR USD AL 18MAR16'!$E$1</f>
        <v>0</v>
      </c>
      <c r="U67" s="126">
        <f>+'ENE-SEP Bs 11NOV2016'!U70/'ENE-MAR USD AL 18MAR16'!$D$1/'ENE-MAR USD AL 18MAR16'!$F$1</f>
        <v>2.2250389999999998</v>
      </c>
      <c r="V67" s="126">
        <f>+'ENE-SEP Bs 11NOV2016'!V70/'ENE-MAR USD AL 18MAR16'!$D$1/'ENE-MAR USD AL 18MAR16'!$E$1</f>
        <v>0</v>
      </c>
      <c r="W67" s="126">
        <f>+'ENE-SEP Bs 11NOV2016'!W70/'ENE-MAR USD AL 18MAR16'!$D$1/'ENE-MAR USD AL 18MAR16'!$F$1</f>
        <v>2.3924890000000003</v>
      </c>
      <c r="X67" s="126">
        <f>+'ENE-SEP Bs 11NOV2016'!X70/'ENE-MAR USD AL 18MAR16'!$D$1/'ENE-MAR USD AL 18MAR16'!$E$1</f>
        <v>0</v>
      </c>
      <c r="Y67" s="126">
        <f>+'ENE-SEP Bs 11NOV2016'!Y70/'ENE-MAR USD AL 18MAR16'!$D$1/'ENE-MAR USD AL 18MAR16'!$F$1</f>
        <v>2.4100600000000005</v>
      </c>
      <c r="Z67" s="126">
        <f>+'ENE-SEP Bs 11NOV2016'!Z70/'ENE-MAR USD AL 18MAR16'!$D$1/'ENE-MAR USD AL 18MAR16'!$E$1</f>
        <v>0</v>
      </c>
      <c r="AA67" s="126">
        <f>+'ENE-SEP Bs 11NOV2016'!AA70/'ENE-MAR USD AL 18MAR16'!$D$1/'ENE-MAR USD AL 18MAR16'!$F$1</f>
        <v>0</v>
      </c>
    </row>
    <row r="68" spans="1:27" x14ac:dyDescent="0.2">
      <c r="A68" s="126"/>
      <c r="B68" s="126" t="s">
        <v>34</v>
      </c>
      <c r="C68" s="126" t="s">
        <v>35</v>
      </c>
      <c r="D68" s="126">
        <f>+'ENE-SEP Bs 11NOV2016'!D71/'ENE-MAR USD AL 18MAR16'!$D$1/'ENE-MAR USD AL 18MAR16'!$E$1</f>
        <v>1.207468253968254</v>
      </c>
      <c r="E68" s="126">
        <f>+'ENE-SEP Bs 11NOV2016'!E71/'ENE-MAR USD AL 18MAR16'!$D$1/'ENE-MAR USD AL 18MAR16'!$E$1</f>
        <v>1.1836634920634921</v>
      </c>
      <c r="F68" s="126">
        <f>+'ENE-SEP Bs 11NOV2016'!F71/'ENE-MAR USD AL 18MAR16'!$D$1/'ENE-MAR USD AL 18MAR16'!$E$1</f>
        <v>2.5689047619047622</v>
      </c>
      <c r="G68" s="126">
        <f>+'ENE-SEP Bs 11NOV2016'!G71/'ENE-MAR USD AL 18MAR16'!$D$1/'ENE-MAR USD AL 18MAR16'!$E$1</f>
        <v>2.1450619047619046</v>
      </c>
      <c r="H68" s="126">
        <f>+'ENE-SEP Bs 11NOV2016'!H71/'ENE-MAR USD AL 18MAR16'!$D$1/'ENE-MAR USD AL 18MAR16'!$E$1</f>
        <v>4.8220206349206354</v>
      </c>
      <c r="I68" s="126">
        <f>+'ENE-SEP Bs 11NOV2016'!I71/'ENE-MAR USD AL 18MAR16'!$D$1/'ENE-MAR USD AL 18MAR16'!$F$1</f>
        <v>2.5305619999999998</v>
      </c>
      <c r="J68" s="126">
        <f>+'ENE-SEP Bs 11NOV2016'!J71/'ENE-MAR USD AL 18MAR16'!$D$1/'ENE-MAR USD AL 18MAR16'!$E$1</f>
        <v>6.7663825396825388</v>
      </c>
      <c r="K68" s="126">
        <f>+'ENE-SEP Bs 11NOV2016'!K71/'ENE-MAR USD AL 18MAR16'!$D$1/'ENE-MAR USD AL 18MAR16'!$F$1</f>
        <v>4.0587949999999999</v>
      </c>
      <c r="L68" s="126">
        <f>+'ENE-SEP Bs 11NOV2016'!L71/'ENE-MAR USD AL 18MAR16'!$D$1/'ENE-MAR USD AL 18MAR16'!$E$1</f>
        <v>8.800420634920636</v>
      </c>
      <c r="M68" s="126">
        <f>+'ENE-SEP Bs 11NOV2016'!M71/'ENE-MAR USD AL 18MAR16'!$D$1/'ENE-MAR USD AL 18MAR16'!$F$1</f>
        <v>5.9854000000000003</v>
      </c>
      <c r="N68" s="126">
        <f>+'ENE-SEP Bs 11NOV2016'!N71/'ENE-MAR USD AL 18MAR16'!$D$1/'ENE-MAR USD AL 18MAR16'!$E$1</f>
        <v>11.2445126984127</v>
      </c>
      <c r="O68" s="126">
        <f>+'ENE-SEP Bs 11NOV2016'!O71/'ENE-MAR USD AL 18MAR16'!$D$1/'ENE-MAR USD AL 18MAR16'!$F$1</f>
        <v>7.3165019999999981</v>
      </c>
      <c r="P68" s="126">
        <f>+'ENE-SEP Bs 11NOV2016'!P71/'ENE-MAR USD AL 18MAR16'!$D$1/'ENE-MAR USD AL 18MAR16'!$E$1</f>
        <v>13.634426984126984</v>
      </c>
      <c r="Q68" s="126">
        <f>+'ENE-SEP Bs 11NOV2016'!Q71/'ENE-MAR USD AL 18MAR16'!$D$1/'ENE-MAR USD AL 18MAR16'!$F$1</f>
        <v>9.464204999999998</v>
      </c>
      <c r="R68" s="126">
        <f>+'ENE-SEP Bs 11NOV2016'!R71/'ENE-MAR USD AL 18MAR16'!$D$1/'ENE-MAR USD AL 18MAR16'!$E$1</f>
        <v>15.431330158730161</v>
      </c>
      <c r="S68" s="126">
        <f>+'ENE-SEP Bs 11NOV2016'!S71/'ENE-MAR USD AL 18MAR16'!$D$1/'ENE-MAR USD AL 18MAR16'!$F$1</f>
        <v>11.276471999999998</v>
      </c>
      <c r="T68" s="126">
        <f>+'ENE-SEP Bs 11NOV2016'!T71/'ENE-MAR USD AL 18MAR16'!$D$1/'ENE-MAR USD AL 18MAR16'!$E$1</f>
        <v>17.32125238095238</v>
      </c>
      <c r="U68" s="126">
        <f>+'ENE-SEP Bs 11NOV2016'!U71/'ENE-MAR USD AL 18MAR16'!$D$1/'ENE-MAR USD AL 18MAR16'!$F$1</f>
        <v>38.470456000000006</v>
      </c>
      <c r="V68" s="126">
        <f>+'ENE-SEP Bs 11NOV2016'!V71/'ENE-MAR USD AL 18MAR16'!$D$1/'ENE-MAR USD AL 18MAR16'!$E$1</f>
        <v>19.110699999999998</v>
      </c>
      <c r="W68" s="126">
        <f>+'ENE-SEP Bs 11NOV2016'!W71/'ENE-MAR USD AL 18MAR16'!$D$1/'ENE-MAR USD AL 18MAR16'!$F$1</f>
        <v>42.840116000000002</v>
      </c>
      <c r="X68" s="126">
        <f>+'ENE-SEP Bs 11NOV2016'!X71/'ENE-MAR USD AL 18MAR16'!$D$1/'ENE-MAR USD AL 18MAR16'!$E$1</f>
        <v>20.895409523809526</v>
      </c>
      <c r="Y68" s="126">
        <f>+'ENE-SEP Bs 11NOV2016'!Y71/'ENE-MAR USD AL 18MAR16'!$D$1/'ENE-MAR USD AL 18MAR16'!$F$1</f>
        <v>44.285883999999996</v>
      </c>
      <c r="Z68" s="126">
        <f>+'ENE-SEP Bs 11NOV2016'!Z71/'ENE-MAR USD AL 18MAR16'!$D$1/'ENE-MAR USD AL 18MAR16'!$E$1</f>
        <v>22.679301587301591</v>
      </c>
      <c r="AA68" s="126">
        <f>+'ENE-SEP Bs 11NOV2016'!AA71/'ENE-MAR USD AL 18MAR16'!$D$1/'ENE-MAR USD AL 18MAR16'!$F$1</f>
        <v>0</v>
      </c>
    </row>
    <row r="69" spans="1:27" x14ac:dyDescent="0.2">
      <c r="A69" s="126"/>
      <c r="B69" s="126" t="s">
        <v>36</v>
      </c>
      <c r="C69" s="126" t="s">
        <v>37</v>
      </c>
      <c r="D69" s="126">
        <f>+'ENE-SEP Bs 11NOV2016'!D72/'ENE-MAR USD AL 18MAR16'!$D$1/'ENE-MAR USD AL 18MAR16'!$E$1</f>
        <v>0</v>
      </c>
      <c r="E69" s="126">
        <f>+'ENE-SEP Bs 11NOV2016'!E72/'ENE-MAR USD AL 18MAR16'!$D$1/'ENE-MAR USD AL 18MAR16'!$E$1</f>
        <v>0</v>
      </c>
      <c r="F69" s="126">
        <f>+'ENE-SEP Bs 11NOV2016'!F72/'ENE-MAR USD AL 18MAR16'!$D$1/'ENE-MAR USD AL 18MAR16'!$E$1</f>
        <v>0</v>
      </c>
      <c r="G69" s="126">
        <f>+'ENE-SEP Bs 11NOV2016'!G72/'ENE-MAR USD AL 18MAR16'!$D$1/'ENE-MAR USD AL 18MAR16'!$E$1</f>
        <v>0</v>
      </c>
      <c r="H69" s="126">
        <f>+'ENE-SEP Bs 11NOV2016'!H72/'ENE-MAR USD AL 18MAR16'!$D$1/'ENE-MAR USD AL 18MAR16'!$E$1</f>
        <v>0</v>
      </c>
      <c r="I69" s="126">
        <f>+'ENE-SEP Bs 11NOV2016'!I72/'ENE-MAR USD AL 18MAR16'!$D$1/'ENE-MAR USD AL 18MAR16'!$F$1</f>
        <v>0</v>
      </c>
      <c r="J69" s="126">
        <f>+'ENE-SEP Bs 11NOV2016'!J72/'ENE-MAR USD AL 18MAR16'!$D$1/'ENE-MAR USD AL 18MAR16'!$E$1</f>
        <v>0</v>
      </c>
      <c r="K69" s="126">
        <f>+'ENE-SEP Bs 11NOV2016'!K72/'ENE-MAR USD AL 18MAR16'!$D$1/'ENE-MAR USD AL 18MAR16'!$F$1</f>
        <v>0</v>
      </c>
      <c r="L69" s="126">
        <f>+'ENE-SEP Bs 11NOV2016'!L72/'ENE-MAR USD AL 18MAR16'!$D$1/'ENE-MAR USD AL 18MAR16'!$E$1</f>
        <v>0</v>
      </c>
      <c r="M69" s="126">
        <f>+'ENE-SEP Bs 11NOV2016'!M72/'ENE-MAR USD AL 18MAR16'!$D$1/'ENE-MAR USD AL 18MAR16'!$F$1</f>
        <v>0</v>
      </c>
      <c r="N69" s="126">
        <f>+'ENE-SEP Bs 11NOV2016'!N72/'ENE-MAR USD AL 18MAR16'!$D$1/'ENE-MAR USD AL 18MAR16'!$E$1</f>
        <v>0</v>
      </c>
      <c r="O69" s="126">
        <f>+'ENE-SEP Bs 11NOV2016'!O72/'ENE-MAR USD AL 18MAR16'!$D$1/'ENE-MAR USD AL 18MAR16'!$F$1</f>
        <v>0</v>
      </c>
      <c r="P69" s="126">
        <f>+'ENE-SEP Bs 11NOV2016'!P72/'ENE-MAR USD AL 18MAR16'!$D$1/'ENE-MAR USD AL 18MAR16'!$E$1</f>
        <v>0</v>
      </c>
      <c r="Q69" s="126">
        <f>+'ENE-SEP Bs 11NOV2016'!Q72/'ENE-MAR USD AL 18MAR16'!$D$1/'ENE-MAR USD AL 18MAR16'!$F$1</f>
        <v>0</v>
      </c>
      <c r="R69" s="126">
        <f>+'ENE-SEP Bs 11NOV2016'!R72/'ENE-MAR USD AL 18MAR16'!$D$1/'ENE-MAR USD AL 18MAR16'!$E$1</f>
        <v>0</v>
      </c>
      <c r="S69" s="126">
        <f>+'ENE-SEP Bs 11NOV2016'!S72/'ENE-MAR USD AL 18MAR16'!$D$1/'ENE-MAR USD AL 18MAR16'!$F$1</f>
        <v>0</v>
      </c>
      <c r="T69" s="126">
        <f>+'ENE-SEP Bs 11NOV2016'!T72/'ENE-MAR USD AL 18MAR16'!$D$1/'ENE-MAR USD AL 18MAR16'!$E$1</f>
        <v>0</v>
      </c>
      <c r="U69" s="126">
        <f>+'ENE-SEP Bs 11NOV2016'!U72/'ENE-MAR USD AL 18MAR16'!$D$1/'ENE-MAR USD AL 18MAR16'!$F$1</f>
        <v>0</v>
      </c>
      <c r="V69" s="126">
        <f>+'ENE-SEP Bs 11NOV2016'!V72/'ENE-MAR USD AL 18MAR16'!$D$1/'ENE-MAR USD AL 18MAR16'!$E$1</f>
        <v>0</v>
      </c>
      <c r="W69" s="126">
        <f>+'ENE-SEP Bs 11NOV2016'!W72/'ENE-MAR USD AL 18MAR16'!$D$1/'ENE-MAR USD AL 18MAR16'!$F$1</f>
        <v>0</v>
      </c>
      <c r="X69" s="126">
        <f>+'ENE-SEP Bs 11NOV2016'!X72/'ENE-MAR USD AL 18MAR16'!$D$1/'ENE-MAR USD AL 18MAR16'!$E$1</f>
        <v>0</v>
      </c>
      <c r="Y69" s="126">
        <f>+'ENE-SEP Bs 11NOV2016'!Y72/'ENE-MAR USD AL 18MAR16'!$D$1/'ENE-MAR USD AL 18MAR16'!$F$1</f>
        <v>0</v>
      </c>
      <c r="Z69" s="126">
        <f>+'ENE-SEP Bs 11NOV2016'!Z72/'ENE-MAR USD AL 18MAR16'!$D$1/'ENE-MAR USD AL 18MAR16'!$E$1</f>
        <v>0</v>
      </c>
      <c r="AA69" s="126">
        <f>+'ENE-SEP Bs 11NOV2016'!AA72/'ENE-MAR USD AL 18MAR16'!$D$1/'ENE-MAR USD AL 18MAR16'!$F$1</f>
        <v>0</v>
      </c>
    </row>
    <row r="70" spans="1:27" x14ac:dyDescent="0.2">
      <c r="A70" s="126"/>
      <c r="B70" s="126" t="s">
        <v>38</v>
      </c>
      <c r="C70" s="126" t="s">
        <v>39</v>
      </c>
      <c r="D70" s="126">
        <f>+'ENE-SEP Bs 11NOV2016'!D73/'ENE-MAR USD AL 18MAR16'!$D$1/'ENE-MAR USD AL 18MAR16'!$E$1</f>
        <v>0</v>
      </c>
      <c r="E70" s="126">
        <f>+'ENE-SEP Bs 11NOV2016'!E73/'ENE-MAR USD AL 18MAR16'!$D$1/'ENE-MAR USD AL 18MAR16'!$E$1</f>
        <v>0</v>
      </c>
      <c r="F70" s="126">
        <f>+'ENE-SEP Bs 11NOV2016'!F73/'ENE-MAR USD AL 18MAR16'!$D$1/'ENE-MAR USD AL 18MAR16'!$E$1</f>
        <v>0</v>
      </c>
      <c r="G70" s="126">
        <f>+'ENE-SEP Bs 11NOV2016'!G73/'ENE-MAR USD AL 18MAR16'!$D$1/'ENE-MAR USD AL 18MAR16'!$E$1</f>
        <v>0</v>
      </c>
      <c r="H70" s="126">
        <f>+'ENE-SEP Bs 11NOV2016'!H73/'ENE-MAR USD AL 18MAR16'!$D$1/'ENE-MAR USD AL 18MAR16'!$E$1</f>
        <v>0</v>
      </c>
      <c r="I70" s="126">
        <f>+'ENE-SEP Bs 11NOV2016'!I73/'ENE-MAR USD AL 18MAR16'!$D$1/'ENE-MAR USD AL 18MAR16'!$F$1</f>
        <v>0</v>
      </c>
      <c r="J70" s="126">
        <f>+'ENE-SEP Bs 11NOV2016'!J73/'ENE-MAR USD AL 18MAR16'!$D$1/'ENE-MAR USD AL 18MAR16'!$E$1</f>
        <v>0</v>
      </c>
      <c r="K70" s="126">
        <f>+'ENE-SEP Bs 11NOV2016'!K73/'ENE-MAR USD AL 18MAR16'!$D$1/'ENE-MAR USD AL 18MAR16'!$F$1</f>
        <v>0</v>
      </c>
      <c r="L70" s="126">
        <f>+'ENE-SEP Bs 11NOV2016'!L73/'ENE-MAR USD AL 18MAR16'!$D$1/'ENE-MAR USD AL 18MAR16'!$E$1</f>
        <v>0</v>
      </c>
      <c r="M70" s="126">
        <f>+'ENE-SEP Bs 11NOV2016'!M73/'ENE-MAR USD AL 18MAR16'!$D$1/'ENE-MAR USD AL 18MAR16'!$F$1</f>
        <v>0</v>
      </c>
      <c r="N70" s="126">
        <f>+'ENE-SEP Bs 11NOV2016'!N73/'ENE-MAR USD AL 18MAR16'!$D$1/'ENE-MAR USD AL 18MAR16'!$E$1</f>
        <v>0</v>
      </c>
      <c r="O70" s="126">
        <f>+'ENE-SEP Bs 11NOV2016'!O73/'ENE-MAR USD AL 18MAR16'!$D$1/'ENE-MAR USD AL 18MAR16'!$F$1</f>
        <v>0</v>
      </c>
      <c r="P70" s="126">
        <f>+'ENE-SEP Bs 11NOV2016'!P73/'ENE-MAR USD AL 18MAR16'!$D$1/'ENE-MAR USD AL 18MAR16'!$E$1</f>
        <v>0</v>
      </c>
      <c r="Q70" s="126">
        <f>+'ENE-SEP Bs 11NOV2016'!Q73/'ENE-MAR USD AL 18MAR16'!$D$1/'ENE-MAR USD AL 18MAR16'!$F$1</f>
        <v>0</v>
      </c>
      <c r="R70" s="126">
        <f>+'ENE-SEP Bs 11NOV2016'!R73/'ENE-MAR USD AL 18MAR16'!$D$1/'ENE-MAR USD AL 18MAR16'!$E$1</f>
        <v>0</v>
      </c>
      <c r="S70" s="126">
        <f>+'ENE-SEP Bs 11NOV2016'!S73/'ENE-MAR USD AL 18MAR16'!$D$1/'ENE-MAR USD AL 18MAR16'!$F$1</f>
        <v>0</v>
      </c>
      <c r="T70" s="126">
        <f>+'ENE-SEP Bs 11NOV2016'!T73/'ENE-MAR USD AL 18MAR16'!$D$1/'ENE-MAR USD AL 18MAR16'!$E$1</f>
        <v>0</v>
      </c>
      <c r="U70" s="126">
        <f>+'ENE-SEP Bs 11NOV2016'!U73/'ENE-MAR USD AL 18MAR16'!$D$1/'ENE-MAR USD AL 18MAR16'!$F$1</f>
        <v>0</v>
      </c>
      <c r="V70" s="126">
        <f>+'ENE-SEP Bs 11NOV2016'!V73/'ENE-MAR USD AL 18MAR16'!$D$1/'ENE-MAR USD AL 18MAR16'!$E$1</f>
        <v>0</v>
      </c>
      <c r="W70" s="126">
        <f>+'ENE-SEP Bs 11NOV2016'!W73/'ENE-MAR USD AL 18MAR16'!$D$1/'ENE-MAR USD AL 18MAR16'!$F$1</f>
        <v>0</v>
      </c>
      <c r="X70" s="126">
        <f>+'ENE-SEP Bs 11NOV2016'!X73/'ENE-MAR USD AL 18MAR16'!$D$1/'ENE-MAR USD AL 18MAR16'!$E$1</f>
        <v>0</v>
      </c>
      <c r="Y70" s="126">
        <f>+'ENE-SEP Bs 11NOV2016'!Y73/'ENE-MAR USD AL 18MAR16'!$D$1/'ENE-MAR USD AL 18MAR16'!$F$1</f>
        <v>0</v>
      </c>
      <c r="Z70" s="126">
        <f>+'ENE-SEP Bs 11NOV2016'!Z73/'ENE-MAR USD AL 18MAR16'!$D$1/'ENE-MAR USD AL 18MAR16'!$E$1</f>
        <v>0</v>
      </c>
      <c r="AA70" s="126">
        <f>+'ENE-SEP Bs 11NOV2016'!AA73/'ENE-MAR USD AL 18MAR16'!$D$1/'ENE-MAR USD AL 18MAR16'!$F$1</f>
        <v>0</v>
      </c>
    </row>
    <row r="71" spans="1:27" s="133" customFormat="1" x14ac:dyDescent="0.2">
      <c r="A71" s="130" t="s">
        <v>3</v>
      </c>
      <c r="B71" s="130"/>
      <c r="C71" s="130"/>
      <c r="D71" s="140">
        <f>SUM(D67:D70)</f>
        <v>1.207468253968254</v>
      </c>
      <c r="E71" s="140">
        <f t="shared" ref="E71:Z71" si="12">SUM(E67:E70)</f>
        <v>1.1884301587301587</v>
      </c>
      <c r="F71" s="140">
        <f t="shared" si="12"/>
        <v>2.5689047619047622</v>
      </c>
      <c r="G71" s="140">
        <f t="shared" si="12"/>
        <v>2.2764476190476191</v>
      </c>
      <c r="H71" s="140">
        <f t="shared" si="12"/>
        <v>4.8220206349206354</v>
      </c>
      <c r="I71" s="140">
        <f>SUM(I67:I70)</f>
        <v>2.6756879999999996</v>
      </c>
      <c r="J71" s="140">
        <f t="shared" si="12"/>
        <v>6.7663825396825388</v>
      </c>
      <c r="K71" s="140">
        <f>SUM(K67:K70)</f>
        <v>4.3388419999999996</v>
      </c>
      <c r="L71" s="140">
        <f t="shared" si="12"/>
        <v>8.800420634920636</v>
      </c>
      <c r="M71" s="140">
        <f>SUM(M67:M70)</f>
        <v>6.2676430000000005</v>
      </c>
      <c r="N71" s="140">
        <f t="shared" si="12"/>
        <v>11.2445126984127</v>
      </c>
      <c r="O71" s="140">
        <f>SUM(O67:O70)</f>
        <v>7.6147899999999984</v>
      </c>
      <c r="P71" s="140">
        <f t="shared" si="12"/>
        <v>13.634426984126984</v>
      </c>
      <c r="Q71" s="140">
        <f>SUM(Q67:Q70)</f>
        <v>9.8314199999999978</v>
      </c>
      <c r="R71" s="140">
        <f t="shared" si="12"/>
        <v>15.431330158730161</v>
      </c>
      <c r="S71" s="140">
        <f>SUM(S67:S70)</f>
        <v>11.660837999999998</v>
      </c>
      <c r="T71" s="140">
        <f t="shared" si="12"/>
        <v>17.32125238095238</v>
      </c>
      <c r="U71" s="140">
        <f>SUM(U67:U70)</f>
        <v>40.695495000000008</v>
      </c>
      <c r="V71" s="140">
        <f t="shared" si="12"/>
        <v>19.110699999999998</v>
      </c>
      <c r="W71" s="140">
        <f>SUM(W67:W70)</f>
        <v>45.232605</v>
      </c>
      <c r="X71" s="140">
        <f t="shared" si="12"/>
        <v>20.895409523809526</v>
      </c>
      <c r="Y71" s="140">
        <f>SUM(Y67:Y70)</f>
        <v>46.695943999999997</v>
      </c>
      <c r="Z71" s="140">
        <f t="shared" si="12"/>
        <v>22.679301587301591</v>
      </c>
      <c r="AA71" s="140">
        <f>SUM(AA67:AA70)</f>
        <v>0</v>
      </c>
    </row>
    <row r="72" spans="1:27" x14ac:dyDescent="0.2">
      <c r="A72" s="126" t="s">
        <v>40</v>
      </c>
      <c r="B72" s="126" t="s">
        <v>41</v>
      </c>
      <c r="C72" s="126" t="s">
        <v>42</v>
      </c>
      <c r="D72" s="126">
        <f>+'ENE-SEP Bs 11NOV2016'!D76/'ENE-MAR USD AL 18MAR16'!$D$1/'ENE-MAR USD AL 18MAR16'!$E$1</f>
        <v>6.5309126984126991</v>
      </c>
      <c r="E72" s="126">
        <f>+'ENE-SEP Bs 11NOV2016'!E76/'ENE-MAR USD AL 18MAR16'!$D$1/'ENE-MAR USD AL 18MAR16'!$E$1</f>
        <v>29.61168412698413</v>
      </c>
      <c r="F72" s="126">
        <f>+'ENE-SEP Bs 11NOV2016'!F76/'ENE-MAR USD AL 18MAR16'!$D$1/'ENE-MAR USD AL 18MAR16'!$E$1</f>
        <v>14.840295238095239</v>
      </c>
      <c r="G72" s="126">
        <f>+'ENE-SEP Bs 11NOV2016'!G76/'ENE-MAR USD AL 18MAR16'!$D$1/'ENE-MAR USD AL 18MAR16'!$E$1</f>
        <v>60.874603174603173</v>
      </c>
      <c r="H72" s="126">
        <f>+'ENE-SEP Bs 11NOV2016'!H76/'ENE-MAR USD AL 18MAR16'!$D$1/'ENE-MAR USD AL 18MAR16'!$E$1</f>
        <v>25.930203174603175</v>
      </c>
      <c r="I72" s="126">
        <f>+'ENE-SEP Bs 11NOV2016'!I76/'ENE-MAR USD AL 18MAR16'!$D$1/'ENE-MAR USD AL 18MAR16'!$F$1</f>
        <v>41.530419999999999</v>
      </c>
      <c r="J72" s="126">
        <f>+'ENE-SEP Bs 11NOV2016'!J76/'ENE-MAR USD AL 18MAR16'!$D$1/'ENE-MAR USD AL 18MAR16'!$E$1</f>
        <v>36.173831746031752</v>
      </c>
      <c r="K72" s="126">
        <f>+'ENE-SEP Bs 11NOV2016'!K76/'ENE-MAR USD AL 18MAR16'!$D$1/'ENE-MAR USD AL 18MAR16'!$F$1</f>
        <v>89.059066000000001</v>
      </c>
      <c r="L72" s="126">
        <f>+'ENE-SEP Bs 11NOV2016'!L76/'ENE-MAR USD AL 18MAR16'!$D$1/'ENE-MAR USD AL 18MAR16'!$E$1</f>
        <v>45.949874603174607</v>
      </c>
      <c r="M72" s="126">
        <f>+'ENE-SEP Bs 11NOV2016'!M76/'ENE-MAR USD AL 18MAR16'!$D$1/'ENE-MAR USD AL 18MAR16'!$F$1</f>
        <v>105.72307900000003</v>
      </c>
      <c r="N72" s="126">
        <f>+'ENE-SEP Bs 11NOV2016'!N76/'ENE-MAR USD AL 18MAR16'!$D$1/'ENE-MAR USD AL 18MAR16'!$E$1</f>
        <v>53.195309523809527</v>
      </c>
      <c r="O72" s="126">
        <f>+'ENE-SEP Bs 11NOV2016'!O76/'ENE-MAR USD AL 18MAR16'!$D$1/'ENE-MAR USD AL 18MAR16'!$F$1</f>
        <v>152.45148399999999</v>
      </c>
      <c r="P72" s="126">
        <f>+'ENE-SEP Bs 11NOV2016'!P76/'ENE-MAR USD AL 18MAR16'!$D$1/'ENE-MAR USD AL 18MAR16'!$E$1</f>
        <v>59.786504761904759</v>
      </c>
      <c r="Q72" s="126">
        <f>+'ENE-SEP Bs 11NOV2016'!Q76/'ENE-MAR USD AL 18MAR16'!$D$1/'ENE-MAR USD AL 18MAR16'!$F$1</f>
        <v>203.98884999999996</v>
      </c>
      <c r="R72" s="126">
        <f>+'ENE-SEP Bs 11NOV2016'!R76/'ENE-MAR USD AL 18MAR16'!$D$1/'ENE-MAR USD AL 18MAR16'!$E$1</f>
        <v>66.04443333333333</v>
      </c>
      <c r="S72" s="126">
        <f>+'ENE-SEP Bs 11NOV2016'!S76/'ENE-MAR USD AL 18MAR16'!$D$1/'ENE-MAR USD AL 18MAR16'!$F$1</f>
        <v>256.30511800000005</v>
      </c>
      <c r="T72" s="126">
        <f>+'ENE-SEP Bs 11NOV2016'!T76/'ENE-MAR USD AL 18MAR16'!$D$1/'ENE-MAR USD AL 18MAR16'!$E$1</f>
        <v>73.034095238095247</v>
      </c>
      <c r="U72" s="126">
        <f>+'ENE-SEP Bs 11NOV2016'!U76/'ENE-MAR USD AL 18MAR16'!$D$1/'ENE-MAR USD AL 18MAR16'!$F$1</f>
        <v>295.48851400000001</v>
      </c>
      <c r="V72" s="126">
        <f>+'ENE-SEP Bs 11NOV2016'!V76/'ENE-MAR USD AL 18MAR16'!$D$1/'ENE-MAR USD AL 18MAR16'!$E$1</f>
        <v>79.930480952380961</v>
      </c>
      <c r="W72" s="126">
        <f>+'ENE-SEP Bs 11NOV2016'!W76/'ENE-MAR USD AL 18MAR16'!$D$1/'ENE-MAR USD AL 18MAR16'!$F$1</f>
        <v>358.13081399999999</v>
      </c>
      <c r="X72" s="126">
        <f>+'ENE-SEP Bs 11NOV2016'!X76/'ENE-MAR USD AL 18MAR16'!$D$1/'ENE-MAR USD AL 18MAR16'!$E$1</f>
        <v>85.334938095238087</v>
      </c>
      <c r="Y72" s="126">
        <f>+'ENE-SEP Bs 11NOV2016'!Y76/'ENE-MAR USD AL 18MAR16'!$D$1/'ENE-MAR USD AL 18MAR16'!$F$1</f>
        <v>365.53924799999999</v>
      </c>
      <c r="Z72" s="126">
        <f>+'ENE-SEP Bs 11NOV2016'!Z76/'ENE-MAR USD AL 18MAR16'!$D$1/'ENE-MAR USD AL 18MAR16'!$E$1</f>
        <v>90.528504761904756</v>
      </c>
      <c r="AA72" s="126">
        <f>+'ENE-SEP Bs 11NOV2016'!AA76/'ENE-MAR USD AL 18MAR16'!$D$1/'ENE-MAR USD AL 18MAR16'!$F$1</f>
        <v>0</v>
      </c>
    </row>
    <row r="73" spans="1:27" x14ac:dyDescent="0.2">
      <c r="A73" s="126"/>
      <c r="B73" s="126" t="s">
        <v>67</v>
      </c>
      <c r="C73" s="126" t="s">
        <v>68</v>
      </c>
      <c r="D73" s="126">
        <f>+'ENE-SEP Bs 11NOV2016'!D77/'ENE-MAR USD AL 18MAR16'!$D$1/'ENE-MAR USD AL 18MAR16'!$E$1</f>
        <v>24.256884126984126</v>
      </c>
      <c r="E73" s="126">
        <f>+'ENE-SEP Bs 11NOV2016'!E77/'ENE-MAR USD AL 18MAR16'!$D$1/'ENE-MAR USD AL 18MAR16'!$E$1</f>
        <v>24.732879365079366</v>
      </c>
      <c r="F73" s="126">
        <f>+'ENE-SEP Bs 11NOV2016'!F77/'ENE-MAR USD AL 18MAR16'!$D$1/'ENE-MAR USD AL 18MAR16'!$E$1</f>
        <v>58.328544444444447</v>
      </c>
      <c r="G73" s="126">
        <f>+'ENE-SEP Bs 11NOV2016'!G77/'ENE-MAR USD AL 18MAR16'!$D$1/'ENE-MAR USD AL 18MAR16'!$E$1</f>
        <v>79.091858730158734</v>
      </c>
      <c r="H73" s="126">
        <f>+'ENE-SEP Bs 11NOV2016'!H77/'ENE-MAR USD AL 18MAR16'!$D$1/'ENE-MAR USD AL 18MAR16'!$E$1</f>
        <v>76.471060317460314</v>
      </c>
      <c r="I73" s="126">
        <f>+'ENE-SEP Bs 11NOV2016'!I77/'ENE-MAR USD AL 18MAR16'!$D$1/'ENE-MAR USD AL 18MAR16'!$F$1</f>
        <v>63.316793000000004</v>
      </c>
      <c r="J73" s="126">
        <f>+'ENE-SEP Bs 11NOV2016'!J77/'ENE-MAR USD AL 18MAR16'!$D$1/'ENE-MAR USD AL 18MAR16'!$E$1</f>
        <v>94.443020634920643</v>
      </c>
      <c r="K73" s="126">
        <f>+'ENE-SEP Bs 11NOV2016'!K77/'ENE-MAR USD AL 18MAR16'!$D$1/'ENE-MAR USD AL 18MAR16'!$F$1</f>
        <v>78.349073999999973</v>
      </c>
      <c r="L73" s="126">
        <f>+'ENE-SEP Bs 11NOV2016'!L77/'ENE-MAR USD AL 18MAR16'!$D$1/'ENE-MAR USD AL 18MAR16'!$E$1</f>
        <v>112.86505873015872</v>
      </c>
      <c r="M73" s="126">
        <f>+'ENE-SEP Bs 11NOV2016'!M77/'ENE-MAR USD AL 18MAR16'!$D$1/'ENE-MAR USD AL 18MAR16'!$F$1</f>
        <v>82.40427600000001</v>
      </c>
      <c r="N73" s="126">
        <f>+'ENE-SEP Bs 11NOV2016'!N77/'ENE-MAR USD AL 18MAR16'!$D$1/'ENE-MAR USD AL 18MAR16'!$E$1</f>
        <v>130.86670952380953</v>
      </c>
      <c r="O73" s="126">
        <f>+'ENE-SEP Bs 11NOV2016'!O77/'ENE-MAR USD AL 18MAR16'!$D$1/'ENE-MAR USD AL 18MAR16'!$F$1</f>
        <v>116.249669</v>
      </c>
      <c r="P73" s="126">
        <f>+'ENE-SEP Bs 11NOV2016'!P77/'ENE-MAR USD AL 18MAR16'!$D$1/'ENE-MAR USD AL 18MAR16'!$E$1</f>
        <v>146.7481634920635</v>
      </c>
      <c r="Q73" s="126">
        <f>+'ENE-SEP Bs 11NOV2016'!Q77/'ENE-MAR USD AL 18MAR16'!$D$1/'ENE-MAR USD AL 18MAR16'!$F$1</f>
        <v>169.29146500000002</v>
      </c>
      <c r="R73" s="126">
        <f>+'ENE-SEP Bs 11NOV2016'!R77/'ENE-MAR USD AL 18MAR16'!$D$1/'ENE-MAR USD AL 18MAR16'!$E$1</f>
        <v>162.68164603174603</v>
      </c>
      <c r="S73" s="126">
        <f>+'ENE-SEP Bs 11NOV2016'!S77/'ENE-MAR USD AL 18MAR16'!$D$1/'ENE-MAR USD AL 18MAR16'!$F$1</f>
        <v>223.41325400000005</v>
      </c>
      <c r="T73" s="126">
        <f>+'ENE-SEP Bs 11NOV2016'!T77/'ENE-MAR USD AL 18MAR16'!$D$1/'ENE-MAR USD AL 18MAR16'!$E$1</f>
        <v>178.33482539682538</v>
      </c>
      <c r="U73" s="126">
        <f>+'ENE-SEP Bs 11NOV2016'!U77/'ENE-MAR USD AL 18MAR16'!$D$1/'ENE-MAR USD AL 18MAR16'!$F$1</f>
        <v>445.56609199999991</v>
      </c>
      <c r="V73" s="126">
        <f>+'ENE-SEP Bs 11NOV2016'!V77/'ENE-MAR USD AL 18MAR16'!$D$1/'ENE-MAR USD AL 18MAR16'!$E$1</f>
        <v>203.85428730158731</v>
      </c>
      <c r="W73" s="126">
        <f>+'ENE-SEP Bs 11NOV2016'!W77/'ENE-MAR USD AL 18MAR16'!$D$1/'ENE-MAR USD AL 18MAR16'!$F$1</f>
        <v>523.25662000000011</v>
      </c>
      <c r="X73" s="126">
        <f>+'ENE-SEP Bs 11NOV2016'!X77/'ENE-MAR USD AL 18MAR16'!$D$1/'ENE-MAR USD AL 18MAR16'!$E$1</f>
        <v>216.44510476190476</v>
      </c>
      <c r="Y73" s="126">
        <f>+'ENE-SEP Bs 11NOV2016'!Y77/'ENE-MAR USD AL 18MAR16'!$D$1/'ENE-MAR USD AL 18MAR16'!$F$1</f>
        <v>529.95290300000011</v>
      </c>
      <c r="Z73" s="126">
        <f>+'ENE-SEP Bs 11NOV2016'!Z77/'ENE-MAR USD AL 18MAR16'!$D$1/'ENE-MAR USD AL 18MAR16'!$E$1</f>
        <v>235.85254126984128</v>
      </c>
      <c r="AA73" s="126">
        <f>+'ENE-SEP Bs 11NOV2016'!AA77/'ENE-MAR USD AL 18MAR16'!$D$1/'ENE-MAR USD AL 18MAR16'!$F$1</f>
        <v>0</v>
      </c>
    </row>
    <row r="74" spans="1:27" x14ac:dyDescent="0.2">
      <c r="A74" s="126"/>
      <c r="B74" s="126" t="s">
        <v>77</v>
      </c>
      <c r="C74" s="126" t="s">
        <v>78</v>
      </c>
      <c r="D74" s="126">
        <f>+'ENE-SEP Bs 11NOV2016'!D78/'ENE-MAR USD AL 18MAR16'!$D$1/'ENE-MAR USD AL 18MAR16'!$E$1</f>
        <v>17.177365079365078</v>
      </c>
      <c r="E74" s="126">
        <f>+'ENE-SEP Bs 11NOV2016'!E78/'ENE-MAR USD AL 18MAR16'!$D$1/'ENE-MAR USD AL 18MAR16'!$E$1</f>
        <v>20.447523809523812</v>
      </c>
      <c r="F74" s="126">
        <f>+'ENE-SEP Bs 11NOV2016'!F78/'ENE-MAR USD AL 18MAR16'!$D$1/'ENE-MAR USD AL 18MAR16'!$E$1</f>
        <v>34.496369841269846</v>
      </c>
      <c r="G74" s="126">
        <f>+'ENE-SEP Bs 11NOV2016'!G78/'ENE-MAR USD AL 18MAR16'!$D$1/'ENE-MAR USD AL 18MAR16'!$E$1</f>
        <v>49.892982539682535</v>
      </c>
      <c r="H74" s="126">
        <f>+'ENE-SEP Bs 11NOV2016'!H78/'ENE-MAR USD AL 18MAR16'!$D$1/'ENE-MAR USD AL 18MAR16'!$E$1</f>
        <v>60.64523333333333</v>
      </c>
      <c r="I74" s="126">
        <f>+'ENE-SEP Bs 11NOV2016'!I78/'ENE-MAR USD AL 18MAR16'!$D$1/'ENE-MAR USD AL 18MAR16'!$F$1</f>
        <v>49.379928999999997</v>
      </c>
      <c r="J74" s="126">
        <f>+'ENE-SEP Bs 11NOV2016'!J78/'ENE-MAR USD AL 18MAR16'!$D$1/'ENE-MAR USD AL 18MAR16'!$E$1</f>
        <v>80.810882539682538</v>
      </c>
      <c r="K74" s="126">
        <f>+'ENE-SEP Bs 11NOV2016'!K78/'ENE-MAR USD AL 18MAR16'!$D$1/'ENE-MAR USD AL 18MAR16'!$F$1</f>
        <v>70.878919999999979</v>
      </c>
      <c r="L74" s="126">
        <f>+'ENE-SEP Bs 11NOV2016'!L78/'ENE-MAR USD AL 18MAR16'!$D$1/'ENE-MAR USD AL 18MAR16'!$E$1</f>
        <v>97.562917460317465</v>
      </c>
      <c r="M74" s="126">
        <f>+'ENE-SEP Bs 11NOV2016'!M78/'ENE-MAR USD AL 18MAR16'!$D$1/'ENE-MAR USD AL 18MAR16'!$F$1</f>
        <v>97.470184999999987</v>
      </c>
      <c r="N74" s="126">
        <f>+'ENE-SEP Bs 11NOV2016'!N78/'ENE-MAR USD AL 18MAR16'!$D$1/'ENE-MAR USD AL 18MAR16'!$E$1</f>
        <v>109.71787142857143</v>
      </c>
      <c r="O74" s="126">
        <f>+'ENE-SEP Bs 11NOV2016'!O78/'ENE-MAR USD AL 18MAR16'!$D$1/'ENE-MAR USD AL 18MAR16'!$F$1</f>
        <v>146.61079499999997</v>
      </c>
      <c r="P74" s="126">
        <f>+'ENE-SEP Bs 11NOV2016'!P78/'ENE-MAR USD AL 18MAR16'!$D$1/'ENE-MAR USD AL 18MAR16'!$E$1</f>
        <v>125.55802539682541</v>
      </c>
      <c r="Q74" s="126">
        <f>+'ENE-SEP Bs 11NOV2016'!Q78/'ENE-MAR USD AL 18MAR16'!$D$1/'ENE-MAR USD AL 18MAR16'!$F$1</f>
        <v>185.75012699999994</v>
      </c>
      <c r="R74" s="126">
        <f>+'ENE-SEP Bs 11NOV2016'!R78/'ENE-MAR USD AL 18MAR16'!$D$1/'ENE-MAR USD AL 18MAR16'!$E$1</f>
        <v>140.9664984126984</v>
      </c>
      <c r="S74" s="126">
        <f>+'ENE-SEP Bs 11NOV2016'!S78/'ENE-MAR USD AL 18MAR16'!$D$1/'ENE-MAR USD AL 18MAR16'!$F$1</f>
        <v>275.78242</v>
      </c>
      <c r="T74" s="126">
        <f>+'ENE-SEP Bs 11NOV2016'!T78/'ENE-MAR USD AL 18MAR16'!$D$1/'ENE-MAR USD AL 18MAR16'!$E$1</f>
        <v>153.96421428571429</v>
      </c>
      <c r="U74" s="126">
        <f>+'ENE-SEP Bs 11NOV2016'!U78/'ENE-MAR USD AL 18MAR16'!$D$1/'ENE-MAR USD AL 18MAR16'!$F$1</f>
        <v>571.878557</v>
      </c>
      <c r="V74" s="126">
        <f>+'ENE-SEP Bs 11NOV2016'!V78/'ENE-MAR USD AL 18MAR16'!$D$1/'ENE-MAR USD AL 18MAR16'!$E$1</f>
        <v>165.08092222222223</v>
      </c>
      <c r="W74" s="126">
        <f>+'ENE-SEP Bs 11NOV2016'!W78/'ENE-MAR USD AL 18MAR16'!$D$1/'ENE-MAR USD AL 18MAR16'!$F$1</f>
        <v>653.08467300000007</v>
      </c>
      <c r="X74" s="126">
        <f>+'ENE-SEP Bs 11NOV2016'!X78/'ENE-MAR USD AL 18MAR16'!$D$1/'ENE-MAR USD AL 18MAR16'!$E$1</f>
        <v>175.73685555555556</v>
      </c>
      <c r="Y74" s="126">
        <f>+'ENE-SEP Bs 11NOV2016'!Y78/'ENE-MAR USD AL 18MAR16'!$D$1/'ENE-MAR USD AL 18MAR16'!$F$1</f>
        <v>717.08316000000002</v>
      </c>
      <c r="Z74" s="126">
        <f>+'ENE-SEP Bs 11NOV2016'!Z78/'ENE-MAR USD AL 18MAR16'!$D$1/'ENE-MAR USD AL 18MAR16'!$E$1</f>
        <v>185.63707460317463</v>
      </c>
      <c r="AA74" s="126">
        <f>+'ENE-SEP Bs 11NOV2016'!AA78/'ENE-MAR USD AL 18MAR16'!$D$1/'ENE-MAR USD AL 18MAR16'!$F$1</f>
        <v>0</v>
      </c>
    </row>
    <row r="75" spans="1:27" s="133" customFormat="1" x14ac:dyDescent="0.2">
      <c r="A75" s="130" t="s">
        <v>4</v>
      </c>
      <c r="B75" s="130"/>
      <c r="C75" s="130"/>
      <c r="D75" s="140">
        <f>SUM(D72:D74)</f>
        <v>47.965161904761899</v>
      </c>
      <c r="E75" s="140">
        <f t="shared" ref="E75:Z75" si="13">SUM(E72:E74)</f>
        <v>74.792087301587316</v>
      </c>
      <c r="F75" s="140">
        <f t="shared" si="13"/>
        <v>107.66520952380952</v>
      </c>
      <c r="G75" s="140">
        <f t="shared" si="13"/>
        <v>189.85944444444442</v>
      </c>
      <c r="H75" s="140">
        <f t="shared" si="13"/>
        <v>163.04649682539682</v>
      </c>
      <c r="I75" s="140">
        <f>SUM(I72:I74)</f>
        <v>154.22714200000001</v>
      </c>
      <c r="J75" s="140">
        <f t="shared" si="13"/>
        <v>211.42773492063492</v>
      </c>
      <c r="K75" s="140">
        <f>SUM(K72:K74)</f>
        <v>238.28705999999994</v>
      </c>
      <c r="L75" s="140">
        <f t="shared" si="13"/>
        <v>256.37785079365079</v>
      </c>
      <c r="M75" s="140">
        <f>SUM(M72:M74)</f>
        <v>285.59753999999998</v>
      </c>
      <c r="N75" s="140">
        <f t="shared" si="13"/>
        <v>293.77989047619047</v>
      </c>
      <c r="O75" s="140">
        <f>SUM(O72:O74)</f>
        <v>415.31194799999992</v>
      </c>
      <c r="P75" s="140">
        <f t="shared" si="13"/>
        <v>332.09269365079365</v>
      </c>
      <c r="Q75" s="140">
        <f>SUM(Q72:Q74)</f>
        <v>559.03044199999988</v>
      </c>
      <c r="R75" s="140">
        <f t="shared" si="13"/>
        <v>369.69257777777773</v>
      </c>
      <c r="S75" s="140">
        <f>SUM(S72:S74)</f>
        <v>755.50079200000005</v>
      </c>
      <c r="T75" s="140">
        <f t="shared" si="13"/>
        <v>405.33313492063496</v>
      </c>
      <c r="U75" s="140">
        <f>SUM(U72:U74)</f>
        <v>1312.9331629999999</v>
      </c>
      <c r="V75" s="140">
        <f t="shared" si="13"/>
        <v>448.86569047619048</v>
      </c>
      <c r="W75" s="140">
        <f>SUM(W72:W74)</f>
        <v>1534.4721070000001</v>
      </c>
      <c r="X75" s="140">
        <f t="shared" si="13"/>
        <v>477.51689841269842</v>
      </c>
      <c r="Y75" s="140">
        <f>SUM(Y72:Y74)</f>
        <v>1612.5753110000001</v>
      </c>
      <c r="Z75" s="140">
        <f t="shared" si="13"/>
        <v>512.01812063492071</v>
      </c>
      <c r="AA75" s="140">
        <f>SUM(AA72:AA74)</f>
        <v>0</v>
      </c>
    </row>
    <row r="76" spans="1:27" s="144" customFormat="1" x14ac:dyDescent="0.2">
      <c r="A76" s="145" t="s">
        <v>79</v>
      </c>
      <c r="B76" s="145"/>
      <c r="C76" s="145"/>
      <c r="D76" s="141">
        <f>SUM(D75,D71,D66,D56,D54,D51,D48,D45,D33,D30,D26,D24,D22,D9)</f>
        <v>61.109203174603174</v>
      </c>
      <c r="E76" s="141">
        <f t="shared" ref="E76:Z76" si="14">SUM(E75,E71,E66,E56,E54,E51,E48,E45,E33,E30,E26,E24,E22,E9)</f>
        <v>124.32492063492064</v>
      </c>
      <c r="F76" s="141">
        <f t="shared" si="14"/>
        <v>140.11419365079368</v>
      </c>
      <c r="G76" s="141">
        <f t="shared" si="14"/>
        <v>281.66129999999998</v>
      </c>
      <c r="H76" s="141">
        <f t="shared" si="14"/>
        <v>228.81988253968254</v>
      </c>
      <c r="I76" s="141">
        <f>SUM(I75,I71,I66,I56,I54,I51,I48,I45,I33,I30,I26,I24,I22,I9)</f>
        <v>207.07382700000002</v>
      </c>
      <c r="J76" s="141">
        <f t="shared" si="14"/>
        <v>322.00595079365075</v>
      </c>
      <c r="K76" s="141">
        <f>SUM(K75,K71,K66,K56,K54,K51,K48,K45,K33,K30,K26,K24,K22,K9)</f>
        <v>347.50222299999996</v>
      </c>
      <c r="L76" s="141">
        <f t="shared" si="14"/>
        <v>409.00804603174606</v>
      </c>
      <c r="M76" s="141">
        <f>SUM(M75,M71,M66,M56,M54,M51,M48,M45,M33,M30,M26,M24,M22,M9)</f>
        <v>432.47210000000007</v>
      </c>
      <c r="N76" s="141">
        <f t="shared" si="14"/>
        <v>499.80041269841263</v>
      </c>
      <c r="O76" s="141">
        <f>SUM(O75,O71,O66,O56,O54,O51,O48,O45,O33,O30,O26,O24,O22,O9)</f>
        <v>577.54659099999981</v>
      </c>
      <c r="P76" s="141">
        <f t="shared" si="14"/>
        <v>601.15497142857157</v>
      </c>
      <c r="Q76" s="141">
        <f>SUM(Q75,Q71,Q66,Q56,Q54,Q51,Q48,Q45,Q33,Q30,Q26,Q24,Q22,Q9)</f>
        <v>763.00509799999986</v>
      </c>
      <c r="R76" s="141">
        <f t="shared" si="14"/>
        <v>724.14523809523803</v>
      </c>
      <c r="S76" s="141">
        <f>SUM(S75,S71,S66,S56,S54,S51,S48,S45,S33,S30,S26,S24,S22,S9)</f>
        <v>1034.5590780000002</v>
      </c>
      <c r="T76" s="141">
        <f t="shared" si="14"/>
        <v>863.05565396825409</v>
      </c>
      <c r="U76" s="141">
        <f>SUM(U75,U71,U66,U56,U54,U51,U48,U45,U33,U30,U26,U24,U22,U9)</f>
        <v>2014.0236579999998</v>
      </c>
      <c r="V76" s="141">
        <f t="shared" si="14"/>
        <v>1026.7414984126983</v>
      </c>
      <c r="W76" s="141">
        <f>SUM(W75,W71,W66,W56,W54,W51,W48,W45,W33,W30,W26,W24,W22,W9)</f>
        <v>1799.3987870000003</v>
      </c>
      <c r="X76" s="141">
        <f t="shared" si="14"/>
        <v>1183.787707936508</v>
      </c>
      <c r="Y76" s="141">
        <f>SUM(Y75,Y71,Y66,Y56,Y54,Y51,Y48,Y45,Y33,Y30,Y26,Y24,Y22,Y9)</f>
        <v>1899.2229790000006</v>
      </c>
      <c r="Z76" s="141">
        <f t="shared" si="14"/>
        <v>1334.5212190476193</v>
      </c>
      <c r="AA76" s="141">
        <f>SUM(AA75,AA71,AA66,AA56,AA54,AA51,AA48,AA45,AA33,AA30,AA26,AA24,AA22,AA9)</f>
        <v>0</v>
      </c>
    </row>
    <row r="77" spans="1:27" x14ac:dyDescent="0.2">
      <c r="G77" s="90">
        <f>+G75-'HAB-POR EC M$'!C288</f>
        <v>1.553650793084671E-5</v>
      </c>
    </row>
  </sheetData>
  <mergeCells count="14">
    <mergeCell ref="A2:C2"/>
    <mergeCell ref="D4:E4"/>
    <mergeCell ref="F4:G4"/>
    <mergeCell ref="H4:I4"/>
    <mergeCell ref="A3:C3"/>
    <mergeCell ref="Z4:AA4"/>
    <mergeCell ref="J4:K4"/>
    <mergeCell ref="L4:M4"/>
    <mergeCell ref="T4:U4"/>
    <mergeCell ref="P4:Q4"/>
    <mergeCell ref="R4:S4"/>
    <mergeCell ref="V4:W4"/>
    <mergeCell ref="N4:O4"/>
    <mergeCell ref="X4:Y4"/>
  </mergeCells>
  <phoneticPr fontId="16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T356"/>
  <sheetViews>
    <sheetView showGridLines="0" zoomScale="80" zoomScaleNormal="80" workbookViewId="0">
      <pane ySplit="7755" topLeftCell="A286" activePane="bottomLeft"/>
      <selection activeCell="C21" sqref="C21"/>
      <selection pane="bottomLeft" activeCell="L287" sqref="L287"/>
    </sheetView>
  </sheetViews>
  <sheetFormatPr baseColWidth="10" defaultRowHeight="12.75" x14ac:dyDescent="0.2"/>
  <cols>
    <col min="1" max="1" width="19" style="87" customWidth="1"/>
    <col min="2" max="2" width="13.42578125" style="15" customWidth="1"/>
    <col min="3" max="3" width="13.7109375" style="15" customWidth="1"/>
    <col min="4" max="5" width="14.42578125" style="15" customWidth="1"/>
    <col min="6" max="6" width="13.5703125" style="15" bestFit="1" customWidth="1"/>
    <col min="7" max="7" width="15.28515625" style="15" customWidth="1"/>
    <col min="8" max="8" width="12.5703125" style="15" bestFit="1" customWidth="1"/>
    <col min="9" max="9" width="13.85546875" style="15" bestFit="1" customWidth="1"/>
    <col min="10" max="11" width="14.28515625" style="14" bestFit="1" customWidth="1"/>
    <col min="12" max="12" width="15" style="14" bestFit="1" customWidth="1"/>
    <col min="13" max="13" width="11.28515625" style="14" hidden="1" customWidth="1"/>
    <col min="14" max="14" width="12.85546875" style="202" bestFit="1" customWidth="1"/>
    <col min="15" max="15" width="12.140625" style="202" bestFit="1" customWidth="1"/>
    <col min="16" max="16" width="10.140625" style="202" bestFit="1" customWidth="1"/>
    <col min="17" max="17" width="12.85546875" style="202" bestFit="1" customWidth="1"/>
    <col min="18" max="18" width="12.140625" style="202" bestFit="1" customWidth="1"/>
    <col min="19" max="19" width="11.42578125" style="168"/>
    <col min="20" max="20" width="11.42578125" style="124"/>
    <col min="21" max="16384" width="11.42578125" style="16"/>
  </cols>
  <sheetData>
    <row r="1" spans="1:20" s="7" customFormat="1" x14ac:dyDescent="0.2">
      <c r="A1" s="3" t="s">
        <v>80</v>
      </c>
      <c r="B1" s="4"/>
      <c r="C1" s="4"/>
      <c r="D1" s="5"/>
      <c r="E1" s="5"/>
      <c r="F1" s="6"/>
      <c r="G1" s="6"/>
      <c r="H1" s="6"/>
      <c r="I1" s="6"/>
      <c r="J1" s="6"/>
      <c r="K1" s="6"/>
      <c r="L1" s="6"/>
      <c r="M1" s="6"/>
      <c r="N1" s="202"/>
      <c r="O1" s="202"/>
      <c r="P1" s="202"/>
      <c r="Q1" s="202"/>
      <c r="R1" s="202"/>
      <c r="S1" s="168"/>
      <c r="T1" s="241"/>
    </row>
    <row r="2" spans="1:20" s="7" customFormat="1" x14ac:dyDescent="0.2">
      <c r="A2" s="3" t="s">
        <v>287</v>
      </c>
      <c r="B2" s="4"/>
      <c r="C2" s="4"/>
      <c r="D2" s="6"/>
      <c r="E2" s="8"/>
      <c r="F2" s="6"/>
      <c r="G2" s="6"/>
      <c r="H2" s="6"/>
      <c r="I2" s="6"/>
      <c r="J2" s="6"/>
      <c r="K2" s="6"/>
      <c r="L2" s="6"/>
      <c r="M2" s="6"/>
      <c r="N2" s="202"/>
      <c r="O2" s="202"/>
      <c r="P2" s="202"/>
      <c r="Q2" s="202"/>
      <c r="R2" s="202"/>
      <c r="S2" s="168"/>
      <c r="T2" s="241"/>
    </row>
    <row r="3" spans="1:20" s="7" customFormat="1" x14ac:dyDescent="0.2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02"/>
      <c r="O3" s="202"/>
      <c r="P3" s="202"/>
      <c r="Q3" s="202"/>
      <c r="R3" s="202"/>
      <c r="S3" s="168"/>
      <c r="T3" s="241"/>
    </row>
    <row r="4" spans="1:20" s="10" customFormat="1" x14ac:dyDescent="0.2">
      <c r="A4" s="267" t="s">
        <v>276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02"/>
      <c r="O4" s="202"/>
      <c r="P4" s="202"/>
      <c r="Q4" s="202"/>
      <c r="R4" s="202"/>
      <c r="S4" s="168"/>
      <c r="T4" s="124"/>
    </row>
    <row r="5" spans="1:20" x14ac:dyDescent="0.2">
      <c r="A5" s="11"/>
      <c r="B5" s="12"/>
      <c r="C5" s="12"/>
      <c r="D5" s="12"/>
      <c r="E5" s="12"/>
      <c r="F5" s="12"/>
      <c r="G5" s="12"/>
      <c r="H5" s="12"/>
      <c r="I5" s="12"/>
      <c r="J5" s="13"/>
      <c r="L5" s="13"/>
      <c r="M5" s="13"/>
    </row>
    <row r="6" spans="1:20" x14ac:dyDescent="0.2">
      <c r="A6" s="17"/>
      <c r="B6" s="12"/>
      <c r="C6" s="12"/>
      <c r="D6" s="12"/>
      <c r="E6" s="12"/>
      <c r="F6" s="12"/>
      <c r="G6" s="12"/>
      <c r="H6" s="12"/>
      <c r="I6" s="12"/>
      <c r="J6" s="13"/>
      <c r="L6" s="13"/>
      <c r="M6" s="13"/>
    </row>
    <row r="7" spans="1:20" s="10" customFormat="1" x14ac:dyDescent="0.2">
      <c r="A7" s="18" t="s">
        <v>81</v>
      </c>
      <c r="B7" s="62" t="s">
        <v>82</v>
      </c>
      <c r="C7" s="62" t="s">
        <v>83</v>
      </c>
      <c r="D7" s="62" t="s">
        <v>84</v>
      </c>
      <c r="E7" s="62" t="s">
        <v>85</v>
      </c>
      <c r="F7" s="62" t="s">
        <v>86</v>
      </c>
      <c r="G7" s="62" t="s">
        <v>87</v>
      </c>
      <c r="H7" s="62" t="s">
        <v>88</v>
      </c>
      <c r="I7" s="62" t="s">
        <v>198</v>
      </c>
      <c r="J7" s="62" t="s">
        <v>89</v>
      </c>
      <c r="K7" s="62" t="s">
        <v>90</v>
      </c>
      <c r="L7" s="62" t="s">
        <v>91</v>
      </c>
      <c r="M7" s="62" t="s">
        <v>92</v>
      </c>
      <c r="N7" s="203" t="s">
        <v>213</v>
      </c>
      <c r="O7" s="202"/>
      <c r="P7" s="202"/>
      <c r="Q7" s="202"/>
      <c r="R7" s="202"/>
      <c r="S7" s="168"/>
      <c r="T7" s="124"/>
    </row>
    <row r="8" spans="1:20" s="24" customFormat="1" x14ac:dyDescent="0.2">
      <c r="A8" s="21" t="s">
        <v>93</v>
      </c>
      <c r="B8" s="26">
        <v>1951.82</v>
      </c>
      <c r="C8" s="26">
        <v>4128.95</v>
      </c>
      <c r="D8" s="26">
        <v>10506.82905</v>
      </c>
      <c r="E8" s="26">
        <v>13883.519619999999</v>
      </c>
      <c r="F8" s="26">
        <v>17498.901999999998</v>
      </c>
      <c r="G8" s="26">
        <v>22308.953010000001</v>
      </c>
      <c r="H8" s="26">
        <v>27806.408009999999</v>
      </c>
      <c r="I8" s="27">
        <v>33741.784679999997</v>
      </c>
      <c r="J8" s="27">
        <v>42157.933210000003</v>
      </c>
      <c r="K8" s="27">
        <v>50490.542410000002</v>
      </c>
      <c r="L8" s="27">
        <v>50490.542410000002</v>
      </c>
      <c r="M8" s="27"/>
      <c r="N8" s="204"/>
      <c r="O8" s="202"/>
      <c r="P8" s="204"/>
      <c r="Q8" s="204"/>
      <c r="R8" s="204"/>
      <c r="S8" s="50"/>
    </row>
    <row r="9" spans="1:20" s="24" customFormat="1" x14ac:dyDescent="0.2">
      <c r="A9" s="21" t="s">
        <v>94</v>
      </c>
      <c r="B9" s="26">
        <v>368.91</v>
      </c>
      <c r="C9" s="26">
        <v>880.84</v>
      </c>
      <c r="D9" s="26">
        <v>2319.9205200000001</v>
      </c>
      <c r="E9" s="26">
        <v>3518.1249499999999</v>
      </c>
      <c r="F9" s="26">
        <v>5871.3280599999998</v>
      </c>
      <c r="G9" s="26">
        <v>8779.0497899999991</v>
      </c>
      <c r="H9" s="26">
        <v>10804.212740000001</v>
      </c>
      <c r="I9" s="27">
        <v>13586.10757</v>
      </c>
      <c r="J9" s="27">
        <v>82488.816149999999</v>
      </c>
      <c r="K9" s="27">
        <v>86574.881049999996</v>
      </c>
      <c r="L9" s="27">
        <v>86574.881049999996</v>
      </c>
      <c r="M9" s="27"/>
      <c r="N9" s="204"/>
      <c r="O9" s="202"/>
      <c r="P9" s="204"/>
      <c r="Q9" s="204"/>
      <c r="R9" s="204"/>
      <c r="S9" s="50"/>
    </row>
    <row r="10" spans="1:20" s="24" customFormat="1" x14ac:dyDescent="0.2">
      <c r="A10" s="21" t="s">
        <v>95</v>
      </c>
      <c r="B10" s="26"/>
      <c r="C10" s="26"/>
      <c r="D10" s="26">
        <v>2.4129999999999998</v>
      </c>
      <c r="E10" s="26">
        <v>2.4129999999999998</v>
      </c>
      <c r="F10" s="26">
        <v>6.2130000000000001</v>
      </c>
      <c r="G10" s="26">
        <v>6.2130000000000001</v>
      </c>
      <c r="H10" s="26">
        <v>332.34300000000002</v>
      </c>
      <c r="I10" s="27">
        <v>332.34300000000002</v>
      </c>
      <c r="J10" s="27">
        <v>4534.8879999999999</v>
      </c>
      <c r="K10" s="27">
        <v>6034.8879999999999</v>
      </c>
      <c r="L10" s="27">
        <v>6357.8329999999996</v>
      </c>
      <c r="M10" s="27"/>
      <c r="N10" s="204"/>
      <c r="O10" s="202"/>
      <c r="P10" s="204"/>
      <c r="Q10" s="204"/>
      <c r="R10" s="204"/>
      <c r="S10" s="50"/>
    </row>
    <row r="11" spans="1:20" s="24" customFormat="1" x14ac:dyDescent="0.2">
      <c r="A11" s="21" t="s">
        <v>96</v>
      </c>
      <c r="B11" s="26">
        <v>246.02</v>
      </c>
      <c r="C11" s="26">
        <v>1094.53</v>
      </c>
      <c r="D11" s="26">
        <v>1605.5783300000001</v>
      </c>
      <c r="E11" s="26">
        <v>3556.2125700000001</v>
      </c>
      <c r="F11" s="26">
        <v>5041.4508400000004</v>
      </c>
      <c r="G11" s="26">
        <v>6224.6747699999996</v>
      </c>
      <c r="H11" s="26">
        <v>7383.7206500000002</v>
      </c>
      <c r="I11" s="27">
        <v>8784.9824399999998</v>
      </c>
      <c r="J11" s="27">
        <v>11266.40064</v>
      </c>
      <c r="K11" s="27">
        <v>16721.918000000001</v>
      </c>
      <c r="L11" s="27">
        <v>17557.876779999999</v>
      </c>
      <c r="M11" s="27"/>
      <c r="N11" s="204"/>
      <c r="O11" s="202"/>
      <c r="P11" s="204"/>
      <c r="Q11" s="204"/>
      <c r="R11" s="204"/>
      <c r="S11" s="50"/>
    </row>
    <row r="12" spans="1:20" s="24" customFormat="1" x14ac:dyDescent="0.2">
      <c r="A12" s="21" t="s">
        <v>97</v>
      </c>
      <c r="B12" s="22"/>
      <c r="C12" s="22"/>
      <c r="D12" s="22"/>
      <c r="E12" s="155">
        <v>173.4331</v>
      </c>
      <c r="F12" s="155">
        <v>173.4331</v>
      </c>
      <c r="G12" s="22">
        <v>173.4331</v>
      </c>
      <c r="H12" s="22"/>
      <c r="I12" s="22"/>
      <c r="J12" s="220"/>
      <c r="K12" s="220"/>
      <c r="L12" s="220"/>
      <c r="M12" s="95"/>
      <c r="N12" s="204"/>
      <c r="O12" s="202"/>
      <c r="P12" s="204"/>
      <c r="Q12" s="204"/>
      <c r="R12" s="204"/>
      <c r="S12" s="50"/>
    </row>
    <row r="13" spans="1:20" s="32" customFormat="1" x14ac:dyDescent="0.2">
      <c r="A13" s="30" t="s">
        <v>98</v>
      </c>
      <c r="B13" s="31">
        <f>SUM(B8:B12)</f>
        <v>2566.75</v>
      </c>
      <c r="C13" s="31">
        <f t="shared" ref="C13:M13" si="0">SUM(C8:C12)</f>
        <v>6104.32</v>
      </c>
      <c r="D13" s="31">
        <f t="shared" si="0"/>
        <v>14434.740900000001</v>
      </c>
      <c r="E13" s="31">
        <f t="shared" si="0"/>
        <v>21133.703239999999</v>
      </c>
      <c r="F13" s="31">
        <f t="shared" si="0"/>
        <v>28591.326999999997</v>
      </c>
      <c r="G13" s="31">
        <f t="shared" si="0"/>
        <v>37492.323670000005</v>
      </c>
      <c r="H13" s="31">
        <f t="shared" si="0"/>
        <v>46326.684400000006</v>
      </c>
      <c r="I13" s="31">
        <f t="shared" si="0"/>
        <v>56445.217689999998</v>
      </c>
      <c r="J13" s="31">
        <f t="shared" si="0"/>
        <v>140448.038</v>
      </c>
      <c r="K13" s="31">
        <f t="shared" si="0"/>
        <v>159822.22946</v>
      </c>
      <c r="L13" s="31">
        <f t="shared" si="0"/>
        <v>160981.13324</v>
      </c>
      <c r="M13" s="31">
        <f t="shared" si="0"/>
        <v>0</v>
      </c>
      <c r="N13" s="205"/>
      <c r="O13" s="202"/>
      <c r="P13" s="205"/>
      <c r="Q13" s="205"/>
      <c r="R13" s="205"/>
      <c r="S13" s="194"/>
      <c r="T13" s="24"/>
    </row>
    <row r="14" spans="1:20" s="24" customFormat="1" x14ac:dyDescent="0.2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206"/>
      <c r="O14" s="202"/>
      <c r="P14" s="206"/>
      <c r="Q14" s="206"/>
      <c r="R14" s="206"/>
      <c r="S14" s="195"/>
    </row>
    <row r="15" spans="1:20" s="10" customFormat="1" x14ac:dyDescent="0.2">
      <c r="A15" s="18" t="s">
        <v>99</v>
      </c>
      <c r="B15" s="62" t="s">
        <v>82</v>
      </c>
      <c r="C15" s="62" t="s">
        <v>83</v>
      </c>
      <c r="D15" s="62" t="s">
        <v>84</v>
      </c>
      <c r="E15" s="62" t="s">
        <v>85</v>
      </c>
      <c r="F15" s="62" t="s">
        <v>86</v>
      </c>
      <c r="G15" s="62" t="s">
        <v>87</v>
      </c>
      <c r="H15" s="62" t="s">
        <v>88</v>
      </c>
      <c r="I15" s="62" t="s">
        <v>198</v>
      </c>
      <c r="J15" s="62" t="s">
        <v>89</v>
      </c>
      <c r="K15" s="62" t="s">
        <v>90</v>
      </c>
      <c r="L15" s="62" t="s">
        <v>91</v>
      </c>
      <c r="M15" s="62" t="s">
        <v>92</v>
      </c>
      <c r="N15" s="207"/>
      <c r="O15" s="202"/>
      <c r="P15" s="207"/>
      <c r="Q15" s="207"/>
      <c r="R15" s="207"/>
      <c r="S15" s="196"/>
      <c r="T15" s="124"/>
    </row>
    <row r="16" spans="1:20" s="24" customFormat="1" x14ac:dyDescent="0.2">
      <c r="A16" s="21" t="s">
        <v>93</v>
      </c>
      <c r="B16" s="27">
        <v>1552.52</v>
      </c>
      <c r="C16" s="27">
        <v>3238.2</v>
      </c>
      <c r="D16" s="27">
        <v>8305.2113599999993</v>
      </c>
      <c r="E16" s="27">
        <v>11046.19492</v>
      </c>
      <c r="F16" s="26">
        <v>13414.616330000001</v>
      </c>
      <c r="G16" s="26">
        <v>16932.993330000001</v>
      </c>
      <c r="H16" s="27">
        <v>20562.001059999999</v>
      </c>
      <c r="I16" s="27">
        <v>24039.23847</v>
      </c>
      <c r="J16" s="27">
        <v>29616.624769999999</v>
      </c>
      <c r="K16" s="27">
        <v>35278.329360000003</v>
      </c>
      <c r="L16" s="27">
        <v>35278.329360000003</v>
      </c>
      <c r="M16" s="27"/>
      <c r="N16" s="206"/>
      <c r="O16" s="202"/>
      <c r="P16" s="206"/>
      <c r="Q16" s="206"/>
      <c r="R16" s="206"/>
      <c r="S16" s="195"/>
    </row>
    <row r="17" spans="1:20" s="24" customFormat="1" ht="12" x14ac:dyDescent="0.2">
      <c r="A17" s="21" t="s">
        <v>94</v>
      </c>
      <c r="B17" s="27">
        <v>334.23</v>
      </c>
      <c r="C17" s="27">
        <v>591.16999999999996</v>
      </c>
      <c r="D17" s="27">
        <v>1259.6394</v>
      </c>
      <c r="E17" s="27">
        <v>2138.4702499999999</v>
      </c>
      <c r="F17" s="26">
        <v>3747.9812999999999</v>
      </c>
      <c r="G17" s="26">
        <v>5810.5560299999997</v>
      </c>
      <c r="H17" s="27">
        <v>7089.7447099999999</v>
      </c>
      <c r="I17" s="27">
        <v>8890.5476299999991</v>
      </c>
      <c r="J17" s="27">
        <v>54055.772599999997</v>
      </c>
      <c r="K17" s="27">
        <v>57145.735220000002</v>
      </c>
      <c r="L17" s="27">
        <v>57145.735220000002</v>
      </c>
      <c r="M17" s="27"/>
      <c r="N17" s="206"/>
      <c r="O17" s="206"/>
      <c r="P17" s="206"/>
      <c r="Q17" s="206"/>
      <c r="R17" s="206"/>
      <c r="S17" s="195"/>
    </row>
    <row r="18" spans="1:20" s="24" customFormat="1" ht="12" x14ac:dyDescent="0.2">
      <c r="A18" s="21" t="s">
        <v>95</v>
      </c>
      <c r="B18" s="27"/>
      <c r="C18" s="27"/>
      <c r="D18" s="27"/>
      <c r="E18" s="27"/>
      <c r="F18" s="26"/>
      <c r="G18" s="26"/>
      <c r="H18" s="27"/>
      <c r="I18" s="27"/>
      <c r="J18" s="27"/>
      <c r="K18" s="27"/>
      <c r="L18" s="27"/>
      <c r="M18" s="27"/>
      <c r="N18" s="206"/>
      <c r="O18" s="206"/>
      <c r="P18" s="206"/>
      <c r="Q18" s="206"/>
      <c r="R18" s="206"/>
      <c r="S18" s="195"/>
    </row>
    <row r="19" spans="1:20" s="24" customFormat="1" ht="12" x14ac:dyDescent="0.2">
      <c r="A19" s="21" t="s">
        <v>96</v>
      </c>
      <c r="B19" s="27">
        <v>1250.6099999999999</v>
      </c>
      <c r="C19" s="27">
        <v>3777.75</v>
      </c>
      <c r="D19" s="27">
        <v>5196.0107099999996</v>
      </c>
      <c r="E19" s="27">
        <v>7359.5885600000001</v>
      </c>
      <c r="F19" s="26">
        <v>8246.2517200000002</v>
      </c>
      <c r="G19" s="26">
        <v>10993.039839999999</v>
      </c>
      <c r="H19" s="27">
        <v>13450.71142</v>
      </c>
      <c r="I19" s="27">
        <v>15707.91949</v>
      </c>
      <c r="J19" s="27">
        <v>20700.958930000001</v>
      </c>
      <c r="K19" s="27">
        <v>25620.55558</v>
      </c>
      <c r="L19" s="27">
        <v>27227.95939</v>
      </c>
      <c r="M19" s="27"/>
      <c r="N19" s="206"/>
      <c r="O19" s="206"/>
      <c r="P19" s="206"/>
      <c r="Q19" s="206"/>
      <c r="R19" s="206"/>
      <c r="S19" s="195"/>
    </row>
    <row r="20" spans="1:20" s="24" customFormat="1" ht="12" x14ac:dyDescent="0.2">
      <c r="A20" s="21" t="s">
        <v>97</v>
      </c>
      <c r="B20" s="27"/>
      <c r="C20" s="27"/>
      <c r="D20" s="27"/>
      <c r="E20" s="26"/>
      <c r="F20" s="155"/>
      <c r="G20" s="22"/>
      <c r="H20" s="26"/>
      <c r="I20" s="26"/>
      <c r="J20" s="219"/>
      <c r="K20" s="219"/>
      <c r="L20" s="219"/>
      <c r="M20" s="91"/>
      <c r="N20" s="206"/>
      <c r="O20" s="206"/>
      <c r="P20" s="206"/>
      <c r="Q20" s="206"/>
      <c r="R20" s="206"/>
      <c r="S20" s="195"/>
    </row>
    <row r="21" spans="1:20" s="32" customFormat="1" ht="12" x14ac:dyDescent="0.2">
      <c r="A21" s="30" t="s">
        <v>98</v>
      </c>
      <c r="B21" s="64">
        <f>SUM(B16:B20)</f>
        <v>3137.3599999999997</v>
      </c>
      <c r="C21" s="64">
        <f t="shared" ref="C21:M21" si="1">SUM(C16:C20)</f>
        <v>7607.12</v>
      </c>
      <c r="D21" s="64">
        <f t="shared" si="1"/>
        <v>14760.86147</v>
      </c>
      <c r="E21" s="64">
        <f t="shared" si="1"/>
        <v>20544.25373</v>
      </c>
      <c r="F21" s="64">
        <f t="shared" si="1"/>
        <v>25408.84935</v>
      </c>
      <c r="G21" s="64">
        <f t="shared" si="1"/>
        <v>33736.589200000002</v>
      </c>
      <c r="H21" s="64">
        <f t="shared" si="1"/>
        <v>41102.457190000001</v>
      </c>
      <c r="I21" s="64">
        <f t="shared" si="1"/>
        <v>48637.705589999998</v>
      </c>
      <c r="J21" s="64">
        <f t="shared" si="1"/>
        <v>104373.35629999998</v>
      </c>
      <c r="K21" s="64">
        <f t="shared" si="1"/>
        <v>118044.62016000001</v>
      </c>
      <c r="L21" s="64">
        <f t="shared" si="1"/>
        <v>119652.02397000001</v>
      </c>
      <c r="M21" s="64">
        <f t="shared" si="1"/>
        <v>0</v>
      </c>
      <c r="N21" s="206"/>
      <c r="O21" s="206"/>
      <c r="P21" s="206"/>
      <c r="Q21" s="206"/>
      <c r="R21" s="206"/>
      <c r="S21" s="195"/>
      <c r="T21" s="24"/>
    </row>
    <row r="22" spans="1:20" s="24" customFormat="1" x14ac:dyDescent="0.2">
      <c r="A22" s="44"/>
      <c r="B22" s="45"/>
      <c r="C22" s="45"/>
      <c r="D22" s="45"/>
      <c r="E22" s="45"/>
      <c r="F22" s="45"/>
      <c r="G22" s="45"/>
      <c r="H22" s="45"/>
      <c r="I22" s="46"/>
      <c r="J22" s="46"/>
      <c r="K22" s="46"/>
      <c r="L22" s="46"/>
      <c r="M22" s="46"/>
      <c r="N22" s="204"/>
      <c r="O22" s="204"/>
      <c r="P22" s="204"/>
      <c r="Q22" s="204"/>
      <c r="R22" s="204"/>
      <c r="S22" s="50"/>
    </row>
    <row r="23" spans="1:20" s="47" customFormat="1" x14ac:dyDescent="0.2">
      <c r="A23" s="18" t="s">
        <v>100</v>
      </c>
      <c r="B23" s="62" t="s">
        <v>82</v>
      </c>
      <c r="C23" s="62" t="s">
        <v>83</v>
      </c>
      <c r="D23" s="62" t="s">
        <v>84</v>
      </c>
      <c r="E23" s="62" t="s">
        <v>85</v>
      </c>
      <c r="F23" s="62" t="s">
        <v>86</v>
      </c>
      <c r="G23" s="62" t="s">
        <v>87</v>
      </c>
      <c r="H23" s="62" t="s">
        <v>88</v>
      </c>
      <c r="I23" s="62" t="s">
        <v>198</v>
      </c>
      <c r="J23" s="62" t="s">
        <v>89</v>
      </c>
      <c r="K23" s="62" t="s">
        <v>90</v>
      </c>
      <c r="L23" s="62" t="s">
        <v>91</v>
      </c>
      <c r="M23" s="62" t="s">
        <v>92</v>
      </c>
      <c r="N23" s="208"/>
      <c r="O23" s="208"/>
      <c r="P23" s="208"/>
      <c r="Q23" s="208"/>
      <c r="R23" s="208"/>
      <c r="S23" s="197"/>
      <c r="T23" s="242"/>
    </row>
    <row r="24" spans="1:20" s="24" customFormat="1" ht="12" x14ac:dyDescent="0.2">
      <c r="A24" s="21" t="s">
        <v>93</v>
      </c>
      <c r="B24" s="48">
        <v>1991.93</v>
      </c>
      <c r="C24" s="48">
        <v>3705.34</v>
      </c>
      <c r="D24" s="27">
        <v>8296.2483499999998</v>
      </c>
      <c r="E24" s="27">
        <v>10998.36197</v>
      </c>
      <c r="F24" s="26">
        <v>13709.28673</v>
      </c>
      <c r="G24" s="26">
        <v>17069.539229999998</v>
      </c>
      <c r="H24" s="27">
        <v>20974.83008</v>
      </c>
      <c r="I24" s="49">
        <v>24644.174800000001</v>
      </c>
      <c r="J24" s="49">
        <v>30117.993129999999</v>
      </c>
      <c r="K24" s="49">
        <v>35766.32705</v>
      </c>
      <c r="L24" s="27">
        <v>35766.32705</v>
      </c>
      <c r="M24" s="49"/>
      <c r="N24" s="206"/>
      <c r="O24" s="206"/>
      <c r="P24" s="206"/>
      <c r="Q24" s="206"/>
      <c r="R24" s="206"/>
      <c r="S24" s="195"/>
    </row>
    <row r="25" spans="1:20" s="24" customFormat="1" ht="12" x14ac:dyDescent="0.2">
      <c r="A25" s="21" t="s">
        <v>94</v>
      </c>
      <c r="B25" s="48">
        <v>626.64</v>
      </c>
      <c r="C25" s="48">
        <v>975.62</v>
      </c>
      <c r="D25" s="27">
        <v>1814.49217</v>
      </c>
      <c r="E25" s="27">
        <v>2886.8176800000001</v>
      </c>
      <c r="F25" s="26">
        <v>4980.2762700000003</v>
      </c>
      <c r="G25" s="26">
        <v>7279.2057699999996</v>
      </c>
      <c r="H25" s="27">
        <v>9067.6481199999998</v>
      </c>
      <c r="I25" s="49">
        <v>11447.099469999999</v>
      </c>
      <c r="J25" s="49">
        <v>70719.664799999999</v>
      </c>
      <c r="K25" s="49">
        <v>74236.323709999997</v>
      </c>
      <c r="L25" s="27">
        <v>74236.323709999997</v>
      </c>
      <c r="M25" s="49"/>
      <c r="N25" s="206"/>
      <c r="O25" s="206"/>
      <c r="P25" s="206"/>
      <c r="Q25" s="206"/>
      <c r="R25" s="206"/>
      <c r="S25" s="195"/>
    </row>
    <row r="26" spans="1:20" s="24" customFormat="1" ht="12" x14ac:dyDescent="0.2">
      <c r="A26" s="21" t="s">
        <v>95</v>
      </c>
      <c r="B26" s="48"/>
      <c r="C26" s="48"/>
      <c r="D26" s="27">
        <v>40</v>
      </c>
      <c r="E26" s="27">
        <v>40</v>
      </c>
      <c r="F26" s="26">
        <v>40</v>
      </c>
      <c r="G26" s="26">
        <v>40</v>
      </c>
      <c r="H26" s="27">
        <v>44.5</v>
      </c>
      <c r="I26" s="49">
        <v>44.5</v>
      </c>
      <c r="J26" s="49">
        <v>3183.28</v>
      </c>
      <c r="K26" s="49">
        <v>3183.28</v>
      </c>
      <c r="L26" s="27">
        <v>3183.28</v>
      </c>
      <c r="M26" s="49"/>
      <c r="N26" s="206"/>
      <c r="O26" s="206"/>
      <c r="P26" s="206"/>
      <c r="Q26" s="206"/>
      <c r="R26" s="206"/>
      <c r="S26" s="195"/>
    </row>
    <row r="27" spans="1:20" s="24" customFormat="1" ht="12" x14ac:dyDescent="0.2">
      <c r="A27" s="21" t="s">
        <v>96</v>
      </c>
      <c r="B27" s="48">
        <v>1753.39</v>
      </c>
      <c r="C27" s="48">
        <v>5347.07</v>
      </c>
      <c r="D27" s="27">
        <v>7101.0289400000001</v>
      </c>
      <c r="E27" s="27">
        <v>8837.9171800000004</v>
      </c>
      <c r="F27" s="26">
        <v>11110.21905</v>
      </c>
      <c r="G27" s="26">
        <v>11850.189060000001</v>
      </c>
      <c r="H27" s="27">
        <v>13957.184869999999</v>
      </c>
      <c r="I27" s="49">
        <v>16077.82754</v>
      </c>
      <c r="J27" s="49">
        <v>18163.963449999999</v>
      </c>
      <c r="K27" s="49">
        <v>25646.4306</v>
      </c>
      <c r="L27" s="27">
        <v>25996.47392</v>
      </c>
      <c r="M27" s="49"/>
      <c r="N27" s="206"/>
      <c r="O27" s="206"/>
      <c r="P27" s="206"/>
      <c r="Q27" s="206"/>
      <c r="R27" s="206"/>
      <c r="S27" s="195"/>
    </row>
    <row r="28" spans="1:20" s="24" customFormat="1" ht="12" x14ac:dyDescent="0.2">
      <c r="A28" s="21" t="s">
        <v>97</v>
      </c>
      <c r="B28" s="48"/>
      <c r="C28" s="48"/>
      <c r="D28" s="27"/>
      <c r="E28" s="27"/>
      <c r="F28" s="155"/>
      <c r="G28" s="22"/>
      <c r="H28" s="26"/>
      <c r="I28" s="49"/>
      <c r="J28" s="226"/>
      <c r="K28" s="226"/>
      <c r="L28" s="219"/>
      <c r="M28" s="92"/>
      <c r="N28" s="206"/>
      <c r="O28" s="206"/>
      <c r="P28" s="206"/>
      <c r="Q28" s="206"/>
      <c r="R28" s="206"/>
      <c r="S28" s="195"/>
    </row>
    <row r="29" spans="1:20" s="32" customFormat="1" ht="12" x14ac:dyDescent="0.2">
      <c r="A29" s="30" t="s">
        <v>98</v>
      </c>
      <c r="B29" s="64">
        <f>SUM(B24:B28)</f>
        <v>4371.96</v>
      </c>
      <c r="C29" s="64">
        <f t="shared" ref="C29:M29" si="2">SUM(C24:C28)</f>
        <v>10028.029999999999</v>
      </c>
      <c r="D29" s="64">
        <f t="shared" si="2"/>
        <v>17251.76946</v>
      </c>
      <c r="E29" s="64">
        <f t="shared" si="2"/>
        <v>22763.096830000002</v>
      </c>
      <c r="F29" s="64">
        <f t="shared" si="2"/>
        <v>29839.782050000002</v>
      </c>
      <c r="G29" s="64">
        <f t="shared" si="2"/>
        <v>36238.93406</v>
      </c>
      <c r="H29" s="64">
        <f t="shared" si="2"/>
        <v>44044.163069999995</v>
      </c>
      <c r="I29" s="64">
        <f t="shared" si="2"/>
        <v>52213.60181</v>
      </c>
      <c r="J29" s="64">
        <f t="shared" si="2"/>
        <v>122184.90138</v>
      </c>
      <c r="K29" s="64">
        <f t="shared" si="2"/>
        <v>138832.36135999998</v>
      </c>
      <c r="L29" s="64">
        <f t="shared" si="2"/>
        <v>139182.40467999998</v>
      </c>
      <c r="M29" s="64">
        <f t="shared" si="2"/>
        <v>0</v>
      </c>
      <c r="N29" s="206"/>
      <c r="O29" s="206"/>
      <c r="P29" s="206"/>
      <c r="Q29" s="206"/>
      <c r="R29" s="206"/>
      <c r="S29" s="195"/>
      <c r="T29" s="24"/>
    </row>
    <row r="30" spans="1:20" s="24" customFormat="1" ht="12" x14ac:dyDescent="0.2">
      <c r="A30" s="51"/>
      <c r="B30" s="52"/>
      <c r="C30" s="45"/>
      <c r="D30" s="45"/>
      <c r="E30" s="45"/>
      <c r="F30" s="45"/>
      <c r="G30" s="45"/>
      <c r="H30" s="45"/>
      <c r="I30" s="46"/>
      <c r="J30" s="46"/>
      <c r="K30" s="46"/>
      <c r="L30" s="46"/>
      <c r="M30" s="46"/>
      <c r="N30" s="204"/>
      <c r="O30" s="204"/>
      <c r="P30" s="204"/>
      <c r="Q30" s="204"/>
      <c r="R30" s="204"/>
      <c r="S30" s="50"/>
    </row>
    <row r="31" spans="1:20" s="47" customFormat="1" x14ac:dyDescent="0.2">
      <c r="A31" s="18" t="s">
        <v>101</v>
      </c>
      <c r="B31" s="62" t="s">
        <v>82</v>
      </c>
      <c r="C31" s="62" t="s">
        <v>83</v>
      </c>
      <c r="D31" s="62" t="s">
        <v>84</v>
      </c>
      <c r="E31" s="62" t="s">
        <v>85</v>
      </c>
      <c r="F31" s="62" t="s">
        <v>86</v>
      </c>
      <c r="G31" s="62" t="s">
        <v>87</v>
      </c>
      <c r="H31" s="62" t="s">
        <v>88</v>
      </c>
      <c r="I31" s="62" t="s">
        <v>198</v>
      </c>
      <c r="J31" s="62" t="s">
        <v>89</v>
      </c>
      <c r="K31" s="62" t="s">
        <v>90</v>
      </c>
      <c r="L31" s="62" t="s">
        <v>91</v>
      </c>
      <c r="M31" s="62" t="s">
        <v>92</v>
      </c>
      <c r="N31" s="208"/>
      <c r="O31" s="208"/>
      <c r="P31" s="208"/>
      <c r="Q31" s="208"/>
      <c r="R31" s="208"/>
      <c r="S31" s="197"/>
      <c r="T31" s="242"/>
    </row>
    <row r="32" spans="1:20" s="24" customFormat="1" ht="12" x14ac:dyDescent="0.2">
      <c r="A32" s="21" t="s">
        <v>93</v>
      </c>
      <c r="B32" s="26">
        <v>81.3</v>
      </c>
      <c r="C32" s="26">
        <v>81.3</v>
      </c>
      <c r="D32" s="26">
        <v>81.304010000000005</v>
      </c>
      <c r="E32" s="26"/>
      <c r="F32" s="26"/>
      <c r="G32" s="26"/>
      <c r="H32" s="26"/>
      <c r="I32" s="27"/>
      <c r="J32" s="27"/>
      <c r="K32" s="27"/>
      <c r="L32" s="27"/>
      <c r="M32" s="27"/>
      <c r="N32" s="206"/>
      <c r="O32" s="206"/>
      <c r="P32" s="206"/>
      <c r="Q32" s="206"/>
      <c r="R32" s="206"/>
      <c r="S32" s="195"/>
    </row>
    <row r="33" spans="1:20" s="24" customFormat="1" ht="12" x14ac:dyDescent="0.2">
      <c r="A33" s="21" t="s">
        <v>94</v>
      </c>
      <c r="B33" s="26">
        <v>16.96</v>
      </c>
      <c r="C33" s="26">
        <v>16.96</v>
      </c>
      <c r="D33" s="26">
        <v>16.962409999999998</v>
      </c>
      <c r="E33" s="26"/>
      <c r="F33" s="26"/>
      <c r="G33" s="26"/>
      <c r="H33" s="26"/>
      <c r="I33" s="27"/>
      <c r="J33" s="27"/>
      <c r="K33" s="27"/>
      <c r="L33" s="27"/>
      <c r="M33" s="27"/>
      <c r="N33" s="206"/>
      <c r="O33" s="206"/>
      <c r="P33" s="206"/>
      <c r="Q33" s="206"/>
      <c r="R33" s="206"/>
      <c r="S33" s="195"/>
    </row>
    <row r="34" spans="1:20" s="24" customFormat="1" ht="12" x14ac:dyDescent="0.2">
      <c r="A34" s="21" t="s">
        <v>95</v>
      </c>
      <c r="B34" s="26"/>
      <c r="C34" s="26"/>
      <c r="D34" s="26"/>
      <c r="E34" s="26"/>
      <c r="F34" s="26"/>
      <c r="G34" s="26"/>
      <c r="H34" s="26"/>
      <c r="I34" s="27"/>
      <c r="J34" s="27">
        <v>24</v>
      </c>
      <c r="K34" s="27">
        <v>24</v>
      </c>
      <c r="L34" s="27">
        <v>24</v>
      </c>
      <c r="M34" s="27"/>
      <c r="N34" s="206"/>
      <c r="O34" s="206"/>
      <c r="P34" s="206"/>
      <c r="Q34" s="206"/>
      <c r="R34" s="206"/>
      <c r="S34" s="195"/>
    </row>
    <row r="35" spans="1:20" s="24" customFormat="1" ht="12" x14ac:dyDescent="0.2">
      <c r="A35" s="21" t="s">
        <v>96</v>
      </c>
      <c r="B35" s="26">
        <v>489.15</v>
      </c>
      <c r="C35" s="26">
        <v>915.81</v>
      </c>
      <c r="D35" s="26">
        <v>1276.61185</v>
      </c>
      <c r="E35" s="26">
        <v>-112.42664000000001</v>
      </c>
      <c r="F35" s="26">
        <v>1129.21632</v>
      </c>
      <c r="G35" s="26">
        <v>1929.7603200000001</v>
      </c>
      <c r="H35" s="26">
        <v>2704.4803200000001</v>
      </c>
      <c r="I35" s="27">
        <v>3474.02432</v>
      </c>
      <c r="J35" s="27">
        <v>4279.9870700000001</v>
      </c>
      <c r="K35" s="27">
        <v>6075.8933800000004</v>
      </c>
      <c r="L35" s="27">
        <v>6075.8933800000004</v>
      </c>
      <c r="M35" s="27"/>
      <c r="N35" s="206"/>
      <c r="O35" s="206"/>
      <c r="P35" s="206"/>
      <c r="Q35" s="206"/>
      <c r="R35" s="206"/>
      <c r="S35" s="195"/>
    </row>
    <row r="36" spans="1:20" s="24" customFormat="1" ht="12" x14ac:dyDescent="0.2">
      <c r="A36" s="21" t="s">
        <v>97</v>
      </c>
      <c r="B36" s="26"/>
      <c r="C36" s="26"/>
      <c r="D36" s="26"/>
      <c r="E36" s="26"/>
      <c r="F36" s="155"/>
      <c r="G36" s="22"/>
      <c r="H36" s="26"/>
      <c r="I36" s="26"/>
      <c r="J36" s="219"/>
      <c r="K36" s="219"/>
      <c r="L36" s="219"/>
      <c r="M36" s="97"/>
      <c r="N36" s="206"/>
      <c r="O36" s="206"/>
      <c r="P36" s="206"/>
      <c r="Q36" s="206"/>
      <c r="R36" s="206"/>
      <c r="S36" s="195"/>
    </row>
    <row r="37" spans="1:20" s="32" customFormat="1" ht="12" x14ac:dyDescent="0.2">
      <c r="A37" s="152" t="s">
        <v>98</v>
      </c>
      <c r="B37" s="64">
        <f>SUM(B32:B36)</f>
        <v>587.41</v>
      </c>
      <c r="C37" s="64">
        <f t="shared" ref="C37:M37" si="3">SUM(C32:C36)</f>
        <v>1014.0699999999999</v>
      </c>
      <c r="D37" s="64">
        <f t="shared" si="3"/>
        <v>1374.8782699999999</v>
      </c>
      <c r="E37" s="64">
        <f t="shared" si="3"/>
        <v>-112.42664000000001</v>
      </c>
      <c r="F37" s="64">
        <f t="shared" si="3"/>
        <v>1129.21632</v>
      </c>
      <c r="G37" s="64">
        <f t="shared" si="3"/>
        <v>1929.7603200000001</v>
      </c>
      <c r="H37" s="64">
        <f t="shared" si="3"/>
        <v>2704.4803200000001</v>
      </c>
      <c r="I37" s="64">
        <f t="shared" si="3"/>
        <v>3474.02432</v>
      </c>
      <c r="J37" s="64">
        <f t="shared" si="3"/>
        <v>4303.9870700000001</v>
      </c>
      <c r="K37" s="64">
        <f t="shared" si="3"/>
        <v>6099.8933800000004</v>
      </c>
      <c r="L37" s="64">
        <f t="shared" si="3"/>
        <v>6099.8933800000004</v>
      </c>
      <c r="M37" s="64">
        <f t="shared" si="3"/>
        <v>0</v>
      </c>
      <c r="N37" s="206"/>
      <c r="O37" s="206"/>
      <c r="P37" s="206"/>
      <c r="Q37" s="206"/>
      <c r="R37" s="206"/>
      <c r="S37" s="195"/>
      <c r="T37" s="24"/>
    </row>
    <row r="38" spans="1:20" s="24" customFormat="1" ht="12" x14ac:dyDescent="0.2">
      <c r="A38" s="51"/>
      <c r="B38" s="45"/>
      <c r="C38" s="45"/>
      <c r="D38" s="45"/>
      <c r="E38" s="45"/>
      <c r="F38" s="45"/>
      <c r="G38" s="45"/>
      <c r="H38" s="45"/>
      <c r="I38" s="46"/>
      <c r="J38" s="46"/>
      <c r="K38" s="46"/>
      <c r="L38" s="46"/>
      <c r="M38" s="46"/>
      <c r="N38" s="204"/>
      <c r="O38" s="204"/>
      <c r="P38" s="204"/>
      <c r="Q38" s="204"/>
      <c r="R38" s="204"/>
      <c r="S38" s="50"/>
    </row>
    <row r="39" spans="1:20" s="47" customFormat="1" x14ac:dyDescent="0.2">
      <c r="A39" s="18" t="s">
        <v>102</v>
      </c>
      <c r="B39" s="62" t="s">
        <v>82</v>
      </c>
      <c r="C39" s="62" t="s">
        <v>83</v>
      </c>
      <c r="D39" s="62" t="s">
        <v>84</v>
      </c>
      <c r="E39" s="62" t="s">
        <v>85</v>
      </c>
      <c r="F39" s="62" t="s">
        <v>86</v>
      </c>
      <c r="G39" s="62" t="s">
        <v>87</v>
      </c>
      <c r="H39" s="62" t="s">
        <v>88</v>
      </c>
      <c r="I39" s="62" t="s">
        <v>198</v>
      </c>
      <c r="J39" s="62" t="s">
        <v>89</v>
      </c>
      <c r="K39" s="62" t="s">
        <v>90</v>
      </c>
      <c r="L39" s="62" t="s">
        <v>91</v>
      </c>
      <c r="M39" s="62" t="s">
        <v>92</v>
      </c>
      <c r="N39" s="208"/>
      <c r="O39" s="208"/>
      <c r="P39" s="208"/>
      <c r="Q39" s="208"/>
      <c r="R39" s="208"/>
      <c r="S39" s="197"/>
      <c r="T39" s="242"/>
    </row>
    <row r="40" spans="1:20" s="24" customFormat="1" ht="12" x14ac:dyDescent="0.2">
      <c r="A40" s="21" t="s">
        <v>93</v>
      </c>
      <c r="B40" s="26">
        <v>1307.77</v>
      </c>
      <c r="C40" s="26">
        <v>2697.57</v>
      </c>
      <c r="D40" s="26">
        <v>7351.8402400000004</v>
      </c>
      <c r="E40" s="26">
        <v>9924.8089</v>
      </c>
      <c r="F40" s="26">
        <v>12501.29918</v>
      </c>
      <c r="G40" s="26">
        <v>14966.57878</v>
      </c>
      <c r="H40" s="26">
        <v>17990.031609999998</v>
      </c>
      <c r="I40" s="27">
        <v>21366.8891</v>
      </c>
      <c r="J40" s="27">
        <v>26401.267520000001</v>
      </c>
      <c r="K40" s="27">
        <v>32005.880069999999</v>
      </c>
      <c r="L40" s="27">
        <v>32005.880069999999</v>
      </c>
      <c r="M40" s="27"/>
      <c r="N40" s="206"/>
      <c r="O40" s="206"/>
      <c r="P40" s="206"/>
      <c r="Q40" s="206"/>
      <c r="R40" s="206"/>
      <c r="S40" s="195"/>
    </row>
    <row r="41" spans="1:20" s="24" customFormat="1" ht="12" x14ac:dyDescent="0.2">
      <c r="A41" s="21" t="s">
        <v>94</v>
      </c>
      <c r="B41" s="26">
        <v>199.62</v>
      </c>
      <c r="C41" s="26">
        <v>515.45000000000005</v>
      </c>
      <c r="D41" s="26">
        <v>1196.2122400000001</v>
      </c>
      <c r="E41" s="26">
        <v>2067.8025499999999</v>
      </c>
      <c r="F41" s="26">
        <v>3576.9120499999999</v>
      </c>
      <c r="G41" s="26">
        <v>5160.1294600000001</v>
      </c>
      <c r="H41" s="26">
        <v>6229.2190300000002</v>
      </c>
      <c r="I41" s="27">
        <v>7892.3931199999997</v>
      </c>
      <c r="J41" s="27">
        <v>48156.752229999998</v>
      </c>
      <c r="K41" s="27">
        <v>50854.943979999996</v>
      </c>
      <c r="L41" s="27">
        <v>50854.943979999996</v>
      </c>
      <c r="M41" s="27"/>
      <c r="N41" s="206"/>
      <c r="O41" s="206"/>
      <c r="P41" s="206"/>
      <c r="Q41" s="206"/>
      <c r="R41" s="206"/>
      <c r="S41" s="195"/>
    </row>
    <row r="42" spans="1:20" s="24" customFormat="1" ht="12" x14ac:dyDescent="0.2">
      <c r="A42" s="21" t="s">
        <v>95</v>
      </c>
      <c r="B42" s="27"/>
      <c r="C42" s="27">
        <v>0.8</v>
      </c>
      <c r="D42" s="27">
        <v>0.8</v>
      </c>
      <c r="E42" s="27">
        <v>0.8</v>
      </c>
      <c r="F42" s="26">
        <v>0.8</v>
      </c>
      <c r="G42" s="26">
        <v>0.8</v>
      </c>
      <c r="H42" s="27">
        <v>0.8</v>
      </c>
      <c r="I42" s="27">
        <v>0.8</v>
      </c>
      <c r="J42" s="27">
        <v>0.8</v>
      </c>
      <c r="K42" s="27">
        <v>0.8</v>
      </c>
      <c r="L42" s="27">
        <v>0.8</v>
      </c>
      <c r="M42" s="27"/>
      <c r="N42" s="206"/>
      <c r="O42" s="206"/>
      <c r="P42" s="206"/>
      <c r="Q42" s="206"/>
      <c r="R42" s="206"/>
      <c r="S42" s="195"/>
    </row>
    <row r="43" spans="1:20" s="24" customFormat="1" ht="12" x14ac:dyDescent="0.2">
      <c r="A43" s="21" t="s">
        <v>96</v>
      </c>
      <c r="B43" s="27">
        <v>199.39</v>
      </c>
      <c r="C43" s="27">
        <v>551.48</v>
      </c>
      <c r="D43" s="27">
        <v>554.40494000000001</v>
      </c>
      <c r="E43" s="27">
        <v>959.29452000000003</v>
      </c>
      <c r="F43" s="26">
        <v>1220.97919</v>
      </c>
      <c r="G43" s="26">
        <v>2243.0203299999998</v>
      </c>
      <c r="H43" s="27">
        <v>2125.5054399999999</v>
      </c>
      <c r="I43" s="27">
        <v>2646.6221599999999</v>
      </c>
      <c r="J43" s="27">
        <v>2867.1209800000001</v>
      </c>
      <c r="K43" s="27">
        <v>6948.4330799999998</v>
      </c>
      <c r="L43" s="27">
        <v>7347.8191399999996</v>
      </c>
      <c r="M43" s="27"/>
      <c r="N43" s="206"/>
      <c r="O43" s="206"/>
      <c r="P43" s="206"/>
      <c r="Q43" s="206"/>
      <c r="R43" s="206"/>
      <c r="S43" s="195"/>
    </row>
    <row r="44" spans="1:20" s="24" customFormat="1" ht="12" x14ac:dyDescent="0.2">
      <c r="A44" s="21" t="s">
        <v>97</v>
      </c>
      <c r="B44" s="27"/>
      <c r="C44" s="27"/>
      <c r="D44" s="27"/>
      <c r="E44" s="27"/>
      <c r="F44" s="155"/>
      <c r="G44" s="22"/>
      <c r="H44" s="27"/>
      <c r="I44" s="27"/>
      <c r="J44" s="27"/>
      <c r="K44" s="27"/>
      <c r="L44" s="27"/>
      <c r="M44" s="27"/>
      <c r="N44" s="206"/>
      <c r="O44" s="206"/>
      <c r="P44" s="206"/>
      <c r="Q44" s="206"/>
      <c r="R44" s="206"/>
      <c r="S44" s="195"/>
    </row>
    <row r="45" spans="1:20" s="32" customFormat="1" ht="12" x14ac:dyDescent="0.2">
      <c r="A45" s="30" t="s">
        <v>98</v>
      </c>
      <c r="B45" s="64">
        <f>SUM(B40:B44)</f>
        <v>1706.7799999999997</v>
      </c>
      <c r="C45" s="64">
        <f t="shared" ref="C45:M45" si="4">SUM(C40:C44)</f>
        <v>3765.3000000000006</v>
      </c>
      <c r="D45" s="64">
        <f t="shared" si="4"/>
        <v>9103.2574199999999</v>
      </c>
      <c r="E45" s="64">
        <f t="shared" si="4"/>
        <v>12952.705969999999</v>
      </c>
      <c r="F45" s="64">
        <f t="shared" si="4"/>
        <v>17299.990420000002</v>
      </c>
      <c r="G45" s="64">
        <f t="shared" si="4"/>
        <v>22370.528569999999</v>
      </c>
      <c r="H45" s="64">
        <f t="shared" si="4"/>
        <v>26345.556079999998</v>
      </c>
      <c r="I45" s="64">
        <f t="shared" si="4"/>
        <v>31906.704379999999</v>
      </c>
      <c r="J45" s="64">
        <f t="shared" si="4"/>
        <v>77425.940730000017</v>
      </c>
      <c r="K45" s="64">
        <f t="shared" si="4"/>
        <v>89810.057130000001</v>
      </c>
      <c r="L45" s="64">
        <f t="shared" si="4"/>
        <v>90209.443189999991</v>
      </c>
      <c r="M45" s="64">
        <f t="shared" si="4"/>
        <v>0</v>
      </c>
      <c r="N45" s="206"/>
      <c r="O45" s="206"/>
      <c r="P45" s="206"/>
      <c r="Q45" s="206"/>
      <c r="R45" s="206"/>
      <c r="S45" s="195"/>
      <c r="T45" s="24"/>
    </row>
    <row r="46" spans="1:20" s="24" customFormat="1" ht="12" x14ac:dyDescent="0.2">
      <c r="A46" s="51"/>
      <c r="B46" s="45"/>
      <c r="C46" s="45"/>
      <c r="D46" s="45"/>
      <c r="E46" s="45"/>
      <c r="F46" s="45"/>
      <c r="G46" s="45"/>
      <c r="H46" s="45"/>
      <c r="I46" s="46"/>
      <c r="J46" s="46"/>
      <c r="K46" s="46"/>
      <c r="L46" s="46"/>
      <c r="M46" s="46"/>
      <c r="N46" s="206"/>
      <c r="O46" s="204"/>
      <c r="P46" s="204"/>
      <c r="Q46" s="204"/>
      <c r="R46" s="204"/>
      <c r="S46" s="50"/>
    </row>
    <row r="47" spans="1:20" s="47" customFormat="1" x14ac:dyDescent="0.2">
      <c r="A47" s="18" t="s">
        <v>103</v>
      </c>
      <c r="B47" s="62" t="s">
        <v>82</v>
      </c>
      <c r="C47" s="62" t="s">
        <v>83</v>
      </c>
      <c r="D47" s="62" t="s">
        <v>84</v>
      </c>
      <c r="E47" s="62" t="s">
        <v>85</v>
      </c>
      <c r="F47" s="62" t="s">
        <v>86</v>
      </c>
      <c r="G47" s="62" t="s">
        <v>87</v>
      </c>
      <c r="H47" s="62" t="s">
        <v>88</v>
      </c>
      <c r="I47" s="62" t="s">
        <v>198</v>
      </c>
      <c r="J47" s="62" t="s">
        <v>89</v>
      </c>
      <c r="K47" s="62" t="s">
        <v>90</v>
      </c>
      <c r="L47" s="62" t="s">
        <v>91</v>
      </c>
      <c r="M47" s="62" t="s">
        <v>92</v>
      </c>
      <c r="N47" s="206"/>
      <c r="O47" s="208"/>
      <c r="P47" s="208"/>
      <c r="Q47" s="208"/>
      <c r="R47" s="208"/>
      <c r="S47" s="197"/>
      <c r="T47" s="242"/>
    </row>
    <row r="48" spans="1:20" s="24" customFormat="1" ht="12" x14ac:dyDescent="0.2">
      <c r="A48" s="21" t="s">
        <v>93</v>
      </c>
      <c r="B48" s="26">
        <v>1709.78</v>
      </c>
      <c r="C48" s="26">
        <v>3938.37</v>
      </c>
      <c r="D48" s="26">
        <v>8890.7951699999994</v>
      </c>
      <c r="E48" s="26">
        <v>3010.2599300000002</v>
      </c>
      <c r="F48" s="26">
        <v>4826.6423999999997</v>
      </c>
      <c r="G48" s="26">
        <v>8658.26073</v>
      </c>
      <c r="H48" s="26">
        <v>13529.93074</v>
      </c>
      <c r="I48" s="26">
        <v>18511.29147</v>
      </c>
      <c r="J48" s="26">
        <v>26058.78688</v>
      </c>
      <c r="K48" s="26">
        <v>33670.079890000001</v>
      </c>
      <c r="L48" s="27">
        <v>33670.079890000001</v>
      </c>
      <c r="M48" s="27"/>
      <c r="N48" s="206"/>
      <c r="O48" s="206"/>
      <c r="P48" s="206"/>
      <c r="Q48" s="206"/>
      <c r="R48" s="206"/>
      <c r="S48" s="195"/>
    </row>
    <row r="49" spans="1:20" s="24" customFormat="1" ht="12" x14ac:dyDescent="0.2">
      <c r="A49" s="21" t="s">
        <v>94</v>
      </c>
      <c r="B49" s="26">
        <v>403.36</v>
      </c>
      <c r="C49" s="26">
        <v>922</v>
      </c>
      <c r="D49" s="26">
        <v>1718.7847099999999</v>
      </c>
      <c r="E49" s="26">
        <v>943.00941</v>
      </c>
      <c r="F49" s="26">
        <v>2629.4127199999998</v>
      </c>
      <c r="G49" s="26">
        <v>4836.4542199999996</v>
      </c>
      <c r="H49" s="26">
        <v>6457.5346600000003</v>
      </c>
      <c r="I49" s="26">
        <v>8853.0672300000006</v>
      </c>
      <c r="J49" s="26">
        <v>63693.345869999997</v>
      </c>
      <c r="K49" s="26">
        <v>67287.93303</v>
      </c>
      <c r="L49" s="27">
        <v>67287.93303</v>
      </c>
      <c r="M49" s="27"/>
      <c r="N49" s="206"/>
      <c r="O49" s="206"/>
      <c r="P49" s="206"/>
      <c r="Q49" s="206"/>
      <c r="R49" s="206"/>
      <c r="S49" s="195"/>
    </row>
    <row r="50" spans="1:20" s="24" customFormat="1" ht="12" x14ac:dyDescent="0.2">
      <c r="A50" s="21" t="s">
        <v>95</v>
      </c>
      <c r="B50" s="26"/>
      <c r="C50" s="26">
        <v>-135</v>
      </c>
      <c r="D50" s="26">
        <v>463.2</v>
      </c>
      <c r="E50" s="26"/>
      <c r="F50" s="26"/>
      <c r="G50" s="26">
        <v>55</v>
      </c>
      <c r="H50" s="26">
        <v>650</v>
      </c>
      <c r="I50" s="26">
        <v>1600</v>
      </c>
      <c r="J50" s="26">
        <v>1600</v>
      </c>
      <c r="K50" s="26">
        <v>1600</v>
      </c>
      <c r="L50" s="27">
        <v>1600</v>
      </c>
      <c r="M50" s="27"/>
      <c r="N50" s="206"/>
      <c r="O50" s="206"/>
      <c r="P50" s="206"/>
      <c r="Q50" s="206"/>
      <c r="R50" s="206"/>
      <c r="S50" s="195"/>
    </row>
    <row r="51" spans="1:20" s="24" customFormat="1" ht="12" x14ac:dyDescent="0.2">
      <c r="A51" s="21" t="s">
        <v>96</v>
      </c>
      <c r="B51" s="26">
        <v>2965.38</v>
      </c>
      <c r="C51" s="26">
        <v>6943.39</v>
      </c>
      <c r="D51" s="26">
        <v>10806.684740000001</v>
      </c>
      <c r="E51" s="26">
        <v>-1701.6480100000001</v>
      </c>
      <c r="F51" s="26">
        <v>1624.6043400000001</v>
      </c>
      <c r="G51" s="26">
        <v>5867.9211999999998</v>
      </c>
      <c r="H51" s="26">
        <v>7957.5678200000002</v>
      </c>
      <c r="I51" s="26">
        <v>10297.056930000001</v>
      </c>
      <c r="J51" s="26">
        <v>10411.025079999999</v>
      </c>
      <c r="K51" s="26">
        <v>13420.70465</v>
      </c>
      <c r="L51" s="27">
        <v>13420.70465</v>
      </c>
      <c r="M51" s="27"/>
      <c r="N51" s="206"/>
      <c r="O51" s="206"/>
      <c r="P51" s="206"/>
      <c r="Q51" s="206"/>
      <c r="R51" s="206"/>
      <c r="S51" s="195"/>
    </row>
    <row r="52" spans="1:20" s="24" customFormat="1" ht="12" x14ac:dyDescent="0.2">
      <c r="A52" s="21" t="s">
        <v>97</v>
      </c>
      <c r="B52" s="26"/>
      <c r="C52" s="26"/>
      <c r="D52" s="26"/>
      <c r="E52" s="26"/>
      <c r="F52" s="155"/>
      <c r="G52" s="22"/>
      <c r="H52" s="26"/>
      <c r="I52" s="26"/>
      <c r="J52" s="219"/>
      <c r="K52" s="219"/>
      <c r="L52" s="219"/>
      <c r="M52" s="91"/>
      <c r="N52" s="206"/>
      <c r="O52" s="206"/>
      <c r="P52" s="206"/>
      <c r="Q52" s="206"/>
      <c r="R52" s="206"/>
      <c r="S52" s="195"/>
    </row>
    <row r="53" spans="1:20" s="32" customFormat="1" ht="12" x14ac:dyDescent="0.2">
      <c r="A53" s="30" t="s">
        <v>98</v>
      </c>
      <c r="B53" s="64">
        <f>SUM(B48:B52)</f>
        <v>5078.5200000000004</v>
      </c>
      <c r="C53" s="64">
        <f t="shared" ref="C53:M53" si="5">SUM(C48:C52)</f>
        <v>11668.76</v>
      </c>
      <c r="D53" s="64">
        <f t="shared" si="5"/>
        <v>21879.464619999999</v>
      </c>
      <c r="E53" s="64">
        <f t="shared" si="5"/>
        <v>2251.6213299999999</v>
      </c>
      <c r="F53" s="64">
        <f t="shared" si="5"/>
        <v>9080.6594599999989</v>
      </c>
      <c r="G53" s="64">
        <f t="shared" si="5"/>
        <v>19417.636149999998</v>
      </c>
      <c r="H53" s="64">
        <f t="shared" si="5"/>
        <v>28595.033220000001</v>
      </c>
      <c r="I53" s="64">
        <f t="shared" si="5"/>
        <v>39261.415630000003</v>
      </c>
      <c r="J53" s="64">
        <f t="shared" si="5"/>
        <v>101763.15782999998</v>
      </c>
      <c r="K53" s="64">
        <f t="shared" si="5"/>
        <v>115978.71757000001</v>
      </c>
      <c r="L53" s="64">
        <f t="shared" si="5"/>
        <v>115978.71757000001</v>
      </c>
      <c r="M53" s="64">
        <f t="shared" si="5"/>
        <v>0</v>
      </c>
      <c r="N53" s="206"/>
      <c r="O53" s="206"/>
      <c r="P53" s="206"/>
      <c r="Q53" s="206"/>
      <c r="R53" s="206"/>
      <c r="S53" s="195"/>
      <c r="T53" s="24"/>
    </row>
    <row r="54" spans="1:20" s="24" customFormat="1" ht="12" x14ac:dyDescent="0.2">
      <c r="A54" s="35"/>
      <c r="B54" s="55"/>
      <c r="C54" s="55"/>
      <c r="D54" s="55"/>
      <c r="E54" s="55"/>
      <c r="F54" s="55"/>
      <c r="G54" s="55"/>
      <c r="H54" s="55"/>
      <c r="I54" s="56"/>
      <c r="J54" s="56"/>
      <c r="K54" s="56"/>
      <c r="L54" s="56"/>
      <c r="M54" s="56"/>
      <c r="N54" s="206"/>
      <c r="O54" s="206"/>
      <c r="P54" s="206"/>
      <c r="Q54" s="206"/>
      <c r="R54" s="206"/>
      <c r="S54" s="195"/>
    </row>
    <row r="55" spans="1:20" s="47" customFormat="1" x14ac:dyDescent="0.2">
      <c r="A55" s="18" t="s">
        <v>104</v>
      </c>
      <c r="B55" s="62" t="s">
        <v>82</v>
      </c>
      <c r="C55" s="62" t="s">
        <v>83</v>
      </c>
      <c r="D55" s="62" t="s">
        <v>84</v>
      </c>
      <c r="E55" s="62" t="s">
        <v>85</v>
      </c>
      <c r="F55" s="62" t="s">
        <v>86</v>
      </c>
      <c r="G55" s="62" t="s">
        <v>87</v>
      </c>
      <c r="H55" s="62" t="s">
        <v>88</v>
      </c>
      <c r="I55" s="62" t="s">
        <v>198</v>
      </c>
      <c r="J55" s="62" t="s">
        <v>89</v>
      </c>
      <c r="K55" s="62" t="s">
        <v>90</v>
      </c>
      <c r="L55" s="62" t="s">
        <v>91</v>
      </c>
      <c r="M55" s="62" t="s">
        <v>92</v>
      </c>
      <c r="N55" s="206"/>
      <c r="O55" s="208"/>
      <c r="P55" s="208"/>
      <c r="Q55" s="208"/>
      <c r="R55" s="208"/>
      <c r="S55" s="197"/>
      <c r="T55" s="242"/>
    </row>
    <row r="56" spans="1:20" s="24" customFormat="1" ht="12" x14ac:dyDescent="0.2">
      <c r="A56" s="21" t="s">
        <v>93</v>
      </c>
      <c r="B56" s="26">
        <v>6562.7</v>
      </c>
      <c r="C56" s="26">
        <v>12804.27</v>
      </c>
      <c r="D56" s="26">
        <v>26252.651440000001</v>
      </c>
      <c r="E56" s="26">
        <v>30931.671689999999</v>
      </c>
      <c r="F56" s="26">
        <v>36759.180289999997</v>
      </c>
      <c r="G56" s="26">
        <v>45435.691740000002</v>
      </c>
      <c r="H56" s="26">
        <v>58434.73818</v>
      </c>
      <c r="I56" s="26">
        <v>68806.321809999994</v>
      </c>
      <c r="J56" s="26">
        <v>83652.601920000001</v>
      </c>
      <c r="K56" s="26">
        <v>90308.837509999998</v>
      </c>
      <c r="L56" s="27">
        <v>92810.969679999995</v>
      </c>
      <c r="M56" s="27"/>
      <c r="N56" s="206">
        <v>92810.969679999995</v>
      </c>
      <c r="O56" s="206"/>
      <c r="P56" s="206"/>
      <c r="Q56" s="206">
        <f>+N56-O56-P56</f>
        <v>92810.969679999995</v>
      </c>
      <c r="R56" s="206"/>
      <c r="S56" s="195"/>
    </row>
    <row r="57" spans="1:20" s="24" customFormat="1" ht="12" x14ac:dyDescent="0.2">
      <c r="A57" s="21" t="s">
        <v>94</v>
      </c>
      <c r="B57" s="26">
        <v>1784.61</v>
      </c>
      <c r="C57" s="26">
        <v>2881.03</v>
      </c>
      <c r="D57" s="26">
        <f>4407.92503-8.44437</f>
        <v>4399.4806600000002</v>
      </c>
      <c r="E57" s="26">
        <f>7492.77163-8.44437</f>
        <v>7484.32726</v>
      </c>
      <c r="F57" s="26">
        <v>13844.42381</v>
      </c>
      <c r="G57" s="26">
        <v>17186.386699999999</v>
      </c>
      <c r="H57" s="26">
        <v>22679.750179999999</v>
      </c>
      <c r="I57" s="26">
        <v>28383.547279999999</v>
      </c>
      <c r="J57" s="26">
        <v>289982.82689000003</v>
      </c>
      <c r="K57" s="26">
        <v>296578.83354000002</v>
      </c>
      <c r="L57" s="27">
        <v>297038.15821000002</v>
      </c>
      <c r="M57" s="27"/>
      <c r="N57" s="206">
        <v>297046.60258000001</v>
      </c>
      <c r="O57" s="206"/>
      <c r="P57" s="206">
        <v>8.4443699999999993</v>
      </c>
      <c r="Q57" s="206">
        <f>+N57-O57-P57</f>
        <v>297038.15821000002</v>
      </c>
      <c r="R57" s="206"/>
      <c r="S57" s="195"/>
    </row>
    <row r="58" spans="1:20" s="24" customFormat="1" ht="12" x14ac:dyDescent="0.2">
      <c r="A58" s="21" t="s">
        <v>95</v>
      </c>
      <c r="B58" s="26"/>
      <c r="C58" s="26">
        <v>2015.88</v>
      </c>
      <c r="D58" s="26">
        <v>2015.8848800000001</v>
      </c>
      <c r="E58" s="26">
        <v>2015.8848800000001</v>
      </c>
      <c r="F58" s="26">
        <v>2080.7088800000001</v>
      </c>
      <c r="G58" s="26">
        <v>3010.24638</v>
      </c>
      <c r="H58" s="26">
        <v>8430.9863800000003</v>
      </c>
      <c r="I58" s="26">
        <v>11782.17606</v>
      </c>
      <c r="J58" s="26">
        <v>16029.68606</v>
      </c>
      <c r="K58" s="26">
        <v>18977.986059999999</v>
      </c>
      <c r="L58" s="27">
        <v>20227.786059999999</v>
      </c>
      <c r="M58" s="27"/>
      <c r="N58" s="206">
        <v>20227.786059999999</v>
      </c>
      <c r="O58" s="206"/>
      <c r="P58" s="206"/>
      <c r="Q58" s="206">
        <f>+N58-O58-P58</f>
        <v>20227.786059999999</v>
      </c>
      <c r="R58" s="206"/>
      <c r="S58" s="195"/>
    </row>
    <row r="59" spans="1:20" s="24" customFormat="1" ht="12" x14ac:dyDescent="0.2">
      <c r="A59" s="21" t="s">
        <v>96</v>
      </c>
      <c r="B59" s="26">
        <v>4182.67</v>
      </c>
      <c r="C59" s="26">
        <v>15275.11</v>
      </c>
      <c r="D59" s="26">
        <f>23916.5805099999-1066.51345</f>
        <v>22850.067059999903</v>
      </c>
      <c r="E59" s="26">
        <f>35306.81742-1245.55805</f>
        <v>34061.25937</v>
      </c>
      <c r="F59" s="26">
        <v>53203.811019999994</v>
      </c>
      <c r="G59" s="26">
        <v>68742.736550000001</v>
      </c>
      <c r="H59" s="26">
        <v>84676.52870000001</v>
      </c>
      <c r="I59" s="26">
        <v>117727.45727</v>
      </c>
      <c r="J59" s="26">
        <v>159402.60947</v>
      </c>
      <c r="K59" s="26">
        <v>237479.87569000002</v>
      </c>
      <c r="L59" s="27">
        <v>252698.62006000002</v>
      </c>
      <c r="M59" s="27"/>
      <c r="N59" s="206">
        <v>261218.10758000001</v>
      </c>
      <c r="O59" s="206">
        <v>5344.7068200000003</v>
      </c>
      <c r="P59" s="206">
        <v>3174.7806999999998</v>
      </c>
      <c r="Q59" s="206">
        <f>+N59-O59-P59</f>
        <v>252698.62006000002</v>
      </c>
      <c r="R59" s="206"/>
      <c r="S59" s="195"/>
    </row>
    <row r="60" spans="1:20" s="24" customFormat="1" ht="12" x14ac:dyDescent="0.2">
      <c r="A60" s="21" t="s">
        <v>97</v>
      </c>
      <c r="B60" s="26">
        <v>92.98</v>
      </c>
      <c r="C60" s="26">
        <v>12882.23</v>
      </c>
      <c r="D60" s="26">
        <v>15147.01045</v>
      </c>
      <c r="E60" s="26">
        <v>24860.122619999998</v>
      </c>
      <c r="F60" s="155">
        <v>38536.098590000001</v>
      </c>
      <c r="G60" s="22">
        <v>56977.995320000002</v>
      </c>
      <c r="H60" s="26">
        <v>119594.5916</v>
      </c>
      <c r="I60" s="26">
        <v>134382.86202999999</v>
      </c>
      <c r="J60" s="219">
        <v>167396.40523999999</v>
      </c>
      <c r="K60" s="219">
        <v>195248.73332999999</v>
      </c>
      <c r="L60" s="219">
        <v>195248.73332999999</v>
      </c>
      <c r="M60" s="91"/>
      <c r="N60" s="206">
        <v>195248.73332999999</v>
      </c>
      <c r="O60" s="206"/>
      <c r="P60" s="206"/>
      <c r="Q60" s="206">
        <f>+N60-O60-P60</f>
        <v>195248.73332999999</v>
      </c>
      <c r="R60" s="206"/>
      <c r="S60" s="195"/>
    </row>
    <row r="61" spans="1:20" s="32" customFormat="1" ht="12" x14ac:dyDescent="0.2">
      <c r="A61" s="30" t="s">
        <v>98</v>
      </c>
      <c r="B61" s="64">
        <f>SUM(B56:B60)</f>
        <v>12622.96</v>
      </c>
      <c r="C61" s="64">
        <f t="shared" ref="C61:M61" si="6">SUM(C56:C60)</f>
        <v>45858.520000000004</v>
      </c>
      <c r="D61" s="64">
        <f t="shared" si="6"/>
        <v>70665.094489999901</v>
      </c>
      <c r="E61" s="64">
        <f t="shared" si="6"/>
        <v>99353.265819999986</v>
      </c>
      <c r="F61" s="64">
        <f t="shared" si="6"/>
        <v>144424.22258999999</v>
      </c>
      <c r="G61" s="64">
        <f t="shared" si="6"/>
        <v>191353.05669</v>
      </c>
      <c r="H61" s="64">
        <f t="shared" si="6"/>
        <v>293816.59503999999</v>
      </c>
      <c r="I61" s="64">
        <f t="shared" si="6"/>
        <v>361082.36444999999</v>
      </c>
      <c r="J61" s="64">
        <f t="shared" si="6"/>
        <v>716464.12957999995</v>
      </c>
      <c r="K61" s="64">
        <f t="shared" si="6"/>
        <v>838594.26613</v>
      </c>
      <c r="L61" s="64">
        <f t="shared" si="6"/>
        <v>858024.26734000002</v>
      </c>
      <c r="M61" s="64">
        <f t="shared" si="6"/>
        <v>0</v>
      </c>
      <c r="N61" s="209">
        <f>SUM(N56:N60)</f>
        <v>866552.19922999991</v>
      </c>
      <c r="O61" s="209">
        <f>SUM(O56:O60)</f>
        <v>5344.7068200000003</v>
      </c>
      <c r="P61" s="209">
        <f>SUM(P56:P60)</f>
        <v>3183.22507</v>
      </c>
      <c r="Q61" s="209">
        <f>SUM(Q56:Q60)</f>
        <v>858024.26734000002</v>
      </c>
      <c r="R61" s="209"/>
      <c r="S61" s="195"/>
      <c r="T61" s="24"/>
    </row>
    <row r="62" spans="1:20" s="24" customFormat="1" ht="12" x14ac:dyDescent="0.2">
      <c r="A62" s="35"/>
      <c r="B62" s="57"/>
      <c r="C62" s="57"/>
      <c r="D62" s="57"/>
      <c r="E62" s="57"/>
      <c r="F62" s="57"/>
      <c r="G62" s="57"/>
      <c r="H62" s="57"/>
      <c r="I62" s="58"/>
      <c r="J62" s="58"/>
      <c r="K62" s="58"/>
      <c r="L62" s="58"/>
      <c r="M62" s="58"/>
      <c r="N62" s="206"/>
      <c r="O62" s="206"/>
      <c r="P62" s="206"/>
      <c r="Q62" s="206"/>
      <c r="R62" s="206"/>
      <c r="S62" s="195"/>
    </row>
    <row r="63" spans="1:20" s="10" customFormat="1" x14ac:dyDescent="0.2">
      <c r="A63" s="18" t="s">
        <v>105</v>
      </c>
      <c r="B63" s="62" t="s">
        <v>82</v>
      </c>
      <c r="C63" s="62" t="s">
        <v>83</v>
      </c>
      <c r="D63" s="62" t="s">
        <v>84</v>
      </c>
      <c r="E63" s="62" t="s">
        <v>85</v>
      </c>
      <c r="F63" s="62" t="s">
        <v>86</v>
      </c>
      <c r="G63" s="62" t="s">
        <v>87</v>
      </c>
      <c r="H63" s="62" t="s">
        <v>88</v>
      </c>
      <c r="I63" s="62" t="s">
        <v>198</v>
      </c>
      <c r="J63" s="62" t="s">
        <v>89</v>
      </c>
      <c r="K63" s="62" t="s">
        <v>90</v>
      </c>
      <c r="L63" s="62" t="s">
        <v>91</v>
      </c>
      <c r="M63" s="62" t="s">
        <v>92</v>
      </c>
      <c r="N63" s="208"/>
      <c r="O63" s="208"/>
      <c r="P63" s="208"/>
      <c r="Q63" s="208"/>
      <c r="R63" s="208"/>
      <c r="S63" s="197"/>
      <c r="T63" s="124"/>
    </row>
    <row r="64" spans="1:20" s="24" customFormat="1" ht="12" x14ac:dyDescent="0.2">
      <c r="A64" s="21" t="s">
        <v>93</v>
      </c>
      <c r="B64" s="26">
        <v>1502.59</v>
      </c>
      <c r="C64" s="26">
        <v>2880.69</v>
      </c>
      <c r="D64" s="26">
        <v>9091.7478300000002</v>
      </c>
      <c r="E64" s="26">
        <v>10972.234640000001</v>
      </c>
      <c r="F64" s="26">
        <v>14140.013220000001</v>
      </c>
      <c r="G64" s="26">
        <v>17989.68002</v>
      </c>
      <c r="H64" s="26">
        <v>21450.115030000001</v>
      </c>
      <c r="I64" s="26">
        <v>26457.398679999998</v>
      </c>
      <c r="J64" s="26">
        <v>29655.86751</v>
      </c>
      <c r="K64" s="26">
        <v>25949.645939999999</v>
      </c>
      <c r="L64" s="27">
        <v>25949.645939999999</v>
      </c>
      <c r="M64" s="26"/>
      <c r="N64" s="206"/>
      <c r="O64" s="206"/>
      <c r="P64" s="206"/>
      <c r="Q64" s="206"/>
      <c r="R64" s="206"/>
      <c r="S64" s="195"/>
    </row>
    <row r="65" spans="1:20" s="24" customFormat="1" ht="12" x14ac:dyDescent="0.2">
      <c r="A65" s="21" t="s">
        <v>94</v>
      </c>
      <c r="B65" s="26">
        <v>243.16</v>
      </c>
      <c r="C65" s="26">
        <v>480.74</v>
      </c>
      <c r="D65" s="26">
        <v>1470.1345100000001</v>
      </c>
      <c r="E65" s="26">
        <v>2222.6820299999999</v>
      </c>
      <c r="F65" s="26">
        <v>4609.3699699999997</v>
      </c>
      <c r="G65" s="26">
        <v>7021.9714100000001</v>
      </c>
      <c r="H65" s="26">
        <v>8356.3630900000007</v>
      </c>
      <c r="I65" s="26">
        <v>11057.16373</v>
      </c>
      <c r="J65" s="26">
        <v>103089.35027</v>
      </c>
      <c r="K65" s="26">
        <v>101782.13692999999</v>
      </c>
      <c r="L65" s="27">
        <v>101782.13692999999</v>
      </c>
      <c r="M65" s="26"/>
      <c r="N65" s="206"/>
      <c r="O65" s="206"/>
      <c r="P65" s="206"/>
      <c r="Q65" s="206"/>
      <c r="R65" s="206"/>
      <c r="S65" s="195"/>
    </row>
    <row r="66" spans="1:20" s="24" customFormat="1" ht="12" x14ac:dyDescent="0.2">
      <c r="A66" s="21" t="s">
        <v>95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7">
        <v>713.66399999999999</v>
      </c>
      <c r="M66" s="26"/>
      <c r="N66" s="206"/>
      <c r="O66" s="206"/>
      <c r="P66" s="206"/>
      <c r="Q66" s="206"/>
      <c r="R66" s="206"/>
      <c r="S66" s="195"/>
    </row>
    <row r="67" spans="1:20" s="24" customFormat="1" ht="12" x14ac:dyDescent="0.2">
      <c r="A67" s="21" t="s">
        <v>96</v>
      </c>
      <c r="B67" s="26">
        <v>205.57</v>
      </c>
      <c r="C67" s="26">
        <v>651.36</v>
      </c>
      <c r="D67" s="26">
        <v>2364.7478900000001</v>
      </c>
      <c r="E67" s="26">
        <v>4715.6478399999996</v>
      </c>
      <c r="F67" s="26">
        <v>5178.3214600000001</v>
      </c>
      <c r="G67" s="26">
        <v>9449.0260799999996</v>
      </c>
      <c r="H67" s="26">
        <v>12161.807779999999</v>
      </c>
      <c r="I67" s="26">
        <v>12666.588959999999</v>
      </c>
      <c r="J67" s="26">
        <v>13333.90573</v>
      </c>
      <c r="K67" s="26">
        <v>20047.848610000001</v>
      </c>
      <c r="L67" s="27">
        <v>21011.2935</v>
      </c>
      <c r="M67" s="26"/>
      <c r="N67" s="206"/>
      <c r="O67" s="206"/>
      <c r="P67" s="206"/>
      <c r="Q67" s="206"/>
      <c r="R67" s="206"/>
      <c r="S67" s="195"/>
    </row>
    <row r="68" spans="1:20" s="24" customFormat="1" ht="12" x14ac:dyDescent="0.2">
      <c r="A68" s="21" t="s">
        <v>97</v>
      </c>
      <c r="B68" s="26"/>
      <c r="C68" s="26"/>
      <c r="D68" s="26"/>
      <c r="E68" s="26"/>
      <c r="F68" s="155"/>
      <c r="G68" s="22"/>
      <c r="H68" s="26"/>
      <c r="I68" s="26"/>
      <c r="J68" s="26"/>
      <c r="K68" s="26">
        <v>270.39999999999998</v>
      </c>
      <c r="L68" s="27">
        <v>270.39999999999998</v>
      </c>
      <c r="M68" s="26"/>
      <c r="N68" s="206"/>
      <c r="O68" s="206"/>
      <c r="P68" s="206"/>
      <c r="Q68" s="206"/>
      <c r="R68" s="206"/>
      <c r="S68" s="195"/>
    </row>
    <row r="69" spans="1:20" s="32" customFormat="1" ht="12" x14ac:dyDescent="0.2">
      <c r="A69" s="30" t="s">
        <v>98</v>
      </c>
      <c r="B69" s="64">
        <f>SUM(B64:B68)</f>
        <v>1951.32</v>
      </c>
      <c r="C69" s="64">
        <f t="shared" ref="C69:M69" si="7">SUM(C64:C68)</f>
        <v>4012.7900000000004</v>
      </c>
      <c r="D69" s="64">
        <f t="shared" si="7"/>
        <v>12926.630230000001</v>
      </c>
      <c r="E69" s="64">
        <f t="shared" si="7"/>
        <v>17910.56451</v>
      </c>
      <c r="F69" s="64">
        <f t="shared" si="7"/>
        <v>23927.70465</v>
      </c>
      <c r="G69" s="64">
        <f t="shared" si="7"/>
        <v>34460.677509999994</v>
      </c>
      <c r="H69" s="64">
        <f t="shared" si="7"/>
        <v>41968.285900000003</v>
      </c>
      <c r="I69" s="64">
        <f t="shared" si="7"/>
        <v>50181.15137</v>
      </c>
      <c r="J69" s="64">
        <f t="shared" si="7"/>
        <v>146079.12351</v>
      </c>
      <c r="K69" s="64">
        <f t="shared" si="7"/>
        <v>148050.03147999998</v>
      </c>
      <c r="L69" s="64">
        <f t="shared" si="7"/>
        <v>149727.14037000001</v>
      </c>
      <c r="M69" s="64">
        <f t="shared" si="7"/>
        <v>0</v>
      </c>
      <c r="N69" s="206"/>
      <c r="O69" s="206"/>
      <c r="P69" s="206"/>
      <c r="Q69" s="206"/>
      <c r="R69" s="206"/>
      <c r="S69" s="195"/>
      <c r="T69" s="24"/>
    </row>
    <row r="70" spans="1:20" s="24" customFormat="1" ht="12" x14ac:dyDescent="0.2">
      <c r="A70" s="51"/>
      <c r="B70" s="45"/>
      <c r="C70" s="45"/>
      <c r="D70" s="45"/>
      <c r="E70" s="45"/>
      <c r="F70" s="45"/>
      <c r="G70" s="45"/>
      <c r="H70" s="45"/>
      <c r="I70" s="46"/>
      <c r="J70" s="46"/>
      <c r="K70" s="46"/>
      <c r="L70" s="46"/>
      <c r="M70" s="46"/>
      <c r="N70" s="204"/>
      <c r="O70" s="204"/>
      <c r="P70" s="204"/>
      <c r="Q70" s="204"/>
      <c r="R70" s="204"/>
      <c r="S70" s="50"/>
    </row>
    <row r="71" spans="1:20" s="10" customFormat="1" x14ac:dyDescent="0.2">
      <c r="A71" s="18" t="s">
        <v>106</v>
      </c>
      <c r="B71" s="62" t="s">
        <v>82</v>
      </c>
      <c r="C71" s="19" t="s">
        <v>83</v>
      </c>
      <c r="D71" s="19" t="s">
        <v>84</v>
      </c>
      <c r="E71" s="19" t="s">
        <v>85</v>
      </c>
      <c r="F71" s="19" t="s">
        <v>86</v>
      </c>
      <c r="G71" s="19" t="s">
        <v>87</v>
      </c>
      <c r="H71" s="19" t="s">
        <v>88</v>
      </c>
      <c r="I71" s="19" t="s">
        <v>198</v>
      </c>
      <c r="J71" s="19" t="s">
        <v>89</v>
      </c>
      <c r="K71" s="19" t="s">
        <v>90</v>
      </c>
      <c r="L71" s="19" t="s">
        <v>91</v>
      </c>
      <c r="M71" s="19" t="s">
        <v>92</v>
      </c>
      <c r="N71" s="208"/>
      <c r="O71" s="208"/>
      <c r="P71" s="208"/>
      <c r="Q71" s="208"/>
      <c r="R71" s="208"/>
      <c r="S71" s="197"/>
      <c r="T71" s="124"/>
    </row>
    <row r="72" spans="1:20" s="24" customFormat="1" ht="12" x14ac:dyDescent="0.2">
      <c r="A72" s="21" t="s">
        <v>93</v>
      </c>
      <c r="B72" s="26">
        <v>2513.37</v>
      </c>
      <c r="C72" s="26">
        <v>5045.3100000000004</v>
      </c>
      <c r="D72" s="26">
        <v>12196.197840000001</v>
      </c>
      <c r="E72" s="26">
        <v>16359.516849999998</v>
      </c>
      <c r="F72" s="26">
        <v>20372.60356</v>
      </c>
      <c r="G72" s="26">
        <v>25686.595700000002</v>
      </c>
      <c r="H72" s="26">
        <v>31865.349340000001</v>
      </c>
      <c r="I72" s="26">
        <v>38006.489370000003</v>
      </c>
      <c r="J72" s="26">
        <v>46904.824000000001</v>
      </c>
      <c r="K72" s="26">
        <v>56517.270680000001</v>
      </c>
      <c r="L72" s="23">
        <v>56517.270680000001</v>
      </c>
      <c r="M72" s="23"/>
      <c r="N72" s="206">
        <v>1000</v>
      </c>
      <c r="O72" s="206"/>
      <c r="P72" s="206"/>
      <c r="Q72" s="206"/>
      <c r="R72" s="206"/>
      <c r="S72" s="195"/>
    </row>
    <row r="73" spans="1:20" s="24" customFormat="1" ht="12" x14ac:dyDescent="0.2">
      <c r="A73" s="21" t="s">
        <v>94</v>
      </c>
      <c r="B73" s="26">
        <v>580.95000000000005</v>
      </c>
      <c r="C73" s="26">
        <v>1180.28</v>
      </c>
      <c r="D73" s="26">
        <v>2306.0948400000002</v>
      </c>
      <c r="E73" s="26">
        <v>3675.4073600000002</v>
      </c>
      <c r="F73" s="26">
        <v>6594.7977199999996</v>
      </c>
      <c r="G73" s="26">
        <v>10219.308199999999</v>
      </c>
      <c r="H73" s="26">
        <v>12514.01844</v>
      </c>
      <c r="I73" s="26">
        <v>15806.268700000001</v>
      </c>
      <c r="J73" s="26">
        <v>96359.702189999996</v>
      </c>
      <c r="K73" s="26">
        <v>101536.22931</v>
      </c>
      <c r="L73" s="154">
        <v>101536.22931</v>
      </c>
      <c r="M73" s="153"/>
      <c r="N73" s="206"/>
      <c r="O73" s="206"/>
      <c r="P73" s="206"/>
      <c r="Q73" s="206"/>
      <c r="R73" s="206"/>
      <c r="S73" s="195"/>
    </row>
    <row r="74" spans="1:20" s="24" customFormat="1" ht="12" x14ac:dyDescent="0.2">
      <c r="A74" s="21" t="s">
        <v>95</v>
      </c>
      <c r="B74" s="26">
        <v>0.43</v>
      </c>
      <c r="C74" s="26">
        <v>8.39</v>
      </c>
      <c r="D74" s="26">
        <v>9.59</v>
      </c>
      <c r="E74" s="26">
        <v>9.59</v>
      </c>
      <c r="F74" s="26">
        <v>12.3</v>
      </c>
      <c r="G74" s="26">
        <v>12.3</v>
      </c>
      <c r="H74" s="26">
        <v>12.3</v>
      </c>
      <c r="I74" s="26">
        <v>15.9</v>
      </c>
      <c r="J74" s="26">
        <v>99.2</v>
      </c>
      <c r="K74" s="26">
        <v>887.92</v>
      </c>
      <c r="L74" s="27">
        <v>895.3</v>
      </c>
      <c r="M74" s="27"/>
      <c r="N74" s="206"/>
      <c r="O74" s="206"/>
      <c r="P74" s="206"/>
      <c r="Q74" s="206"/>
      <c r="R74" s="206"/>
      <c r="S74" s="195"/>
    </row>
    <row r="75" spans="1:20" s="24" customFormat="1" ht="12" x14ac:dyDescent="0.2">
      <c r="A75" s="21" t="s">
        <v>96</v>
      </c>
      <c r="B75" s="26">
        <v>363.9</v>
      </c>
      <c r="C75" s="26">
        <v>713.94</v>
      </c>
      <c r="D75" s="26">
        <v>911.84959000000003</v>
      </c>
      <c r="E75" s="26">
        <v>1918.50731</v>
      </c>
      <c r="F75" s="26">
        <v>2183.54972</v>
      </c>
      <c r="G75" s="26">
        <v>3238.8006799999998</v>
      </c>
      <c r="H75" s="26">
        <v>3508.5193899999999</v>
      </c>
      <c r="I75" s="26">
        <v>4919.3796199999997</v>
      </c>
      <c r="J75" s="26">
        <v>8223.8255700000009</v>
      </c>
      <c r="K75" s="26">
        <v>12745.65359</v>
      </c>
      <c r="L75" s="27">
        <v>14499.302970000001</v>
      </c>
      <c r="M75" s="27"/>
      <c r="N75" s="206"/>
      <c r="O75" s="206"/>
      <c r="P75" s="206"/>
      <c r="Q75" s="206"/>
      <c r="R75" s="206"/>
      <c r="S75" s="195"/>
    </row>
    <row r="76" spans="1:20" s="24" customFormat="1" ht="12" x14ac:dyDescent="0.2">
      <c r="A76" s="21" t="s">
        <v>97</v>
      </c>
      <c r="B76" s="26">
        <v>0</v>
      </c>
      <c r="C76" s="26">
        <v>0</v>
      </c>
      <c r="D76" s="26">
        <v>0</v>
      </c>
      <c r="E76" s="26">
        <v>0</v>
      </c>
      <c r="F76" s="155">
        <v>0</v>
      </c>
      <c r="G76" s="22">
        <v>0</v>
      </c>
      <c r="H76" s="26">
        <v>0</v>
      </c>
      <c r="I76" s="26">
        <v>0</v>
      </c>
      <c r="J76" s="26">
        <v>0</v>
      </c>
      <c r="K76" s="26">
        <v>0</v>
      </c>
      <c r="L76" s="91"/>
      <c r="M76" s="91"/>
      <c r="N76" s="206"/>
      <c r="O76" s="206"/>
      <c r="P76" s="206"/>
      <c r="Q76" s="206"/>
      <c r="R76" s="206"/>
      <c r="S76" s="195"/>
    </row>
    <row r="77" spans="1:20" s="32" customFormat="1" ht="12" x14ac:dyDescent="0.2">
      <c r="A77" s="30" t="s">
        <v>98</v>
      </c>
      <c r="B77" s="64">
        <f>SUM(B72:B76)</f>
        <v>3458.6499999999996</v>
      </c>
      <c r="C77" s="64">
        <f t="shared" ref="C77:M77" si="8">SUM(C72:C76)</f>
        <v>6947.92</v>
      </c>
      <c r="D77" s="64">
        <f t="shared" si="8"/>
        <v>15423.73227</v>
      </c>
      <c r="E77" s="64">
        <f t="shared" si="8"/>
        <v>21963.021519999998</v>
      </c>
      <c r="F77" s="64">
        <f t="shared" si="8"/>
        <v>29163.250999999997</v>
      </c>
      <c r="G77" s="64">
        <f t="shared" si="8"/>
        <v>39157.004580000008</v>
      </c>
      <c r="H77" s="64">
        <f t="shared" si="8"/>
        <v>47900.187170000005</v>
      </c>
      <c r="I77" s="64">
        <f t="shared" si="8"/>
        <v>58748.037690000005</v>
      </c>
      <c r="J77" s="64">
        <f t="shared" si="8"/>
        <v>151587.55176</v>
      </c>
      <c r="K77" s="64">
        <f>SUM(K72:K76)</f>
        <v>171687.07358</v>
      </c>
      <c r="L77" s="64">
        <f t="shared" si="8"/>
        <v>173448.10295999996</v>
      </c>
      <c r="M77" s="64">
        <f t="shared" si="8"/>
        <v>0</v>
      </c>
      <c r="N77" s="206"/>
      <c r="O77" s="206"/>
      <c r="P77" s="206"/>
      <c r="Q77" s="206"/>
      <c r="R77" s="206"/>
      <c r="S77" s="195"/>
      <c r="T77" s="24"/>
    </row>
    <row r="78" spans="1:20" s="24" customFormat="1" ht="12" x14ac:dyDescent="0.2">
      <c r="A78" s="51"/>
      <c r="B78" s="45"/>
      <c r="C78" s="45"/>
      <c r="D78" s="45"/>
      <c r="E78" s="45"/>
      <c r="F78" s="45"/>
      <c r="G78" s="45"/>
      <c r="H78" s="45"/>
      <c r="I78" s="46"/>
      <c r="J78" s="46"/>
      <c r="K78" s="46"/>
      <c r="L78" s="46"/>
      <c r="M78" s="46"/>
      <c r="N78" s="204"/>
      <c r="O78" s="204"/>
      <c r="P78" s="204"/>
      <c r="Q78" s="204"/>
      <c r="R78" s="204"/>
      <c r="S78" s="50"/>
    </row>
    <row r="79" spans="1:20" s="47" customFormat="1" x14ac:dyDescent="0.2">
      <c r="A79" s="18" t="s">
        <v>107</v>
      </c>
      <c r="B79" s="62" t="s">
        <v>82</v>
      </c>
      <c r="C79" s="62" t="s">
        <v>83</v>
      </c>
      <c r="D79" s="62" t="s">
        <v>84</v>
      </c>
      <c r="E79" s="62" t="s">
        <v>85</v>
      </c>
      <c r="F79" s="62" t="s">
        <v>86</v>
      </c>
      <c r="G79" s="62" t="s">
        <v>87</v>
      </c>
      <c r="H79" s="62" t="s">
        <v>88</v>
      </c>
      <c r="I79" s="62" t="s">
        <v>198</v>
      </c>
      <c r="J79" s="62" t="s">
        <v>89</v>
      </c>
      <c r="K79" s="62" t="s">
        <v>90</v>
      </c>
      <c r="L79" s="62" t="s">
        <v>91</v>
      </c>
      <c r="M79" s="62" t="s">
        <v>92</v>
      </c>
      <c r="N79" s="208"/>
      <c r="O79" s="208"/>
      <c r="P79" s="208"/>
      <c r="Q79" s="208"/>
      <c r="R79" s="208"/>
      <c r="S79" s="197"/>
      <c r="T79" s="242"/>
    </row>
    <row r="80" spans="1:20" s="24" customFormat="1" ht="12" x14ac:dyDescent="0.2">
      <c r="A80" s="21" t="s">
        <v>93</v>
      </c>
      <c r="B80" s="26">
        <v>245.31</v>
      </c>
      <c r="C80" s="26">
        <v>502.96</v>
      </c>
      <c r="D80" s="26">
        <v>1831.2610299999999</v>
      </c>
      <c r="E80" s="26">
        <v>2821.5187700000001</v>
      </c>
      <c r="F80" s="26">
        <v>3556.4815800000001</v>
      </c>
      <c r="G80" s="26">
        <v>5148.92479</v>
      </c>
      <c r="H80" s="26">
        <v>4659.12745</v>
      </c>
      <c r="I80" s="27">
        <v>5505.8595699999996</v>
      </c>
      <c r="J80" s="27">
        <v>5913.3174300000001</v>
      </c>
      <c r="K80" s="27">
        <v>7371.2023799999997</v>
      </c>
      <c r="L80" s="27">
        <v>7371.2023799999997</v>
      </c>
      <c r="M80" s="27"/>
      <c r="N80" s="206">
        <v>7371.2023799999997</v>
      </c>
      <c r="O80" s="206"/>
      <c r="P80" s="206"/>
      <c r="Q80" s="206">
        <f>+N80-O80-P80</f>
        <v>7371.2023799999997</v>
      </c>
      <c r="R80" s="206"/>
      <c r="S80" s="195"/>
    </row>
    <row r="81" spans="1:20" s="24" customFormat="1" ht="12" x14ac:dyDescent="0.2">
      <c r="A81" s="21" t="s">
        <v>94</v>
      </c>
      <c r="B81" s="26">
        <v>33.97</v>
      </c>
      <c r="C81" s="26">
        <v>72.67</v>
      </c>
      <c r="D81" s="26">
        <f>537.6-152.64</f>
        <v>384.96000000000004</v>
      </c>
      <c r="E81" s="26">
        <f>1023.2271-253.792</f>
        <v>769.43509999999992</v>
      </c>
      <c r="F81" s="26">
        <v>1338.6727700000001</v>
      </c>
      <c r="G81" s="26">
        <v>2123.7695800000001</v>
      </c>
      <c r="H81" s="26">
        <v>1980.2762799999998</v>
      </c>
      <c r="I81" s="27">
        <v>2516.8857100000005</v>
      </c>
      <c r="J81" s="27">
        <v>13488.345359999999</v>
      </c>
      <c r="K81" s="27">
        <v>14017.71933</v>
      </c>
      <c r="L81" s="27">
        <v>14017.71933</v>
      </c>
      <c r="M81" s="27"/>
      <c r="N81" s="206">
        <v>15089.72833</v>
      </c>
      <c r="O81" s="206">
        <v>1072.009</v>
      </c>
      <c r="P81" s="206"/>
      <c r="Q81" s="206">
        <f>+N81-O81-P81</f>
        <v>14017.71933</v>
      </c>
      <c r="R81" s="206"/>
      <c r="S81" s="50"/>
    </row>
    <row r="82" spans="1:20" s="24" customFormat="1" ht="12" x14ac:dyDescent="0.2">
      <c r="A82" s="21" t="s">
        <v>95</v>
      </c>
      <c r="B82" s="26"/>
      <c r="C82" s="26"/>
      <c r="D82" s="26"/>
      <c r="E82" s="26"/>
      <c r="F82" s="26">
        <v>0</v>
      </c>
      <c r="G82" s="26">
        <v>0</v>
      </c>
      <c r="H82" s="26">
        <v>0.39999999999997726</v>
      </c>
      <c r="I82" s="27">
        <v>0.39999999999997726</v>
      </c>
      <c r="J82" s="27">
        <v>0.60000000000002274</v>
      </c>
      <c r="K82" s="27">
        <v>0.80000000000006821</v>
      </c>
      <c r="L82" s="27">
        <v>0.80000000000006821</v>
      </c>
      <c r="M82" s="27"/>
      <c r="N82" s="206">
        <v>684.36</v>
      </c>
      <c r="O82" s="206">
        <v>683.56</v>
      </c>
      <c r="P82" s="206"/>
      <c r="Q82" s="206">
        <f>+N82-O82-P82</f>
        <v>0.80000000000006821</v>
      </c>
      <c r="R82" s="206"/>
      <c r="S82" s="195"/>
    </row>
    <row r="83" spans="1:20" s="24" customFormat="1" ht="12" x14ac:dyDescent="0.2">
      <c r="A83" s="21" t="s">
        <v>96</v>
      </c>
      <c r="B83" s="26">
        <v>4446.13</v>
      </c>
      <c r="C83" s="26">
        <v>6469.57</v>
      </c>
      <c r="D83" s="26">
        <f>208.02153-100.12501</f>
        <v>107.89652000000001</v>
      </c>
      <c r="E83" s="26">
        <f>884.16126-543.66289</f>
        <v>340.49837000000002</v>
      </c>
      <c r="F83" s="26">
        <v>1294.5397399999999</v>
      </c>
      <c r="G83" s="26">
        <v>3280.4348100000002</v>
      </c>
      <c r="H83" s="26">
        <v>4558.0930300000009</v>
      </c>
      <c r="I83" s="27">
        <v>5524.6301599999997</v>
      </c>
      <c r="J83" s="27">
        <v>5408.3004000000001</v>
      </c>
      <c r="K83" s="27">
        <v>6493.4776399999992</v>
      </c>
      <c r="L83" s="27">
        <v>7002.397640000001</v>
      </c>
      <c r="M83" s="27"/>
      <c r="N83" s="206">
        <v>16197.49134</v>
      </c>
      <c r="O83" s="206">
        <v>9195.0936999999994</v>
      </c>
      <c r="P83" s="206"/>
      <c r="Q83" s="206">
        <f>+N83-O83-P83</f>
        <v>7002.397640000001</v>
      </c>
      <c r="R83" s="206"/>
      <c r="S83" s="195"/>
    </row>
    <row r="84" spans="1:20" s="24" customFormat="1" ht="12" x14ac:dyDescent="0.2">
      <c r="A84" s="21" t="s">
        <v>97</v>
      </c>
      <c r="B84" s="219">
        <v>50.88</v>
      </c>
      <c r="C84" s="219">
        <v>248.38</v>
      </c>
      <c r="D84" s="219">
        <v>507.46501000000001</v>
      </c>
      <c r="E84" s="26">
        <v>1052.15489</v>
      </c>
      <c r="F84" s="155">
        <v>1954.80287</v>
      </c>
      <c r="G84" s="22">
        <v>2774.58358</v>
      </c>
      <c r="H84" s="26">
        <v>7663.6811399999997</v>
      </c>
      <c r="I84" s="26">
        <v>6822.8860500000001</v>
      </c>
      <c r="J84" s="26">
        <v>7409.4316099999996</v>
      </c>
      <c r="K84" s="26">
        <v>234.3</v>
      </c>
      <c r="L84" s="26">
        <v>234.3</v>
      </c>
      <c r="M84" s="26"/>
      <c r="N84" s="206">
        <v>234.3</v>
      </c>
      <c r="O84" s="206"/>
      <c r="P84" s="206"/>
      <c r="Q84" s="206">
        <f>+N84-O84-P84</f>
        <v>234.3</v>
      </c>
      <c r="R84" s="206"/>
      <c r="S84" s="195"/>
    </row>
    <row r="85" spans="1:20" s="60" customFormat="1" ht="12" x14ac:dyDescent="0.2">
      <c r="A85" s="30" t="s">
        <v>98</v>
      </c>
      <c r="B85" s="64">
        <f>SUM(B80:B84)</f>
        <v>4776.29</v>
      </c>
      <c r="C85" s="64">
        <f t="shared" ref="C85:M85" si="9">SUM(C80:C84)</f>
        <v>7293.58</v>
      </c>
      <c r="D85" s="64">
        <f t="shared" si="9"/>
        <v>2831.5825599999998</v>
      </c>
      <c r="E85" s="64">
        <f t="shared" si="9"/>
        <v>4983.6071300000003</v>
      </c>
      <c r="F85" s="64">
        <f t="shared" si="9"/>
        <v>8144.4969600000004</v>
      </c>
      <c r="G85" s="64">
        <f t="shared" si="9"/>
        <v>13327.71276</v>
      </c>
      <c r="H85" s="64">
        <f t="shared" si="9"/>
        <v>18861.5779</v>
      </c>
      <c r="I85" s="64">
        <f t="shared" si="9"/>
        <v>20370.661489999999</v>
      </c>
      <c r="J85" s="64">
        <f t="shared" si="9"/>
        <v>32219.994799999997</v>
      </c>
      <c r="K85" s="64">
        <f t="shared" si="9"/>
        <v>28117.499349999995</v>
      </c>
      <c r="L85" s="64">
        <f t="shared" si="9"/>
        <v>28626.41935</v>
      </c>
      <c r="M85" s="64">
        <f t="shared" si="9"/>
        <v>0</v>
      </c>
      <c r="N85" s="209">
        <f>SUM(N80:N84)</f>
        <v>39577.082050000005</v>
      </c>
      <c r="O85" s="209">
        <f>SUM(O80:O84)</f>
        <v>10950.662699999999</v>
      </c>
      <c r="P85" s="209">
        <f>SUM(P80:P84)</f>
        <v>0</v>
      </c>
      <c r="Q85" s="209">
        <f>SUM(Q80:Q84)</f>
        <v>28626.41935</v>
      </c>
      <c r="R85" s="209"/>
      <c r="S85" s="194"/>
      <c r="T85" s="243"/>
    </row>
    <row r="86" spans="1:20" s="24" customFormat="1" ht="12" x14ac:dyDescent="0.2">
      <c r="A86" s="61"/>
      <c r="B86" s="45"/>
      <c r="C86" s="45"/>
      <c r="D86" s="45"/>
      <c r="E86" s="45"/>
      <c r="F86" s="45"/>
      <c r="G86" s="45"/>
      <c r="H86" s="45"/>
      <c r="I86" s="46"/>
      <c r="J86" s="46"/>
      <c r="K86" s="46"/>
      <c r="L86" s="46"/>
      <c r="M86" s="46"/>
      <c r="N86" s="206"/>
      <c r="O86" s="204"/>
      <c r="P86" s="204"/>
      <c r="Q86" s="204"/>
      <c r="R86" s="204"/>
      <c r="S86" s="50"/>
    </row>
    <row r="87" spans="1:20" s="10" customFormat="1" x14ac:dyDescent="0.2">
      <c r="A87" s="18" t="s">
        <v>108</v>
      </c>
      <c r="B87" s="62" t="s">
        <v>82</v>
      </c>
      <c r="C87" s="62" t="s">
        <v>83</v>
      </c>
      <c r="D87" s="62" t="s">
        <v>84</v>
      </c>
      <c r="E87" s="62" t="s">
        <v>85</v>
      </c>
      <c r="F87" s="62" t="s">
        <v>86</v>
      </c>
      <c r="G87" s="62" t="s">
        <v>87</v>
      </c>
      <c r="H87" s="62" t="s">
        <v>88</v>
      </c>
      <c r="I87" s="62" t="s">
        <v>198</v>
      </c>
      <c r="J87" s="62" t="s">
        <v>89</v>
      </c>
      <c r="K87" s="62" t="s">
        <v>90</v>
      </c>
      <c r="L87" s="62" t="s">
        <v>91</v>
      </c>
      <c r="M87" s="62" t="s">
        <v>92</v>
      </c>
      <c r="N87" s="206"/>
      <c r="O87" s="208"/>
      <c r="P87" s="208"/>
      <c r="Q87" s="208"/>
      <c r="R87" s="208"/>
      <c r="S87" s="197"/>
      <c r="T87" s="124"/>
    </row>
    <row r="88" spans="1:20" s="24" customFormat="1" ht="12" x14ac:dyDescent="0.2">
      <c r="A88" s="21" t="s">
        <v>93</v>
      </c>
      <c r="B88" s="26">
        <v>1628.72</v>
      </c>
      <c r="C88" s="26">
        <v>3229.5</v>
      </c>
      <c r="D88" s="26">
        <v>8063.3688199999997</v>
      </c>
      <c r="E88" s="26">
        <v>10515.328310000001</v>
      </c>
      <c r="F88" s="26">
        <v>13156.692520000001</v>
      </c>
      <c r="G88" s="26">
        <v>16977.557199999999</v>
      </c>
      <c r="H88" s="26">
        <v>21185.89833</v>
      </c>
      <c r="I88" s="27">
        <v>25299.914980000001</v>
      </c>
      <c r="J88" s="27">
        <v>31560.153030000001</v>
      </c>
      <c r="K88" s="27">
        <v>37251.58137</v>
      </c>
      <c r="L88" s="27">
        <v>37251.58137</v>
      </c>
      <c r="M88" s="27"/>
      <c r="N88" s="206"/>
      <c r="O88" s="206"/>
      <c r="P88" s="206"/>
      <c r="Q88" s="206"/>
      <c r="R88" s="206"/>
      <c r="S88" s="195"/>
    </row>
    <row r="89" spans="1:20" s="24" customFormat="1" ht="12" x14ac:dyDescent="0.2">
      <c r="A89" s="21" t="s">
        <v>94</v>
      </c>
      <c r="B89" s="26">
        <v>1103.23</v>
      </c>
      <c r="C89" s="26">
        <v>1811.52</v>
      </c>
      <c r="D89" s="26">
        <v>2524.0327200000002</v>
      </c>
      <c r="E89" s="26">
        <v>3613.45426</v>
      </c>
      <c r="F89" s="26">
        <v>5387.8431099999998</v>
      </c>
      <c r="G89" s="26">
        <v>7735.6233700000003</v>
      </c>
      <c r="H89" s="26">
        <v>9241.4280299999991</v>
      </c>
      <c r="I89" s="27">
        <v>11434.78664</v>
      </c>
      <c r="J89" s="27">
        <v>66019.481039999999</v>
      </c>
      <c r="K89" s="27">
        <v>69308.14503</v>
      </c>
      <c r="L89" s="27">
        <v>69364.777029999997</v>
      </c>
      <c r="M89" s="27"/>
      <c r="N89" s="206"/>
      <c r="O89" s="206"/>
      <c r="P89" s="206"/>
      <c r="Q89" s="206"/>
      <c r="R89" s="206"/>
      <c r="S89" s="195"/>
    </row>
    <row r="90" spans="1:20" s="24" customFormat="1" ht="12" x14ac:dyDescent="0.2">
      <c r="A90" s="21" t="s">
        <v>95</v>
      </c>
      <c r="B90" s="26"/>
      <c r="C90" s="26"/>
      <c r="D90" s="26"/>
      <c r="E90" s="26"/>
      <c r="F90" s="26"/>
      <c r="G90" s="26"/>
      <c r="H90" s="26"/>
      <c r="I90" s="27"/>
      <c r="J90" s="27">
        <v>1324.66</v>
      </c>
      <c r="K90" s="27">
        <v>1324.66</v>
      </c>
      <c r="L90" s="27">
        <v>1324.66</v>
      </c>
      <c r="M90" s="27"/>
      <c r="N90" s="206"/>
      <c r="O90" s="206"/>
      <c r="P90" s="206"/>
      <c r="Q90" s="206"/>
      <c r="R90" s="206"/>
      <c r="S90" s="195"/>
    </row>
    <row r="91" spans="1:20" s="24" customFormat="1" ht="12" x14ac:dyDescent="0.2">
      <c r="A91" s="21" t="s">
        <v>96</v>
      </c>
      <c r="B91" s="26">
        <v>134.97</v>
      </c>
      <c r="C91" s="26">
        <v>432.93</v>
      </c>
      <c r="D91" s="26">
        <v>513.07777999999996</v>
      </c>
      <c r="E91" s="26">
        <v>948.14458999999999</v>
      </c>
      <c r="F91" s="26">
        <v>1135.83563</v>
      </c>
      <c r="G91" s="26">
        <v>1680.18451</v>
      </c>
      <c r="H91" s="26">
        <v>1891.63147</v>
      </c>
      <c r="I91" s="27">
        <v>2597.54115</v>
      </c>
      <c r="J91" s="27">
        <v>3506.9571999999998</v>
      </c>
      <c r="K91" s="27">
        <v>10009.583559999999</v>
      </c>
      <c r="L91" s="27">
        <v>10346.23767</v>
      </c>
      <c r="M91" s="27"/>
      <c r="N91" s="206"/>
      <c r="O91" s="206"/>
      <c r="P91" s="206"/>
      <c r="Q91" s="206"/>
      <c r="R91" s="206"/>
      <c r="S91" s="195"/>
    </row>
    <row r="92" spans="1:20" s="24" customFormat="1" ht="12" x14ac:dyDescent="0.2">
      <c r="A92" s="21" t="s">
        <v>97</v>
      </c>
      <c r="B92" s="26"/>
      <c r="C92" s="26"/>
      <c r="D92" s="26"/>
      <c r="E92" s="26"/>
      <c r="F92" s="155"/>
      <c r="G92" s="22"/>
      <c r="H92" s="26"/>
      <c r="I92" s="26"/>
      <c r="J92" s="219"/>
      <c r="K92" s="91"/>
      <c r="L92" s="91"/>
      <c r="M92" s="91"/>
      <c r="N92" s="210"/>
      <c r="O92" s="206"/>
      <c r="P92" s="206"/>
      <c r="Q92" s="206"/>
      <c r="R92" s="206"/>
      <c r="S92" s="195"/>
    </row>
    <row r="93" spans="1:20" s="32" customFormat="1" ht="12" x14ac:dyDescent="0.2">
      <c r="A93" s="30" t="s">
        <v>98</v>
      </c>
      <c r="B93" s="64">
        <f>SUM(B88:B92)</f>
        <v>2866.9199999999996</v>
      </c>
      <c r="C93" s="64">
        <f t="shared" ref="C93:M93" si="10">SUM(C88:C92)</f>
        <v>5473.9500000000007</v>
      </c>
      <c r="D93" s="64">
        <f t="shared" si="10"/>
        <v>11100.479319999999</v>
      </c>
      <c r="E93" s="64">
        <f t="shared" si="10"/>
        <v>15076.927160000001</v>
      </c>
      <c r="F93" s="64">
        <f t="shared" si="10"/>
        <v>19680.37126</v>
      </c>
      <c r="G93" s="64">
        <f t="shared" si="10"/>
        <v>26393.36508</v>
      </c>
      <c r="H93" s="64">
        <f t="shared" si="10"/>
        <v>32318.957829999999</v>
      </c>
      <c r="I93" s="64">
        <f t="shared" si="10"/>
        <v>39332.242769999997</v>
      </c>
      <c r="J93" s="64">
        <f t="shared" si="10"/>
        <v>102411.25127000001</v>
      </c>
      <c r="K93" s="64">
        <f t="shared" si="10"/>
        <v>117893.96996</v>
      </c>
      <c r="L93" s="64">
        <f t="shared" si="10"/>
        <v>118287.25607</v>
      </c>
      <c r="M93" s="64">
        <f t="shared" si="10"/>
        <v>0</v>
      </c>
      <c r="N93" s="206"/>
      <c r="O93" s="206"/>
      <c r="P93" s="206"/>
      <c r="Q93" s="206"/>
      <c r="R93" s="206"/>
      <c r="S93" s="195"/>
      <c r="T93" s="24"/>
    </row>
    <row r="94" spans="1:20" s="24" customFormat="1" ht="12" x14ac:dyDescent="0.2">
      <c r="A94" s="35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210"/>
      <c r="O94" s="206"/>
      <c r="P94" s="204"/>
      <c r="Q94" s="204"/>
      <c r="R94" s="204"/>
      <c r="S94" s="50"/>
    </row>
    <row r="95" spans="1:20" s="47" customFormat="1" x14ac:dyDescent="0.2">
      <c r="A95" s="18" t="s">
        <v>109</v>
      </c>
      <c r="B95" s="62" t="s">
        <v>82</v>
      </c>
      <c r="C95" s="62" t="s">
        <v>83</v>
      </c>
      <c r="D95" s="62" t="s">
        <v>84</v>
      </c>
      <c r="E95" s="62" t="s">
        <v>85</v>
      </c>
      <c r="F95" s="62" t="s">
        <v>86</v>
      </c>
      <c r="G95" s="62" t="s">
        <v>87</v>
      </c>
      <c r="H95" s="62" t="s">
        <v>88</v>
      </c>
      <c r="I95" s="62" t="s">
        <v>198</v>
      </c>
      <c r="J95" s="62" t="s">
        <v>89</v>
      </c>
      <c r="K95" s="62" t="s">
        <v>90</v>
      </c>
      <c r="L95" s="62" t="s">
        <v>91</v>
      </c>
      <c r="M95" s="62" t="s">
        <v>92</v>
      </c>
      <c r="N95" s="206"/>
      <c r="O95" s="206"/>
      <c r="P95" s="208"/>
      <c r="Q95" s="208"/>
      <c r="R95" s="208"/>
      <c r="S95" s="197"/>
      <c r="T95" s="242"/>
    </row>
    <row r="96" spans="1:20" s="24" customFormat="1" ht="12" x14ac:dyDescent="0.2">
      <c r="A96" s="63" t="s">
        <v>93</v>
      </c>
      <c r="B96" s="48">
        <v>2536.88</v>
      </c>
      <c r="C96" s="48">
        <v>5114.71</v>
      </c>
      <c r="D96" s="48">
        <v>12667.236639999999</v>
      </c>
      <c r="E96" s="48">
        <f>17418.31765-414.80771</f>
        <v>17003.50994</v>
      </c>
      <c r="F96" s="26">
        <v>21591.44498</v>
      </c>
      <c r="G96" s="26">
        <v>27619.038639999999</v>
      </c>
      <c r="H96" s="48">
        <v>34517.525199999996</v>
      </c>
      <c r="I96" s="48">
        <v>41234.889889999999</v>
      </c>
      <c r="J96" s="48">
        <v>51315.61249</v>
      </c>
      <c r="K96" s="48">
        <v>62537.054519999998</v>
      </c>
      <c r="L96" s="27">
        <v>62537.054519999998</v>
      </c>
      <c r="M96" s="48"/>
      <c r="N96" s="210">
        <v>64402.407019999999</v>
      </c>
      <c r="O96" s="206">
        <v>1865.3525</v>
      </c>
      <c r="P96" s="206"/>
      <c r="Q96" s="206">
        <f>+N96-O96-P96</f>
        <v>62537.054519999998</v>
      </c>
      <c r="R96" s="206"/>
      <c r="S96" s="195"/>
    </row>
    <row r="97" spans="1:20" s="24" customFormat="1" ht="12" x14ac:dyDescent="0.2">
      <c r="A97" s="63" t="s">
        <v>94</v>
      </c>
      <c r="B97" s="48">
        <v>431.65</v>
      </c>
      <c r="C97" s="48">
        <v>1086.55</v>
      </c>
      <c r="D97" s="48">
        <v>2118.33583</v>
      </c>
      <c r="E97" s="48">
        <f>3575.35602-67.13443</f>
        <v>3508.2215900000001</v>
      </c>
      <c r="F97" s="26">
        <v>6166.9128300000002</v>
      </c>
      <c r="G97" s="26">
        <v>9577.5538300000007</v>
      </c>
      <c r="H97" s="48">
        <v>12006.20839</v>
      </c>
      <c r="I97" s="48">
        <v>15458.154570000001</v>
      </c>
      <c r="J97" s="48">
        <v>96168.299249999996</v>
      </c>
      <c r="K97" s="48">
        <v>101438.84228</v>
      </c>
      <c r="L97" s="27">
        <v>101516.40228000001</v>
      </c>
      <c r="M97" s="48"/>
      <c r="N97" s="206">
        <v>103468.19839000001</v>
      </c>
      <c r="O97" s="206">
        <v>786.84873000000005</v>
      </c>
      <c r="P97" s="206">
        <v>1164.9473800000001</v>
      </c>
      <c r="Q97" s="206">
        <f>+N97-O97-P97</f>
        <v>101516.40228000001</v>
      </c>
      <c r="R97" s="206"/>
      <c r="S97" s="195"/>
    </row>
    <row r="98" spans="1:20" s="24" customFormat="1" ht="12" x14ac:dyDescent="0.2">
      <c r="A98" s="63" t="s">
        <v>95</v>
      </c>
      <c r="B98" s="48">
        <v>0.35</v>
      </c>
      <c r="C98" s="48">
        <v>0.35</v>
      </c>
      <c r="D98" s="48">
        <f>4.45249-3.05771</f>
        <v>1.3947799999999999</v>
      </c>
      <c r="E98" s="48">
        <f>7.99249-3.05771</f>
        <v>4.9347799999999999</v>
      </c>
      <c r="F98" s="26">
        <v>4.9347799999999999</v>
      </c>
      <c r="G98" s="26">
        <v>164.23478</v>
      </c>
      <c r="H98" s="48">
        <v>164.95978000000002</v>
      </c>
      <c r="I98" s="48">
        <v>293.85978</v>
      </c>
      <c r="J98" s="48">
        <v>752.13477999999986</v>
      </c>
      <c r="K98" s="48">
        <v>1941.1347799999999</v>
      </c>
      <c r="L98" s="27">
        <v>1941.1347799999999</v>
      </c>
      <c r="M98" s="48"/>
      <c r="N98" s="210">
        <v>5657.34249</v>
      </c>
      <c r="O98" s="206"/>
      <c r="P98" s="206">
        <v>3716.2077100000001</v>
      </c>
      <c r="Q98" s="206">
        <f>+N98-O98-P98</f>
        <v>1941.1347799999999</v>
      </c>
      <c r="R98" s="206"/>
      <c r="S98" s="195"/>
    </row>
    <row r="99" spans="1:20" s="24" customFormat="1" ht="12" x14ac:dyDescent="0.2">
      <c r="A99" s="63" t="s">
        <v>96</v>
      </c>
      <c r="B99" s="48">
        <v>573.71</v>
      </c>
      <c r="C99" s="48">
        <v>1560.02</v>
      </c>
      <c r="D99" s="48">
        <f>11364.35566-7377.47458-2184.24259</f>
        <v>1802.6384899999994</v>
      </c>
      <c r="E99" s="48">
        <f>18461.00094-3231.84259-11702.2082</f>
        <v>3526.9501500000024</v>
      </c>
      <c r="F99" s="26">
        <v>6223.6622399999978</v>
      </c>
      <c r="G99" s="26">
        <v>7917.2449300000007</v>
      </c>
      <c r="H99" s="48">
        <v>14898.816790000004</v>
      </c>
      <c r="I99" s="48">
        <v>21095.328530000003</v>
      </c>
      <c r="J99" s="48">
        <v>25884.404379999996</v>
      </c>
      <c r="K99" s="48">
        <v>37265.791320000004</v>
      </c>
      <c r="L99" s="27">
        <v>41315.105099999986</v>
      </c>
      <c r="M99" s="48"/>
      <c r="N99" s="206">
        <v>81948.886069999993</v>
      </c>
      <c r="O99" s="206">
        <v>5260.1162000000004</v>
      </c>
      <c r="P99" s="206">
        <v>35373.664770000003</v>
      </c>
      <c r="Q99" s="206">
        <f>+N99-O99-P99</f>
        <v>41315.105099999986</v>
      </c>
      <c r="R99" s="206"/>
      <c r="S99" s="195"/>
    </row>
    <row r="100" spans="1:20" s="24" customFormat="1" ht="12" x14ac:dyDescent="0.2">
      <c r="A100" s="63" t="s">
        <v>97</v>
      </c>
      <c r="B100" s="48">
        <v>623.96</v>
      </c>
      <c r="C100" s="48">
        <v>6882.78</v>
      </c>
      <c r="D100" s="219">
        <v>9564.7748800000008</v>
      </c>
      <c r="E100" s="26">
        <v>15419.050639999999</v>
      </c>
      <c r="F100" s="155">
        <v>18201.493190000001</v>
      </c>
      <c r="G100" s="22">
        <v>22499.17527</v>
      </c>
      <c r="H100" s="48">
        <v>24604.111000000001</v>
      </c>
      <c r="I100" s="48">
        <v>28149.653200000001</v>
      </c>
      <c r="J100" s="48">
        <v>36182.766530000001</v>
      </c>
      <c r="K100" s="48">
        <v>46281.211909999998</v>
      </c>
      <c r="L100" s="27">
        <v>46281.211909999998</v>
      </c>
      <c r="M100" s="48"/>
      <c r="N100" s="210">
        <v>46281.211909999998</v>
      </c>
      <c r="O100" s="206"/>
      <c r="P100" s="206"/>
      <c r="Q100" s="206">
        <f>+N100-O100-P100</f>
        <v>46281.211909999998</v>
      </c>
      <c r="R100" s="206"/>
      <c r="S100" s="195"/>
    </row>
    <row r="101" spans="1:20" s="32" customFormat="1" ht="12" x14ac:dyDescent="0.2">
      <c r="A101" s="30" t="s">
        <v>98</v>
      </c>
      <c r="B101" s="64">
        <f>SUM(B96:B100)</f>
        <v>4166.55</v>
      </c>
      <c r="C101" s="64">
        <f t="shared" ref="C101:M101" si="11">SUM(C96:C100)</f>
        <v>14644.41</v>
      </c>
      <c r="D101" s="64">
        <f t="shared" si="11"/>
        <v>26154.38062</v>
      </c>
      <c r="E101" s="64">
        <f t="shared" si="11"/>
        <v>39462.667100000006</v>
      </c>
      <c r="F101" s="64">
        <f t="shared" si="11"/>
        <v>52188.448020000003</v>
      </c>
      <c r="G101" s="64">
        <f t="shared" si="11"/>
        <v>67777.247449999995</v>
      </c>
      <c r="H101" s="64">
        <f t="shared" si="11"/>
        <v>86191.621159999995</v>
      </c>
      <c r="I101" s="64">
        <f t="shared" si="11"/>
        <v>106231.88597</v>
      </c>
      <c r="J101" s="64">
        <f t="shared" si="11"/>
        <v>210303.21742999999</v>
      </c>
      <c r="K101" s="64">
        <f t="shared" si="11"/>
        <v>249464.03480999998</v>
      </c>
      <c r="L101" s="64">
        <f t="shared" si="11"/>
        <v>253590.90859000001</v>
      </c>
      <c r="M101" s="64">
        <f t="shared" si="11"/>
        <v>0</v>
      </c>
      <c r="N101" s="209">
        <f>SUM(N96:N100)</f>
        <v>301758.04588000005</v>
      </c>
      <c r="O101" s="209">
        <f>SUM(O96:O100)</f>
        <v>7912.317430000001</v>
      </c>
      <c r="P101" s="209">
        <f>SUM(P96:P100)</f>
        <v>40254.819860000003</v>
      </c>
      <c r="Q101" s="209">
        <f>SUM(Q96:Q100)</f>
        <v>253590.90859000001</v>
      </c>
      <c r="R101" s="209"/>
      <c r="S101" s="195"/>
      <c r="T101" s="24"/>
    </row>
    <row r="102" spans="1:20" s="24" customFormat="1" ht="12" x14ac:dyDescent="0.2">
      <c r="A102" s="65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210"/>
      <c r="O102" s="206"/>
      <c r="P102" s="206"/>
      <c r="Q102" s="206"/>
      <c r="R102" s="206"/>
      <c r="S102" s="195"/>
    </row>
    <row r="103" spans="1:20" s="47" customFormat="1" x14ac:dyDescent="0.2">
      <c r="A103" s="18" t="s">
        <v>110</v>
      </c>
      <c r="B103" s="62" t="s">
        <v>82</v>
      </c>
      <c r="C103" s="62" t="s">
        <v>83</v>
      </c>
      <c r="D103" s="62" t="s">
        <v>84</v>
      </c>
      <c r="E103" s="62" t="s">
        <v>85</v>
      </c>
      <c r="F103" s="62" t="s">
        <v>86</v>
      </c>
      <c r="G103" s="62" t="s">
        <v>87</v>
      </c>
      <c r="H103" s="62" t="s">
        <v>88</v>
      </c>
      <c r="I103" s="62" t="s">
        <v>198</v>
      </c>
      <c r="J103" s="62" t="s">
        <v>89</v>
      </c>
      <c r="K103" s="62" t="s">
        <v>90</v>
      </c>
      <c r="L103" s="62" t="s">
        <v>91</v>
      </c>
      <c r="M103" s="62" t="s">
        <v>92</v>
      </c>
      <c r="N103" s="206"/>
      <c r="O103" s="206"/>
      <c r="P103" s="208"/>
      <c r="Q103" s="208"/>
      <c r="R103" s="208"/>
      <c r="S103" s="197"/>
      <c r="T103" s="242"/>
    </row>
    <row r="104" spans="1:20" s="24" customFormat="1" ht="12" x14ac:dyDescent="0.2">
      <c r="A104" s="63" t="s">
        <v>93</v>
      </c>
      <c r="B104" s="48">
        <v>14084.89</v>
      </c>
      <c r="C104" s="48">
        <v>29686.85</v>
      </c>
      <c r="D104" s="48">
        <v>47896.401519999999</v>
      </c>
      <c r="E104" s="48">
        <v>59601.36436</v>
      </c>
      <c r="F104" s="26">
        <v>74507.490720000002</v>
      </c>
      <c r="G104" s="26">
        <v>74805.943320000006</v>
      </c>
      <c r="H104" s="48">
        <v>112674.72070999999</v>
      </c>
      <c r="I104" s="48">
        <v>112976.77925000001</v>
      </c>
      <c r="J104" s="48">
        <v>113415.12334999999</v>
      </c>
      <c r="K104" s="48">
        <v>113853.46745</v>
      </c>
      <c r="L104" s="27">
        <v>113853.46745</v>
      </c>
      <c r="M104" s="48"/>
      <c r="N104" s="210"/>
      <c r="O104" s="206"/>
      <c r="P104" s="206"/>
      <c r="Q104" s="206"/>
      <c r="R104" s="206"/>
      <c r="S104" s="195"/>
    </row>
    <row r="105" spans="1:20" s="24" customFormat="1" ht="12" x14ac:dyDescent="0.2">
      <c r="A105" s="63" t="s">
        <v>94</v>
      </c>
      <c r="B105" s="219">
        <v>6920.24</v>
      </c>
      <c r="C105" s="219">
        <v>11659.91</v>
      </c>
      <c r="D105" s="219">
        <v>15167.65799</v>
      </c>
      <c r="E105" s="219">
        <v>20116.219000000001</v>
      </c>
      <c r="F105" s="219">
        <v>32373.803489999998</v>
      </c>
      <c r="G105" s="219">
        <v>32510.852480000001</v>
      </c>
      <c r="H105" s="219">
        <v>48523.395680000001</v>
      </c>
      <c r="I105" s="219">
        <v>48656.027670000003</v>
      </c>
      <c r="J105" s="219">
        <v>49863.823060000002</v>
      </c>
      <c r="K105" s="48">
        <v>54867.202440000001</v>
      </c>
      <c r="L105" s="27">
        <v>55578.072440000004</v>
      </c>
      <c r="M105" s="48"/>
      <c r="N105" s="206"/>
      <c r="O105" s="206"/>
      <c r="P105" s="206"/>
      <c r="Q105" s="206"/>
      <c r="R105" s="206"/>
      <c r="S105" s="195"/>
    </row>
    <row r="106" spans="1:20" s="24" customFormat="1" ht="12" x14ac:dyDescent="0.2">
      <c r="A106" s="63" t="s">
        <v>95</v>
      </c>
      <c r="B106" s="219">
        <v>-0.39</v>
      </c>
      <c r="C106" s="219">
        <v>-0.49</v>
      </c>
      <c r="D106" s="219">
        <v>-0.49199999999999999</v>
      </c>
      <c r="E106" s="219">
        <v>-0.49199999999999999</v>
      </c>
      <c r="F106" s="219">
        <v>-0.51800000000000002</v>
      </c>
      <c r="G106" s="219">
        <v>-0.51800000000000002</v>
      </c>
      <c r="H106" s="219">
        <v>-0.56100000000000005</v>
      </c>
      <c r="I106" s="219">
        <v>4539.4390000000003</v>
      </c>
      <c r="J106" s="219">
        <v>4539.4390000000003</v>
      </c>
      <c r="K106" s="48">
        <v>6856.9489999999996</v>
      </c>
      <c r="L106" s="27">
        <v>7065.7489999999998</v>
      </c>
      <c r="M106" s="48"/>
      <c r="N106" s="210"/>
      <c r="O106" s="206"/>
      <c r="P106" s="206"/>
      <c r="Q106" s="206"/>
      <c r="R106" s="206"/>
      <c r="S106" s="195"/>
    </row>
    <row r="107" spans="1:20" s="24" customFormat="1" ht="12" x14ac:dyDescent="0.2">
      <c r="A107" s="63" t="s">
        <v>96</v>
      </c>
      <c r="B107" s="219">
        <v>9259.48</v>
      </c>
      <c r="C107" s="219">
        <v>19170.900000000001</v>
      </c>
      <c r="D107" s="219">
        <v>28477.807359999999</v>
      </c>
      <c r="E107" s="219">
        <v>56233.850989999999</v>
      </c>
      <c r="F107" s="219">
        <v>80205.281369999997</v>
      </c>
      <c r="G107" s="219">
        <v>98270.479080000005</v>
      </c>
      <c r="H107" s="219">
        <v>119337.71361999999</v>
      </c>
      <c r="I107" s="219">
        <v>143518.08583</v>
      </c>
      <c r="J107" s="219">
        <v>177768.79443000001</v>
      </c>
      <c r="K107" s="48">
        <v>244393.67751000001</v>
      </c>
      <c r="L107" s="27">
        <v>254218.31708000001</v>
      </c>
      <c r="M107" s="48"/>
      <c r="N107" s="206"/>
      <c r="O107" s="206"/>
      <c r="P107" s="206"/>
      <c r="Q107" s="206"/>
      <c r="R107" s="206"/>
      <c r="S107" s="195"/>
    </row>
    <row r="108" spans="1:20" s="24" customFormat="1" ht="12" x14ac:dyDescent="0.2">
      <c r="A108" s="63" t="s">
        <v>97</v>
      </c>
      <c r="B108" s="219">
        <v>43.78</v>
      </c>
      <c r="C108" s="219">
        <v>2498.2600000000002</v>
      </c>
      <c r="D108" s="219">
        <v>2551.6191199999998</v>
      </c>
      <c r="E108" s="219">
        <v>3007.7899200000002</v>
      </c>
      <c r="F108" s="221">
        <v>3049.0619799999999</v>
      </c>
      <c r="G108" s="220">
        <v>3084.2467299999998</v>
      </c>
      <c r="H108" s="219">
        <v>3092.97111</v>
      </c>
      <c r="I108" s="219">
        <v>3135.9318699999999</v>
      </c>
      <c r="J108" s="219">
        <v>3185.7430899999999</v>
      </c>
      <c r="K108" s="91">
        <v>3248.9026899999999</v>
      </c>
      <c r="L108" s="91">
        <v>3248.9026899999999</v>
      </c>
      <c r="M108" s="91"/>
      <c r="N108" s="210"/>
      <c r="O108" s="206"/>
      <c r="P108" s="206"/>
      <c r="Q108" s="206"/>
      <c r="R108" s="206"/>
      <c r="S108" s="195"/>
    </row>
    <row r="109" spans="1:20" s="32" customFormat="1" ht="12" x14ac:dyDescent="0.2">
      <c r="A109" s="30" t="s">
        <v>98</v>
      </c>
      <c r="B109" s="64">
        <f>SUM(B104:B108)</f>
        <v>30307.999999999996</v>
      </c>
      <c r="C109" s="64">
        <f t="shared" ref="C109:M109" si="12">SUM(C104:C108)</f>
        <v>63015.43</v>
      </c>
      <c r="D109" s="64">
        <f t="shared" si="12"/>
        <v>94092.993990000003</v>
      </c>
      <c r="E109" s="64">
        <f t="shared" si="12"/>
        <v>138958.73227000001</v>
      </c>
      <c r="F109" s="64">
        <f t="shared" si="12"/>
        <v>190135.11955999999</v>
      </c>
      <c r="G109" s="64">
        <f t="shared" si="12"/>
        <v>208671.00361000001</v>
      </c>
      <c r="H109" s="64">
        <f t="shared" si="12"/>
        <v>283628.24011999997</v>
      </c>
      <c r="I109" s="64">
        <f t="shared" si="12"/>
        <v>312826.26361999998</v>
      </c>
      <c r="J109" s="64">
        <f t="shared" si="12"/>
        <v>348772.92293</v>
      </c>
      <c r="K109" s="64">
        <f t="shared" si="12"/>
        <v>423220.19909000001</v>
      </c>
      <c r="L109" s="64">
        <f t="shared" si="12"/>
        <v>433964.50866000005</v>
      </c>
      <c r="M109" s="64">
        <f t="shared" si="12"/>
        <v>0</v>
      </c>
      <c r="N109" s="206"/>
      <c r="O109" s="206"/>
      <c r="P109" s="206"/>
      <c r="Q109" s="206"/>
      <c r="R109" s="206"/>
      <c r="S109" s="195"/>
      <c r="T109" s="24"/>
    </row>
    <row r="110" spans="1:20" s="24" customFormat="1" ht="12" x14ac:dyDescent="0.2">
      <c r="A110" s="67"/>
      <c r="B110" s="45"/>
      <c r="C110" s="45"/>
      <c r="D110" s="45"/>
      <c r="E110" s="45"/>
      <c r="F110" s="45"/>
      <c r="G110" s="45"/>
      <c r="H110" s="45"/>
      <c r="I110" s="45"/>
      <c r="J110" s="94"/>
      <c r="K110" s="94"/>
      <c r="L110" s="94"/>
      <c r="M110" s="46"/>
      <c r="N110" s="210"/>
      <c r="O110" s="206"/>
      <c r="P110" s="204"/>
      <c r="Q110" s="204"/>
      <c r="R110" s="204"/>
      <c r="S110" s="50"/>
    </row>
    <row r="111" spans="1:20" s="47" customFormat="1" x14ac:dyDescent="0.2">
      <c r="A111" s="18" t="s">
        <v>111</v>
      </c>
      <c r="B111" s="62" t="s">
        <v>82</v>
      </c>
      <c r="C111" s="62" t="s">
        <v>83</v>
      </c>
      <c r="D111" s="62" t="s">
        <v>84</v>
      </c>
      <c r="E111" s="62" t="s">
        <v>85</v>
      </c>
      <c r="F111" s="62" t="s">
        <v>86</v>
      </c>
      <c r="G111" s="62" t="s">
        <v>87</v>
      </c>
      <c r="H111" s="62" t="s">
        <v>88</v>
      </c>
      <c r="I111" s="62" t="s">
        <v>198</v>
      </c>
      <c r="J111" s="62" t="s">
        <v>89</v>
      </c>
      <c r="K111" s="62" t="s">
        <v>90</v>
      </c>
      <c r="L111" s="62" t="s">
        <v>91</v>
      </c>
      <c r="M111" s="62" t="s">
        <v>92</v>
      </c>
      <c r="N111" s="206"/>
      <c r="O111" s="206"/>
      <c r="P111" s="208"/>
      <c r="Q111" s="208"/>
      <c r="R111" s="208"/>
      <c r="S111" s="197"/>
      <c r="T111" s="242"/>
    </row>
    <row r="112" spans="1:20" s="24" customFormat="1" ht="12" x14ac:dyDescent="0.2">
      <c r="A112" s="21" t="s">
        <v>93</v>
      </c>
      <c r="B112" s="219">
        <v>500.07</v>
      </c>
      <c r="C112" s="219">
        <v>960.59</v>
      </c>
      <c r="D112" s="219">
        <v>2275.34357</v>
      </c>
      <c r="E112" s="219">
        <v>3496.7393299999999</v>
      </c>
      <c r="F112" s="219">
        <v>4543.0080399999997</v>
      </c>
      <c r="G112" s="219">
        <v>5532.3453900000004</v>
      </c>
      <c r="H112" s="219">
        <v>6501.2856400000001</v>
      </c>
      <c r="I112" s="219">
        <v>7791.4344899999996</v>
      </c>
      <c r="J112" s="219">
        <v>10316.28385</v>
      </c>
      <c r="K112" s="27">
        <v>11998.39896</v>
      </c>
      <c r="L112" s="27">
        <v>11998.39896</v>
      </c>
      <c r="M112" s="27"/>
      <c r="N112" s="210"/>
      <c r="O112" s="206"/>
      <c r="P112" s="206"/>
      <c r="Q112" s="206"/>
      <c r="R112" s="206"/>
      <c r="S112" s="195"/>
    </row>
    <row r="113" spans="1:20" s="24" customFormat="1" ht="12" x14ac:dyDescent="0.2">
      <c r="A113" s="21" t="s">
        <v>94</v>
      </c>
      <c r="B113" s="219">
        <v>59.92</v>
      </c>
      <c r="C113" s="219">
        <v>203.96</v>
      </c>
      <c r="D113" s="219">
        <v>361.91771999999997</v>
      </c>
      <c r="E113" s="219">
        <v>779.51886000000002</v>
      </c>
      <c r="F113" s="219">
        <v>1473.2285300000001</v>
      </c>
      <c r="G113" s="219">
        <v>2110.6325000000002</v>
      </c>
      <c r="H113" s="219">
        <v>2563.2536399999999</v>
      </c>
      <c r="I113" s="219">
        <v>3233.5631600000002</v>
      </c>
      <c r="J113" s="219">
        <v>22189.501939999998</v>
      </c>
      <c r="K113" s="27">
        <v>23117.960169999998</v>
      </c>
      <c r="L113" s="27">
        <v>23117.960169999998</v>
      </c>
      <c r="M113" s="27"/>
      <c r="N113" s="206"/>
      <c r="O113" s="206"/>
      <c r="P113" s="206"/>
      <c r="Q113" s="206"/>
      <c r="R113" s="206"/>
      <c r="S113" s="195"/>
    </row>
    <row r="114" spans="1:20" s="24" customFormat="1" ht="12" x14ac:dyDescent="0.2">
      <c r="A114" s="21" t="s">
        <v>95</v>
      </c>
      <c r="B114" s="219"/>
      <c r="C114" s="219"/>
      <c r="D114" s="219"/>
      <c r="E114" s="219"/>
      <c r="F114" s="219"/>
      <c r="G114" s="219"/>
      <c r="H114" s="219">
        <v>1.1000000000000001</v>
      </c>
      <c r="I114" s="219">
        <v>1.1000000000000001</v>
      </c>
      <c r="J114" s="219">
        <v>1.1000000000000001</v>
      </c>
      <c r="K114" s="27">
        <v>1.1000000000000001</v>
      </c>
      <c r="L114" s="27">
        <v>1.1000000000000001</v>
      </c>
      <c r="M114" s="27"/>
      <c r="N114" s="210"/>
      <c r="O114" s="206"/>
      <c r="P114" s="206"/>
      <c r="Q114" s="206"/>
      <c r="R114" s="206"/>
      <c r="S114" s="195"/>
    </row>
    <row r="115" spans="1:20" s="24" customFormat="1" ht="12" x14ac:dyDescent="0.2">
      <c r="A115" s="21" t="s">
        <v>96</v>
      </c>
      <c r="B115" s="219">
        <v>966.51</v>
      </c>
      <c r="C115" s="219">
        <v>1221.28</v>
      </c>
      <c r="D115" s="219">
        <v>1421.9012</v>
      </c>
      <c r="E115" s="219">
        <v>5585.55746</v>
      </c>
      <c r="F115" s="219">
        <v>9824.1954100000003</v>
      </c>
      <c r="G115" s="219">
        <v>12810.491110000001</v>
      </c>
      <c r="H115" s="219">
        <v>13647.85391</v>
      </c>
      <c r="I115" s="219">
        <v>14660.00475</v>
      </c>
      <c r="J115" s="219">
        <v>19154.045910000001</v>
      </c>
      <c r="K115" s="27">
        <v>22029.758040000001</v>
      </c>
      <c r="L115" s="27">
        <v>22516.858039999999</v>
      </c>
      <c r="M115" s="27"/>
      <c r="N115" s="206"/>
      <c r="O115" s="206"/>
      <c r="P115" s="206"/>
      <c r="Q115" s="206"/>
      <c r="R115" s="206"/>
      <c r="S115" s="195"/>
    </row>
    <row r="116" spans="1:20" s="24" customFormat="1" ht="12" x14ac:dyDescent="0.2">
      <c r="A116" s="21" t="s">
        <v>97</v>
      </c>
      <c r="B116" s="219"/>
      <c r="C116" s="219"/>
      <c r="D116" s="219"/>
      <c r="E116" s="219"/>
      <c r="F116" s="221"/>
      <c r="G116" s="220"/>
      <c r="H116" s="219"/>
      <c r="I116" s="219"/>
      <c r="J116" s="219"/>
      <c r="K116" s="91"/>
      <c r="L116" s="91"/>
      <c r="M116" s="91"/>
      <c r="N116" s="210"/>
      <c r="O116" s="206"/>
      <c r="P116" s="206"/>
      <c r="Q116" s="206"/>
      <c r="R116" s="206"/>
      <c r="S116" s="195"/>
    </row>
    <row r="117" spans="1:20" s="32" customFormat="1" ht="12" x14ac:dyDescent="0.2">
      <c r="A117" s="30" t="s">
        <v>98</v>
      </c>
      <c r="B117" s="64">
        <f>SUM(B112:B116)</f>
        <v>1526.5</v>
      </c>
      <c r="C117" s="64">
        <f t="shared" ref="C117:M117" si="13">SUM(C112:C116)</f>
        <v>2385.83</v>
      </c>
      <c r="D117" s="64">
        <f t="shared" si="13"/>
        <v>4059.1624899999997</v>
      </c>
      <c r="E117" s="64">
        <f t="shared" si="13"/>
        <v>9861.8156500000005</v>
      </c>
      <c r="F117" s="64">
        <f t="shared" si="13"/>
        <v>15840.431980000001</v>
      </c>
      <c r="G117" s="64">
        <f t="shared" si="13"/>
        <v>20453.469000000001</v>
      </c>
      <c r="H117" s="64">
        <f t="shared" si="13"/>
        <v>22713.493190000001</v>
      </c>
      <c r="I117" s="64">
        <f t="shared" si="13"/>
        <v>25686.1024</v>
      </c>
      <c r="J117" s="64">
        <f t="shared" si="13"/>
        <v>51660.931700000001</v>
      </c>
      <c r="K117" s="64">
        <f t="shared" si="13"/>
        <v>57147.217169999996</v>
      </c>
      <c r="L117" s="64">
        <f t="shared" si="13"/>
        <v>57634.317169999995</v>
      </c>
      <c r="M117" s="64">
        <f t="shared" si="13"/>
        <v>0</v>
      </c>
      <c r="N117" s="206"/>
      <c r="O117" s="206"/>
      <c r="P117" s="206"/>
      <c r="Q117" s="206"/>
      <c r="R117" s="206"/>
      <c r="S117" s="195"/>
      <c r="T117" s="24"/>
    </row>
    <row r="118" spans="1:20" s="24" customFormat="1" ht="12" x14ac:dyDescent="0.2">
      <c r="A118" s="65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210"/>
      <c r="O118" s="206"/>
      <c r="P118" s="206"/>
      <c r="Q118" s="206"/>
      <c r="R118" s="206"/>
      <c r="S118" s="195"/>
    </row>
    <row r="119" spans="1:20" s="47" customFormat="1" x14ac:dyDescent="0.2">
      <c r="A119" s="18" t="s">
        <v>112</v>
      </c>
      <c r="B119" s="62" t="s">
        <v>82</v>
      </c>
      <c r="C119" s="62" t="s">
        <v>83</v>
      </c>
      <c r="D119" s="62" t="s">
        <v>84</v>
      </c>
      <c r="E119" s="62" t="s">
        <v>85</v>
      </c>
      <c r="F119" s="62" t="s">
        <v>86</v>
      </c>
      <c r="G119" s="62" t="s">
        <v>87</v>
      </c>
      <c r="H119" s="62" t="s">
        <v>88</v>
      </c>
      <c r="I119" s="62" t="s">
        <v>198</v>
      </c>
      <c r="J119" s="62" t="s">
        <v>89</v>
      </c>
      <c r="K119" s="62" t="s">
        <v>90</v>
      </c>
      <c r="L119" s="62" t="s">
        <v>91</v>
      </c>
      <c r="M119" s="62" t="s">
        <v>92</v>
      </c>
      <c r="N119" s="206"/>
      <c r="O119" s="206"/>
      <c r="P119" s="208"/>
      <c r="Q119" s="208"/>
      <c r="R119" s="208"/>
      <c r="S119" s="197"/>
      <c r="T119" s="242"/>
    </row>
    <row r="120" spans="1:20" s="24" customFormat="1" ht="12" x14ac:dyDescent="0.2">
      <c r="A120" s="63" t="s">
        <v>93</v>
      </c>
      <c r="B120" s="48">
        <v>6801.05</v>
      </c>
      <c r="C120" s="48">
        <v>13049.84</v>
      </c>
      <c r="D120" s="48">
        <v>30576.31726</v>
      </c>
      <c r="E120" s="48">
        <v>39771.489329999997</v>
      </c>
      <c r="F120" s="26">
        <v>48971.550289999999</v>
      </c>
      <c r="G120" s="26">
        <v>63254.172610000001</v>
      </c>
      <c r="H120" s="48">
        <v>77872.566949999993</v>
      </c>
      <c r="I120" s="48">
        <v>93476.932130000001</v>
      </c>
      <c r="J120" s="48">
        <v>115667.96163000001</v>
      </c>
      <c r="K120" s="48">
        <v>139670.93741000001</v>
      </c>
      <c r="L120" s="27">
        <v>139670.93741000001</v>
      </c>
      <c r="M120" s="48"/>
      <c r="N120" s="210">
        <v>139670.93741000001</v>
      </c>
      <c r="O120" s="206"/>
      <c r="P120" s="206"/>
      <c r="Q120" s="206"/>
      <c r="R120" s="206">
        <f>+N120-O120-P120-Q120</f>
        <v>139670.93741000001</v>
      </c>
      <c r="S120" s="195"/>
    </row>
    <row r="121" spans="1:20" s="24" customFormat="1" ht="12" x14ac:dyDescent="0.2">
      <c r="A121" s="63" t="s">
        <v>94</v>
      </c>
      <c r="B121" s="48">
        <v>1638.26</v>
      </c>
      <c r="C121" s="48">
        <v>3357.43</v>
      </c>
      <c r="D121" s="48">
        <f>5833.84163- 25.995</f>
        <v>5807.84663</v>
      </c>
      <c r="E121" s="48">
        <f>9270.35359-51.704- 25.995</f>
        <v>9192.6545900000001</v>
      </c>
      <c r="F121" s="26">
        <v>15809.97076</v>
      </c>
      <c r="G121" s="26">
        <v>24494.757380000003</v>
      </c>
      <c r="H121" s="48">
        <v>30472.250189999999</v>
      </c>
      <c r="I121" s="48">
        <v>39405.111020000004</v>
      </c>
      <c r="J121" s="48">
        <v>256402.19618</v>
      </c>
      <c r="K121" s="48">
        <v>268486.19094</v>
      </c>
      <c r="L121" s="27">
        <v>268489.37693999999</v>
      </c>
      <c r="M121" s="48"/>
      <c r="N121" s="206">
        <v>268588.95293999999</v>
      </c>
      <c r="O121" s="206"/>
      <c r="P121" s="206"/>
      <c r="Q121" s="206">
        <v>99.575999999999993</v>
      </c>
      <c r="R121" s="206">
        <f>+N121-O121-P121-Q121</f>
        <v>268489.37693999999</v>
      </c>
      <c r="S121" s="195"/>
    </row>
    <row r="122" spans="1:20" s="24" customFormat="1" ht="12" x14ac:dyDescent="0.2">
      <c r="A122" s="63" t="s">
        <v>95</v>
      </c>
      <c r="B122" s="48">
        <v>1.92</v>
      </c>
      <c r="C122" s="48">
        <v>553.89</v>
      </c>
      <c r="D122" s="48">
        <f>717.8698- 161</f>
        <v>556.86980000000005</v>
      </c>
      <c r="E122" s="48">
        <f>718.8454-161</f>
        <v>557.84540000000004</v>
      </c>
      <c r="F122" s="26">
        <v>1194.838</v>
      </c>
      <c r="G122" s="26">
        <v>2048.8947899999998</v>
      </c>
      <c r="H122" s="48">
        <v>1073.1315999999999</v>
      </c>
      <c r="I122" s="48">
        <v>1084.08439</v>
      </c>
      <c r="J122" s="48">
        <v>10005.22118</v>
      </c>
      <c r="K122" s="48">
        <v>5454.3211799999999</v>
      </c>
      <c r="L122" s="27">
        <v>5455.0979699999998</v>
      </c>
      <c r="M122" s="48"/>
      <c r="N122" s="210">
        <v>5245.0979699999998</v>
      </c>
      <c r="O122" s="206"/>
      <c r="P122" s="206">
        <v>-210</v>
      </c>
      <c r="Q122" s="206"/>
      <c r="R122" s="206">
        <f>+N122-O122-P122-Q122</f>
        <v>5455.0979699999998</v>
      </c>
      <c r="S122" s="195"/>
    </row>
    <row r="123" spans="1:20" s="24" customFormat="1" ht="12" x14ac:dyDescent="0.2">
      <c r="A123" s="63" t="s">
        <v>96</v>
      </c>
      <c r="B123" s="48">
        <v>1034.42</v>
      </c>
      <c r="C123" s="48">
        <v>3445.84</v>
      </c>
      <c r="D123" s="48">
        <f>12291.77544-249.934-2990.00429-3583.39669</f>
        <v>5468.4404599999998</v>
      </c>
      <c r="E123" s="48">
        <f>18686.73392-320.62507-4964.34192-4202.93032</f>
        <v>9198.8366100000021</v>
      </c>
      <c r="F123" s="26">
        <v>11187.694490000002</v>
      </c>
      <c r="G123" s="26">
        <v>13488.144270000001</v>
      </c>
      <c r="H123" s="48">
        <v>18481.510409999999</v>
      </c>
      <c r="I123" s="48">
        <v>22473.144400000005</v>
      </c>
      <c r="J123" s="48">
        <v>30690.941279999995</v>
      </c>
      <c r="K123" s="48">
        <v>51641.444329999998</v>
      </c>
      <c r="L123" s="27">
        <v>56622.765999999989</v>
      </c>
      <c r="M123" s="48"/>
      <c r="N123" s="206">
        <v>116742.43829999999</v>
      </c>
      <c r="O123" s="206">
        <v>1713.7064700000001</v>
      </c>
      <c r="P123" s="206">
        <v>52065.091590000004</v>
      </c>
      <c r="Q123" s="206">
        <v>6340.8742400000001</v>
      </c>
      <c r="R123" s="206">
        <f>+N123-O123-P123-Q123</f>
        <v>56622.765999999989</v>
      </c>
      <c r="S123" s="195"/>
    </row>
    <row r="124" spans="1:20" s="24" customFormat="1" ht="12" x14ac:dyDescent="0.2">
      <c r="A124" s="63" t="s">
        <v>97</v>
      </c>
      <c r="B124" s="48">
        <v>822.96</v>
      </c>
      <c r="C124" s="48">
        <v>4685.0600000000004</v>
      </c>
      <c r="D124" s="48">
        <v>3593.7299800000001</v>
      </c>
      <c r="E124" s="48">
        <v>6309.9963100000004</v>
      </c>
      <c r="F124" s="155">
        <v>4308.9276</v>
      </c>
      <c r="G124" s="22">
        <v>5692.4468299999999</v>
      </c>
      <c r="H124" s="48">
        <v>13362.35218</v>
      </c>
      <c r="I124" s="48">
        <v>403104.07047999999</v>
      </c>
      <c r="J124" s="48">
        <v>878109.04582</v>
      </c>
      <c r="K124" s="48">
        <v>980248.83588000003</v>
      </c>
      <c r="L124" s="27">
        <v>980248.83588000003</v>
      </c>
      <c r="M124" s="48"/>
      <c r="N124" s="210">
        <v>980248.83588000003</v>
      </c>
      <c r="O124" s="206"/>
      <c r="P124" s="206"/>
      <c r="Q124" s="206"/>
      <c r="R124" s="206">
        <f>+N124-O124-P124-Q124</f>
        <v>980248.83588000003</v>
      </c>
      <c r="S124" s="195"/>
    </row>
    <row r="125" spans="1:20" s="32" customFormat="1" ht="12" x14ac:dyDescent="0.2">
      <c r="A125" s="30" t="s">
        <v>98</v>
      </c>
      <c r="B125" s="64">
        <f>SUM(B120:B124)</f>
        <v>10298.61</v>
      </c>
      <c r="C125" s="64">
        <f t="shared" ref="C125:M125" si="14">SUM(C120:C124)</f>
        <v>25092.06</v>
      </c>
      <c r="D125" s="64">
        <f t="shared" si="14"/>
        <v>46003.204129999998</v>
      </c>
      <c r="E125" s="64">
        <f t="shared" si="14"/>
        <v>65030.822239999994</v>
      </c>
      <c r="F125" s="64">
        <f t="shared" si="14"/>
        <v>81472.981139999989</v>
      </c>
      <c r="G125" s="64">
        <f t="shared" si="14"/>
        <v>108978.41588000002</v>
      </c>
      <c r="H125" s="64">
        <f t="shared" si="14"/>
        <v>141261.81133</v>
      </c>
      <c r="I125" s="64">
        <f t="shared" si="14"/>
        <v>559543.34242</v>
      </c>
      <c r="J125" s="64">
        <f t="shared" si="14"/>
        <v>1290875.3660899999</v>
      </c>
      <c r="K125" s="64">
        <f t="shared" si="14"/>
        <v>1445501.7297400001</v>
      </c>
      <c r="L125" s="64">
        <f t="shared" si="14"/>
        <v>1450487.0142000001</v>
      </c>
      <c r="M125" s="64">
        <f t="shared" si="14"/>
        <v>0</v>
      </c>
      <c r="N125" s="209">
        <f>SUM(N120:N124)</f>
        <v>1510496.2625000002</v>
      </c>
      <c r="O125" s="209">
        <f>SUM(O120:O124)</f>
        <v>1713.7064700000001</v>
      </c>
      <c r="P125" s="209">
        <f>SUM(P120:P124)</f>
        <v>51855.091590000004</v>
      </c>
      <c r="Q125" s="209">
        <f>SUM(Q120:Q124)</f>
        <v>6440.4502400000001</v>
      </c>
      <c r="R125" s="209">
        <f>SUM(R120:R124)</f>
        <v>1450487.0142000001</v>
      </c>
      <c r="S125" s="195"/>
      <c r="T125" s="24"/>
    </row>
    <row r="126" spans="1:20" s="24" customFormat="1" ht="12" x14ac:dyDescent="0.2">
      <c r="A126" s="65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210"/>
      <c r="O126" s="206"/>
      <c r="P126" s="206"/>
      <c r="Q126" s="206"/>
      <c r="R126" s="206"/>
      <c r="S126" s="195"/>
    </row>
    <row r="127" spans="1:20" s="47" customFormat="1" x14ac:dyDescent="0.2">
      <c r="A127" s="18" t="s">
        <v>113</v>
      </c>
      <c r="B127" s="62" t="s">
        <v>82</v>
      </c>
      <c r="C127" s="62" t="s">
        <v>83</v>
      </c>
      <c r="D127" s="62" t="s">
        <v>84</v>
      </c>
      <c r="E127" s="62" t="s">
        <v>85</v>
      </c>
      <c r="F127" s="62" t="s">
        <v>86</v>
      </c>
      <c r="G127" s="62" t="s">
        <v>87</v>
      </c>
      <c r="H127" s="62" t="s">
        <v>88</v>
      </c>
      <c r="I127" s="62" t="s">
        <v>198</v>
      </c>
      <c r="J127" s="62" t="s">
        <v>89</v>
      </c>
      <c r="K127" s="62" t="s">
        <v>90</v>
      </c>
      <c r="L127" s="62" t="s">
        <v>91</v>
      </c>
      <c r="M127" s="62" t="s">
        <v>92</v>
      </c>
      <c r="N127" s="206"/>
      <c r="O127" s="206"/>
      <c r="P127" s="208"/>
      <c r="Q127" s="208"/>
      <c r="R127" s="208"/>
      <c r="S127" s="197"/>
      <c r="T127" s="242"/>
    </row>
    <row r="128" spans="1:20" s="24" customFormat="1" ht="12" x14ac:dyDescent="0.2">
      <c r="A128" s="63" t="s">
        <v>93</v>
      </c>
      <c r="B128" s="219">
        <v>982.67</v>
      </c>
      <c r="C128" s="219">
        <v>1965.64</v>
      </c>
      <c r="D128" s="219">
        <v>4773.5734499999999</v>
      </c>
      <c r="E128" s="219">
        <v>6400.6944999999996</v>
      </c>
      <c r="F128" s="219">
        <v>8052.7513900000004</v>
      </c>
      <c r="G128" s="219">
        <v>10382.19636</v>
      </c>
      <c r="H128" s="219">
        <v>13436.062900000001</v>
      </c>
      <c r="I128" s="219">
        <v>15720.234280000001</v>
      </c>
      <c r="J128" s="219">
        <v>19510.225780000001</v>
      </c>
      <c r="K128" s="48">
        <v>23213.586469999998</v>
      </c>
      <c r="L128" s="27"/>
      <c r="M128" s="48"/>
      <c r="N128" s="210">
        <v>23213.586469999998</v>
      </c>
      <c r="O128" s="206"/>
      <c r="P128" s="206"/>
      <c r="Q128" s="206">
        <f>+N128-O128-P128</f>
        <v>23213.586469999998</v>
      </c>
      <c r="R128" s="206"/>
      <c r="S128" s="195"/>
    </row>
    <row r="129" spans="1:20" s="24" customFormat="1" ht="12" x14ac:dyDescent="0.2">
      <c r="A129" s="63" t="s">
        <v>94</v>
      </c>
      <c r="B129" s="219">
        <v>223.85</v>
      </c>
      <c r="C129" s="219">
        <v>397.32</v>
      </c>
      <c r="D129" s="219">
        <f>907.5722- 41.60746</f>
        <v>865.96473999999989</v>
      </c>
      <c r="E129" s="219">
        <f>1598.8556-41.60746-8.956</f>
        <v>1548.2921400000002</v>
      </c>
      <c r="F129" s="219">
        <v>2582.4383699999998</v>
      </c>
      <c r="G129" s="219">
        <v>3944.5380600000003</v>
      </c>
      <c r="H129" s="219">
        <v>5170.0967099999998</v>
      </c>
      <c r="I129" s="219">
        <v>6373.963780000001</v>
      </c>
      <c r="J129" s="219">
        <v>37243.454669999992</v>
      </c>
      <c r="K129" s="48">
        <v>39088.882599999997</v>
      </c>
      <c r="L129" s="27">
        <v>23213.586469999998</v>
      </c>
      <c r="M129" s="48"/>
      <c r="N129" s="206">
        <v>39504.177960000001</v>
      </c>
      <c r="O129" s="206">
        <v>167.51571999999999</v>
      </c>
      <c r="P129" s="206">
        <v>221.69064</v>
      </c>
      <c r="Q129" s="206">
        <f>+N129-O129-P129</f>
        <v>39114.971599999997</v>
      </c>
      <c r="R129" s="206"/>
      <c r="S129" s="195"/>
    </row>
    <row r="130" spans="1:20" s="24" customFormat="1" ht="12" x14ac:dyDescent="0.2">
      <c r="A130" s="63" t="s">
        <v>95</v>
      </c>
      <c r="B130" s="219"/>
      <c r="C130" s="219">
        <v>3</v>
      </c>
      <c r="D130" s="219">
        <v>4.4987599999999999</v>
      </c>
      <c r="E130" s="219">
        <v>4.4987599999999999</v>
      </c>
      <c r="F130" s="219">
        <v>7.0979599999999996</v>
      </c>
      <c r="G130" s="219">
        <v>7.0979599999999996</v>
      </c>
      <c r="H130" s="219">
        <v>108.03848000000001</v>
      </c>
      <c r="I130" s="219">
        <v>108.03848000000001</v>
      </c>
      <c r="J130" s="219">
        <v>109.36848000000001</v>
      </c>
      <c r="K130" s="48">
        <v>1395.3684800000001</v>
      </c>
      <c r="L130" s="27">
        <v>39114.971599999997</v>
      </c>
      <c r="M130" s="48"/>
      <c r="N130" s="210">
        <v>1395.3684800000001</v>
      </c>
      <c r="O130" s="206"/>
      <c r="P130" s="206"/>
      <c r="Q130" s="206">
        <f>+N130-O130-P130</f>
        <v>1395.3684800000001</v>
      </c>
      <c r="R130" s="206"/>
      <c r="S130" s="195"/>
    </row>
    <row r="131" spans="1:20" s="24" customFormat="1" ht="12" x14ac:dyDescent="0.2">
      <c r="A131" s="63" t="s">
        <v>96</v>
      </c>
      <c r="B131" s="219">
        <v>1211.4000000000001</v>
      </c>
      <c r="C131" s="225">
        <v>3846.47</v>
      </c>
      <c r="D131" s="219">
        <f>15149.83762-5686.39028-4175.49281</f>
        <v>5287.9545300000009</v>
      </c>
      <c r="E131" s="219">
        <f>21816.5843-9367.73824-4415.7608</f>
        <v>8033.085259999998</v>
      </c>
      <c r="F131" s="219">
        <v>10805.792669999997</v>
      </c>
      <c r="G131" s="219">
        <v>14421.973519999996</v>
      </c>
      <c r="H131" s="219">
        <v>16362.444029999999</v>
      </c>
      <c r="I131" s="219">
        <v>18837.499620000002</v>
      </c>
      <c r="J131" s="219">
        <v>21685.69817</v>
      </c>
      <c r="K131" s="48">
        <v>35922.617320000005</v>
      </c>
      <c r="L131" s="27">
        <v>1395.3684800000001</v>
      </c>
      <c r="M131" s="48"/>
      <c r="N131" s="206">
        <v>84202.612429999994</v>
      </c>
      <c r="O131" s="206">
        <v>28352.808410000001</v>
      </c>
      <c r="P131" s="206">
        <v>19186.347949999999</v>
      </c>
      <c r="Q131" s="206">
        <f>+N131-O131-P131</f>
        <v>36663.45607</v>
      </c>
      <c r="R131" s="206"/>
      <c r="S131" s="195"/>
    </row>
    <row r="132" spans="1:20" s="24" customFormat="1" ht="12" x14ac:dyDescent="0.2">
      <c r="A132" s="63" t="s">
        <v>97</v>
      </c>
      <c r="B132" s="219">
        <v>1438.72</v>
      </c>
      <c r="C132" s="219">
        <v>5696.9</v>
      </c>
      <c r="D132" s="219">
        <v>9903.4905500000004</v>
      </c>
      <c r="E132" s="226">
        <v>13834.0625</v>
      </c>
      <c r="F132" s="221">
        <v>18198.151679999999</v>
      </c>
      <c r="G132" s="220">
        <v>20978.260419999999</v>
      </c>
      <c r="H132" s="219">
        <v>27250.013050000001</v>
      </c>
      <c r="I132" s="219">
        <v>30576.786929999998</v>
      </c>
      <c r="J132" s="219">
        <v>37351.810250000002</v>
      </c>
      <c r="K132" s="26">
        <v>45928.515209999998</v>
      </c>
      <c r="L132" s="26">
        <v>36663.45607</v>
      </c>
      <c r="M132" s="26"/>
      <c r="N132" s="210">
        <v>45928.515209999998</v>
      </c>
      <c r="O132" s="206"/>
      <c r="P132" s="206"/>
      <c r="Q132" s="206">
        <f>+N132-O132-P132</f>
        <v>45928.515209999998</v>
      </c>
      <c r="R132" s="206"/>
      <c r="S132" s="195"/>
    </row>
    <row r="133" spans="1:20" s="32" customFormat="1" ht="12" x14ac:dyDescent="0.2">
      <c r="A133" s="30" t="s">
        <v>98</v>
      </c>
      <c r="B133" s="64">
        <f>SUM(B128:B132)</f>
        <v>3856.6400000000003</v>
      </c>
      <c r="C133" s="64">
        <f t="shared" ref="C133:M133" si="15">SUM(C128:C132)</f>
        <v>11909.33</v>
      </c>
      <c r="D133" s="64">
        <f t="shared" si="15"/>
        <v>20835.482029999999</v>
      </c>
      <c r="E133" s="64">
        <f t="shared" si="15"/>
        <v>29820.633159999998</v>
      </c>
      <c r="F133" s="64">
        <f t="shared" si="15"/>
        <v>39646.232069999998</v>
      </c>
      <c r="G133" s="64">
        <f t="shared" si="15"/>
        <v>49734.066319999998</v>
      </c>
      <c r="H133" s="64">
        <f t="shared" si="15"/>
        <v>62326.655170000005</v>
      </c>
      <c r="I133" s="64">
        <f t="shared" si="15"/>
        <v>71616.523090000002</v>
      </c>
      <c r="J133" s="64">
        <f t="shared" si="15"/>
        <v>115900.55734999999</v>
      </c>
      <c r="K133" s="64">
        <f t="shared" si="15"/>
        <v>145548.97008</v>
      </c>
      <c r="L133" s="64">
        <v>45928.515209999998</v>
      </c>
      <c r="M133" s="64">
        <f t="shared" si="15"/>
        <v>0</v>
      </c>
      <c r="N133" s="209">
        <f>SUM(N128:N132)</f>
        <v>194244.26055000001</v>
      </c>
      <c r="O133" s="209">
        <f>SUM(O128:O132)</f>
        <v>28520.324130000001</v>
      </c>
      <c r="P133" s="209">
        <f>SUM(P128:P132)</f>
        <v>19408.03859</v>
      </c>
      <c r="Q133" s="209">
        <f>SUM(Q128:Q132)</f>
        <v>146315.89782999997</v>
      </c>
      <c r="R133" s="209"/>
      <c r="S133" s="195"/>
      <c r="T133" s="24"/>
    </row>
    <row r="134" spans="1:20" s="24" customFormat="1" ht="12" x14ac:dyDescent="0.2">
      <c r="A134" s="65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210"/>
      <c r="O134" s="206"/>
      <c r="P134" s="206"/>
      <c r="Q134" s="206"/>
      <c r="R134" s="206"/>
      <c r="S134" s="195"/>
    </row>
    <row r="135" spans="1:20" s="47" customFormat="1" x14ac:dyDescent="0.2">
      <c r="A135" s="18" t="s">
        <v>114</v>
      </c>
      <c r="B135" s="62" t="s">
        <v>82</v>
      </c>
      <c r="C135" s="62" t="s">
        <v>83</v>
      </c>
      <c r="D135" s="62" t="s">
        <v>84</v>
      </c>
      <c r="E135" s="62" t="s">
        <v>85</v>
      </c>
      <c r="F135" s="62" t="s">
        <v>86</v>
      </c>
      <c r="G135" s="62" t="s">
        <v>87</v>
      </c>
      <c r="H135" s="62" t="s">
        <v>88</v>
      </c>
      <c r="I135" s="62" t="s">
        <v>198</v>
      </c>
      <c r="J135" s="62" t="s">
        <v>89</v>
      </c>
      <c r="K135" s="62" t="s">
        <v>90</v>
      </c>
      <c r="L135" s="62" t="s">
        <v>91</v>
      </c>
      <c r="M135" s="62" t="s">
        <v>92</v>
      </c>
      <c r="N135" s="206"/>
      <c r="O135" s="206"/>
      <c r="P135" s="208"/>
      <c r="Q135" s="208"/>
      <c r="R135" s="208"/>
      <c r="S135" s="197"/>
      <c r="T135" s="242"/>
    </row>
    <row r="136" spans="1:20" s="24" customFormat="1" ht="12" x14ac:dyDescent="0.2">
      <c r="A136" s="21" t="s">
        <v>93</v>
      </c>
      <c r="B136" s="26">
        <v>4001.43</v>
      </c>
      <c r="C136" s="26">
        <v>7909.98</v>
      </c>
      <c r="D136" s="26">
        <v>17473.967329999999</v>
      </c>
      <c r="E136" s="26">
        <v>23529.152239999999</v>
      </c>
      <c r="F136" s="26">
        <v>29605.150519999999</v>
      </c>
      <c r="G136" s="26">
        <v>36194.429069999998</v>
      </c>
      <c r="H136" s="26">
        <v>42286.727800000001</v>
      </c>
      <c r="I136" s="48">
        <v>51055.40913</v>
      </c>
      <c r="J136" s="48">
        <v>62936.692159999999</v>
      </c>
      <c r="K136" s="48">
        <v>76260.608319999999</v>
      </c>
      <c r="L136" s="27">
        <v>76260.608319999999</v>
      </c>
      <c r="M136" s="27"/>
      <c r="N136" s="210"/>
      <c r="O136" s="206"/>
      <c r="P136" s="206"/>
      <c r="Q136" s="206"/>
      <c r="R136" s="206"/>
      <c r="S136" s="195"/>
    </row>
    <row r="137" spans="1:20" s="24" customFormat="1" ht="12" x14ac:dyDescent="0.2">
      <c r="A137" s="21" t="s">
        <v>94</v>
      </c>
      <c r="B137" s="26">
        <v>12868.69</v>
      </c>
      <c r="C137" s="26">
        <v>25282.42</v>
      </c>
      <c r="D137" s="26">
        <v>38767.78198</v>
      </c>
      <c r="E137" s="26">
        <v>48076.624170000003</v>
      </c>
      <c r="F137" s="26">
        <v>52888.091529999998</v>
      </c>
      <c r="G137" s="26">
        <v>65149.65322</v>
      </c>
      <c r="H137" s="26">
        <v>87106.738010000001</v>
      </c>
      <c r="I137" s="27">
        <v>99789.400640000007</v>
      </c>
      <c r="J137" s="27">
        <v>235503.09732</v>
      </c>
      <c r="K137" s="27">
        <v>245805.03202000001</v>
      </c>
      <c r="L137" s="27">
        <v>246227.37203</v>
      </c>
      <c r="M137" s="27"/>
      <c r="N137" s="206"/>
      <c r="O137" s="206"/>
      <c r="P137" s="206"/>
      <c r="Q137" s="206"/>
      <c r="R137" s="206"/>
      <c r="S137" s="195"/>
    </row>
    <row r="138" spans="1:20" s="24" customFormat="1" ht="12" x14ac:dyDescent="0.2">
      <c r="A138" s="21" t="s">
        <v>95</v>
      </c>
      <c r="B138" s="26">
        <v>-34.56</v>
      </c>
      <c r="C138" s="26">
        <v>2081.6999999999998</v>
      </c>
      <c r="D138" s="26">
        <v>2399.7424900000001</v>
      </c>
      <c r="E138" s="26">
        <v>3294.0160799999999</v>
      </c>
      <c r="F138" s="26">
        <v>3293.9200799999999</v>
      </c>
      <c r="G138" s="26">
        <v>3387.5611699999999</v>
      </c>
      <c r="H138" s="26">
        <v>7782.26512</v>
      </c>
      <c r="I138" s="27">
        <v>32132.45462</v>
      </c>
      <c r="J138" s="27">
        <v>36716.557820000002</v>
      </c>
      <c r="K138" s="27">
        <v>40483.082820000003</v>
      </c>
      <c r="L138" s="27">
        <v>40485.752809999998</v>
      </c>
      <c r="M138" s="27"/>
      <c r="N138" s="210"/>
      <c r="O138" s="206"/>
      <c r="P138" s="206"/>
      <c r="Q138" s="206"/>
      <c r="R138" s="206"/>
      <c r="S138" s="195"/>
    </row>
    <row r="139" spans="1:20" s="24" customFormat="1" ht="12" x14ac:dyDescent="0.2">
      <c r="A139" s="21" t="s">
        <v>96</v>
      </c>
      <c r="B139" s="26">
        <v>1067.18</v>
      </c>
      <c r="C139" s="26">
        <v>6346.76</v>
      </c>
      <c r="D139" s="26">
        <v>10565.188829999999</v>
      </c>
      <c r="E139" s="26">
        <v>15629.412</v>
      </c>
      <c r="F139" s="26">
        <v>21763.144830000001</v>
      </c>
      <c r="G139" s="26">
        <v>32571.092680000002</v>
      </c>
      <c r="H139" s="26">
        <v>51867.758040000001</v>
      </c>
      <c r="I139" s="27">
        <v>60557.578379999999</v>
      </c>
      <c r="J139" s="27">
        <v>72339.879449999993</v>
      </c>
      <c r="K139" s="27">
        <v>82300.017850000004</v>
      </c>
      <c r="L139" s="27">
        <v>86638.016010000007</v>
      </c>
      <c r="M139" s="27"/>
      <c r="N139" s="206"/>
      <c r="O139" s="206"/>
      <c r="P139" s="206"/>
      <c r="Q139" s="206"/>
      <c r="R139" s="206"/>
      <c r="S139" s="195"/>
    </row>
    <row r="140" spans="1:20" s="24" customFormat="1" ht="12" x14ac:dyDescent="0.2">
      <c r="A140" s="21" t="s">
        <v>97</v>
      </c>
      <c r="B140" s="26"/>
      <c r="C140" s="26"/>
      <c r="D140" s="26"/>
      <c r="E140" s="26"/>
      <c r="F140" s="155"/>
      <c r="G140" s="22"/>
      <c r="H140" s="26">
        <v>691.19952999999998</v>
      </c>
      <c r="I140" s="27">
        <v>1500.8595299999999</v>
      </c>
      <c r="J140" s="27">
        <v>1500.8595299999999</v>
      </c>
      <c r="K140" s="27">
        <v>8980.5407799999994</v>
      </c>
      <c r="L140" s="27">
        <v>8980.5407799999994</v>
      </c>
      <c r="M140" s="27"/>
      <c r="N140" s="206"/>
      <c r="O140" s="206"/>
      <c r="P140" s="206"/>
      <c r="Q140" s="206"/>
      <c r="R140" s="206"/>
      <c r="S140" s="195"/>
    </row>
    <row r="141" spans="1:20" s="32" customFormat="1" ht="12" x14ac:dyDescent="0.2">
      <c r="A141" s="30" t="s">
        <v>98</v>
      </c>
      <c r="B141" s="64">
        <f>SUM(B136:B140)</f>
        <v>17902.739999999998</v>
      </c>
      <c r="C141" s="64">
        <f t="shared" ref="C141:M141" si="16">SUM(C136:C140)</f>
        <v>41620.859999999993</v>
      </c>
      <c r="D141" s="64">
        <f t="shared" si="16"/>
        <v>69206.680629999988</v>
      </c>
      <c r="E141" s="64">
        <f t="shared" si="16"/>
        <v>90529.204490000004</v>
      </c>
      <c r="F141" s="64">
        <f t="shared" si="16"/>
        <v>107550.30696</v>
      </c>
      <c r="G141" s="64">
        <f t="shared" si="16"/>
        <v>137302.73613999999</v>
      </c>
      <c r="H141" s="64">
        <f t="shared" si="16"/>
        <v>189734.68850000002</v>
      </c>
      <c r="I141" s="64">
        <f t="shared" si="16"/>
        <v>245035.70229999998</v>
      </c>
      <c r="J141" s="64">
        <f t="shared" si="16"/>
        <v>408997.08627999999</v>
      </c>
      <c r="K141" s="64">
        <f t="shared" si="16"/>
        <v>453829.28179000004</v>
      </c>
      <c r="L141" s="64">
        <f t="shared" si="16"/>
        <v>458592.28994999995</v>
      </c>
      <c r="M141" s="64">
        <f t="shared" si="16"/>
        <v>0</v>
      </c>
      <c r="N141" s="206"/>
      <c r="O141" s="206"/>
      <c r="P141" s="206"/>
      <c r="Q141" s="206"/>
      <c r="R141" s="206"/>
      <c r="S141" s="195"/>
      <c r="T141" s="24"/>
    </row>
    <row r="142" spans="1:20" s="24" customFormat="1" ht="12" x14ac:dyDescent="0.2">
      <c r="A142" s="65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206"/>
      <c r="O142" s="206"/>
      <c r="P142" s="206"/>
      <c r="Q142" s="206"/>
      <c r="R142" s="206"/>
      <c r="S142" s="195"/>
    </row>
    <row r="143" spans="1:20" s="47" customFormat="1" x14ac:dyDescent="0.2">
      <c r="A143" s="18" t="s">
        <v>115</v>
      </c>
      <c r="B143" s="62" t="s">
        <v>82</v>
      </c>
      <c r="C143" s="62" t="s">
        <v>83</v>
      </c>
      <c r="D143" s="62" t="s">
        <v>84</v>
      </c>
      <c r="E143" s="62" t="s">
        <v>85</v>
      </c>
      <c r="F143" s="62" t="s">
        <v>86</v>
      </c>
      <c r="G143" s="62" t="s">
        <v>87</v>
      </c>
      <c r="H143" s="62" t="s">
        <v>88</v>
      </c>
      <c r="I143" s="62" t="s">
        <v>198</v>
      </c>
      <c r="J143" s="62" t="s">
        <v>89</v>
      </c>
      <c r="K143" s="62" t="s">
        <v>90</v>
      </c>
      <c r="L143" s="62" t="s">
        <v>91</v>
      </c>
      <c r="M143" s="62" t="s">
        <v>92</v>
      </c>
      <c r="N143" s="206"/>
      <c r="O143" s="206"/>
      <c r="P143" s="208"/>
      <c r="Q143" s="208"/>
      <c r="R143" s="208"/>
      <c r="S143" s="197"/>
      <c r="T143" s="242"/>
    </row>
    <row r="144" spans="1:20" s="24" customFormat="1" ht="12" x14ac:dyDescent="0.2">
      <c r="A144" s="21" t="s">
        <v>93</v>
      </c>
      <c r="B144" s="219">
        <v>5659.95</v>
      </c>
      <c r="C144" s="219">
        <v>12516.62</v>
      </c>
      <c r="D144" s="219">
        <v>23297.630229999999</v>
      </c>
      <c r="E144" s="219">
        <v>30272.308249999998</v>
      </c>
      <c r="F144" s="219">
        <v>37581.47352</v>
      </c>
      <c r="G144" s="219">
        <v>45726.835200000001</v>
      </c>
      <c r="H144" s="219">
        <v>55792.493560000003</v>
      </c>
      <c r="I144" s="219">
        <v>66689.912689999997</v>
      </c>
      <c r="J144" s="219">
        <v>80446.983789999998</v>
      </c>
      <c r="K144" s="26">
        <v>95484.571830000001</v>
      </c>
      <c r="L144" s="27">
        <v>95484.571830000001</v>
      </c>
      <c r="M144" s="27"/>
      <c r="N144" s="206"/>
      <c r="O144" s="206"/>
      <c r="P144" s="206"/>
      <c r="Q144" s="206"/>
      <c r="R144" s="206"/>
      <c r="S144" s="195"/>
    </row>
    <row r="145" spans="1:20" s="24" customFormat="1" ht="12" x14ac:dyDescent="0.2">
      <c r="A145" s="21" t="s">
        <v>94</v>
      </c>
      <c r="B145" s="219">
        <v>2156.84</v>
      </c>
      <c r="C145" s="219">
        <v>4103.03</v>
      </c>
      <c r="D145" s="219">
        <v>6691.5754699999998</v>
      </c>
      <c r="E145" s="219">
        <v>9406.9845499999992</v>
      </c>
      <c r="F145" s="219">
        <v>15635.601570000001</v>
      </c>
      <c r="G145" s="219">
        <v>21484.211449999999</v>
      </c>
      <c r="H145" s="219">
        <v>26863.122960000001</v>
      </c>
      <c r="I145" s="219">
        <v>33418.810899999997</v>
      </c>
      <c r="J145" s="219">
        <v>166443.30301</v>
      </c>
      <c r="K145" s="26">
        <v>174534.86291</v>
      </c>
      <c r="L145" s="27">
        <v>175635.86291</v>
      </c>
      <c r="M145" s="27"/>
      <c r="N145" s="206"/>
      <c r="O145" s="206"/>
      <c r="P145" s="206"/>
      <c r="Q145" s="206"/>
      <c r="R145" s="206"/>
      <c r="S145" s="195"/>
    </row>
    <row r="146" spans="1:20" s="24" customFormat="1" ht="12" x14ac:dyDescent="0.2">
      <c r="A146" s="21" t="s">
        <v>95</v>
      </c>
      <c r="B146" s="219">
        <v>-7.0000000000000007E-2</v>
      </c>
      <c r="C146" s="219">
        <v>-7.0000000000000007E-2</v>
      </c>
      <c r="D146" s="219">
        <v>-16352.626</v>
      </c>
      <c r="E146" s="219">
        <v>-1852.683</v>
      </c>
      <c r="F146" s="219">
        <v>-1852.7070000000001</v>
      </c>
      <c r="G146" s="219">
        <v>246.79300000000001</v>
      </c>
      <c r="H146" s="219">
        <v>246.79300000000001</v>
      </c>
      <c r="I146" s="219">
        <v>1046.7929999999999</v>
      </c>
      <c r="J146" s="219">
        <v>5549.8490000000002</v>
      </c>
      <c r="K146" s="26">
        <v>5549.8490000000002</v>
      </c>
      <c r="L146" s="27">
        <v>26150.974999999999</v>
      </c>
      <c r="M146" s="27"/>
      <c r="N146" s="206"/>
      <c r="O146" s="206"/>
      <c r="P146" s="206"/>
      <c r="Q146" s="206"/>
      <c r="R146" s="206"/>
      <c r="S146" s="195"/>
    </row>
    <row r="147" spans="1:20" s="24" customFormat="1" ht="12" x14ac:dyDescent="0.2">
      <c r="A147" s="21" t="s">
        <v>96</v>
      </c>
      <c r="B147" s="219">
        <v>3090.28</v>
      </c>
      <c r="C147" s="219">
        <v>6927.37</v>
      </c>
      <c r="D147" s="219">
        <v>10774.00736</v>
      </c>
      <c r="E147" s="219">
        <v>19467.625410000001</v>
      </c>
      <c r="F147" s="219">
        <v>24175.666840000002</v>
      </c>
      <c r="G147" s="219">
        <v>30536.078699999998</v>
      </c>
      <c r="H147" s="219">
        <v>40490.132360000003</v>
      </c>
      <c r="I147" s="219">
        <v>50843.294979999999</v>
      </c>
      <c r="J147" s="219">
        <v>61673.348749999997</v>
      </c>
      <c r="K147" s="26">
        <v>88676.946320000003</v>
      </c>
      <c r="L147" s="27">
        <v>96490.176349999994</v>
      </c>
      <c r="M147" s="27"/>
      <c r="N147" s="206"/>
      <c r="O147" s="206"/>
      <c r="P147" s="206"/>
      <c r="Q147" s="206"/>
      <c r="R147" s="206"/>
      <c r="S147" s="195"/>
    </row>
    <row r="148" spans="1:20" s="24" customFormat="1" ht="12" x14ac:dyDescent="0.2">
      <c r="A148" s="21" t="s">
        <v>97</v>
      </c>
      <c r="B148" s="219"/>
      <c r="C148" s="219"/>
      <c r="D148" s="219"/>
      <c r="E148" s="219"/>
      <c r="F148" s="221"/>
      <c r="G148" s="220"/>
      <c r="H148" s="219"/>
      <c r="I148" s="219"/>
      <c r="J148" s="219"/>
      <c r="K148" s="91"/>
      <c r="L148" s="91"/>
      <c r="M148" s="91"/>
      <c r="N148" s="206"/>
      <c r="O148" s="206"/>
      <c r="P148" s="206"/>
      <c r="Q148" s="206"/>
      <c r="R148" s="206"/>
      <c r="S148" s="195"/>
    </row>
    <row r="149" spans="1:20" s="32" customFormat="1" ht="12" x14ac:dyDescent="0.2">
      <c r="A149" s="30" t="s">
        <v>98</v>
      </c>
      <c r="B149" s="64">
        <f>SUM(B144:B148)</f>
        <v>10907</v>
      </c>
      <c r="C149" s="64">
        <f t="shared" ref="C149:M149" si="17">SUM(C144:C148)</f>
        <v>23546.95</v>
      </c>
      <c r="D149" s="64">
        <f t="shared" si="17"/>
        <v>24410.587059999998</v>
      </c>
      <c r="E149" s="64">
        <f t="shared" si="17"/>
        <v>57294.235209999999</v>
      </c>
      <c r="F149" s="64">
        <f t="shared" si="17"/>
        <v>75540.034929999994</v>
      </c>
      <c r="G149" s="64">
        <f t="shared" si="17"/>
        <v>97993.918350000007</v>
      </c>
      <c r="H149" s="64">
        <f t="shared" si="17"/>
        <v>123392.54188000002</v>
      </c>
      <c r="I149" s="64">
        <f t="shared" si="17"/>
        <v>151998.81156999999</v>
      </c>
      <c r="J149" s="64">
        <f t="shared" si="17"/>
        <v>314113.48454999999</v>
      </c>
      <c r="K149" s="64">
        <f t="shared" si="17"/>
        <v>364246.23005999997</v>
      </c>
      <c r="L149" s="64">
        <f t="shared" si="17"/>
        <v>393761.58609</v>
      </c>
      <c r="M149" s="64">
        <f t="shared" si="17"/>
        <v>0</v>
      </c>
      <c r="N149" s="206"/>
      <c r="O149" s="206"/>
      <c r="P149" s="206"/>
      <c r="Q149" s="206"/>
      <c r="R149" s="206"/>
      <c r="S149" s="195"/>
      <c r="T149" s="24"/>
    </row>
    <row r="150" spans="1:20" s="24" customFormat="1" ht="12" x14ac:dyDescent="0.2">
      <c r="A150" s="65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206"/>
      <c r="O150" s="206"/>
      <c r="P150" s="206"/>
      <c r="Q150" s="206"/>
      <c r="R150" s="206"/>
      <c r="S150" s="195"/>
    </row>
    <row r="151" spans="1:20" s="47" customFormat="1" x14ac:dyDescent="0.2">
      <c r="A151" s="18" t="s">
        <v>116</v>
      </c>
      <c r="B151" s="62" t="s">
        <v>82</v>
      </c>
      <c r="C151" s="62" t="s">
        <v>83</v>
      </c>
      <c r="D151" s="62" t="s">
        <v>84</v>
      </c>
      <c r="E151" s="62" t="s">
        <v>85</v>
      </c>
      <c r="F151" s="62" t="s">
        <v>86</v>
      </c>
      <c r="G151" s="62" t="s">
        <v>87</v>
      </c>
      <c r="H151" s="62" t="s">
        <v>88</v>
      </c>
      <c r="I151" s="62" t="s">
        <v>198</v>
      </c>
      <c r="J151" s="62" t="s">
        <v>89</v>
      </c>
      <c r="K151" s="62" t="s">
        <v>90</v>
      </c>
      <c r="L151" s="62" t="s">
        <v>91</v>
      </c>
      <c r="M151" s="62" t="s">
        <v>92</v>
      </c>
      <c r="N151" s="206"/>
      <c r="O151" s="206"/>
      <c r="P151" s="208"/>
      <c r="Q151" s="208"/>
      <c r="R151" s="208"/>
      <c r="S151" s="197"/>
      <c r="T151" s="242"/>
    </row>
    <row r="152" spans="1:20" s="24" customFormat="1" ht="12" x14ac:dyDescent="0.2">
      <c r="A152" s="21" t="s">
        <v>93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7"/>
      <c r="M152" s="27"/>
      <c r="N152" s="206"/>
      <c r="O152" s="206"/>
      <c r="P152" s="206"/>
      <c r="Q152" s="206"/>
      <c r="R152" s="206"/>
      <c r="S152" s="195"/>
    </row>
    <row r="153" spans="1:20" s="24" customFormat="1" ht="12" x14ac:dyDescent="0.2">
      <c r="A153" s="21" t="s">
        <v>94</v>
      </c>
      <c r="B153" s="26"/>
      <c r="C153" s="26"/>
      <c r="D153" s="26"/>
      <c r="E153" s="26"/>
      <c r="F153" s="26"/>
      <c r="G153" s="26"/>
      <c r="H153" s="26"/>
      <c r="I153" s="26"/>
      <c r="J153" s="26">
        <v>2266.1452800000002</v>
      </c>
      <c r="K153" s="26">
        <v>2266.1452800000002</v>
      </c>
      <c r="L153" s="27">
        <v>2266.1452800000002</v>
      </c>
      <c r="M153" s="27"/>
      <c r="N153" s="206"/>
      <c r="O153" s="206"/>
      <c r="P153" s="206"/>
      <c r="Q153" s="206"/>
      <c r="R153" s="206"/>
      <c r="S153" s="195"/>
    </row>
    <row r="154" spans="1:20" s="24" customFormat="1" ht="12" x14ac:dyDescent="0.2">
      <c r="A154" s="21" t="s">
        <v>95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7"/>
      <c r="M154" s="96"/>
      <c r="N154" s="206"/>
      <c r="O154" s="206"/>
      <c r="P154" s="206"/>
      <c r="Q154" s="206"/>
      <c r="R154" s="206"/>
      <c r="S154" s="195"/>
    </row>
    <row r="155" spans="1:20" s="24" customFormat="1" ht="12" x14ac:dyDescent="0.2">
      <c r="A155" s="21" t="s">
        <v>96</v>
      </c>
      <c r="B155" s="26"/>
      <c r="C155" s="26"/>
      <c r="D155" s="26"/>
      <c r="E155" s="26"/>
      <c r="F155" s="26"/>
      <c r="G155" s="26">
        <v>2.1469999999999998</v>
      </c>
      <c r="H155" s="26">
        <v>2.1469999999999998</v>
      </c>
      <c r="I155" s="26">
        <v>2.1469999999999998</v>
      </c>
      <c r="J155" s="26">
        <v>2.1469999999999998</v>
      </c>
      <c r="K155" s="26">
        <v>5.4619400000000002</v>
      </c>
      <c r="L155" s="27">
        <v>5.4619400000000002</v>
      </c>
      <c r="M155" s="27"/>
      <c r="N155" s="206"/>
      <c r="O155" s="206"/>
      <c r="P155" s="206"/>
      <c r="Q155" s="206"/>
      <c r="R155" s="206"/>
      <c r="S155" s="195"/>
    </row>
    <row r="156" spans="1:20" s="24" customFormat="1" ht="12" x14ac:dyDescent="0.2">
      <c r="A156" s="21" t="s">
        <v>97</v>
      </c>
      <c r="B156" s="26"/>
      <c r="C156" s="26"/>
      <c r="D156" s="26"/>
      <c r="E156" s="26"/>
      <c r="F156" s="26"/>
      <c r="G156" s="26"/>
      <c r="H156" s="26"/>
      <c r="I156" s="26"/>
      <c r="J156" s="219"/>
      <c r="K156" s="91"/>
      <c r="L156" s="91"/>
      <c r="M156" s="91"/>
      <c r="N156" s="206"/>
      <c r="O156" s="206"/>
      <c r="P156" s="206"/>
      <c r="Q156" s="206"/>
      <c r="R156" s="206"/>
      <c r="S156" s="195"/>
    </row>
    <row r="157" spans="1:20" s="32" customFormat="1" ht="12" x14ac:dyDescent="0.2">
      <c r="A157" s="30" t="s">
        <v>98</v>
      </c>
      <c r="B157" s="64">
        <f>SUM(B152:B156)</f>
        <v>0</v>
      </c>
      <c r="C157" s="64">
        <f t="shared" ref="C157:M157" si="18">SUM(C152:C156)</f>
        <v>0</v>
      </c>
      <c r="D157" s="64">
        <f t="shared" si="18"/>
        <v>0</v>
      </c>
      <c r="E157" s="64">
        <f t="shared" si="18"/>
        <v>0</v>
      </c>
      <c r="F157" s="64">
        <f t="shared" si="18"/>
        <v>0</v>
      </c>
      <c r="G157" s="64">
        <f t="shared" si="18"/>
        <v>2.1469999999999998</v>
      </c>
      <c r="H157" s="64">
        <f t="shared" si="18"/>
        <v>2.1469999999999998</v>
      </c>
      <c r="I157" s="64">
        <f t="shared" si="18"/>
        <v>2.1469999999999998</v>
      </c>
      <c r="J157" s="64">
        <f t="shared" si="18"/>
        <v>2268.2922800000001</v>
      </c>
      <c r="K157" s="64">
        <f t="shared" si="18"/>
        <v>2271.6072200000003</v>
      </c>
      <c r="L157" s="64">
        <f t="shared" si="18"/>
        <v>2271.6072200000003</v>
      </c>
      <c r="M157" s="64">
        <f t="shared" si="18"/>
        <v>0</v>
      </c>
      <c r="N157" s="206"/>
      <c r="O157" s="206"/>
      <c r="P157" s="206"/>
      <c r="Q157" s="206"/>
      <c r="R157" s="206"/>
      <c r="S157" s="195"/>
      <c r="T157" s="24"/>
    </row>
    <row r="158" spans="1:20" s="24" customFormat="1" ht="12" x14ac:dyDescent="0.2">
      <c r="A158" s="35"/>
      <c r="B158" s="55"/>
      <c r="C158" s="55"/>
      <c r="D158" s="55"/>
      <c r="E158" s="55"/>
      <c r="F158" s="55"/>
      <c r="G158" s="55"/>
      <c r="H158" s="55"/>
      <c r="I158" s="56"/>
      <c r="J158" s="56"/>
      <c r="K158" s="56"/>
      <c r="L158" s="56"/>
      <c r="M158" s="56"/>
      <c r="N158" s="206"/>
      <c r="O158" s="206"/>
      <c r="P158" s="206"/>
      <c r="Q158" s="206"/>
      <c r="R158" s="206"/>
      <c r="S158" s="195"/>
    </row>
    <row r="159" spans="1:20" s="10" customFormat="1" x14ac:dyDescent="0.2">
      <c r="A159" s="18" t="s">
        <v>117</v>
      </c>
      <c r="B159" s="62" t="s">
        <v>82</v>
      </c>
      <c r="C159" s="62" t="s">
        <v>83</v>
      </c>
      <c r="D159" s="62" t="s">
        <v>84</v>
      </c>
      <c r="E159" s="62" t="s">
        <v>85</v>
      </c>
      <c r="F159" s="62" t="s">
        <v>86</v>
      </c>
      <c r="G159" s="62" t="s">
        <v>87</v>
      </c>
      <c r="H159" s="62" t="s">
        <v>88</v>
      </c>
      <c r="I159" s="62" t="s">
        <v>198</v>
      </c>
      <c r="J159" s="62" t="s">
        <v>89</v>
      </c>
      <c r="K159" s="62" t="s">
        <v>90</v>
      </c>
      <c r="L159" s="62" t="s">
        <v>91</v>
      </c>
      <c r="M159" s="62" t="s">
        <v>92</v>
      </c>
      <c r="N159" s="206"/>
      <c r="O159" s="206"/>
      <c r="P159" s="208"/>
      <c r="Q159" s="208"/>
      <c r="R159" s="208"/>
      <c r="S159" s="197"/>
      <c r="T159" s="124"/>
    </row>
    <row r="160" spans="1:20" s="24" customFormat="1" ht="12" x14ac:dyDescent="0.2">
      <c r="A160" s="21" t="s">
        <v>93</v>
      </c>
      <c r="B160" s="26">
        <v>15464.53</v>
      </c>
      <c r="C160" s="26">
        <v>23049.43</v>
      </c>
      <c r="D160" s="26">
        <v>41210.787929999999</v>
      </c>
      <c r="E160" s="26">
        <v>53364.889349999998</v>
      </c>
      <c r="F160" s="26">
        <v>67500.057549999998</v>
      </c>
      <c r="G160" s="26">
        <v>83429.710959999997</v>
      </c>
      <c r="H160" s="26">
        <v>103508.05974</v>
      </c>
      <c r="I160" s="26">
        <v>123874.44162</v>
      </c>
      <c r="J160" s="26">
        <v>149575.55922</v>
      </c>
      <c r="K160" s="26">
        <v>179993.78969000001</v>
      </c>
      <c r="L160" s="27">
        <v>179993.78969000001</v>
      </c>
      <c r="M160" s="27"/>
      <c r="N160" s="206"/>
      <c r="O160" s="206"/>
      <c r="P160" s="206"/>
      <c r="Q160" s="206"/>
      <c r="R160" s="206"/>
      <c r="S160" s="195"/>
    </row>
    <row r="161" spans="1:20" s="24" customFormat="1" ht="12" x14ac:dyDescent="0.2">
      <c r="A161" s="21" t="s">
        <v>94</v>
      </c>
      <c r="B161" s="26">
        <v>7873.12</v>
      </c>
      <c r="C161" s="26">
        <v>10339.469999999999</v>
      </c>
      <c r="D161" s="26">
        <v>15378.005370000001</v>
      </c>
      <c r="E161" s="26">
        <v>20944.852159999999</v>
      </c>
      <c r="F161" s="26">
        <v>36101.308040000004</v>
      </c>
      <c r="G161" s="26">
        <v>48206.58021</v>
      </c>
      <c r="H161" s="26">
        <v>62520.086739999999</v>
      </c>
      <c r="I161" s="26">
        <v>80158.671100000007</v>
      </c>
      <c r="J161" s="26">
        <v>479150.29966999998</v>
      </c>
      <c r="K161" s="26">
        <v>494895.21268</v>
      </c>
      <c r="L161" s="27">
        <v>495041.05268000002</v>
      </c>
      <c r="M161" s="27"/>
      <c r="N161" s="206"/>
      <c r="O161" s="206"/>
      <c r="P161" s="206"/>
      <c r="Q161" s="206"/>
      <c r="R161" s="206"/>
      <c r="S161" s="195"/>
    </row>
    <row r="162" spans="1:20" s="24" customFormat="1" ht="12" x14ac:dyDescent="0.2">
      <c r="A162" s="21" t="s">
        <v>95</v>
      </c>
      <c r="B162" s="26">
        <v>-0.05</v>
      </c>
      <c r="C162" s="26">
        <v>671.29</v>
      </c>
      <c r="D162" s="26">
        <v>2318.4417899999999</v>
      </c>
      <c r="E162" s="26">
        <v>17321.843199999999</v>
      </c>
      <c r="F162" s="26">
        <v>24877.890200000002</v>
      </c>
      <c r="G162" s="26">
        <v>59931.151899999997</v>
      </c>
      <c r="H162" s="26">
        <v>82314.999989999997</v>
      </c>
      <c r="I162" s="26">
        <v>142811.81927000001</v>
      </c>
      <c r="J162" s="26">
        <v>215492.571</v>
      </c>
      <c r="K162" s="26">
        <v>342623.72233000002</v>
      </c>
      <c r="L162" s="27">
        <v>535967.98733000003</v>
      </c>
      <c r="M162" s="27"/>
      <c r="N162" s="206"/>
      <c r="O162" s="206"/>
      <c r="P162" s="206"/>
      <c r="Q162" s="206"/>
      <c r="R162" s="206"/>
      <c r="S162" s="195"/>
    </row>
    <row r="163" spans="1:20" s="24" customFormat="1" ht="12" x14ac:dyDescent="0.2">
      <c r="A163" s="21" t="s">
        <v>96</v>
      </c>
      <c r="B163" s="26">
        <v>33841.910000000003</v>
      </c>
      <c r="C163" s="26">
        <v>62297.79</v>
      </c>
      <c r="D163" s="26">
        <v>65642.717180000007</v>
      </c>
      <c r="E163" s="26">
        <v>92026.681490000003</v>
      </c>
      <c r="F163" s="26">
        <v>142533.82352999999</v>
      </c>
      <c r="G163" s="26">
        <v>363299.33354000002</v>
      </c>
      <c r="H163" s="26">
        <v>469785.22531000001</v>
      </c>
      <c r="I163" s="26">
        <v>601867.42945000005</v>
      </c>
      <c r="J163" s="26">
        <v>730420.11115999997</v>
      </c>
      <c r="K163" s="26">
        <v>991513.18386999995</v>
      </c>
      <c r="L163" s="27">
        <v>1403221.12005</v>
      </c>
      <c r="M163" s="27"/>
      <c r="N163" s="206"/>
      <c r="O163" s="206"/>
      <c r="P163" s="206"/>
      <c r="Q163" s="206"/>
      <c r="R163" s="206"/>
      <c r="S163" s="195"/>
    </row>
    <row r="164" spans="1:20" s="24" customFormat="1" ht="12" x14ac:dyDescent="0.2">
      <c r="A164" s="21" t="s">
        <v>97</v>
      </c>
      <c r="B164" s="26">
        <v>2701.95</v>
      </c>
      <c r="C164" s="26">
        <v>43657.58</v>
      </c>
      <c r="D164" s="219">
        <v>74250.540840000001</v>
      </c>
      <c r="E164" s="26">
        <v>87767.671839999995</v>
      </c>
      <c r="F164" s="155">
        <v>135595.40224</v>
      </c>
      <c r="G164" s="22">
        <v>245526.91988</v>
      </c>
      <c r="H164" s="26">
        <v>265655.97087999998</v>
      </c>
      <c r="I164" s="26">
        <v>346198.02093</v>
      </c>
      <c r="J164" s="219">
        <v>429261.04892999999</v>
      </c>
      <c r="K164" s="219">
        <v>346049.08218000003</v>
      </c>
      <c r="L164" s="219">
        <v>346049.08218000003</v>
      </c>
      <c r="M164" s="91"/>
      <c r="N164" s="206"/>
      <c r="O164" s="206"/>
      <c r="P164" s="206"/>
      <c r="Q164" s="206"/>
      <c r="R164" s="206"/>
      <c r="S164" s="195"/>
    </row>
    <row r="165" spans="1:20" s="32" customFormat="1" ht="12" x14ac:dyDescent="0.2">
      <c r="A165" s="30" t="s">
        <v>98</v>
      </c>
      <c r="B165" s="64">
        <f>SUM(B160:B164)</f>
        <v>59881.460000000006</v>
      </c>
      <c r="C165" s="64">
        <f t="shared" ref="C165:M165" si="19">SUM(C160:C164)</f>
        <v>140015.56</v>
      </c>
      <c r="D165" s="64">
        <f t="shared" si="19"/>
        <v>198800.49311000001</v>
      </c>
      <c r="E165" s="64">
        <f t="shared" si="19"/>
        <v>271425.93804000004</v>
      </c>
      <c r="F165" s="64">
        <f t="shared" si="19"/>
        <v>406608.48155999999</v>
      </c>
      <c r="G165" s="64">
        <f t="shared" si="19"/>
        <v>800393.69649</v>
      </c>
      <c r="H165" s="64">
        <f t="shared" si="19"/>
        <v>983784.34265999985</v>
      </c>
      <c r="I165" s="64">
        <f t="shared" si="19"/>
        <v>1294910.3823700002</v>
      </c>
      <c r="J165" s="64">
        <f t="shared" si="19"/>
        <v>2003899.5899800002</v>
      </c>
      <c r="K165" s="64">
        <f t="shared" si="19"/>
        <v>2355074.9907499999</v>
      </c>
      <c r="L165" s="64">
        <f t="shared" si="19"/>
        <v>2960273.0319300001</v>
      </c>
      <c r="M165" s="64">
        <f t="shared" si="19"/>
        <v>0</v>
      </c>
      <c r="N165" s="206"/>
      <c r="O165" s="206"/>
      <c r="P165" s="206"/>
      <c r="Q165" s="206"/>
      <c r="R165" s="206"/>
      <c r="S165" s="195"/>
      <c r="T165" s="24"/>
    </row>
    <row r="166" spans="1:20" s="24" customFormat="1" ht="12" x14ac:dyDescent="0.2">
      <c r="A166" s="35"/>
      <c r="B166" s="55"/>
      <c r="C166" s="55"/>
      <c r="D166" s="55"/>
      <c r="E166" s="55"/>
      <c r="F166" s="55"/>
      <c r="G166" s="55"/>
      <c r="H166" s="55"/>
      <c r="I166" s="56"/>
      <c r="J166" s="56"/>
      <c r="K166" s="56"/>
      <c r="L166" s="56"/>
      <c r="M166" s="56"/>
      <c r="N166" s="206"/>
      <c r="O166" s="206"/>
      <c r="P166" s="206"/>
      <c r="Q166" s="206"/>
      <c r="R166" s="206"/>
      <c r="S166" s="195"/>
    </row>
    <row r="167" spans="1:20" s="47" customFormat="1" x14ac:dyDescent="0.2">
      <c r="A167" s="18" t="s">
        <v>118</v>
      </c>
      <c r="B167" s="62" t="s">
        <v>82</v>
      </c>
      <c r="C167" s="62" t="s">
        <v>83</v>
      </c>
      <c r="D167" s="62" t="s">
        <v>84</v>
      </c>
      <c r="E167" s="62" t="s">
        <v>85</v>
      </c>
      <c r="F167" s="62" t="s">
        <v>86</v>
      </c>
      <c r="G167" s="62" t="s">
        <v>87</v>
      </c>
      <c r="H167" s="62" t="s">
        <v>88</v>
      </c>
      <c r="I167" s="62" t="s">
        <v>198</v>
      </c>
      <c r="J167" s="62" t="s">
        <v>89</v>
      </c>
      <c r="K167" s="62" t="s">
        <v>90</v>
      </c>
      <c r="L167" s="62" t="s">
        <v>91</v>
      </c>
      <c r="M167" s="62" t="s">
        <v>92</v>
      </c>
      <c r="N167" s="206"/>
      <c r="O167" s="206"/>
      <c r="P167" s="208"/>
      <c r="Q167" s="208"/>
      <c r="R167" s="208"/>
      <c r="S167" s="197"/>
      <c r="T167" s="242"/>
    </row>
    <row r="168" spans="1:20" s="24" customFormat="1" ht="12" x14ac:dyDescent="0.2">
      <c r="A168" s="21" t="s">
        <v>93</v>
      </c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7"/>
      <c r="M168" s="27"/>
      <c r="N168" s="206"/>
      <c r="O168" s="206"/>
      <c r="P168" s="206"/>
      <c r="Q168" s="206"/>
      <c r="R168" s="206"/>
      <c r="S168" s="195"/>
    </row>
    <row r="169" spans="1:20" s="24" customFormat="1" ht="12" x14ac:dyDescent="0.2">
      <c r="A169" s="21" t="s">
        <v>94</v>
      </c>
      <c r="B169" s="26"/>
      <c r="C169" s="26"/>
      <c r="D169" s="26"/>
      <c r="E169" s="26">
        <v>31</v>
      </c>
      <c r="F169" s="26">
        <v>88</v>
      </c>
      <c r="G169" s="26">
        <v>139.77000000000001</v>
      </c>
      <c r="H169" s="26">
        <v>177.77</v>
      </c>
      <c r="I169" s="26">
        <v>454.45400000000001</v>
      </c>
      <c r="J169" s="26">
        <v>2785.5992799999999</v>
      </c>
      <c r="K169" s="26">
        <v>2983.2842799999999</v>
      </c>
      <c r="L169" s="27">
        <v>2983.2842799999999</v>
      </c>
      <c r="M169" s="27"/>
      <c r="N169" s="206"/>
      <c r="O169" s="206"/>
      <c r="P169" s="206"/>
      <c r="Q169" s="206"/>
      <c r="R169" s="206"/>
      <c r="S169" s="195"/>
    </row>
    <row r="170" spans="1:20" s="24" customFormat="1" ht="12" x14ac:dyDescent="0.2">
      <c r="A170" s="21" t="s">
        <v>95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7"/>
      <c r="M170" s="27"/>
      <c r="N170" s="206"/>
      <c r="O170" s="206"/>
      <c r="P170" s="206"/>
      <c r="Q170" s="206"/>
      <c r="R170" s="206"/>
      <c r="S170" s="195"/>
    </row>
    <row r="171" spans="1:20" s="24" customFormat="1" ht="12" x14ac:dyDescent="0.2">
      <c r="A171" s="21" t="s">
        <v>96</v>
      </c>
      <c r="B171" s="26">
        <v>250</v>
      </c>
      <c r="C171" s="26">
        <v>1624.94</v>
      </c>
      <c r="D171" s="26">
        <v>3280.79153</v>
      </c>
      <c r="E171" s="26">
        <v>7350.4215299999996</v>
      </c>
      <c r="F171" s="26">
        <v>10365.258879999999</v>
      </c>
      <c r="G171" s="26">
        <v>13178.912420000001</v>
      </c>
      <c r="H171" s="26">
        <v>16615.610420000001</v>
      </c>
      <c r="I171" s="26">
        <v>18433.019670000001</v>
      </c>
      <c r="J171" s="26">
        <v>193516.23560000001</v>
      </c>
      <c r="K171" s="26">
        <v>196378.77883</v>
      </c>
      <c r="L171" s="27">
        <v>196574.19341000001</v>
      </c>
      <c r="M171" s="27"/>
      <c r="N171" s="206"/>
      <c r="O171" s="206"/>
      <c r="P171" s="206"/>
      <c r="Q171" s="206"/>
      <c r="R171" s="206"/>
      <c r="S171" s="195"/>
    </row>
    <row r="172" spans="1:20" s="24" customFormat="1" ht="12" x14ac:dyDescent="0.2">
      <c r="A172" s="21" t="s">
        <v>97</v>
      </c>
      <c r="B172" s="26"/>
      <c r="C172" s="26"/>
      <c r="D172" s="26"/>
      <c r="E172" s="26">
        <v>1128.35835</v>
      </c>
      <c r="F172" s="155">
        <v>1128.35835</v>
      </c>
      <c r="G172" s="22">
        <v>1128.35835</v>
      </c>
      <c r="H172" s="26">
        <v>1128.35835</v>
      </c>
      <c r="I172" s="26">
        <v>1128.35835</v>
      </c>
      <c r="J172" s="219">
        <v>3106.0599000000002</v>
      </c>
      <c r="K172" s="219">
        <v>3106.0599000000002</v>
      </c>
      <c r="L172" s="219">
        <v>3106.0599000000002</v>
      </c>
      <c r="M172" s="91"/>
      <c r="N172" s="206"/>
      <c r="O172" s="206"/>
      <c r="P172" s="206"/>
      <c r="Q172" s="206"/>
      <c r="R172" s="206"/>
      <c r="S172" s="195"/>
    </row>
    <row r="173" spans="1:20" s="32" customFormat="1" ht="12" x14ac:dyDescent="0.2">
      <c r="A173" s="30" t="s">
        <v>98</v>
      </c>
      <c r="B173" s="64">
        <f>SUM(B168:B172)</f>
        <v>250</v>
      </c>
      <c r="C173" s="64">
        <f t="shared" ref="C173:M173" si="20">SUM(C168:C172)</f>
        <v>1624.94</v>
      </c>
      <c r="D173" s="64">
        <f t="shared" si="20"/>
        <v>3280.79153</v>
      </c>
      <c r="E173" s="64">
        <f t="shared" si="20"/>
        <v>8509.77988</v>
      </c>
      <c r="F173" s="64">
        <f t="shared" si="20"/>
        <v>11581.61723</v>
      </c>
      <c r="G173" s="64">
        <f t="shared" si="20"/>
        <v>14447.040770000001</v>
      </c>
      <c r="H173" s="64">
        <f t="shared" si="20"/>
        <v>17921.73877</v>
      </c>
      <c r="I173" s="64">
        <f t="shared" si="20"/>
        <v>20015.832020000002</v>
      </c>
      <c r="J173" s="64">
        <f t="shared" si="20"/>
        <v>199407.89478</v>
      </c>
      <c r="K173" s="64">
        <f t="shared" si="20"/>
        <v>202468.12300999998</v>
      </c>
      <c r="L173" s="64">
        <f t="shared" si="20"/>
        <v>202663.53758999999</v>
      </c>
      <c r="M173" s="64">
        <f t="shared" si="20"/>
        <v>0</v>
      </c>
      <c r="N173" s="206"/>
      <c r="O173" s="206"/>
      <c r="P173" s="206"/>
      <c r="Q173" s="206"/>
      <c r="R173" s="206"/>
      <c r="S173" s="195"/>
      <c r="T173" s="24"/>
    </row>
    <row r="174" spans="1:20" s="24" customFormat="1" ht="12" x14ac:dyDescent="0.2">
      <c r="A174" s="35"/>
      <c r="B174" s="55"/>
      <c r="C174" s="55"/>
      <c r="D174" s="55"/>
      <c r="E174" s="55"/>
      <c r="F174" s="55"/>
      <c r="G174" s="55"/>
      <c r="H174" s="55"/>
      <c r="I174" s="56"/>
      <c r="J174" s="56"/>
      <c r="K174" s="56"/>
      <c r="L174" s="56"/>
      <c r="M174" s="56"/>
      <c r="N174" s="206"/>
      <c r="O174" s="206"/>
      <c r="P174" s="206"/>
      <c r="Q174" s="206"/>
      <c r="R174" s="206"/>
      <c r="S174" s="195"/>
    </row>
    <row r="175" spans="1:20" s="47" customFormat="1" x14ac:dyDescent="0.2">
      <c r="A175" s="18" t="s">
        <v>119</v>
      </c>
      <c r="B175" s="62" t="s">
        <v>82</v>
      </c>
      <c r="C175" s="62" t="s">
        <v>83</v>
      </c>
      <c r="D175" s="62" t="s">
        <v>84</v>
      </c>
      <c r="E175" s="62" t="s">
        <v>85</v>
      </c>
      <c r="F175" s="62" t="s">
        <v>86</v>
      </c>
      <c r="G175" s="62" t="s">
        <v>87</v>
      </c>
      <c r="H175" s="62" t="s">
        <v>88</v>
      </c>
      <c r="I175" s="62" t="s">
        <v>198</v>
      </c>
      <c r="J175" s="62" t="s">
        <v>89</v>
      </c>
      <c r="K175" s="62" t="s">
        <v>90</v>
      </c>
      <c r="L175" s="62" t="s">
        <v>91</v>
      </c>
      <c r="M175" s="62" t="s">
        <v>92</v>
      </c>
      <c r="N175" s="208"/>
      <c r="O175" s="208"/>
      <c r="P175" s="208"/>
      <c r="Q175" s="208"/>
      <c r="R175" s="208"/>
      <c r="S175" s="197"/>
      <c r="T175" s="242"/>
    </row>
    <row r="176" spans="1:20" s="24" customFormat="1" ht="12" x14ac:dyDescent="0.2">
      <c r="A176" s="63" t="s">
        <v>93</v>
      </c>
      <c r="B176" s="48">
        <v>989.03</v>
      </c>
      <c r="C176" s="48">
        <v>1976.34</v>
      </c>
      <c r="D176" s="48">
        <v>4620.1298999999999</v>
      </c>
      <c r="E176" s="48">
        <v>5870.4207800000004</v>
      </c>
      <c r="F176" s="26">
        <v>5907.9706100000003</v>
      </c>
      <c r="G176" s="26">
        <v>8012.4262900000003</v>
      </c>
      <c r="H176" s="48">
        <v>12266.129650000001</v>
      </c>
      <c r="I176" s="48">
        <v>14483.287899999999</v>
      </c>
      <c r="J176" s="48">
        <v>18013.356619999999</v>
      </c>
      <c r="K176" s="48">
        <v>22090.814839999999</v>
      </c>
      <c r="L176" s="27">
        <v>22090.814839999999</v>
      </c>
      <c r="M176" s="48"/>
      <c r="N176" s="206"/>
      <c r="O176" s="206"/>
      <c r="P176" s="206"/>
      <c r="Q176" s="206"/>
      <c r="R176" s="206"/>
      <c r="S176" s="195"/>
    </row>
    <row r="177" spans="1:20" s="24" customFormat="1" ht="12" x14ac:dyDescent="0.2">
      <c r="A177" s="63" t="s">
        <v>94</v>
      </c>
      <c r="B177" s="48">
        <v>149.69999999999999</v>
      </c>
      <c r="C177" s="48">
        <v>262.87</v>
      </c>
      <c r="D177" s="48">
        <v>426.70659000000001</v>
      </c>
      <c r="E177" s="48">
        <v>814.79660999999999</v>
      </c>
      <c r="F177" s="26">
        <v>1497.4219399999999</v>
      </c>
      <c r="G177" s="26">
        <v>2954.78199</v>
      </c>
      <c r="H177" s="48">
        <v>4629.2227300000004</v>
      </c>
      <c r="I177" s="48">
        <v>5847.8795200000004</v>
      </c>
      <c r="J177" s="48">
        <v>38895.767039999999</v>
      </c>
      <c r="K177" s="48">
        <v>41050.00129</v>
      </c>
      <c r="L177" s="27">
        <v>41050.00129</v>
      </c>
      <c r="M177" s="48"/>
      <c r="N177" s="206"/>
      <c r="O177" s="206"/>
      <c r="P177" s="206"/>
      <c r="Q177" s="206"/>
      <c r="R177" s="206"/>
      <c r="S177" s="195"/>
    </row>
    <row r="178" spans="1:20" s="24" customFormat="1" ht="12" x14ac:dyDescent="0.2">
      <c r="A178" s="63" t="s">
        <v>95</v>
      </c>
      <c r="B178" s="48"/>
      <c r="C178" s="48"/>
      <c r="D178" s="48">
        <v>45.668750000000003</v>
      </c>
      <c r="E178" s="48">
        <v>45.668750000000003</v>
      </c>
      <c r="F178" s="26">
        <v>45.668750000000003</v>
      </c>
      <c r="G178" s="26">
        <v>852.66875000000005</v>
      </c>
      <c r="H178" s="48">
        <v>10739.668750000001</v>
      </c>
      <c r="I178" s="48">
        <v>6558.1225599999998</v>
      </c>
      <c r="J178" s="48">
        <v>6558.1225599999998</v>
      </c>
      <c r="K178" s="48">
        <v>6558.1225599999998</v>
      </c>
      <c r="L178" s="27">
        <v>6558.1225599999998</v>
      </c>
      <c r="M178" s="48"/>
      <c r="N178" s="206"/>
      <c r="O178" s="206"/>
      <c r="P178" s="206"/>
      <c r="Q178" s="206"/>
      <c r="R178" s="206"/>
      <c r="S178" s="195"/>
    </row>
    <row r="179" spans="1:20" s="24" customFormat="1" ht="12" x14ac:dyDescent="0.2">
      <c r="A179" s="63" t="s">
        <v>96</v>
      </c>
      <c r="B179" s="48">
        <v>1225.33</v>
      </c>
      <c r="C179" s="48">
        <v>2618.73</v>
      </c>
      <c r="D179" s="48">
        <v>3859.9153000000001</v>
      </c>
      <c r="E179" s="48">
        <v>6235.3875399999997</v>
      </c>
      <c r="F179" s="26">
        <v>7838.5536000000002</v>
      </c>
      <c r="G179" s="26">
        <v>28351.2467</v>
      </c>
      <c r="H179" s="48">
        <v>14767.124040000001</v>
      </c>
      <c r="I179" s="48">
        <v>17934.358380000001</v>
      </c>
      <c r="J179" s="48">
        <v>23900.764220000001</v>
      </c>
      <c r="K179" s="48">
        <v>36168.637970000003</v>
      </c>
      <c r="L179" s="27">
        <v>37875.641669999997</v>
      </c>
      <c r="M179" s="48"/>
      <c r="N179" s="206"/>
      <c r="O179" s="206"/>
      <c r="P179" s="206"/>
      <c r="Q179" s="206"/>
      <c r="R179" s="206"/>
      <c r="S179" s="195"/>
    </row>
    <row r="180" spans="1:20" s="24" customFormat="1" ht="12" x14ac:dyDescent="0.2">
      <c r="A180" s="63" t="s">
        <v>97</v>
      </c>
      <c r="B180" s="69">
        <v>242.96</v>
      </c>
      <c r="C180" s="227">
        <v>1032.8399999999999</v>
      </c>
      <c r="D180" s="227">
        <v>4175.9204399999999</v>
      </c>
      <c r="E180" s="69">
        <v>7355.4533499999998</v>
      </c>
      <c r="F180" s="155">
        <v>8544.50144</v>
      </c>
      <c r="G180" s="22">
        <v>9199.8613299999997</v>
      </c>
      <c r="H180" s="22">
        <v>12256.30098</v>
      </c>
      <c r="I180" s="138">
        <v>15069.104960000001</v>
      </c>
      <c r="J180" s="231">
        <v>43482.330320000001</v>
      </c>
      <c r="K180" s="231">
        <v>49212.240169999997</v>
      </c>
      <c r="L180" s="220">
        <v>49212.240169999997</v>
      </c>
      <c r="M180" s="156"/>
      <c r="N180" s="206"/>
      <c r="O180" s="206"/>
      <c r="P180" s="206"/>
      <c r="Q180" s="206"/>
      <c r="R180" s="206"/>
      <c r="S180" s="195"/>
    </row>
    <row r="181" spans="1:20" s="32" customFormat="1" ht="12" x14ac:dyDescent="0.2">
      <c r="A181" s="30" t="s">
        <v>98</v>
      </c>
      <c r="B181" s="31">
        <f>SUM(B176:B180)</f>
        <v>2607.02</v>
      </c>
      <c r="C181" s="31">
        <f t="shared" ref="C181:M181" si="21">SUM(C176:C180)</f>
        <v>5890.7800000000007</v>
      </c>
      <c r="D181" s="31">
        <f t="shared" si="21"/>
        <v>13128.340979999999</v>
      </c>
      <c r="E181" s="31">
        <f t="shared" si="21"/>
        <v>20321.727030000002</v>
      </c>
      <c r="F181" s="31">
        <f t="shared" si="21"/>
        <v>23834.11634</v>
      </c>
      <c r="G181" s="31">
        <f t="shared" si="21"/>
        <v>49370.985059999999</v>
      </c>
      <c r="H181" s="31">
        <f t="shared" si="21"/>
        <v>54658.446150000003</v>
      </c>
      <c r="I181" s="31">
        <f t="shared" si="21"/>
        <v>59892.753320000003</v>
      </c>
      <c r="J181" s="31">
        <f t="shared" si="21"/>
        <v>130850.34075999999</v>
      </c>
      <c r="K181" s="31">
        <f t="shared" si="21"/>
        <v>155079.81683</v>
      </c>
      <c r="L181" s="31">
        <f t="shared" si="21"/>
        <v>156786.82053</v>
      </c>
      <c r="M181" s="31">
        <f t="shared" si="21"/>
        <v>0</v>
      </c>
      <c r="N181" s="206"/>
      <c r="O181" s="206"/>
      <c r="P181" s="206"/>
      <c r="Q181" s="206"/>
      <c r="R181" s="206"/>
      <c r="S181" s="195"/>
      <c r="T181" s="24"/>
    </row>
    <row r="182" spans="1:20" s="24" customFormat="1" ht="12" x14ac:dyDescent="0.2">
      <c r="A182" s="61"/>
      <c r="B182" s="45"/>
      <c r="C182" s="45"/>
      <c r="D182" s="45"/>
      <c r="E182" s="45"/>
      <c r="F182" s="45"/>
      <c r="G182" s="45"/>
      <c r="H182" s="45"/>
      <c r="I182" s="46"/>
      <c r="J182" s="46"/>
      <c r="K182" s="46"/>
      <c r="L182" s="46"/>
      <c r="M182" s="46"/>
      <c r="N182" s="206"/>
      <c r="O182" s="204"/>
      <c r="P182" s="204"/>
      <c r="Q182" s="204"/>
      <c r="R182" s="204"/>
      <c r="S182" s="50"/>
    </row>
    <row r="183" spans="1:20" s="47" customFormat="1" x14ac:dyDescent="0.2">
      <c r="A183" s="18" t="s">
        <v>120</v>
      </c>
      <c r="B183" s="62" t="s">
        <v>82</v>
      </c>
      <c r="C183" s="62" t="s">
        <v>83</v>
      </c>
      <c r="D183" s="62" t="s">
        <v>84</v>
      </c>
      <c r="E183" s="62" t="s">
        <v>85</v>
      </c>
      <c r="F183" s="62" t="s">
        <v>86</v>
      </c>
      <c r="G183" s="62" t="s">
        <v>87</v>
      </c>
      <c r="H183" s="62" t="s">
        <v>88</v>
      </c>
      <c r="I183" s="62" t="s">
        <v>198</v>
      </c>
      <c r="J183" s="62" t="s">
        <v>89</v>
      </c>
      <c r="K183" s="62" t="s">
        <v>90</v>
      </c>
      <c r="L183" s="62" t="s">
        <v>91</v>
      </c>
      <c r="M183" s="62" t="s">
        <v>92</v>
      </c>
      <c r="N183" s="206"/>
      <c r="O183" s="208"/>
      <c r="P183" s="208"/>
      <c r="Q183" s="208"/>
      <c r="R183" s="208"/>
      <c r="S183" s="197"/>
      <c r="T183" s="242"/>
    </row>
    <row r="184" spans="1:20" s="24" customFormat="1" ht="12" x14ac:dyDescent="0.2">
      <c r="A184" s="21" t="s">
        <v>93</v>
      </c>
      <c r="B184" s="26">
        <v>3031.66</v>
      </c>
      <c r="C184" s="26">
        <v>5913.81</v>
      </c>
      <c r="D184" s="26">
        <v>10735.00893</v>
      </c>
      <c r="E184" s="26">
        <v>13925.34685</v>
      </c>
      <c r="F184" s="26">
        <v>17575.527539999999</v>
      </c>
      <c r="G184" s="26">
        <v>20839.795480000001</v>
      </c>
      <c r="H184" s="26">
        <v>25765.868829999999</v>
      </c>
      <c r="I184" s="26">
        <v>31157.173429999999</v>
      </c>
      <c r="J184" s="26">
        <v>37420.867919999997</v>
      </c>
      <c r="K184" s="26">
        <v>44458.462059999998</v>
      </c>
      <c r="L184" s="27">
        <v>44458.462059999998</v>
      </c>
      <c r="M184" s="26"/>
      <c r="N184" s="206"/>
      <c r="O184" s="206"/>
      <c r="P184" s="206"/>
      <c r="Q184" s="206"/>
      <c r="R184" s="206"/>
      <c r="S184" s="195"/>
    </row>
    <row r="185" spans="1:20" s="24" customFormat="1" ht="12" x14ac:dyDescent="0.2">
      <c r="A185" s="21" t="s">
        <v>94</v>
      </c>
      <c r="B185" s="26">
        <v>1533.94</v>
      </c>
      <c r="C185" s="26">
        <v>2151.5500000000002</v>
      </c>
      <c r="D185" s="26">
        <v>3398.6862000000001</v>
      </c>
      <c r="E185" s="26">
        <v>4527.1489499999998</v>
      </c>
      <c r="F185" s="26">
        <v>7244.5111299999999</v>
      </c>
      <c r="G185" s="26">
        <v>9526.3058099999998</v>
      </c>
      <c r="H185" s="26">
        <v>12354.900369999999</v>
      </c>
      <c r="I185" s="26">
        <v>15739.446739999999</v>
      </c>
      <c r="J185" s="26">
        <v>84899.503540000005</v>
      </c>
      <c r="K185" s="26">
        <v>88830.603929999997</v>
      </c>
      <c r="L185" s="27">
        <v>88830.603929999997</v>
      </c>
      <c r="M185" s="26"/>
      <c r="N185" s="206"/>
      <c r="O185" s="206"/>
      <c r="P185" s="206"/>
      <c r="Q185" s="206"/>
      <c r="R185" s="206"/>
      <c r="S185" s="195"/>
    </row>
    <row r="186" spans="1:20" s="24" customFormat="1" ht="12" x14ac:dyDescent="0.2">
      <c r="A186" s="21" t="s">
        <v>95</v>
      </c>
      <c r="B186" s="26">
        <v>-748.63</v>
      </c>
      <c r="C186" s="26">
        <v>-748.65</v>
      </c>
      <c r="D186" s="26">
        <v>635.50599999999997</v>
      </c>
      <c r="E186" s="26">
        <v>2009.4059999999999</v>
      </c>
      <c r="F186" s="26">
        <v>2817.8</v>
      </c>
      <c r="G186" s="26">
        <v>4360.1826600000004</v>
      </c>
      <c r="H186" s="26">
        <v>7194.1516600000004</v>
      </c>
      <c r="I186" s="26">
        <v>20005.951700000001</v>
      </c>
      <c r="J186" s="26">
        <v>41189.454019999997</v>
      </c>
      <c r="K186" s="26">
        <v>70594.569740000006</v>
      </c>
      <c r="L186" s="27">
        <v>83694.442739999999</v>
      </c>
      <c r="M186" s="26"/>
      <c r="N186" s="206"/>
      <c r="O186" s="206"/>
      <c r="P186" s="206"/>
      <c r="Q186" s="206"/>
      <c r="R186" s="206"/>
      <c r="S186" s="195"/>
    </row>
    <row r="187" spans="1:20" s="24" customFormat="1" ht="12" x14ac:dyDescent="0.2">
      <c r="A187" s="21" t="s">
        <v>96</v>
      </c>
      <c r="B187" s="26">
        <v>1439.51</v>
      </c>
      <c r="C187" s="26">
        <v>3697.84</v>
      </c>
      <c r="D187" s="26">
        <v>4958.5699500000001</v>
      </c>
      <c r="E187" s="26">
        <v>20777.272379999999</v>
      </c>
      <c r="F187" s="26">
        <v>22860.451659999999</v>
      </c>
      <c r="G187" s="26">
        <v>30657.83957</v>
      </c>
      <c r="H187" s="26">
        <v>41676.731169999999</v>
      </c>
      <c r="I187" s="26">
        <v>76247.172189999997</v>
      </c>
      <c r="J187" s="26">
        <v>90001.836079999994</v>
      </c>
      <c r="K187" s="26">
        <v>117201.71103999999</v>
      </c>
      <c r="L187" s="27">
        <v>122800.04697</v>
      </c>
      <c r="M187" s="26"/>
      <c r="N187" s="206"/>
      <c r="O187" s="206"/>
      <c r="P187" s="206"/>
      <c r="Q187" s="206"/>
      <c r="R187" s="206"/>
      <c r="S187" s="195"/>
    </row>
    <row r="188" spans="1:20" s="24" customFormat="1" ht="12" x14ac:dyDescent="0.2">
      <c r="A188" s="21" t="s">
        <v>97</v>
      </c>
      <c r="B188" s="26"/>
      <c r="C188" s="26"/>
      <c r="D188" s="26"/>
      <c r="E188" s="26"/>
      <c r="F188" s="155"/>
      <c r="G188" s="22"/>
      <c r="H188" s="26"/>
      <c r="I188" s="26"/>
      <c r="J188" s="26"/>
      <c r="K188" s="26"/>
      <c r="L188" s="26"/>
      <c r="M188" s="26"/>
      <c r="N188" s="206"/>
      <c r="O188" s="206"/>
      <c r="P188" s="206"/>
      <c r="Q188" s="206"/>
      <c r="R188" s="206"/>
      <c r="S188" s="195"/>
    </row>
    <row r="189" spans="1:20" s="32" customFormat="1" ht="12" x14ac:dyDescent="0.2">
      <c r="A189" s="30" t="s">
        <v>98</v>
      </c>
      <c r="B189" s="64">
        <f>SUM(B184:B188)</f>
        <v>5256.4800000000005</v>
      </c>
      <c r="C189" s="64">
        <f t="shared" ref="C189:M189" si="22">SUM(C184:C188)</f>
        <v>11014.550000000001</v>
      </c>
      <c r="D189" s="64">
        <f t="shared" si="22"/>
        <v>19727.771079999999</v>
      </c>
      <c r="E189" s="64">
        <f t="shared" si="22"/>
        <v>41239.174180000002</v>
      </c>
      <c r="F189" s="64">
        <f t="shared" si="22"/>
        <v>50498.290329999996</v>
      </c>
      <c r="G189" s="64">
        <f t="shared" si="22"/>
        <v>65384.123519999994</v>
      </c>
      <c r="H189" s="64">
        <f t="shared" si="22"/>
        <v>86991.652029999997</v>
      </c>
      <c r="I189" s="64">
        <f t="shared" si="22"/>
        <v>143149.74406</v>
      </c>
      <c r="J189" s="64">
        <f t="shared" si="22"/>
        <v>253511.66155999998</v>
      </c>
      <c r="K189" s="64">
        <f t="shared" si="22"/>
        <v>321085.34677</v>
      </c>
      <c r="L189" s="64">
        <f t="shared" si="22"/>
        <v>339783.55570000003</v>
      </c>
      <c r="M189" s="64">
        <f t="shared" si="22"/>
        <v>0</v>
      </c>
      <c r="N189" s="206"/>
      <c r="O189" s="206"/>
      <c r="P189" s="206"/>
      <c r="Q189" s="206"/>
      <c r="R189" s="206"/>
      <c r="S189" s="195"/>
      <c r="T189" s="24"/>
    </row>
    <row r="190" spans="1:20" s="24" customFormat="1" ht="12" x14ac:dyDescent="0.2">
      <c r="A190" s="70"/>
      <c r="B190" s="55"/>
      <c r="C190" s="55"/>
      <c r="D190" s="55"/>
      <c r="E190" s="55"/>
      <c r="F190" s="55"/>
      <c r="G190" s="55"/>
      <c r="H190" s="55"/>
      <c r="I190" s="56"/>
      <c r="J190" s="56"/>
      <c r="K190" s="56"/>
      <c r="L190" s="56"/>
      <c r="M190" s="56"/>
      <c r="N190" s="206"/>
      <c r="O190" s="206"/>
      <c r="P190" s="206"/>
      <c r="Q190" s="206"/>
      <c r="R190" s="206"/>
      <c r="S190" s="195"/>
    </row>
    <row r="191" spans="1:20" s="47" customFormat="1" x14ac:dyDescent="0.2">
      <c r="A191" s="18" t="s">
        <v>121</v>
      </c>
      <c r="B191" s="62" t="s">
        <v>82</v>
      </c>
      <c r="C191" s="62" t="s">
        <v>83</v>
      </c>
      <c r="D191" s="62" t="s">
        <v>84</v>
      </c>
      <c r="E191" s="62" t="s">
        <v>85</v>
      </c>
      <c r="F191" s="62" t="s">
        <v>86</v>
      </c>
      <c r="G191" s="62" t="s">
        <v>87</v>
      </c>
      <c r="H191" s="62" t="s">
        <v>88</v>
      </c>
      <c r="I191" s="62" t="s">
        <v>198</v>
      </c>
      <c r="J191" s="62" t="s">
        <v>89</v>
      </c>
      <c r="K191" s="62" t="s">
        <v>90</v>
      </c>
      <c r="L191" s="62" t="s">
        <v>91</v>
      </c>
      <c r="M191" s="62" t="s">
        <v>92</v>
      </c>
      <c r="N191" s="206"/>
      <c r="O191" s="208"/>
      <c r="P191" s="208"/>
      <c r="Q191" s="208"/>
      <c r="R191" s="208"/>
      <c r="S191" s="197"/>
      <c r="T191" s="242"/>
    </row>
    <row r="192" spans="1:20" s="24" customFormat="1" ht="12" x14ac:dyDescent="0.2">
      <c r="A192" s="21" t="s">
        <v>93</v>
      </c>
      <c r="B192" s="26">
        <v>1391.04</v>
      </c>
      <c r="C192" s="26">
        <v>2786.02</v>
      </c>
      <c r="D192" s="26">
        <v>7054.8993899999996</v>
      </c>
      <c r="E192" s="26">
        <v>9386.1781200000005</v>
      </c>
      <c r="F192" s="26">
        <v>11768.31086</v>
      </c>
      <c r="G192" s="26">
        <v>15491.040639999999</v>
      </c>
      <c r="H192" s="26">
        <v>18775.963080000001</v>
      </c>
      <c r="I192" s="26">
        <v>22209.114740000001</v>
      </c>
      <c r="J192" s="26">
        <v>26828.0743</v>
      </c>
      <c r="K192" s="26">
        <v>32232.380290000001</v>
      </c>
      <c r="L192" s="27">
        <v>32232.380290000001</v>
      </c>
      <c r="M192" s="26"/>
      <c r="N192" s="206"/>
      <c r="O192" s="206"/>
      <c r="P192" s="206"/>
      <c r="Q192" s="206"/>
      <c r="R192" s="206"/>
      <c r="S192" s="195"/>
    </row>
    <row r="193" spans="1:20" s="24" customFormat="1" ht="12" x14ac:dyDescent="0.2">
      <c r="A193" s="21" t="s">
        <v>94</v>
      </c>
      <c r="B193" s="26">
        <v>265.56</v>
      </c>
      <c r="C193" s="26">
        <v>704.08</v>
      </c>
      <c r="D193" s="26">
        <v>1329.66759</v>
      </c>
      <c r="E193" s="26">
        <v>2270.3112999999998</v>
      </c>
      <c r="F193" s="26">
        <v>3838.84429</v>
      </c>
      <c r="G193" s="26">
        <v>5827.8321500000002</v>
      </c>
      <c r="H193" s="26">
        <v>7413.1635999999999</v>
      </c>
      <c r="I193" s="26">
        <v>9300.0932400000002</v>
      </c>
      <c r="J193" s="26">
        <v>49659.705320000001</v>
      </c>
      <c r="K193" s="26">
        <v>53516.691420000003</v>
      </c>
      <c r="L193" s="27">
        <v>54290.055419999997</v>
      </c>
      <c r="M193" s="26"/>
      <c r="N193" s="206"/>
      <c r="O193" s="206"/>
      <c r="P193" s="206"/>
      <c r="Q193" s="206"/>
      <c r="R193" s="206"/>
      <c r="S193" s="195"/>
    </row>
    <row r="194" spans="1:20" s="24" customFormat="1" ht="12" x14ac:dyDescent="0.2">
      <c r="A194" s="21" t="s">
        <v>95</v>
      </c>
      <c r="B194" s="26">
        <v>11.8</v>
      </c>
      <c r="C194" s="26">
        <v>14.75</v>
      </c>
      <c r="D194" s="26">
        <v>23.6</v>
      </c>
      <c r="E194" s="26">
        <v>26.55</v>
      </c>
      <c r="F194" s="26">
        <v>29.5</v>
      </c>
      <c r="G194" s="26">
        <v>29.5</v>
      </c>
      <c r="H194" s="26">
        <v>38.35</v>
      </c>
      <c r="I194" s="26">
        <v>38.35</v>
      </c>
      <c r="J194" s="26">
        <v>1732.299</v>
      </c>
      <c r="K194" s="26">
        <v>1735.249</v>
      </c>
      <c r="L194" s="27">
        <v>1735.249</v>
      </c>
      <c r="M194" s="26"/>
      <c r="N194" s="206"/>
      <c r="O194" s="206"/>
      <c r="P194" s="206"/>
      <c r="Q194" s="206"/>
      <c r="R194" s="206"/>
      <c r="S194" s="195"/>
    </row>
    <row r="195" spans="1:20" s="24" customFormat="1" ht="12" x14ac:dyDescent="0.2">
      <c r="A195" s="21" t="s">
        <v>96</v>
      </c>
      <c r="B195" s="26">
        <v>387.93</v>
      </c>
      <c r="C195" s="26">
        <v>2086.17</v>
      </c>
      <c r="D195" s="26">
        <v>2585.1810700000001</v>
      </c>
      <c r="E195" s="26">
        <v>2695.7036800000001</v>
      </c>
      <c r="F195" s="26">
        <v>4557.0302499999998</v>
      </c>
      <c r="G195" s="26">
        <v>5709.40067</v>
      </c>
      <c r="H195" s="26">
        <v>5703.2074400000001</v>
      </c>
      <c r="I195" s="26">
        <v>6665.1786899999997</v>
      </c>
      <c r="J195" s="26">
        <v>7606.5995400000002</v>
      </c>
      <c r="K195" s="26">
        <v>9562.6119199999994</v>
      </c>
      <c r="L195" s="27">
        <v>10097.591920000001</v>
      </c>
      <c r="M195" s="26"/>
      <c r="N195" s="206"/>
      <c r="O195" s="206"/>
      <c r="P195" s="206"/>
      <c r="Q195" s="206"/>
      <c r="R195" s="206"/>
      <c r="S195" s="195"/>
    </row>
    <row r="196" spans="1:20" s="24" customFormat="1" ht="12" x14ac:dyDescent="0.2">
      <c r="A196" s="21" t="s">
        <v>97</v>
      </c>
      <c r="B196" s="22"/>
      <c r="C196" s="22"/>
      <c r="D196" s="22"/>
      <c r="E196" s="22"/>
      <c r="F196" s="155"/>
      <c r="G196" s="22"/>
      <c r="H196" s="22"/>
      <c r="I196" s="22"/>
      <c r="J196" s="22"/>
      <c r="K196" s="22"/>
      <c r="L196" s="23"/>
      <c r="M196" s="22"/>
      <c r="N196" s="206"/>
      <c r="O196" s="206"/>
      <c r="P196" s="206"/>
      <c r="Q196" s="206"/>
      <c r="R196" s="206"/>
      <c r="S196" s="195"/>
    </row>
    <row r="197" spans="1:20" s="32" customFormat="1" ht="12" x14ac:dyDescent="0.2">
      <c r="A197" s="30" t="s">
        <v>98</v>
      </c>
      <c r="B197" s="31">
        <f>SUM(B192:B196)</f>
        <v>2056.33</v>
      </c>
      <c r="C197" s="31">
        <f>SUM(C192:C196)</f>
        <v>5591.02</v>
      </c>
      <c r="D197" s="31">
        <f t="shared" ref="D197:M197" si="23">SUM(D192:D196)</f>
        <v>10993.348050000001</v>
      </c>
      <c r="E197" s="31">
        <f t="shared" si="23"/>
        <v>14378.7431</v>
      </c>
      <c r="F197" s="31">
        <f t="shared" si="23"/>
        <v>20193.685399999998</v>
      </c>
      <c r="G197" s="31">
        <f t="shared" si="23"/>
        <v>27057.77346</v>
      </c>
      <c r="H197" s="31">
        <f t="shared" si="23"/>
        <v>31930.684119999998</v>
      </c>
      <c r="I197" s="31">
        <f t="shared" si="23"/>
        <v>38212.736669999998</v>
      </c>
      <c r="J197" s="31">
        <f t="shared" si="23"/>
        <v>85826.678159999996</v>
      </c>
      <c r="K197" s="31">
        <f t="shared" si="23"/>
        <v>97046.932629999996</v>
      </c>
      <c r="L197" s="31">
        <f t="shared" si="23"/>
        <v>98355.276629999993</v>
      </c>
      <c r="M197" s="31">
        <f t="shared" si="23"/>
        <v>0</v>
      </c>
      <c r="N197" s="206"/>
      <c r="O197" s="206"/>
      <c r="P197" s="206"/>
      <c r="Q197" s="206"/>
      <c r="R197" s="206"/>
      <c r="S197" s="195"/>
      <c r="T197" s="24"/>
    </row>
    <row r="198" spans="1:20" x14ac:dyDescent="0.2">
      <c r="A198" s="71"/>
      <c r="B198" s="16"/>
      <c r="C198" s="16"/>
      <c r="D198" s="16"/>
      <c r="E198" s="16"/>
      <c r="F198" s="16"/>
      <c r="G198" s="16"/>
      <c r="H198" s="16"/>
      <c r="I198" s="72"/>
      <c r="J198" s="72"/>
      <c r="K198" s="72"/>
      <c r="L198" s="72"/>
      <c r="M198" s="72"/>
      <c r="N198" s="206"/>
    </row>
    <row r="199" spans="1:20" s="47" customFormat="1" x14ac:dyDescent="0.2">
      <c r="A199" s="18" t="s">
        <v>122</v>
      </c>
      <c r="B199" s="62" t="s">
        <v>82</v>
      </c>
      <c r="C199" s="62" t="s">
        <v>83</v>
      </c>
      <c r="D199" s="62" t="s">
        <v>84</v>
      </c>
      <c r="E199" s="62" t="s">
        <v>85</v>
      </c>
      <c r="F199" s="62" t="s">
        <v>86</v>
      </c>
      <c r="G199" s="62" t="s">
        <v>87</v>
      </c>
      <c r="H199" s="62" t="s">
        <v>88</v>
      </c>
      <c r="I199" s="62" t="s">
        <v>198</v>
      </c>
      <c r="J199" s="62" t="s">
        <v>89</v>
      </c>
      <c r="K199" s="62" t="s">
        <v>90</v>
      </c>
      <c r="L199" s="62" t="s">
        <v>91</v>
      </c>
      <c r="M199" s="62" t="s">
        <v>92</v>
      </c>
      <c r="N199" s="206"/>
      <c r="O199" s="208"/>
      <c r="P199" s="208"/>
      <c r="Q199" s="208"/>
      <c r="R199" s="208"/>
      <c r="S199" s="197"/>
      <c r="T199" s="242"/>
    </row>
    <row r="200" spans="1:20" s="24" customFormat="1" ht="12" x14ac:dyDescent="0.2">
      <c r="A200" s="21" t="s">
        <v>93</v>
      </c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7"/>
      <c r="M200" s="26"/>
      <c r="N200" s="206"/>
      <c r="O200" s="206"/>
      <c r="P200" s="206"/>
      <c r="Q200" s="206"/>
      <c r="R200" s="206"/>
      <c r="S200" s="195"/>
    </row>
    <row r="201" spans="1:20" s="24" customFormat="1" ht="12" x14ac:dyDescent="0.2">
      <c r="A201" s="21" t="s">
        <v>94</v>
      </c>
      <c r="B201" s="26"/>
      <c r="C201" s="26"/>
      <c r="D201" s="26"/>
      <c r="E201" s="96"/>
      <c r="F201" s="26"/>
      <c r="G201" s="26"/>
      <c r="H201" s="26"/>
      <c r="I201" s="26"/>
      <c r="J201" s="26"/>
      <c r="K201" s="26"/>
      <c r="L201" s="27"/>
      <c r="M201" s="26"/>
      <c r="N201" s="206"/>
      <c r="O201" s="206"/>
      <c r="P201" s="206"/>
      <c r="Q201" s="206"/>
      <c r="R201" s="206"/>
      <c r="S201" s="195"/>
    </row>
    <row r="202" spans="1:20" s="24" customFormat="1" ht="12" x14ac:dyDescent="0.2">
      <c r="A202" s="21" t="s">
        <v>95</v>
      </c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96"/>
      <c r="M202" s="26"/>
      <c r="N202" s="206"/>
      <c r="O202" s="206"/>
      <c r="P202" s="206"/>
      <c r="Q202" s="206"/>
      <c r="R202" s="206"/>
      <c r="S202" s="195"/>
    </row>
    <row r="203" spans="1:20" s="24" customFormat="1" ht="12" x14ac:dyDescent="0.2">
      <c r="A203" s="21" t="s">
        <v>96</v>
      </c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7"/>
      <c r="M203" s="26"/>
      <c r="N203" s="206"/>
      <c r="O203" s="206"/>
      <c r="P203" s="206"/>
      <c r="Q203" s="206"/>
      <c r="R203" s="206"/>
      <c r="S203" s="195"/>
    </row>
    <row r="204" spans="1:20" s="24" customFormat="1" ht="12" x14ac:dyDescent="0.2">
      <c r="A204" s="21" t="s">
        <v>97</v>
      </c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7"/>
      <c r="M204" s="26"/>
      <c r="N204" s="206"/>
      <c r="O204" s="206"/>
      <c r="P204" s="206"/>
      <c r="Q204" s="206"/>
      <c r="R204" s="206"/>
      <c r="S204" s="195"/>
    </row>
    <row r="205" spans="1:20" s="32" customFormat="1" ht="12" x14ac:dyDescent="0.2">
      <c r="A205" s="30" t="s">
        <v>98</v>
      </c>
      <c r="B205" s="64">
        <f>SUM(B200:B204)</f>
        <v>0</v>
      </c>
      <c r="C205" s="64">
        <f t="shared" ref="C205:M205" si="24">SUM(C200:C204)</f>
        <v>0</v>
      </c>
      <c r="D205" s="64">
        <f t="shared" si="24"/>
        <v>0</v>
      </c>
      <c r="E205" s="64">
        <f t="shared" si="24"/>
        <v>0</v>
      </c>
      <c r="F205" s="64">
        <f t="shared" si="24"/>
        <v>0</v>
      </c>
      <c r="G205" s="64">
        <f t="shared" si="24"/>
        <v>0</v>
      </c>
      <c r="H205" s="64">
        <f t="shared" si="24"/>
        <v>0</v>
      </c>
      <c r="I205" s="64">
        <f t="shared" si="24"/>
        <v>0</v>
      </c>
      <c r="J205" s="64">
        <f t="shared" si="24"/>
        <v>0</v>
      </c>
      <c r="K205" s="64">
        <f t="shared" si="24"/>
        <v>0</v>
      </c>
      <c r="L205" s="64">
        <f t="shared" si="24"/>
        <v>0</v>
      </c>
      <c r="M205" s="64">
        <f t="shared" si="24"/>
        <v>0</v>
      </c>
      <c r="N205" s="206"/>
      <c r="O205" s="206"/>
      <c r="P205" s="206"/>
      <c r="Q205" s="206"/>
      <c r="R205" s="206"/>
      <c r="S205" s="195"/>
      <c r="T205" s="24"/>
    </row>
    <row r="206" spans="1:20" x14ac:dyDescent="0.2">
      <c r="A206" s="71"/>
      <c r="B206" s="73"/>
      <c r="C206" s="73"/>
      <c r="D206" s="73"/>
      <c r="E206" s="73"/>
      <c r="F206" s="73"/>
      <c r="G206" s="73"/>
      <c r="H206" s="73"/>
      <c r="I206" s="72"/>
      <c r="J206" s="72"/>
      <c r="K206" s="72"/>
      <c r="L206" s="72"/>
      <c r="M206" s="72"/>
      <c r="N206" s="206"/>
      <c r="O206" s="207"/>
      <c r="P206" s="207"/>
      <c r="Q206" s="207"/>
      <c r="R206" s="207"/>
      <c r="S206" s="196"/>
    </row>
    <row r="207" spans="1:20" s="47" customFormat="1" x14ac:dyDescent="0.2">
      <c r="A207" s="18" t="s">
        <v>123</v>
      </c>
      <c r="B207" s="62" t="s">
        <v>82</v>
      </c>
      <c r="C207" s="62" t="s">
        <v>83</v>
      </c>
      <c r="D207" s="62" t="s">
        <v>84</v>
      </c>
      <c r="E207" s="62" t="s">
        <v>85</v>
      </c>
      <c r="F207" s="62" t="s">
        <v>86</v>
      </c>
      <c r="G207" s="62" t="s">
        <v>87</v>
      </c>
      <c r="H207" s="62" t="s">
        <v>88</v>
      </c>
      <c r="I207" s="62" t="s">
        <v>198</v>
      </c>
      <c r="J207" s="62" t="s">
        <v>89</v>
      </c>
      <c r="K207" s="62" t="s">
        <v>90</v>
      </c>
      <c r="L207" s="62" t="s">
        <v>91</v>
      </c>
      <c r="M207" s="62" t="s">
        <v>92</v>
      </c>
      <c r="N207" s="206"/>
      <c r="O207" s="208"/>
      <c r="P207" s="208"/>
      <c r="Q207" s="208"/>
      <c r="R207" s="208"/>
      <c r="S207" s="197"/>
      <c r="T207" s="242"/>
    </row>
    <row r="208" spans="1:20" s="24" customFormat="1" ht="12" x14ac:dyDescent="0.2">
      <c r="A208" s="21" t="s">
        <v>93</v>
      </c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7"/>
      <c r="M208" s="26"/>
      <c r="N208" s="206"/>
      <c r="O208" s="206"/>
      <c r="P208" s="206"/>
      <c r="Q208" s="206"/>
      <c r="R208" s="206"/>
      <c r="S208" s="195"/>
    </row>
    <row r="209" spans="1:20" s="24" customFormat="1" ht="12" x14ac:dyDescent="0.2">
      <c r="A209" s="21" t="s">
        <v>94</v>
      </c>
      <c r="B209" s="26"/>
      <c r="C209" s="26"/>
      <c r="D209" s="26"/>
      <c r="E209" s="26">
        <v>10.49757</v>
      </c>
      <c r="F209" s="26">
        <v>31.687570000000001</v>
      </c>
      <c r="G209" s="26">
        <v>38.389000000000003</v>
      </c>
      <c r="H209" s="26">
        <v>44.833480000000002</v>
      </c>
      <c r="I209" s="26">
        <v>52.31297</v>
      </c>
      <c r="J209" s="26">
        <v>58.605699999999999</v>
      </c>
      <c r="K209" s="26">
        <v>66.590050000000005</v>
      </c>
      <c r="L209" s="27">
        <v>66.590050000000005</v>
      </c>
      <c r="M209" s="26"/>
      <c r="N209" s="206"/>
      <c r="O209" s="206"/>
      <c r="P209" s="206"/>
      <c r="Q209" s="206"/>
      <c r="R209" s="206"/>
      <c r="S209" s="195"/>
    </row>
    <row r="210" spans="1:20" s="24" customFormat="1" ht="12" x14ac:dyDescent="0.2">
      <c r="A210" s="21" t="s">
        <v>95</v>
      </c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96"/>
      <c r="M210" s="26"/>
      <c r="N210" s="206"/>
      <c r="O210" s="206"/>
      <c r="P210" s="206"/>
      <c r="Q210" s="206"/>
      <c r="R210" s="206"/>
      <c r="S210" s="195"/>
    </row>
    <row r="211" spans="1:20" s="24" customFormat="1" ht="12" x14ac:dyDescent="0.2">
      <c r="A211" s="21" t="s">
        <v>96</v>
      </c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7"/>
      <c r="M211" s="26"/>
      <c r="N211" s="206"/>
      <c r="O211" s="206"/>
      <c r="P211" s="206"/>
      <c r="Q211" s="206"/>
      <c r="R211" s="206"/>
      <c r="S211" s="195"/>
    </row>
    <row r="212" spans="1:20" s="24" customFormat="1" ht="12" x14ac:dyDescent="0.2">
      <c r="A212" s="21" t="s">
        <v>97</v>
      </c>
      <c r="B212" s="26"/>
      <c r="C212" s="26"/>
      <c r="D212" s="26"/>
      <c r="E212" s="26"/>
      <c r="F212" s="155"/>
      <c r="G212" s="22"/>
      <c r="H212" s="26"/>
      <c r="I212" s="26"/>
      <c r="J212" s="26"/>
      <c r="K212" s="26"/>
      <c r="L212" s="96"/>
      <c r="M212" s="26"/>
      <c r="N212" s="206"/>
      <c r="O212" s="206"/>
      <c r="P212" s="206"/>
      <c r="Q212" s="206"/>
      <c r="R212" s="206"/>
      <c r="S212" s="195"/>
    </row>
    <row r="213" spans="1:20" s="32" customFormat="1" ht="12" x14ac:dyDescent="0.2">
      <c r="A213" s="30" t="s">
        <v>98</v>
      </c>
      <c r="B213" s="64">
        <f>SUM(B208:B212)</f>
        <v>0</v>
      </c>
      <c r="C213" s="64">
        <f t="shared" ref="C213:M213" si="25">SUM(C208:C212)</f>
        <v>0</v>
      </c>
      <c r="D213" s="64">
        <f t="shared" si="25"/>
        <v>0</v>
      </c>
      <c r="E213" s="64">
        <f t="shared" si="25"/>
        <v>10.49757</v>
      </c>
      <c r="F213" s="64">
        <f t="shared" si="25"/>
        <v>31.687570000000001</v>
      </c>
      <c r="G213" s="64">
        <f t="shared" si="25"/>
        <v>38.389000000000003</v>
      </c>
      <c r="H213" s="64">
        <f t="shared" si="25"/>
        <v>44.833480000000002</v>
      </c>
      <c r="I213" s="64">
        <f t="shared" si="25"/>
        <v>52.31297</v>
      </c>
      <c r="J213" s="64">
        <f t="shared" si="25"/>
        <v>58.605699999999999</v>
      </c>
      <c r="K213" s="64">
        <f t="shared" si="25"/>
        <v>66.590050000000005</v>
      </c>
      <c r="L213" s="64">
        <f t="shared" si="25"/>
        <v>66.590050000000005</v>
      </c>
      <c r="M213" s="64">
        <f t="shared" si="25"/>
        <v>0</v>
      </c>
      <c r="N213" s="206"/>
      <c r="O213" s="206"/>
      <c r="P213" s="206"/>
      <c r="Q213" s="206"/>
      <c r="R213" s="206"/>
      <c r="S213" s="195"/>
      <c r="T213" s="24"/>
    </row>
    <row r="214" spans="1:20" x14ac:dyDescent="0.2">
      <c r="A214" s="71"/>
      <c r="B214" s="73"/>
      <c r="C214" s="73"/>
      <c r="D214" s="73"/>
      <c r="E214" s="73"/>
      <c r="F214" s="73"/>
      <c r="G214" s="73"/>
      <c r="H214" s="73"/>
      <c r="I214" s="72"/>
      <c r="J214" s="72"/>
      <c r="K214" s="72"/>
      <c r="L214" s="72"/>
      <c r="M214" s="72"/>
      <c r="N214" s="206"/>
      <c r="O214" s="207"/>
      <c r="P214" s="207"/>
      <c r="Q214" s="207"/>
      <c r="R214" s="207"/>
      <c r="S214" s="196"/>
    </row>
    <row r="215" spans="1:20" s="47" customFormat="1" x14ac:dyDescent="0.2">
      <c r="A215" s="18" t="s">
        <v>124</v>
      </c>
      <c r="B215" s="62" t="s">
        <v>82</v>
      </c>
      <c r="C215" s="62" t="s">
        <v>83</v>
      </c>
      <c r="D215" s="62" t="s">
        <v>84</v>
      </c>
      <c r="E215" s="62" t="s">
        <v>85</v>
      </c>
      <c r="F215" s="62" t="s">
        <v>86</v>
      </c>
      <c r="G215" s="62" t="s">
        <v>87</v>
      </c>
      <c r="H215" s="62" t="s">
        <v>88</v>
      </c>
      <c r="I215" s="62" t="s">
        <v>198</v>
      </c>
      <c r="J215" s="62" t="s">
        <v>89</v>
      </c>
      <c r="K215" s="62" t="s">
        <v>90</v>
      </c>
      <c r="L215" s="62" t="s">
        <v>91</v>
      </c>
      <c r="M215" s="62" t="s">
        <v>92</v>
      </c>
      <c r="N215" s="206"/>
      <c r="O215" s="208"/>
      <c r="P215" s="208"/>
      <c r="Q215" s="208"/>
      <c r="R215" s="208"/>
      <c r="S215" s="197"/>
      <c r="T215" s="242"/>
    </row>
    <row r="216" spans="1:20" s="24" customFormat="1" ht="12" x14ac:dyDescent="0.2">
      <c r="A216" s="21" t="s">
        <v>93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7"/>
      <c r="M216" s="26"/>
      <c r="N216" s="206"/>
      <c r="O216" s="206"/>
      <c r="P216" s="206"/>
      <c r="Q216" s="206"/>
      <c r="R216" s="206"/>
      <c r="S216" s="195"/>
    </row>
    <row r="217" spans="1:20" s="24" customFormat="1" ht="12" x14ac:dyDescent="0.2">
      <c r="A217" s="21" t="s">
        <v>94</v>
      </c>
      <c r="B217" s="26"/>
      <c r="C217" s="26"/>
      <c r="D217" s="26">
        <v>103.04600000000001</v>
      </c>
      <c r="E217" s="26">
        <v>534.29615999999999</v>
      </c>
      <c r="F217" s="26">
        <v>921.04881999999998</v>
      </c>
      <c r="G217" s="26">
        <v>1605.7335399999999</v>
      </c>
      <c r="H217" s="26">
        <v>2627.97444</v>
      </c>
      <c r="I217" s="26">
        <v>2627.97444</v>
      </c>
      <c r="J217" s="26">
        <v>5934.6100699999997</v>
      </c>
      <c r="K217" s="26">
        <v>7187.9709599999996</v>
      </c>
      <c r="L217" s="27">
        <v>7626.9759599999998</v>
      </c>
      <c r="M217" s="26"/>
      <c r="N217" s="206"/>
      <c r="O217" s="206"/>
      <c r="P217" s="206"/>
      <c r="Q217" s="206"/>
      <c r="R217" s="206"/>
      <c r="S217" s="195"/>
    </row>
    <row r="218" spans="1:20" s="24" customFormat="1" ht="12" x14ac:dyDescent="0.2">
      <c r="A218" s="21" t="s">
        <v>95</v>
      </c>
      <c r="B218" s="26">
        <v>5647.8</v>
      </c>
      <c r="C218" s="26">
        <v>5647.8</v>
      </c>
      <c r="D218" s="26">
        <v>5647.79673</v>
      </c>
      <c r="E218" s="26">
        <v>5647.79673</v>
      </c>
      <c r="F218" s="26">
        <v>5647.79673</v>
      </c>
      <c r="G218" s="26">
        <v>5647.79673</v>
      </c>
      <c r="H218" s="26">
        <v>5647.79673</v>
      </c>
      <c r="I218" s="26">
        <v>8206.5876499999995</v>
      </c>
      <c r="J218" s="26">
        <v>10584.33577</v>
      </c>
      <c r="K218" s="26">
        <v>17497.06465</v>
      </c>
      <c r="L218" s="27">
        <v>20366.512650000001</v>
      </c>
      <c r="M218" s="26"/>
      <c r="N218" s="206"/>
      <c r="O218" s="206"/>
      <c r="P218" s="206"/>
      <c r="Q218" s="206"/>
      <c r="R218" s="206"/>
      <c r="S218" s="195"/>
    </row>
    <row r="219" spans="1:20" s="24" customFormat="1" ht="12" x14ac:dyDescent="0.2">
      <c r="A219" s="21" t="s">
        <v>96</v>
      </c>
      <c r="B219" s="26">
        <v>11113.19</v>
      </c>
      <c r="C219" s="26">
        <v>172495.86</v>
      </c>
      <c r="D219" s="26">
        <v>208096.88264</v>
      </c>
      <c r="E219" s="26">
        <v>117697.84669000001</v>
      </c>
      <c r="F219" s="26">
        <v>-49274.937969999999</v>
      </c>
      <c r="G219" s="26">
        <v>-21555.994999999999</v>
      </c>
      <c r="H219" s="26">
        <v>214395.85818000001</v>
      </c>
      <c r="I219" s="26">
        <v>297680.53529999999</v>
      </c>
      <c r="J219" s="26">
        <v>396049.63325000001</v>
      </c>
      <c r="K219" s="26">
        <v>476867.62228000001</v>
      </c>
      <c r="L219" s="27">
        <v>519045.52531</v>
      </c>
      <c r="M219" s="26"/>
      <c r="N219" s="206"/>
      <c r="O219" s="206"/>
      <c r="P219" s="206"/>
      <c r="Q219" s="206"/>
      <c r="R219" s="206"/>
      <c r="S219" s="195"/>
    </row>
    <row r="220" spans="1:20" s="24" customFormat="1" ht="12" x14ac:dyDescent="0.2">
      <c r="A220" s="21" t="s">
        <v>97</v>
      </c>
      <c r="B220" s="26">
        <v>1267.76</v>
      </c>
      <c r="C220" s="26">
        <v>2497.79</v>
      </c>
      <c r="D220" s="26">
        <v>6428.5275799999999</v>
      </c>
      <c r="E220" s="26">
        <v>8892.9508700000006</v>
      </c>
      <c r="F220" s="155">
        <v>9912.2677600000006</v>
      </c>
      <c r="G220" s="22">
        <v>13960.54191</v>
      </c>
      <c r="H220" s="26">
        <v>17713.07085</v>
      </c>
      <c r="I220" s="26">
        <v>51138.185290000001</v>
      </c>
      <c r="J220" s="26">
        <v>57009.181530000002</v>
      </c>
      <c r="K220" s="26">
        <v>72043.119330000001</v>
      </c>
      <c r="L220" s="27">
        <v>72043.119330000001</v>
      </c>
      <c r="M220" s="26"/>
      <c r="N220" s="206"/>
      <c r="O220" s="206"/>
      <c r="P220" s="206"/>
      <c r="Q220" s="206"/>
      <c r="R220" s="206"/>
      <c r="S220" s="195"/>
    </row>
    <row r="221" spans="1:20" s="32" customFormat="1" ht="12" x14ac:dyDescent="0.2">
      <c r="A221" s="30" t="s">
        <v>98</v>
      </c>
      <c r="B221" s="64">
        <f>SUM(B216:B220)</f>
        <v>18028.75</v>
      </c>
      <c r="C221" s="64">
        <f t="shared" ref="C221:M221" si="26">SUM(C216:C220)</f>
        <v>180641.44999999998</v>
      </c>
      <c r="D221" s="64">
        <f t="shared" si="26"/>
        <v>220276.25294999999</v>
      </c>
      <c r="E221" s="64">
        <f t="shared" si="26"/>
        <v>132772.89045000001</v>
      </c>
      <c r="F221" s="64">
        <f t="shared" si="26"/>
        <v>-32793.824659999998</v>
      </c>
      <c r="G221" s="64">
        <f t="shared" si="26"/>
        <v>-341.92281999999977</v>
      </c>
      <c r="H221" s="64">
        <f t="shared" si="26"/>
        <v>240384.70019999999</v>
      </c>
      <c r="I221" s="64">
        <f t="shared" si="26"/>
        <v>359653.28268</v>
      </c>
      <c r="J221" s="64">
        <f t="shared" si="26"/>
        <v>469577.76062000002</v>
      </c>
      <c r="K221" s="64">
        <f t="shared" si="26"/>
        <v>573595.77722000005</v>
      </c>
      <c r="L221" s="64">
        <f t="shared" si="26"/>
        <v>619082.13325000007</v>
      </c>
      <c r="M221" s="64">
        <f t="shared" si="26"/>
        <v>0</v>
      </c>
      <c r="N221" s="206"/>
      <c r="O221" s="206"/>
      <c r="P221" s="206"/>
      <c r="Q221" s="206"/>
      <c r="R221" s="206"/>
      <c r="S221" s="195"/>
      <c r="T221" s="24"/>
    </row>
    <row r="222" spans="1:20" s="10" customFormat="1" x14ac:dyDescent="0.2">
      <c r="A222" s="75"/>
      <c r="B222" s="76"/>
      <c r="C222" s="76"/>
      <c r="D222" s="76"/>
      <c r="E222" s="76"/>
      <c r="F222" s="76"/>
      <c r="G222" s="76"/>
      <c r="H222" s="76"/>
      <c r="I222" s="77"/>
      <c r="J222" s="77"/>
      <c r="K222" s="77"/>
      <c r="L222" s="77"/>
      <c r="M222" s="77"/>
      <c r="N222" s="206"/>
      <c r="O222" s="207"/>
      <c r="P222" s="207"/>
      <c r="Q222" s="207"/>
      <c r="R222" s="207"/>
      <c r="S222" s="196"/>
      <c r="T222" s="124"/>
    </row>
    <row r="223" spans="1:20" s="47" customFormat="1" x14ac:dyDescent="0.2">
      <c r="A223" s="18" t="s">
        <v>125</v>
      </c>
      <c r="B223" s="62" t="s">
        <v>82</v>
      </c>
      <c r="C223" s="62" t="s">
        <v>83</v>
      </c>
      <c r="D223" s="62" t="s">
        <v>84</v>
      </c>
      <c r="E223" s="62" t="s">
        <v>85</v>
      </c>
      <c r="F223" s="62" t="s">
        <v>86</v>
      </c>
      <c r="G223" s="62" t="s">
        <v>87</v>
      </c>
      <c r="H223" s="62" t="s">
        <v>88</v>
      </c>
      <c r="I223" s="62" t="s">
        <v>198</v>
      </c>
      <c r="J223" s="62" t="s">
        <v>89</v>
      </c>
      <c r="K223" s="62" t="s">
        <v>90</v>
      </c>
      <c r="L223" s="62" t="s">
        <v>91</v>
      </c>
      <c r="M223" s="62" t="s">
        <v>92</v>
      </c>
      <c r="N223" s="206"/>
      <c r="O223" s="208"/>
      <c r="P223" s="208"/>
      <c r="Q223" s="208"/>
      <c r="R223" s="208"/>
      <c r="S223" s="197"/>
      <c r="T223" s="242"/>
    </row>
    <row r="224" spans="1:20" s="24" customFormat="1" ht="12" x14ac:dyDescent="0.2">
      <c r="A224" s="21" t="s">
        <v>93</v>
      </c>
      <c r="B224" s="26">
        <v>115.89</v>
      </c>
      <c r="C224" s="26">
        <v>231.78</v>
      </c>
      <c r="D224" s="26">
        <v>576.40695000000005</v>
      </c>
      <c r="E224" s="26">
        <v>576.40695000000005</v>
      </c>
      <c r="F224" s="26">
        <v>576.40695000000005</v>
      </c>
      <c r="G224" s="26">
        <v>956.52439000000004</v>
      </c>
      <c r="H224" s="26">
        <v>1563.64534</v>
      </c>
      <c r="I224" s="26">
        <v>1792.7487599999999</v>
      </c>
      <c r="J224" s="26">
        <v>1792.7487599999999</v>
      </c>
      <c r="K224" s="26">
        <v>-401.40913</v>
      </c>
      <c r="L224" s="27">
        <v>51.120899999999999</v>
      </c>
      <c r="M224" s="26"/>
      <c r="N224" s="206"/>
      <c r="O224" s="206"/>
      <c r="P224" s="206"/>
      <c r="Q224" s="206"/>
      <c r="R224" s="206"/>
      <c r="S224" s="195"/>
    </row>
    <row r="225" spans="1:20" s="24" customFormat="1" ht="12" x14ac:dyDescent="0.2">
      <c r="A225" s="21" t="s">
        <v>94</v>
      </c>
      <c r="B225" s="26">
        <v>59.59</v>
      </c>
      <c r="C225" s="26">
        <v>86.38</v>
      </c>
      <c r="D225" s="26">
        <v>149.50162</v>
      </c>
      <c r="E225" s="26">
        <v>130.50162</v>
      </c>
      <c r="F225" s="26">
        <v>130.50162</v>
      </c>
      <c r="G225" s="26">
        <v>299.99763999999999</v>
      </c>
      <c r="H225" s="26">
        <v>385.69096999999999</v>
      </c>
      <c r="I225" s="26">
        <v>440.04046</v>
      </c>
      <c r="J225" s="26">
        <v>472.11646000000002</v>
      </c>
      <c r="K225" s="26">
        <v>-650.04348000000005</v>
      </c>
      <c r="L225" s="27">
        <v>-593.32270000000005</v>
      </c>
      <c r="M225" s="26"/>
      <c r="N225" s="206"/>
      <c r="O225" s="206"/>
      <c r="P225" s="206"/>
      <c r="Q225" s="206"/>
      <c r="R225" s="206"/>
      <c r="S225" s="195"/>
    </row>
    <row r="226" spans="1:20" s="24" customFormat="1" ht="12" x14ac:dyDescent="0.2">
      <c r="A226" s="21" t="s">
        <v>95</v>
      </c>
      <c r="B226" s="26">
        <v>-482.4</v>
      </c>
      <c r="C226" s="26">
        <v>514.19000000000005</v>
      </c>
      <c r="D226" s="26">
        <v>3290.0523699999999</v>
      </c>
      <c r="E226" s="26">
        <v>4085.7072899999998</v>
      </c>
      <c r="F226" s="26">
        <v>4959.06196</v>
      </c>
      <c r="G226" s="26">
        <v>6911.1619600000004</v>
      </c>
      <c r="H226" s="26">
        <v>6911.1619600000004</v>
      </c>
      <c r="I226" s="26">
        <v>12202.8909</v>
      </c>
      <c r="J226" s="26">
        <v>24766.6109</v>
      </c>
      <c r="K226" s="26">
        <v>47509.391360000001</v>
      </c>
      <c r="L226" s="27">
        <v>48567.391360000001</v>
      </c>
      <c r="M226" s="26"/>
      <c r="N226" s="206"/>
      <c r="O226" s="206"/>
      <c r="P226" s="206"/>
      <c r="Q226" s="206"/>
      <c r="R226" s="206"/>
      <c r="S226" s="195"/>
    </row>
    <row r="227" spans="1:20" s="24" customFormat="1" ht="12" x14ac:dyDescent="0.2">
      <c r="A227" s="21" t="s">
        <v>96</v>
      </c>
      <c r="B227" s="26">
        <v>1076.3</v>
      </c>
      <c r="C227" s="26">
        <v>7731.02</v>
      </c>
      <c r="D227" s="26">
        <v>15746.790580000001</v>
      </c>
      <c r="E227" s="26">
        <v>43141.954579999998</v>
      </c>
      <c r="F227" s="26">
        <v>84962.316009999995</v>
      </c>
      <c r="G227" s="26">
        <v>106260.31443</v>
      </c>
      <c r="H227" s="26">
        <v>120413.64829</v>
      </c>
      <c r="I227" s="26">
        <v>165747.86147999999</v>
      </c>
      <c r="J227" s="26">
        <v>212129.75628</v>
      </c>
      <c r="K227" s="26">
        <v>272604.23962000001</v>
      </c>
      <c r="L227" s="27">
        <v>282120.29401999997</v>
      </c>
      <c r="M227" s="26"/>
      <c r="N227" s="206"/>
      <c r="O227" s="206"/>
      <c r="P227" s="206"/>
      <c r="Q227" s="206"/>
      <c r="R227" s="206"/>
      <c r="S227" s="195"/>
    </row>
    <row r="228" spans="1:20" s="24" customFormat="1" ht="12" x14ac:dyDescent="0.2">
      <c r="A228" s="21" t="s">
        <v>97</v>
      </c>
      <c r="B228" s="26"/>
      <c r="C228" s="26"/>
      <c r="D228" s="26"/>
      <c r="E228" s="26"/>
      <c r="F228" s="155"/>
      <c r="G228" s="22"/>
      <c r="H228" s="26"/>
      <c r="I228" s="26"/>
      <c r="J228" s="26"/>
      <c r="K228" s="26"/>
      <c r="L228" s="27"/>
      <c r="M228" s="26"/>
      <c r="N228" s="206"/>
      <c r="O228" s="206"/>
      <c r="P228" s="206"/>
      <c r="Q228" s="206"/>
      <c r="R228" s="206"/>
      <c r="S228" s="195"/>
    </row>
    <row r="229" spans="1:20" s="32" customFormat="1" ht="12" x14ac:dyDescent="0.2">
      <c r="A229" s="30" t="s">
        <v>98</v>
      </c>
      <c r="B229" s="64">
        <f>SUM(B224:B228)</f>
        <v>769.38</v>
      </c>
      <c r="C229" s="64">
        <f t="shared" ref="C229:M229" si="27">SUM(C224:C228)</f>
        <v>8563.3700000000008</v>
      </c>
      <c r="D229" s="64">
        <f t="shared" si="27"/>
        <v>19762.751520000002</v>
      </c>
      <c r="E229" s="64">
        <f t="shared" si="27"/>
        <v>47934.570439999996</v>
      </c>
      <c r="F229" s="64">
        <f t="shared" si="27"/>
        <v>90628.286540000001</v>
      </c>
      <c r="G229" s="64">
        <f t="shared" si="27"/>
        <v>114427.99842</v>
      </c>
      <c r="H229" s="64">
        <f>SUM(H224:H228)</f>
        <v>129274.14655999999</v>
      </c>
      <c r="I229" s="64">
        <f t="shared" si="27"/>
        <v>180183.5416</v>
      </c>
      <c r="J229" s="64">
        <f t="shared" si="27"/>
        <v>239161.23240000001</v>
      </c>
      <c r="K229" s="64">
        <f t="shared" si="27"/>
        <v>319062.17836999998</v>
      </c>
      <c r="L229" s="64">
        <f t="shared" si="27"/>
        <v>330145.48358</v>
      </c>
      <c r="M229" s="64">
        <f t="shared" si="27"/>
        <v>0</v>
      </c>
      <c r="N229" s="206"/>
      <c r="O229" s="206"/>
      <c r="P229" s="206"/>
      <c r="Q229" s="206"/>
      <c r="R229" s="206"/>
      <c r="S229" s="195"/>
      <c r="T229" s="24"/>
    </row>
    <row r="230" spans="1:20" x14ac:dyDescent="0.2">
      <c r="A230" s="71"/>
      <c r="B230" s="16"/>
      <c r="C230" s="16"/>
      <c r="D230" s="16"/>
      <c r="E230" s="16"/>
      <c r="F230" s="16"/>
      <c r="G230" s="16"/>
      <c r="H230" s="16"/>
      <c r="I230" s="72"/>
      <c r="J230" s="72"/>
      <c r="K230" s="72"/>
      <c r="L230" s="72"/>
      <c r="M230" s="72"/>
    </row>
    <row r="231" spans="1:20" s="47" customFormat="1" x14ac:dyDescent="0.2">
      <c r="A231" s="18" t="s">
        <v>126</v>
      </c>
      <c r="B231" s="62" t="s">
        <v>82</v>
      </c>
      <c r="C231" s="62" t="s">
        <v>83</v>
      </c>
      <c r="D231" s="62" t="s">
        <v>84</v>
      </c>
      <c r="E231" s="62" t="s">
        <v>85</v>
      </c>
      <c r="F231" s="62" t="s">
        <v>86</v>
      </c>
      <c r="G231" s="62" t="s">
        <v>87</v>
      </c>
      <c r="H231" s="62" t="s">
        <v>88</v>
      </c>
      <c r="I231" s="62" t="s">
        <v>198</v>
      </c>
      <c r="J231" s="62" t="s">
        <v>89</v>
      </c>
      <c r="K231" s="62" t="s">
        <v>90</v>
      </c>
      <c r="L231" s="62" t="s">
        <v>91</v>
      </c>
      <c r="M231" s="62" t="s">
        <v>92</v>
      </c>
      <c r="N231" s="208"/>
      <c r="O231" s="208"/>
      <c r="P231" s="208"/>
      <c r="Q231" s="208"/>
      <c r="R231" s="208"/>
      <c r="S231" s="197"/>
      <c r="T231" s="242"/>
    </row>
    <row r="232" spans="1:20" s="24" customFormat="1" ht="12" x14ac:dyDescent="0.2">
      <c r="A232" s="21" t="s">
        <v>93</v>
      </c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7"/>
      <c r="M232" s="26"/>
      <c r="N232" s="206"/>
      <c r="O232" s="206"/>
      <c r="P232" s="206"/>
      <c r="Q232" s="206"/>
      <c r="R232" s="206"/>
      <c r="S232" s="195"/>
    </row>
    <row r="233" spans="1:20" s="24" customFormat="1" ht="12" x14ac:dyDescent="0.2">
      <c r="A233" s="21" t="s">
        <v>94</v>
      </c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7"/>
      <c r="M233" s="26"/>
      <c r="N233" s="206"/>
      <c r="O233" s="206"/>
      <c r="P233" s="206"/>
      <c r="Q233" s="206"/>
      <c r="R233" s="206"/>
      <c r="S233" s="195"/>
    </row>
    <row r="234" spans="1:20" s="24" customFormat="1" ht="12" x14ac:dyDescent="0.2">
      <c r="A234" s="21" t="s">
        <v>95</v>
      </c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7"/>
      <c r="M234" s="26"/>
      <c r="N234" s="206"/>
      <c r="O234" s="206"/>
      <c r="P234" s="206"/>
      <c r="Q234" s="206"/>
      <c r="R234" s="206"/>
      <c r="S234" s="195"/>
    </row>
    <row r="235" spans="1:20" s="24" customFormat="1" ht="12" x14ac:dyDescent="0.2">
      <c r="A235" s="21" t="s">
        <v>96</v>
      </c>
      <c r="B235" s="26"/>
      <c r="C235" s="26"/>
      <c r="D235" s="26"/>
      <c r="E235" s="26">
        <v>19.02</v>
      </c>
      <c r="F235" s="26">
        <v>19.02</v>
      </c>
      <c r="G235" s="26">
        <v>699.02</v>
      </c>
      <c r="H235" s="26">
        <v>896.25805000000003</v>
      </c>
      <c r="I235" s="26">
        <v>896.25805000000003</v>
      </c>
      <c r="J235" s="26">
        <v>2556.0745299999999</v>
      </c>
      <c r="K235" s="26">
        <v>2556.0745299999999</v>
      </c>
      <c r="L235" s="27">
        <v>2556.0745299999999</v>
      </c>
      <c r="M235" s="26"/>
      <c r="N235" s="206"/>
      <c r="O235" s="206"/>
      <c r="P235" s="206"/>
      <c r="Q235" s="206"/>
      <c r="R235" s="206"/>
      <c r="S235" s="195"/>
    </row>
    <row r="236" spans="1:20" s="24" customFormat="1" ht="12" x14ac:dyDescent="0.2">
      <c r="A236" s="21" t="s">
        <v>97</v>
      </c>
      <c r="B236" s="26"/>
      <c r="C236" s="26"/>
      <c r="D236" s="26"/>
      <c r="E236" s="26"/>
      <c r="F236" s="155">
        <v>23.196000000000002</v>
      </c>
      <c r="G236" s="22">
        <v>23.196000000000002</v>
      </c>
      <c r="H236" s="26"/>
      <c r="I236" s="26"/>
      <c r="J236" s="26"/>
      <c r="K236" s="26"/>
      <c r="L236" s="27"/>
      <c r="M236" s="26"/>
      <c r="N236" s="206"/>
      <c r="O236" s="206"/>
      <c r="P236" s="206"/>
      <c r="Q236" s="206"/>
      <c r="R236" s="206"/>
      <c r="S236" s="195"/>
    </row>
    <row r="237" spans="1:20" s="32" customFormat="1" ht="12" x14ac:dyDescent="0.2">
      <c r="A237" s="30" t="s">
        <v>98</v>
      </c>
      <c r="B237" s="64">
        <f>SUM(B232:B236)</f>
        <v>0</v>
      </c>
      <c r="C237" s="64">
        <f t="shared" ref="C237:L237" si="28">SUM(C232:C236)</f>
        <v>0</v>
      </c>
      <c r="D237" s="64">
        <f t="shared" si="28"/>
        <v>0</v>
      </c>
      <c r="E237" s="64">
        <f t="shared" si="28"/>
        <v>19.02</v>
      </c>
      <c r="F237" s="64">
        <f t="shared" si="28"/>
        <v>42.216000000000001</v>
      </c>
      <c r="G237" s="64">
        <f t="shared" si="28"/>
        <v>722.21600000000001</v>
      </c>
      <c r="H237" s="64">
        <f t="shared" si="28"/>
        <v>896.25805000000003</v>
      </c>
      <c r="I237" s="64">
        <f t="shared" si="28"/>
        <v>896.25805000000003</v>
      </c>
      <c r="J237" s="64">
        <f t="shared" si="28"/>
        <v>2556.0745299999999</v>
      </c>
      <c r="K237" s="64">
        <f t="shared" si="28"/>
        <v>2556.0745299999999</v>
      </c>
      <c r="L237" s="64">
        <f t="shared" si="28"/>
        <v>2556.0745299999999</v>
      </c>
      <c r="M237" s="64">
        <f>SUM(M232:M236)</f>
        <v>0</v>
      </c>
      <c r="N237" s="206"/>
      <c r="O237" s="206"/>
      <c r="P237" s="206"/>
      <c r="Q237" s="206"/>
      <c r="R237" s="206"/>
      <c r="S237" s="195"/>
      <c r="T237" s="24"/>
    </row>
    <row r="238" spans="1:20" x14ac:dyDescent="0.2">
      <c r="A238" s="71"/>
      <c r="B238" s="16"/>
      <c r="C238" s="16"/>
      <c r="D238" s="16"/>
      <c r="E238" s="16"/>
      <c r="F238" s="16"/>
      <c r="G238" s="16"/>
      <c r="H238" s="16"/>
      <c r="I238" s="72"/>
      <c r="J238" s="72"/>
      <c r="K238" s="72"/>
      <c r="L238" s="72"/>
      <c r="M238" s="72"/>
    </row>
    <row r="239" spans="1:20" s="47" customFormat="1" x14ac:dyDescent="0.2">
      <c r="A239" s="18" t="s">
        <v>127</v>
      </c>
      <c r="B239" s="62" t="s">
        <v>82</v>
      </c>
      <c r="C239" s="62" t="s">
        <v>83</v>
      </c>
      <c r="D239" s="62" t="s">
        <v>84</v>
      </c>
      <c r="E239" s="62" t="s">
        <v>85</v>
      </c>
      <c r="F239" s="62" t="s">
        <v>86</v>
      </c>
      <c r="G239" s="62" t="s">
        <v>87</v>
      </c>
      <c r="H239" s="62" t="s">
        <v>88</v>
      </c>
      <c r="I239" s="62" t="s">
        <v>198</v>
      </c>
      <c r="J239" s="62" t="s">
        <v>89</v>
      </c>
      <c r="K239" s="62" t="s">
        <v>90</v>
      </c>
      <c r="L239" s="62" t="s">
        <v>91</v>
      </c>
      <c r="M239" s="62" t="s">
        <v>92</v>
      </c>
      <c r="N239" s="208"/>
      <c r="O239" s="208"/>
      <c r="P239" s="208"/>
      <c r="Q239" s="208"/>
      <c r="R239" s="208"/>
      <c r="S239" s="197"/>
      <c r="T239" s="242"/>
    </row>
    <row r="240" spans="1:20" s="24" customFormat="1" ht="12" x14ac:dyDescent="0.2">
      <c r="A240" s="21" t="s">
        <v>93</v>
      </c>
      <c r="B240" s="26">
        <v>377.19</v>
      </c>
      <c r="C240" s="26">
        <v>789.15</v>
      </c>
      <c r="D240" s="26">
        <v>1808.9492499999999</v>
      </c>
      <c r="E240" s="26">
        <v>2466.7258200000001</v>
      </c>
      <c r="F240" s="26">
        <v>3005.05681</v>
      </c>
      <c r="G240" s="26">
        <v>3742.8323300000002</v>
      </c>
      <c r="H240" s="26">
        <v>4774.5565999999999</v>
      </c>
      <c r="I240" s="26">
        <v>5484.8798299999999</v>
      </c>
      <c r="J240" s="26">
        <v>6676.4355400000004</v>
      </c>
      <c r="K240" s="26">
        <v>8225.8553599999996</v>
      </c>
      <c r="L240" s="27">
        <v>8225.8553599999996</v>
      </c>
      <c r="M240" s="26"/>
      <c r="N240" s="206"/>
      <c r="O240" s="206"/>
      <c r="P240" s="206"/>
      <c r="Q240" s="206"/>
      <c r="R240" s="206"/>
      <c r="S240" s="195"/>
    </row>
    <row r="241" spans="1:20" s="24" customFormat="1" ht="12" x14ac:dyDescent="0.2">
      <c r="A241" s="21" t="s">
        <v>94</v>
      </c>
      <c r="B241" s="26">
        <v>57.94</v>
      </c>
      <c r="C241" s="26">
        <v>208.61</v>
      </c>
      <c r="D241" s="26">
        <v>335.63031999999998</v>
      </c>
      <c r="E241" s="26">
        <v>524.31024000000002</v>
      </c>
      <c r="F241" s="26">
        <v>832.88513</v>
      </c>
      <c r="G241" s="26">
        <v>1399.77313</v>
      </c>
      <c r="H241" s="26">
        <v>1749.62338</v>
      </c>
      <c r="I241" s="26">
        <v>2254.4948800000002</v>
      </c>
      <c r="J241" s="26">
        <v>12017.273429999999</v>
      </c>
      <c r="K241" s="26">
        <v>12971.987779999999</v>
      </c>
      <c r="L241" s="27">
        <v>12971.987779999999</v>
      </c>
      <c r="M241" s="26"/>
      <c r="N241" s="206"/>
      <c r="O241" s="206"/>
      <c r="P241" s="206"/>
      <c r="Q241" s="206"/>
      <c r="R241" s="206"/>
      <c r="S241" s="195"/>
    </row>
    <row r="242" spans="1:20" s="24" customFormat="1" ht="12" x14ac:dyDescent="0.2">
      <c r="A242" s="21" t="s">
        <v>95</v>
      </c>
      <c r="B242" s="26"/>
      <c r="C242" s="26"/>
      <c r="D242" s="26"/>
      <c r="E242" s="26"/>
      <c r="F242" s="26"/>
      <c r="G242" s="26"/>
      <c r="H242" s="26">
        <v>770</v>
      </c>
      <c r="I242" s="26">
        <v>1758.45</v>
      </c>
      <c r="J242" s="26">
        <v>1758.45</v>
      </c>
      <c r="K242" s="26">
        <v>3728.8</v>
      </c>
      <c r="L242" s="54">
        <v>3728.8</v>
      </c>
      <c r="M242" s="96"/>
      <c r="N242" s="206"/>
      <c r="O242" s="206"/>
      <c r="P242" s="206"/>
      <c r="Q242" s="206"/>
      <c r="R242" s="206"/>
      <c r="S242" s="195"/>
    </row>
    <row r="243" spans="1:20" s="24" customFormat="1" ht="12" x14ac:dyDescent="0.2">
      <c r="A243" s="21" t="s">
        <v>96</v>
      </c>
      <c r="B243" s="26"/>
      <c r="C243" s="26">
        <v>239.43</v>
      </c>
      <c r="D243" s="26">
        <v>401.49319000000003</v>
      </c>
      <c r="E243" s="26">
        <v>401.49319000000003</v>
      </c>
      <c r="F243" s="26">
        <v>408.37819000000002</v>
      </c>
      <c r="G243" s="26">
        <v>479.82738999999998</v>
      </c>
      <c r="H243" s="26">
        <v>564.28931999999998</v>
      </c>
      <c r="I243" s="26">
        <v>944.13580999999999</v>
      </c>
      <c r="J243" s="26">
        <v>1401.6288099999999</v>
      </c>
      <c r="K243" s="26">
        <v>1945.3594700000001</v>
      </c>
      <c r="L243" s="27">
        <v>1945.3594700000001</v>
      </c>
      <c r="M243" s="54"/>
      <c r="N243" s="206"/>
      <c r="O243" s="206"/>
      <c r="P243" s="206"/>
      <c r="Q243" s="206"/>
      <c r="R243" s="206"/>
      <c r="S243" s="195"/>
    </row>
    <row r="244" spans="1:20" s="24" customFormat="1" ht="12" x14ac:dyDescent="0.2">
      <c r="A244" s="21" t="s">
        <v>97</v>
      </c>
      <c r="B244" s="26"/>
      <c r="C244" s="26"/>
      <c r="D244" s="26"/>
      <c r="E244" s="26"/>
      <c r="F244" s="155"/>
      <c r="G244" s="22"/>
      <c r="H244" s="26"/>
      <c r="I244" s="26"/>
      <c r="J244" s="26"/>
      <c r="K244" s="26"/>
      <c r="L244" s="27"/>
      <c r="M244" s="26"/>
      <c r="N244" s="206"/>
      <c r="O244" s="206"/>
      <c r="P244" s="206"/>
      <c r="Q244" s="206"/>
      <c r="R244" s="206"/>
      <c r="S244" s="195"/>
    </row>
    <row r="245" spans="1:20" s="32" customFormat="1" ht="12" x14ac:dyDescent="0.2">
      <c r="A245" s="30" t="s">
        <v>98</v>
      </c>
      <c r="B245" s="64">
        <f>SUM(B240:B244)</f>
        <v>435.13</v>
      </c>
      <c r="C245" s="64">
        <f t="shared" ref="C245:M245" si="29">SUM(C240:C244)</f>
        <v>1237.19</v>
      </c>
      <c r="D245" s="64">
        <f t="shared" si="29"/>
        <v>2546.07276</v>
      </c>
      <c r="E245" s="64">
        <f t="shared" si="29"/>
        <v>3392.5292500000005</v>
      </c>
      <c r="F245" s="64">
        <f t="shared" si="29"/>
        <v>4246.3201300000001</v>
      </c>
      <c r="G245" s="64">
        <f t="shared" si="29"/>
        <v>5622.4328500000011</v>
      </c>
      <c r="H245" s="64">
        <f t="shared" si="29"/>
        <v>7858.4692999999997</v>
      </c>
      <c r="I245" s="64">
        <f t="shared" si="29"/>
        <v>10441.960520000001</v>
      </c>
      <c r="J245" s="64">
        <f t="shared" si="29"/>
        <v>21853.787779999999</v>
      </c>
      <c r="K245" s="64">
        <f t="shared" si="29"/>
        <v>26872.002609999996</v>
      </c>
      <c r="L245" s="64">
        <f t="shared" si="29"/>
        <v>26872.002609999996</v>
      </c>
      <c r="M245" s="64">
        <f t="shared" si="29"/>
        <v>0</v>
      </c>
      <c r="N245" s="206"/>
      <c r="O245" s="206"/>
      <c r="P245" s="206"/>
      <c r="Q245" s="206"/>
      <c r="R245" s="206"/>
      <c r="S245" s="195"/>
      <c r="T245" s="24"/>
    </row>
    <row r="246" spans="1:20" x14ac:dyDescent="0.2">
      <c r="A246" s="71"/>
      <c r="B246" s="16"/>
      <c r="C246" s="16"/>
      <c r="D246" s="16"/>
      <c r="E246" s="16"/>
      <c r="F246" s="16"/>
      <c r="G246" s="16"/>
      <c r="H246" s="16"/>
      <c r="I246" s="72"/>
      <c r="J246" s="72"/>
      <c r="K246" s="72"/>
      <c r="L246" s="72"/>
      <c r="M246" s="72"/>
    </row>
    <row r="247" spans="1:20" s="47" customFormat="1" x14ac:dyDescent="0.2">
      <c r="A247" s="18" t="s">
        <v>128</v>
      </c>
      <c r="B247" s="62" t="s">
        <v>82</v>
      </c>
      <c r="C247" s="62" t="s">
        <v>83</v>
      </c>
      <c r="D247" s="62" t="s">
        <v>84</v>
      </c>
      <c r="E247" s="62" t="s">
        <v>85</v>
      </c>
      <c r="F247" s="62" t="s">
        <v>86</v>
      </c>
      <c r="G247" s="62" t="s">
        <v>87</v>
      </c>
      <c r="H247" s="62" t="s">
        <v>88</v>
      </c>
      <c r="I247" s="62" t="s">
        <v>198</v>
      </c>
      <c r="J247" s="62" t="s">
        <v>89</v>
      </c>
      <c r="K247" s="62" t="s">
        <v>90</v>
      </c>
      <c r="L247" s="62" t="s">
        <v>91</v>
      </c>
      <c r="M247" s="62" t="s">
        <v>92</v>
      </c>
      <c r="N247" s="208"/>
      <c r="O247" s="208"/>
      <c r="P247" s="208"/>
      <c r="Q247" s="208"/>
      <c r="R247" s="208"/>
      <c r="S247" s="197"/>
      <c r="T247" s="242"/>
    </row>
    <row r="248" spans="1:20" s="24" customFormat="1" ht="12" x14ac:dyDescent="0.2">
      <c r="A248" s="21" t="s">
        <v>93</v>
      </c>
      <c r="B248" s="26">
        <v>151228.72</v>
      </c>
      <c r="C248" s="26">
        <v>358048.86</v>
      </c>
      <c r="D248" s="26">
        <v>359479.93030000001</v>
      </c>
      <c r="E248" s="26">
        <v>724643.55593000003</v>
      </c>
      <c r="F248" s="26">
        <v>720176.49615000002</v>
      </c>
      <c r="G248" s="26">
        <v>581945.6527199999</v>
      </c>
      <c r="H248" s="26">
        <v>733269.07692000014</v>
      </c>
      <c r="I248" s="26">
        <v>903187.86987000005</v>
      </c>
      <c r="J248" s="26">
        <v>903793.86060000001</v>
      </c>
      <c r="K248" s="26">
        <v>1282453.8722399999</v>
      </c>
      <c r="L248" s="27">
        <v>1282779.16121</v>
      </c>
      <c r="M248" s="26"/>
      <c r="N248" s="206">
        <v>2154604.7782399999</v>
      </c>
      <c r="O248" s="206">
        <v>871825.61702999996</v>
      </c>
      <c r="P248" s="206"/>
      <c r="Q248" s="206">
        <f>+N248-O248-P248</f>
        <v>1282779.16121</v>
      </c>
      <c r="R248" s="206"/>
      <c r="S248" s="195"/>
    </row>
    <row r="249" spans="1:20" s="24" customFormat="1" ht="12" x14ac:dyDescent="0.2">
      <c r="A249" s="21" t="s">
        <v>94</v>
      </c>
      <c r="B249" s="26">
        <v>59244.71</v>
      </c>
      <c r="C249" s="26">
        <v>103921.71</v>
      </c>
      <c r="D249" s="26">
        <v>104347.61231</v>
      </c>
      <c r="E249" s="26">
        <v>213150.51559</v>
      </c>
      <c r="F249" s="26">
        <v>214161.62961</v>
      </c>
      <c r="G249" s="26">
        <v>208047.94301000002</v>
      </c>
      <c r="H249" s="26">
        <v>273447.92126999999</v>
      </c>
      <c r="I249" s="26">
        <v>347563.39655999996</v>
      </c>
      <c r="J249" s="26">
        <v>2050049.4920500002</v>
      </c>
      <c r="K249" s="26">
        <v>2184798.57051</v>
      </c>
      <c r="L249" s="27">
        <v>2184880.4076399999</v>
      </c>
      <c r="M249" s="26"/>
      <c r="N249" s="206">
        <v>2523598.0661999998</v>
      </c>
      <c r="O249" s="206">
        <v>338717.65856000001</v>
      </c>
      <c r="P249" s="206"/>
      <c r="Q249" s="206">
        <f>+N249-O249-P249</f>
        <v>2184880.4076399999</v>
      </c>
      <c r="R249" s="206"/>
      <c r="S249" s="195"/>
    </row>
    <row r="250" spans="1:20" s="24" customFormat="1" ht="12" x14ac:dyDescent="0.2">
      <c r="A250" s="21" t="s">
        <v>95</v>
      </c>
      <c r="B250" s="26">
        <v>3664.15</v>
      </c>
      <c r="C250" s="26">
        <v>3662.78</v>
      </c>
      <c r="D250" s="26">
        <v>6747.1900299999998</v>
      </c>
      <c r="E250" s="26">
        <v>11026.0283</v>
      </c>
      <c r="F250" s="26">
        <v>12535.58368</v>
      </c>
      <c r="G250" s="26">
        <v>7330.48657</v>
      </c>
      <c r="H250" s="26">
        <v>7330.4565700000003</v>
      </c>
      <c r="I250" s="26">
        <v>8027.1403699999992</v>
      </c>
      <c r="J250" s="26">
        <v>8027.0923700000012</v>
      </c>
      <c r="K250" s="26">
        <v>8026.5541700000176</v>
      </c>
      <c r="L250" s="27">
        <v>8026.5541700000176</v>
      </c>
      <c r="M250" s="26"/>
      <c r="N250" s="206">
        <v>175763.53572000001</v>
      </c>
      <c r="O250" s="206">
        <v>167736.98155</v>
      </c>
      <c r="P250" s="206"/>
      <c r="Q250" s="206">
        <f>+N250-O250-P250</f>
        <v>8026.5541700000176</v>
      </c>
      <c r="R250" s="206"/>
      <c r="S250" s="195"/>
    </row>
    <row r="251" spans="1:20" s="24" customFormat="1" ht="12" x14ac:dyDescent="0.2">
      <c r="A251" s="21" t="s">
        <v>96</v>
      </c>
      <c r="B251" s="26">
        <v>36654.089999999997</v>
      </c>
      <c r="C251" s="26">
        <v>71732.72</v>
      </c>
      <c r="D251" s="26">
        <v>63828.073729999996</v>
      </c>
      <c r="E251" s="26">
        <v>141972.62463000001</v>
      </c>
      <c r="F251" s="26">
        <v>209344.88878000001</v>
      </c>
      <c r="G251" s="26">
        <v>355108.83513999998</v>
      </c>
      <c r="H251" s="26">
        <v>504304.52115000004</v>
      </c>
      <c r="I251" s="26">
        <v>611127.91506000003</v>
      </c>
      <c r="J251" s="26">
        <v>706543.55630000005</v>
      </c>
      <c r="K251" s="26">
        <v>533249.65166999993</v>
      </c>
      <c r="L251" s="27">
        <v>545336.38258000009</v>
      </c>
      <c r="M251" s="26"/>
      <c r="N251" s="206">
        <v>786728.99114000006</v>
      </c>
      <c r="O251" s="206">
        <v>241392.60855999999</v>
      </c>
      <c r="P251" s="206"/>
      <c r="Q251" s="206">
        <f>+N251-O251-P251</f>
        <v>545336.38258000009</v>
      </c>
      <c r="R251" s="206"/>
      <c r="S251" s="195"/>
    </row>
    <row r="252" spans="1:20" s="24" customFormat="1" ht="12" x14ac:dyDescent="0.2">
      <c r="A252" s="21" t="s">
        <v>97</v>
      </c>
      <c r="B252" s="26"/>
      <c r="C252" s="26"/>
      <c r="D252" s="48"/>
      <c r="E252" s="48">
        <v>25837.46687</v>
      </c>
      <c r="F252" s="155">
        <f>146890.69451</f>
        <v>146890.69451</v>
      </c>
      <c r="G252" s="22">
        <v>673485.56761999999</v>
      </c>
      <c r="H252" s="48">
        <v>834053.20220000006</v>
      </c>
      <c r="I252" s="26">
        <v>1116877.4987300001</v>
      </c>
      <c r="J252" s="26">
        <v>1186798.5061699999</v>
      </c>
      <c r="K252" s="26">
        <v>1735992.6312800001</v>
      </c>
      <c r="L252" s="27">
        <v>1735992.6312800001</v>
      </c>
      <c r="M252" s="26"/>
      <c r="N252" s="206">
        <v>1736086.4762800001</v>
      </c>
      <c r="O252" s="206">
        <v>93.844999999999999</v>
      </c>
      <c r="P252" s="206"/>
      <c r="Q252" s="206">
        <f>+N252-O252-P252</f>
        <v>1735992.6312800001</v>
      </c>
      <c r="R252" s="206"/>
      <c r="S252" s="195"/>
    </row>
    <row r="253" spans="1:20" s="32" customFormat="1" ht="12" x14ac:dyDescent="0.2">
      <c r="A253" s="30" t="s">
        <v>98</v>
      </c>
      <c r="B253" s="64">
        <f>SUM(B248:B252)</f>
        <v>250791.66999999998</v>
      </c>
      <c r="C253" s="64">
        <f t="shared" ref="C253:P253" si="30">SUM(C248:C252)</f>
        <v>537366.07000000007</v>
      </c>
      <c r="D253" s="64">
        <f t="shared" si="30"/>
        <v>534402.80637000001</v>
      </c>
      <c r="E253" s="64">
        <f t="shared" si="30"/>
        <v>1116630.19132</v>
      </c>
      <c r="F253" s="64">
        <f t="shared" si="30"/>
        <v>1303109.2927300001</v>
      </c>
      <c r="G253" s="64">
        <f t="shared" si="30"/>
        <v>1825918.4850599999</v>
      </c>
      <c r="H253" s="64">
        <f t="shared" si="30"/>
        <v>2352405.1781100002</v>
      </c>
      <c r="I253" s="64">
        <f t="shared" si="30"/>
        <v>2986783.8205900001</v>
      </c>
      <c r="J253" s="64">
        <f t="shared" si="30"/>
        <v>4855212.5074900007</v>
      </c>
      <c r="K253" s="64">
        <f t="shared" si="30"/>
        <v>5744521.2798699997</v>
      </c>
      <c r="L253" s="64">
        <f t="shared" si="30"/>
        <v>5757015.1368800001</v>
      </c>
      <c r="M253" s="64">
        <f t="shared" si="30"/>
        <v>0</v>
      </c>
      <c r="N253" s="209">
        <f>SUM(N248:N252)</f>
        <v>7376781.8475800008</v>
      </c>
      <c r="O253" s="209">
        <f t="shared" si="30"/>
        <v>1619766.7106999999</v>
      </c>
      <c r="P253" s="209">
        <f t="shared" si="30"/>
        <v>0</v>
      </c>
      <c r="Q253" s="209">
        <f>SUM(Q248:Q252)</f>
        <v>5757015.1368800001</v>
      </c>
      <c r="R253" s="206"/>
      <c r="S253" s="195"/>
      <c r="T253" s="24"/>
    </row>
    <row r="254" spans="1:20" x14ac:dyDescent="0.2">
      <c r="A254" s="79"/>
      <c r="B254" s="80"/>
      <c r="C254" s="80"/>
      <c r="D254" s="80"/>
      <c r="E254" s="80"/>
      <c r="F254" s="80"/>
      <c r="G254" s="80"/>
      <c r="H254" s="80"/>
      <c r="I254" s="81"/>
      <c r="J254" s="81"/>
      <c r="K254" s="81"/>
      <c r="L254" s="81"/>
      <c r="M254" s="81"/>
      <c r="N254" s="206"/>
      <c r="O254" s="207"/>
      <c r="P254" s="207"/>
      <c r="Q254" s="207"/>
      <c r="R254" s="207"/>
      <c r="S254" s="196"/>
    </row>
    <row r="255" spans="1:20" s="47" customFormat="1" ht="11.25" customHeight="1" x14ac:dyDescent="0.2">
      <c r="A255" s="18" t="s">
        <v>129</v>
      </c>
      <c r="B255" s="62" t="s">
        <v>82</v>
      </c>
      <c r="C255" s="62" t="s">
        <v>83</v>
      </c>
      <c r="D255" s="62" t="s">
        <v>84</v>
      </c>
      <c r="E255" s="62" t="s">
        <v>85</v>
      </c>
      <c r="F255" s="62" t="s">
        <v>86</v>
      </c>
      <c r="G255" s="62" t="s">
        <v>87</v>
      </c>
      <c r="H255" s="62" t="s">
        <v>88</v>
      </c>
      <c r="I255" s="62" t="s">
        <v>198</v>
      </c>
      <c r="J255" s="62" t="s">
        <v>89</v>
      </c>
      <c r="K255" s="62" t="s">
        <v>90</v>
      </c>
      <c r="L255" s="62" t="s">
        <v>91</v>
      </c>
      <c r="M255" s="62" t="s">
        <v>92</v>
      </c>
      <c r="N255" s="206"/>
      <c r="O255" s="208"/>
      <c r="P255" s="208"/>
      <c r="Q255" s="208"/>
      <c r="R255" s="208"/>
      <c r="S255" s="197"/>
      <c r="T255" s="242"/>
    </row>
    <row r="256" spans="1:20" s="24" customFormat="1" ht="12" x14ac:dyDescent="0.2">
      <c r="A256" s="21" t="s">
        <v>93</v>
      </c>
      <c r="B256" s="26">
        <v>400.80205000000001</v>
      </c>
      <c r="C256" s="26">
        <v>787.86194999999998</v>
      </c>
      <c r="D256" s="26">
        <v>1971.22289</v>
      </c>
      <c r="E256" s="26">
        <v>2581.4545699999999</v>
      </c>
      <c r="F256" s="26">
        <v>3221.26701</v>
      </c>
      <c r="G256" s="26">
        <v>3993.9321500000001</v>
      </c>
      <c r="H256" s="26">
        <v>4927.3126899999997</v>
      </c>
      <c r="I256" s="26">
        <v>6056.4517100000003</v>
      </c>
      <c r="J256" s="26">
        <v>8428.4510499999997</v>
      </c>
      <c r="K256" s="26">
        <v>10820.746499999999</v>
      </c>
      <c r="L256" s="27">
        <v>10820.746499999999</v>
      </c>
      <c r="M256" s="26"/>
      <c r="N256" s="206"/>
      <c r="O256" s="206"/>
      <c r="P256" s="206"/>
      <c r="Q256" s="206"/>
      <c r="R256" s="206"/>
      <c r="S256" s="195"/>
    </row>
    <row r="257" spans="1:20" s="24" customFormat="1" ht="12" x14ac:dyDescent="0.2">
      <c r="A257" s="21" t="s">
        <v>94</v>
      </c>
      <c r="B257" s="26">
        <v>88.283820000000006</v>
      </c>
      <c r="C257" s="26">
        <v>142.13355999999999</v>
      </c>
      <c r="D257" s="26">
        <v>294.70479999999998</v>
      </c>
      <c r="E257" s="26">
        <v>510.47944999999999</v>
      </c>
      <c r="F257" s="26">
        <v>1469.8848599999999</v>
      </c>
      <c r="G257" s="26">
        <v>2177.2346699999998</v>
      </c>
      <c r="H257" s="26">
        <v>2690.3671100000001</v>
      </c>
      <c r="I257" s="26">
        <v>3465.7781599999998</v>
      </c>
      <c r="J257" s="26">
        <v>20332.639520000001</v>
      </c>
      <c r="K257" s="26">
        <v>21785.604070000001</v>
      </c>
      <c r="L257" s="27">
        <v>21804.891070000001</v>
      </c>
      <c r="M257" s="26"/>
      <c r="N257" s="206"/>
      <c r="O257" s="206"/>
      <c r="P257" s="206"/>
      <c r="Q257" s="206"/>
      <c r="R257" s="206"/>
      <c r="S257" s="195"/>
    </row>
    <row r="258" spans="1:20" s="24" customFormat="1" ht="12" x14ac:dyDescent="0.2">
      <c r="A258" s="21" t="s">
        <v>95</v>
      </c>
      <c r="B258" s="26"/>
      <c r="C258" s="26"/>
      <c r="D258" s="54"/>
      <c r="E258" s="26"/>
      <c r="F258" s="26"/>
      <c r="G258" s="26"/>
      <c r="H258" s="54">
        <v>12750</v>
      </c>
      <c r="I258" s="26">
        <v>16570.05</v>
      </c>
      <c r="J258" s="26">
        <v>16570.05</v>
      </c>
      <c r="K258" s="54">
        <v>18100.05</v>
      </c>
      <c r="L258" s="54">
        <v>18100.05</v>
      </c>
      <c r="M258" s="96"/>
      <c r="N258" s="206"/>
      <c r="O258" s="206"/>
      <c r="P258" s="206"/>
      <c r="Q258" s="206"/>
      <c r="R258" s="206"/>
      <c r="S258" s="195"/>
    </row>
    <row r="259" spans="1:20" s="24" customFormat="1" ht="12" x14ac:dyDescent="0.2">
      <c r="A259" s="21" t="s">
        <v>96</v>
      </c>
      <c r="B259" s="26">
        <v>56.398400000000002</v>
      </c>
      <c r="C259" s="26">
        <v>-10484.653270000001</v>
      </c>
      <c r="D259" s="54">
        <v>740.09155999999996</v>
      </c>
      <c r="E259" s="26">
        <v>963.86291000000006</v>
      </c>
      <c r="F259" s="26">
        <v>1420.4409000000001</v>
      </c>
      <c r="G259" s="26">
        <v>2051.1604699999998</v>
      </c>
      <c r="H259" s="26">
        <v>2889.60968</v>
      </c>
      <c r="I259" s="26">
        <v>4400.2449100000003</v>
      </c>
      <c r="J259" s="26">
        <v>4889.6117000000004</v>
      </c>
      <c r="K259" s="26">
        <v>6128.6667699999998</v>
      </c>
      <c r="L259" s="54">
        <v>6595.3103700000001</v>
      </c>
      <c r="M259" s="54"/>
      <c r="N259" s="206"/>
      <c r="O259" s="206"/>
      <c r="P259" s="206"/>
      <c r="Q259" s="206"/>
      <c r="R259" s="206"/>
      <c r="S259" s="195"/>
    </row>
    <row r="260" spans="1:20" s="24" customFormat="1" ht="12" x14ac:dyDescent="0.2">
      <c r="A260" s="21" t="s">
        <v>97</v>
      </c>
      <c r="B260" s="26"/>
      <c r="C260" s="26"/>
      <c r="D260" s="26"/>
      <c r="E260" s="26"/>
      <c r="F260" s="155"/>
      <c r="G260" s="22"/>
      <c r="H260" s="26"/>
      <c r="I260" s="26"/>
      <c r="J260" s="26"/>
      <c r="K260" s="26"/>
      <c r="L260" s="54"/>
      <c r="M260" s="54"/>
      <c r="N260" s="206"/>
      <c r="O260" s="206"/>
      <c r="P260" s="206"/>
      <c r="Q260" s="206"/>
      <c r="R260" s="206"/>
      <c r="S260" s="195"/>
    </row>
    <row r="261" spans="1:20" s="32" customFormat="1" ht="12" x14ac:dyDescent="0.2">
      <c r="A261" s="30" t="s">
        <v>98</v>
      </c>
      <c r="B261" s="64">
        <f>SUM(B256:B260)</f>
        <v>545.48427000000004</v>
      </c>
      <c r="C261" s="64">
        <f t="shared" ref="C261:M261" si="31">SUM(C256:C260)</f>
        <v>-9554.6577600000001</v>
      </c>
      <c r="D261" s="64">
        <f t="shared" si="31"/>
        <v>3006.0192499999998</v>
      </c>
      <c r="E261" s="64">
        <f t="shared" si="31"/>
        <v>4055.7969299999995</v>
      </c>
      <c r="F261" s="64">
        <f t="shared" si="31"/>
        <v>6111.5927699999993</v>
      </c>
      <c r="G261" s="64">
        <f t="shared" si="31"/>
        <v>8222.3272900000011</v>
      </c>
      <c r="H261" s="64">
        <f t="shared" si="31"/>
        <v>23257.289479999999</v>
      </c>
      <c r="I261" s="64">
        <f t="shared" si="31"/>
        <v>30492.52478</v>
      </c>
      <c r="J261" s="64">
        <f t="shared" si="31"/>
        <v>50220.752270000005</v>
      </c>
      <c r="K261" s="64">
        <f t="shared" si="31"/>
        <v>56835.067339999994</v>
      </c>
      <c r="L261" s="64">
        <f t="shared" si="31"/>
        <v>57320.997939999994</v>
      </c>
      <c r="M261" s="64">
        <f t="shared" si="31"/>
        <v>0</v>
      </c>
      <c r="N261" s="206"/>
      <c r="O261" s="206"/>
      <c r="P261" s="206"/>
      <c r="Q261" s="206"/>
      <c r="R261" s="206"/>
      <c r="S261" s="195"/>
      <c r="T261" s="24"/>
    </row>
    <row r="262" spans="1:20" x14ac:dyDescent="0.2">
      <c r="A262" s="83"/>
      <c r="B262" s="16"/>
      <c r="C262" s="16"/>
      <c r="D262" s="16"/>
      <c r="E262" s="16"/>
      <c r="F262" s="16"/>
      <c r="G262" s="16"/>
      <c r="H262" s="16"/>
      <c r="I262" s="72"/>
      <c r="J262" s="72"/>
      <c r="K262" s="72"/>
      <c r="L262" s="72"/>
      <c r="M262" s="72"/>
    </row>
    <row r="263" spans="1:20" s="47" customFormat="1" x14ac:dyDescent="0.2">
      <c r="A263" s="18" t="s">
        <v>130</v>
      </c>
      <c r="B263" s="62" t="s">
        <v>82</v>
      </c>
      <c r="C263" s="62" t="s">
        <v>83</v>
      </c>
      <c r="D263" s="62" t="s">
        <v>84</v>
      </c>
      <c r="E263" s="62" t="s">
        <v>85</v>
      </c>
      <c r="F263" s="62" t="s">
        <v>86</v>
      </c>
      <c r="G263" s="62" t="s">
        <v>87</v>
      </c>
      <c r="H263" s="62" t="s">
        <v>88</v>
      </c>
      <c r="I263" s="62" t="s">
        <v>198</v>
      </c>
      <c r="J263" s="62" t="s">
        <v>89</v>
      </c>
      <c r="K263" s="62" t="s">
        <v>90</v>
      </c>
      <c r="L263" s="62" t="s">
        <v>91</v>
      </c>
      <c r="M263" s="62" t="s">
        <v>92</v>
      </c>
      <c r="N263" s="208"/>
      <c r="O263" s="208"/>
      <c r="P263" s="208"/>
      <c r="Q263" s="208"/>
      <c r="R263" s="208"/>
      <c r="S263" s="197"/>
      <c r="T263" s="242"/>
    </row>
    <row r="264" spans="1:20" s="24" customFormat="1" ht="12" x14ac:dyDescent="0.2">
      <c r="A264" s="21" t="s">
        <v>93</v>
      </c>
      <c r="B264" s="26">
        <v>3011.5</v>
      </c>
      <c r="C264" s="26">
        <v>7528.1</v>
      </c>
      <c r="D264" s="26">
        <v>13823.32648</v>
      </c>
      <c r="E264" s="26">
        <v>18136.6793</v>
      </c>
      <c r="F264" s="26">
        <v>22606.08712</v>
      </c>
      <c r="G264" s="26">
        <v>27916.269069999998</v>
      </c>
      <c r="H264" s="26">
        <v>34252.681850000001</v>
      </c>
      <c r="I264" s="26">
        <v>41498.194519999997</v>
      </c>
      <c r="J264" s="26">
        <v>50967.333209999997</v>
      </c>
      <c r="K264" s="26">
        <v>62525.470780000003</v>
      </c>
      <c r="L264" s="27">
        <v>62525.470780000003</v>
      </c>
      <c r="M264" s="26"/>
      <c r="N264" s="206"/>
      <c r="O264" s="206"/>
      <c r="P264" s="206"/>
      <c r="Q264" s="206"/>
      <c r="R264" s="206"/>
      <c r="S264" s="195"/>
    </row>
    <row r="265" spans="1:20" s="24" customFormat="1" ht="12" x14ac:dyDescent="0.2">
      <c r="A265" s="21" t="s">
        <v>94</v>
      </c>
      <c r="B265" s="26">
        <v>1073.47</v>
      </c>
      <c r="C265" s="26">
        <v>2086.4699999999998</v>
      </c>
      <c r="D265" s="26">
        <v>3292.7209600000001</v>
      </c>
      <c r="E265" s="26">
        <v>4723.9665699999996</v>
      </c>
      <c r="F265" s="26">
        <v>7523.4242899999999</v>
      </c>
      <c r="G265" s="26">
        <v>10896.14049</v>
      </c>
      <c r="H265" s="26">
        <v>13504.15654</v>
      </c>
      <c r="I265" s="26">
        <v>17282.137449999998</v>
      </c>
      <c r="J265" s="26">
        <v>97867.830740000005</v>
      </c>
      <c r="K265" s="26">
        <v>103279.49897</v>
      </c>
      <c r="L265" s="27">
        <v>103279.49897</v>
      </c>
      <c r="M265" s="26"/>
      <c r="N265" s="206"/>
      <c r="O265" s="206"/>
      <c r="P265" s="206"/>
      <c r="Q265" s="206"/>
      <c r="R265" s="206"/>
      <c r="S265" s="195"/>
    </row>
    <row r="266" spans="1:20" s="24" customFormat="1" ht="12" x14ac:dyDescent="0.2">
      <c r="A266" s="21" t="s">
        <v>95</v>
      </c>
      <c r="B266" s="26">
        <v>5.9</v>
      </c>
      <c r="C266" s="26">
        <v>5.9</v>
      </c>
      <c r="D266" s="26">
        <v>5.9</v>
      </c>
      <c r="E266" s="26">
        <v>11.8</v>
      </c>
      <c r="F266" s="26">
        <v>1474.7429999999999</v>
      </c>
      <c r="G266" s="26">
        <v>1474.7429999999999</v>
      </c>
      <c r="H266" s="26">
        <v>7240.643</v>
      </c>
      <c r="I266" s="26">
        <v>46677.012999999999</v>
      </c>
      <c r="J266" s="26">
        <v>56279.963000000003</v>
      </c>
      <c r="K266" s="26">
        <v>56279.963000000003</v>
      </c>
      <c r="L266" s="27">
        <v>56279.963000000003</v>
      </c>
      <c r="M266" s="26"/>
      <c r="N266" s="206"/>
      <c r="O266" s="206"/>
      <c r="P266" s="206"/>
      <c r="Q266" s="206"/>
      <c r="R266" s="206"/>
      <c r="S266" s="195"/>
    </row>
    <row r="267" spans="1:20" s="24" customFormat="1" ht="12" x14ac:dyDescent="0.2">
      <c r="A267" s="21" t="s">
        <v>96</v>
      </c>
      <c r="B267" s="26">
        <v>292.23</v>
      </c>
      <c r="C267" s="26">
        <v>1581.79</v>
      </c>
      <c r="D267" s="26">
        <v>2114.0096600000002</v>
      </c>
      <c r="E267" s="26">
        <v>3420.09881</v>
      </c>
      <c r="F267" s="26">
        <v>4076.43577</v>
      </c>
      <c r="G267" s="26">
        <v>6612.5743700000003</v>
      </c>
      <c r="H267" s="26">
        <v>8908.3785000000007</v>
      </c>
      <c r="I267" s="26">
        <v>11710.07999</v>
      </c>
      <c r="J267" s="26">
        <v>14709.598410000001</v>
      </c>
      <c r="K267" s="26">
        <v>17530.524239999999</v>
      </c>
      <c r="L267" s="27">
        <v>18901.273450000001</v>
      </c>
      <c r="M267" s="26"/>
      <c r="N267" s="206"/>
      <c r="O267" s="206"/>
      <c r="P267" s="206"/>
      <c r="Q267" s="206"/>
      <c r="R267" s="206"/>
      <c r="S267" s="195"/>
    </row>
    <row r="268" spans="1:20" s="24" customFormat="1" ht="12" x14ac:dyDescent="0.2">
      <c r="A268" s="21" t="s">
        <v>97</v>
      </c>
      <c r="B268" s="26"/>
      <c r="C268" s="26"/>
      <c r="D268" s="26"/>
      <c r="E268" s="26"/>
      <c r="F268" s="155"/>
      <c r="G268" s="22"/>
      <c r="H268" s="26"/>
      <c r="I268" s="26"/>
      <c r="J268" s="26"/>
      <c r="K268" s="26"/>
      <c r="L268" s="27"/>
      <c r="M268" s="26"/>
      <c r="N268" s="206"/>
      <c r="O268" s="206"/>
      <c r="P268" s="206"/>
      <c r="Q268" s="206"/>
      <c r="R268" s="206"/>
      <c r="S268" s="195"/>
    </row>
    <row r="269" spans="1:20" s="32" customFormat="1" ht="12" x14ac:dyDescent="0.2">
      <c r="A269" s="30" t="s">
        <v>98</v>
      </c>
      <c r="B269" s="64">
        <f>SUM(B264:B268)</f>
        <v>4383.1000000000004</v>
      </c>
      <c r="C269" s="64">
        <f t="shared" ref="C269:M269" si="32">SUM(C264:C268)</f>
        <v>11202.259999999998</v>
      </c>
      <c r="D269" s="64">
        <f t="shared" si="32"/>
        <v>19235.9571</v>
      </c>
      <c r="E269" s="64">
        <f t="shared" si="32"/>
        <v>26292.544679999999</v>
      </c>
      <c r="F269" s="64">
        <f t="shared" si="32"/>
        <v>35680.690179999998</v>
      </c>
      <c r="G269" s="64">
        <f t="shared" si="32"/>
        <v>46899.726930000004</v>
      </c>
      <c r="H269" s="64">
        <f t="shared" si="32"/>
        <v>63905.85989</v>
      </c>
      <c r="I269" s="64">
        <f t="shared" si="32"/>
        <v>117167.42496</v>
      </c>
      <c r="J269" s="64">
        <f t="shared" si="32"/>
        <v>219824.72536000001</v>
      </c>
      <c r="K269" s="64">
        <f t="shared" si="32"/>
        <v>239615.45698999998</v>
      </c>
      <c r="L269" s="64">
        <f t="shared" si="32"/>
        <v>240986.20619999999</v>
      </c>
      <c r="M269" s="64">
        <f t="shared" si="32"/>
        <v>0</v>
      </c>
      <c r="N269" s="206"/>
      <c r="O269" s="206"/>
      <c r="P269" s="206"/>
      <c r="Q269" s="206"/>
      <c r="R269" s="206"/>
      <c r="S269" s="195"/>
      <c r="T269" s="24"/>
    </row>
    <row r="270" spans="1:20" x14ac:dyDescent="0.2">
      <c r="A270" s="71"/>
      <c r="B270" s="16"/>
      <c r="C270" s="16"/>
      <c r="D270" s="16"/>
      <c r="E270" s="16"/>
      <c r="F270" s="16"/>
      <c r="G270" s="16"/>
      <c r="H270" s="16"/>
      <c r="I270" s="72"/>
      <c r="J270" s="72"/>
      <c r="K270" s="72"/>
      <c r="L270" s="72"/>
      <c r="M270" s="72"/>
    </row>
    <row r="271" spans="1:20" s="47" customFormat="1" ht="11.25" customHeight="1" x14ac:dyDescent="0.2">
      <c r="A271" s="18" t="s">
        <v>226</v>
      </c>
      <c r="B271" s="62" t="s">
        <v>82</v>
      </c>
      <c r="C271" s="62" t="s">
        <v>83</v>
      </c>
      <c r="D271" s="62" t="s">
        <v>84</v>
      </c>
      <c r="E271" s="62" t="s">
        <v>85</v>
      </c>
      <c r="F271" s="62" t="s">
        <v>86</v>
      </c>
      <c r="G271" s="62" t="s">
        <v>87</v>
      </c>
      <c r="H271" s="62" t="s">
        <v>88</v>
      </c>
      <c r="I271" s="62" t="s">
        <v>198</v>
      </c>
      <c r="J271" s="62" t="s">
        <v>89</v>
      </c>
      <c r="K271" s="62" t="s">
        <v>90</v>
      </c>
      <c r="L271" s="62" t="s">
        <v>91</v>
      </c>
      <c r="M271" s="62" t="s">
        <v>92</v>
      </c>
      <c r="N271" s="208"/>
      <c r="O271" s="208"/>
      <c r="P271" s="208"/>
      <c r="Q271" s="208"/>
      <c r="R271" s="208"/>
      <c r="S271" s="197"/>
      <c r="T271" s="242"/>
    </row>
    <row r="272" spans="1:20" s="24" customFormat="1" ht="12" x14ac:dyDescent="0.2">
      <c r="A272" s="21" t="s">
        <v>93</v>
      </c>
      <c r="B272" s="26">
        <v>1960.4390699999999</v>
      </c>
      <c r="C272" s="26">
        <v>4107.2425700000003</v>
      </c>
      <c r="D272" s="26">
        <v>10241.822560000001</v>
      </c>
      <c r="E272" s="26">
        <v>13447.26131</v>
      </c>
      <c r="F272" s="26">
        <v>16956.93665</v>
      </c>
      <c r="G272" s="26">
        <v>21599.334439999999</v>
      </c>
      <c r="H272" s="26">
        <v>26790.87111</v>
      </c>
      <c r="I272" s="26">
        <v>31708.16822</v>
      </c>
      <c r="J272" s="26">
        <v>39830.942669999997</v>
      </c>
      <c r="K272" s="26">
        <v>47949.847000000002</v>
      </c>
      <c r="L272" s="27">
        <v>48229.581429999998</v>
      </c>
      <c r="M272" s="26"/>
      <c r="N272" s="206">
        <v>31708.16822</v>
      </c>
      <c r="O272" s="206">
        <v>6255.7718999999997</v>
      </c>
      <c r="P272" s="206">
        <v>12335.684600000001</v>
      </c>
      <c r="Q272" s="206">
        <v>1657.4590599999999</v>
      </c>
      <c r="R272" s="206">
        <f>+N272-O272-P272-Q272</f>
        <v>11459.25266</v>
      </c>
      <c r="S272" s="195"/>
    </row>
    <row r="273" spans="1:20" s="24" customFormat="1" ht="12" x14ac:dyDescent="0.2">
      <c r="A273" s="21" t="s">
        <v>94</v>
      </c>
      <c r="B273" s="26">
        <v>376.14024999999998</v>
      </c>
      <c r="C273" s="26">
        <v>1064.6190799999999</v>
      </c>
      <c r="D273" s="26">
        <v>2038.8960099999999</v>
      </c>
      <c r="E273" s="26">
        <v>3123.1845499999999</v>
      </c>
      <c r="F273" s="26">
        <v>5368.7087700000002</v>
      </c>
      <c r="G273" s="26">
        <v>8128.6424999999999</v>
      </c>
      <c r="H273" s="26">
        <v>10514.29398</v>
      </c>
      <c r="I273" s="26">
        <v>13137.29847</v>
      </c>
      <c r="J273" s="26">
        <v>72874.789220000006</v>
      </c>
      <c r="K273" s="26">
        <v>77302.044750000001</v>
      </c>
      <c r="L273" s="27">
        <v>77352.248630000002</v>
      </c>
      <c r="M273" s="26"/>
      <c r="N273" s="206">
        <v>13197.64147</v>
      </c>
      <c r="O273" s="206">
        <v>3953.6235799999999</v>
      </c>
      <c r="P273" s="206">
        <v>6280.3515399999997</v>
      </c>
      <c r="Q273" s="206">
        <v>796.64023999999995</v>
      </c>
      <c r="R273" s="206">
        <f>+N273-O273-P273-Q273</f>
        <v>2167.0261100000016</v>
      </c>
      <c r="S273" s="195"/>
    </row>
    <row r="274" spans="1:20" s="24" customFormat="1" ht="12" x14ac:dyDescent="0.2">
      <c r="A274" s="21" t="s">
        <v>95</v>
      </c>
      <c r="B274" s="26"/>
      <c r="C274" s="26"/>
      <c r="D274" s="26"/>
      <c r="E274" s="26"/>
      <c r="F274" s="26"/>
      <c r="G274" s="26"/>
      <c r="H274" s="26"/>
      <c r="I274" s="26">
        <v>1.9039999999999999</v>
      </c>
      <c r="J274" s="26">
        <v>1.9039999999999999</v>
      </c>
      <c r="K274" s="26">
        <v>155.70400000000001</v>
      </c>
      <c r="L274" s="27">
        <v>2654.6529999999998</v>
      </c>
      <c r="M274" s="26"/>
      <c r="N274" s="206">
        <v>1.9039999999999999</v>
      </c>
      <c r="O274" s="206">
        <v>1.9039999999999999</v>
      </c>
      <c r="P274" s="206"/>
      <c r="Q274" s="206"/>
      <c r="R274" s="206">
        <f>+N274-O274-P274-Q274</f>
        <v>0</v>
      </c>
      <c r="S274" s="195"/>
    </row>
    <row r="275" spans="1:20" s="24" customFormat="1" ht="12" x14ac:dyDescent="0.2">
      <c r="A275" s="21" t="s">
        <v>96</v>
      </c>
      <c r="B275" s="26">
        <v>1757.76964</v>
      </c>
      <c r="C275" s="26">
        <v>5360.7782299999999</v>
      </c>
      <c r="D275" s="26">
        <v>8315.2163600000003</v>
      </c>
      <c r="E275" s="26">
        <v>9538.2844000000005</v>
      </c>
      <c r="F275" s="26">
        <v>14814.102790000001</v>
      </c>
      <c r="G275" s="26">
        <v>18437.604650000001</v>
      </c>
      <c r="H275" s="26">
        <v>26450.377469999999</v>
      </c>
      <c r="I275" s="28">
        <v>33698.127200000003</v>
      </c>
      <c r="J275" s="28">
        <v>42509.118589999998</v>
      </c>
      <c r="K275" s="28">
        <v>51273.721870000001</v>
      </c>
      <c r="L275" s="28">
        <v>54470.858059999999</v>
      </c>
      <c r="M275" s="26"/>
      <c r="N275" s="206">
        <v>36053.449869999997</v>
      </c>
      <c r="O275" s="206">
        <v>15402.042369999999</v>
      </c>
      <c r="P275" s="206">
        <v>18476.740440000001</v>
      </c>
      <c r="Q275" s="206">
        <v>2074.6550900000002</v>
      </c>
      <c r="R275" s="206">
        <f>+N275-O275-P275-Q275</f>
        <v>100.01196999999593</v>
      </c>
      <c r="S275" s="195"/>
    </row>
    <row r="276" spans="1:20" s="24" customFormat="1" ht="12" x14ac:dyDescent="0.2">
      <c r="A276" s="21" t="s">
        <v>97</v>
      </c>
      <c r="B276" s="26"/>
      <c r="C276" s="26"/>
      <c r="D276" s="26"/>
      <c r="E276" s="26"/>
      <c r="F276" s="155"/>
      <c r="G276" s="22"/>
      <c r="H276" s="26"/>
      <c r="I276" s="26"/>
      <c r="J276" s="26"/>
      <c r="K276" s="26"/>
      <c r="L276" s="27"/>
      <c r="M276" s="26"/>
      <c r="N276" s="206">
        <v>67234.872820000004</v>
      </c>
      <c r="O276" s="206"/>
      <c r="P276" s="206"/>
      <c r="Q276" s="206"/>
      <c r="R276" s="206">
        <f>+N276-O276-P276-Q276</f>
        <v>67234.872820000004</v>
      </c>
      <c r="S276" s="195"/>
    </row>
    <row r="277" spans="1:20" s="32" customFormat="1" ht="12" x14ac:dyDescent="0.2">
      <c r="A277" s="30" t="s">
        <v>98</v>
      </c>
      <c r="B277" s="64">
        <f>SUM(B272:B276)</f>
        <v>4094.3489599999998</v>
      </c>
      <c r="C277" s="64">
        <f t="shared" ref="C277:M277" si="33">SUM(C272:C276)</f>
        <v>10532.639880000001</v>
      </c>
      <c r="D277" s="64">
        <f t="shared" si="33"/>
        <v>20595.934930000003</v>
      </c>
      <c r="E277" s="64">
        <f t="shared" si="33"/>
        <v>26108.73026</v>
      </c>
      <c r="F277" s="64">
        <f t="shared" si="33"/>
        <v>37139.748210000005</v>
      </c>
      <c r="G277" s="64">
        <f t="shared" si="33"/>
        <v>48165.581590000002</v>
      </c>
      <c r="H277" s="64">
        <f t="shared" si="33"/>
        <v>63755.542560000002</v>
      </c>
      <c r="I277" s="64">
        <f t="shared" si="33"/>
        <v>78545.497889999999</v>
      </c>
      <c r="J277" s="64">
        <f t="shared" si="33"/>
        <v>155216.75448</v>
      </c>
      <c r="K277" s="64">
        <f t="shared" si="33"/>
        <v>176681.31762000002</v>
      </c>
      <c r="L277" s="64">
        <f t="shared" si="33"/>
        <v>182707.34112</v>
      </c>
      <c r="M277" s="64">
        <f t="shared" si="33"/>
        <v>0</v>
      </c>
      <c r="N277" s="209">
        <f>SUM(N272:N276)</f>
        <v>148196.03638000001</v>
      </c>
      <c r="O277" s="209">
        <f>SUM(O272:O276)</f>
        <v>25613.341849999997</v>
      </c>
      <c r="P277" s="209">
        <f>SUM(P272:P276)</f>
        <v>37092.776580000005</v>
      </c>
      <c r="Q277" s="209">
        <f>SUM(Q272:Q276)</f>
        <v>4528.7543900000001</v>
      </c>
      <c r="R277" s="209">
        <f>SUM(R272:R276)</f>
        <v>80961.163560000001</v>
      </c>
      <c r="S277" s="195"/>
      <c r="T277" s="24"/>
    </row>
    <row r="278" spans="1:20" x14ac:dyDescent="0.2">
      <c r="A278" s="71"/>
      <c r="B278" s="16"/>
      <c r="C278" s="16"/>
      <c r="D278" s="16"/>
      <c r="E278" s="16"/>
      <c r="F278" s="16"/>
      <c r="G278" s="16"/>
      <c r="H278" s="16"/>
      <c r="I278" s="72"/>
      <c r="J278" s="72"/>
      <c r="K278" s="72"/>
      <c r="L278" s="72"/>
      <c r="M278" s="72"/>
    </row>
    <row r="279" spans="1:20" s="47" customFormat="1" ht="11.25" customHeight="1" x14ac:dyDescent="0.2">
      <c r="A279" s="18" t="s">
        <v>132</v>
      </c>
      <c r="B279" s="62" t="s">
        <v>82</v>
      </c>
      <c r="C279" s="62" t="s">
        <v>83</v>
      </c>
      <c r="D279" s="62" t="s">
        <v>84</v>
      </c>
      <c r="E279" s="62" t="s">
        <v>85</v>
      </c>
      <c r="F279" s="62" t="s">
        <v>86</v>
      </c>
      <c r="G279" s="62" t="s">
        <v>87</v>
      </c>
      <c r="H279" s="62" t="s">
        <v>88</v>
      </c>
      <c r="I279" s="62" t="s">
        <v>198</v>
      </c>
      <c r="J279" s="62" t="s">
        <v>89</v>
      </c>
      <c r="K279" s="62" t="s">
        <v>90</v>
      </c>
      <c r="L279" s="62" t="s">
        <v>91</v>
      </c>
      <c r="M279" s="62" t="s">
        <v>92</v>
      </c>
      <c r="N279" s="208"/>
      <c r="O279" s="247"/>
      <c r="P279" s="208"/>
      <c r="Q279" s="208"/>
      <c r="R279" s="208"/>
      <c r="S279" s="197"/>
      <c r="T279" s="242"/>
    </row>
    <row r="280" spans="1:20" s="24" customFormat="1" x14ac:dyDescent="0.2">
      <c r="A280" s="21" t="s">
        <v>93</v>
      </c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7"/>
      <c r="M280" s="26"/>
      <c r="N280" s="206"/>
      <c r="O280" s="206"/>
      <c r="P280" s="206"/>
      <c r="Q280" s="208"/>
      <c r="R280" s="206"/>
      <c r="S280" s="195"/>
    </row>
    <row r="281" spans="1:20" s="24" customFormat="1" ht="12" x14ac:dyDescent="0.2">
      <c r="A281" s="21" t="s">
        <v>94</v>
      </c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7"/>
      <c r="M281" s="26"/>
      <c r="N281" s="206"/>
      <c r="O281" s="206"/>
      <c r="P281" s="206"/>
      <c r="Q281" s="206"/>
      <c r="R281" s="206"/>
      <c r="S281" s="195"/>
    </row>
    <row r="282" spans="1:20" s="24" customFormat="1" ht="12" x14ac:dyDescent="0.2">
      <c r="A282" s="21" t="s">
        <v>95</v>
      </c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7"/>
      <c r="M282" s="26"/>
      <c r="N282" s="206"/>
      <c r="O282" s="206"/>
      <c r="P282" s="206"/>
      <c r="Q282" s="206"/>
      <c r="R282" s="206"/>
      <c r="S282" s="195"/>
    </row>
    <row r="283" spans="1:20" s="24" customFormat="1" ht="12" x14ac:dyDescent="0.2">
      <c r="A283" s="21" t="s">
        <v>96</v>
      </c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7"/>
      <c r="M283" s="26"/>
      <c r="N283" s="206"/>
      <c r="O283" s="206"/>
      <c r="P283" s="206"/>
      <c r="Q283" s="206"/>
      <c r="R283" s="206"/>
      <c r="S283" s="195"/>
    </row>
    <row r="284" spans="1:20" s="24" customFormat="1" ht="12" x14ac:dyDescent="0.2">
      <c r="A284" s="21" t="s">
        <v>97</v>
      </c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7"/>
      <c r="M284" s="26"/>
      <c r="N284" s="206"/>
      <c r="O284" s="206"/>
      <c r="P284" s="206"/>
      <c r="Q284" s="206"/>
      <c r="R284" s="206"/>
      <c r="S284" s="195"/>
    </row>
    <row r="285" spans="1:20" s="32" customFormat="1" ht="12" x14ac:dyDescent="0.2">
      <c r="A285" s="30" t="s">
        <v>98</v>
      </c>
      <c r="B285" s="64">
        <f>SUM(B280:B284)</f>
        <v>0</v>
      </c>
      <c r="C285" s="64">
        <f t="shared" ref="C285:M285" si="34">SUM(C280:C284)</f>
        <v>0</v>
      </c>
      <c r="D285" s="64">
        <f t="shared" si="34"/>
        <v>0</v>
      </c>
      <c r="E285" s="64">
        <f t="shared" si="34"/>
        <v>0</v>
      </c>
      <c r="F285" s="64">
        <f t="shared" si="34"/>
        <v>0</v>
      </c>
      <c r="G285" s="64">
        <f t="shared" si="34"/>
        <v>0</v>
      </c>
      <c r="H285" s="64">
        <f t="shared" si="34"/>
        <v>0</v>
      </c>
      <c r="I285" s="64">
        <f t="shared" si="34"/>
        <v>0</v>
      </c>
      <c r="J285" s="64">
        <f t="shared" si="34"/>
        <v>0</v>
      </c>
      <c r="K285" s="64">
        <f t="shared" si="34"/>
        <v>0</v>
      </c>
      <c r="L285" s="64">
        <f t="shared" si="34"/>
        <v>0</v>
      </c>
      <c r="M285" s="64">
        <f t="shared" si="34"/>
        <v>0</v>
      </c>
      <c r="N285" s="206"/>
      <c r="O285" s="206"/>
      <c r="P285" s="206"/>
      <c r="Q285" s="206"/>
      <c r="R285" s="206"/>
      <c r="S285" s="195"/>
      <c r="T285" s="24"/>
    </row>
    <row r="286" spans="1:20" x14ac:dyDescent="0.2">
      <c r="A286" s="79"/>
      <c r="B286" s="16"/>
      <c r="C286" s="16"/>
      <c r="D286" s="16"/>
      <c r="E286" s="16"/>
      <c r="F286" s="16"/>
      <c r="G286" s="124"/>
      <c r="H286" s="16"/>
      <c r="I286" s="16"/>
      <c r="J286" s="72"/>
      <c r="K286" s="72"/>
      <c r="L286" s="72"/>
      <c r="M286" s="72"/>
    </row>
    <row r="287" spans="1:20" x14ac:dyDescent="0.2">
      <c r="A287" s="158" t="s">
        <v>216</v>
      </c>
      <c r="B287" s="89">
        <f>+B13+B21+B29+B37+B45+B53+B61+B69+B77+B85+B93+B101+B109+B117+B125+B133+B141+B149+B157+B165+B173+B181+B189+B197+B205+B213+B221+B229+B237+B245+B253+B261+B269+B277+B285</f>
        <v>471190.1132299999</v>
      </c>
      <c r="C287" s="89">
        <f t="shared" ref="C287:L287" si="35">+C13+C21+C29+C37+C45+C53+C61+C69+C77+C85+C93+C101+C109+C117+C125+C133+C141+C149+C157+C165+C173+C181+C189+C197+C205+C213+C221+C229+C237+C245+C253+C261+C269+C277+C285</f>
        <v>1196114.40212</v>
      </c>
      <c r="D287" s="89">
        <f>+D13+D21+D29+D37+D45+D53+D61+D69+D77+D85+D93+D101+D109+D117+D125+D133+D141+D149+D157+D165+D173+D181+D189+D197+D205+D213+D221+D229+D237+D245+D253+D261+D269+D277+D285</f>
        <v>1542271.5215899998</v>
      </c>
      <c r="E287" s="89">
        <f t="shared" si="35"/>
        <v>2382870.5838500001</v>
      </c>
      <c r="F287" s="89">
        <f t="shared" si="35"/>
        <v>2855975.6260500001</v>
      </c>
      <c r="G287" s="89">
        <f t="shared" si="35"/>
        <v>4153119.4459600002</v>
      </c>
      <c r="H287" s="89">
        <f t="shared" si="35"/>
        <v>5590304.3178300001</v>
      </c>
      <c r="I287" s="89">
        <f t="shared" si="35"/>
        <v>7554991.9780400014</v>
      </c>
      <c r="J287" s="89">
        <f t="shared" si="35"/>
        <v>13129331.656710003</v>
      </c>
      <c r="K287" s="89">
        <f t="shared" si="35"/>
        <v>15344720.944109999</v>
      </c>
      <c r="L287" s="89">
        <f t="shared" si="35"/>
        <v>16031061.737750001</v>
      </c>
      <c r="M287" s="89">
        <f>+M13+M21+M29+M37+M45+M53+M61+M69+M77+M85+M93+M101+M109+M117+M125+M133+M141+M149+M157+M165+M173+M181+M189+M197+M205+M213+M221+M229+M237+M245+M253+M261+M269+M277+M285</f>
        <v>0</v>
      </c>
      <c r="N287" s="206"/>
      <c r="O287" s="206"/>
    </row>
    <row r="288" spans="1:20" s="246" customFormat="1" x14ac:dyDescent="0.2">
      <c r="A288" s="244"/>
      <c r="B288" s="245">
        <f>+'ENE-SEP Bs 11NOV2016'!E79-B287</f>
        <v>3.6770000122487545E-2</v>
      </c>
      <c r="C288" s="245">
        <f>+'ENE-SEP Bs 11NOV2016'!G79-C287</f>
        <v>9.7880000015720725E-2</v>
      </c>
      <c r="D288" s="245">
        <f>+'ENE-SEP Bs 11NOV2016'!I79-D287</f>
        <v>-0.1015899998601526</v>
      </c>
      <c r="E288" s="245">
        <f>+'ENE-SEP Bs 11NOV2016'!K79-E287</f>
        <v>1.614999957382679E-2</v>
      </c>
      <c r="F288" s="245">
        <f>+'ENE-SEP Bs 11NOV2016'!M79-F287</f>
        <v>-0.22604999970644712</v>
      </c>
      <c r="G288" s="245">
        <f>+'ENE-SEP Bs 11NOV2016'!O79-G287</f>
        <v>3.4039999824017286E-2</v>
      </c>
      <c r="H288" s="245">
        <f>+'ENE-SEP Bs 11NOV2016'!Q79-H287</f>
        <v>0.10216999892145395</v>
      </c>
      <c r="I288" s="245">
        <f>+'ENE-SEP Bs 11NOV2016'!S79-I287</f>
        <v>15.941959999501705</v>
      </c>
      <c r="J288" s="245">
        <f>+'ENE-SEP Bs 11NOV2016'!U79-J287</f>
        <v>-2.6710003614425659E-2</v>
      </c>
      <c r="K288" s="245">
        <f>'ENE-SEP Bs 11NOV2016'!W79-K287</f>
        <v>0.12589000165462494</v>
      </c>
      <c r="L288" s="245">
        <f>+'ENE-SEP Bs 11NOV2016'!Y79-L287</f>
        <v>94691.372249998152</v>
      </c>
      <c r="M288" s="245">
        <f>+M287/6.3/1000</f>
        <v>0</v>
      </c>
      <c r="N288" s="203"/>
      <c r="O288" s="203"/>
      <c r="P288" s="203"/>
      <c r="Q288" s="203"/>
      <c r="R288" s="203"/>
      <c r="S288" s="203"/>
    </row>
    <row r="289" spans="1:20" s="234" customFormat="1" x14ac:dyDescent="0.2">
      <c r="A289" s="240"/>
      <c r="N289" s="248"/>
      <c r="O289" s="248"/>
      <c r="P289" s="203"/>
      <c r="Q289" s="203"/>
      <c r="R289" s="203"/>
      <c r="S289" s="239"/>
    </row>
    <row r="290" spans="1:20" s="157" customFormat="1" x14ac:dyDescent="0.2">
      <c r="A290" s="166"/>
      <c r="B290" s="182"/>
      <c r="C290" s="182"/>
      <c r="D290" s="182"/>
      <c r="E290" s="201"/>
      <c r="F290" s="167"/>
      <c r="G290" s="167"/>
      <c r="H290" s="167"/>
      <c r="I290" s="167"/>
      <c r="J290" s="167"/>
      <c r="K290" s="167"/>
      <c r="L290" s="167"/>
      <c r="M290" s="167"/>
      <c r="N290" s="202"/>
      <c r="O290" s="202"/>
      <c r="P290" s="202"/>
      <c r="Q290" s="202"/>
      <c r="R290" s="202"/>
      <c r="S290" s="168"/>
    </row>
    <row r="291" spans="1:20" s="157" customFormat="1" x14ac:dyDescent="0.2">
      <c r="A291" s="165"/>
      <c r="B291" s="168"/>
      <c r="C291" s="168"/>
      <c r="D291" s="168"/>
      <c r="E291" s="168"/>
      <c r="F291" s="198"/>
      <c r="G291" s="168"/>
      <c r="H291" s="168"/>
      <c r="I291" s="168"/>
      <c r="J291" s="168"/>
      <c r="K291" s="168"/>
      <c r="L291" s="168"/>
      <c r="M291" s="168"/>
      <c r="N291" s="206"/>
      <c r="O291" s="206"/>
      <c r="P291" s="202"/>
      <c r="Q291" s="202"/>
      <c r="R291" s="202"/>
      <c r="S291" s="168"/>
    </row>
    <row r="292" spans="1:20" s="157" customFormat="1" x14ac:dyDescent="0.2">
      <c r="A292" s="165"/>
      <c r="B292" s="168"/>
      <c r="C292" s="199"/>
      <c r="D292" s="200"/>
      <c r="E292" s="200"/>
      <c r="F292" s="200"/>
      <c r="N292" s="202"/>
      <c r="O292" s="202"/>
      <c r="P292" s="202"/>
      <c r="Q292" s="202"/>
      <c r="R292" s="202"/>
      <c r="S292" s="168"/>
    </row>
    <row r="293" spans="1:20" s="157" customFormat="1" x14ac:dyDescent="0.2">
      <c r="A293" s="165"/>
      <c r="B293" s="168"/>
      <c r="C293" s="199"/>
      <c r="D293" s="200"/>
      <c r="E293" s="200"/>
      <c r="F293" s="200"/>
      <c r="N293" s="206"/>
      <c r="O293" s="206"/>
      <c r="P293" s="202"/>
      <c r="Q293" s="202"/>
      <c r="R293" s="202"/>
      <c r="S293" s="168"/>
    </row>
    <row r="294" spans="1:20" s="157" customFormat="1" x14ac:dyDescent="0.2">
      <c r="A294" s="165"/>
      <c r="B294" s="168"/>
      <c r="C294" s="199"/>
      <c r="D294" s="200"/>
      <c r="E294" s="200"/>
      <c r="F294" s="200"/>
      <c r="N294" s="202"/>
      <c r="O294" s="202"/>
      <c r="P294" s="202"/>
      <c r="Q294" s="202"/>
      <c r="R294" s="202"/>
      <c r="S294" s="168"/>
    </row>
    <row r="295" spans="1:20" s="157" customFormat="1" x14ac:dyDescent="0.2">
      <c r="A295" s="165"/>
      <c r="B295" s="168"/>
      <c r="C295" s="199"/>
      <c r="D295" s="200"/>
      <c r="E295" s="200"/>
      <c r="F295" s="200"/>
      <c r="N295" s="206"/>
      <c r="O295" s="206"/>
      <c r="P295" s="202"/>
      <c r="Q295" s="202"/>
      <c r="R295" s="202"/>
      <c r="S295" s="168"/>
    </row>
    <row r="296" spans="1:20" s="157" customFormat="1" x14ac:dyDescent="0.2">
      <c r="A296" s="165"/>
      <c r="B296" s="168"/>
      <c r="C296" s="199"/>
      <c r="N296" s="202"/>
      <c r="O296" s="202"/>
      <c r="P296" s="202"/>
      <c r="Q296" s="202"/>
      <c r="R296" s="202"/>
      <c r="S296" s="168"/>
    </row>
    <row r="297" spans="1:20" s="157" customFormat="1" x14ac:dyDescent="0.2">
      <c r="A297" s="165"/>
      <c r="B297" s="168"/>
      <c r="C297" s="199"/>
      <c r="N297" s="202"/>
      <c r="O297" s="202"/>
      <c r="P297" s="202"/>
      <c r="Q297" s="202"/>
      <c r="R297" s="202"/>
      <c r="S297" s="168"/>
    </row>
    <row r="298" spans="1:20" s="157" customFormat="1" x14ac:dyDescent="0.2">
      <c r="A298" s="165"/>
      <c r="B298" s="168"/>
      <c r="C298" s="199"/>
      <c r="N298" s="202"/>
      <c r="O298" s="202"/>
      <c r="P298" s="202"/>
      <c r="Q298" s="202"/>
      <c r="R298" s="202"/>
      <c r="S298" s="168"/>
    </row>
    <row r="299" spans="1:20" s="86" customFormat="1" x14ac:dyDescent="0.2">
      <c r="A299" s="71"/>
      <c r="B299" s="192"/>
      <c r="C299" s="193"/>
      <c r="D299" s="191"/>
      <c r="E299" s="191"/>
      <c r="F299" s="191"/>
      <c r="G299" s="191"/>
      <c r="N299" s="202"/>
      <c r="O299" s="202"/>
      <c r="P299" s="202"/>
      <c r="Q299" s="202"/>
      <c r="R299" s="202"/>
      <c r="S299" s="168"/>
      <c r="T299" s="157"/>
    </row>
    <row r="300" spans="1:20" s="86" customFormat="1" x14ac:dyDescent="0.2">
      <c r="A300" s="71"/>
      <c r="B300" s="192"/>
      <c r="C300" s="193"/>
      <c r="D300" s="191"/>
      <c r="E300" s="191"/>
      <c r="F300" s="191"/>
      <c r="G300" s="191"/>
      <c r="N300" s="202"/>
      <c r="O300" s="202"/>
      <c r="P300" s="202"/>
      <c r="Q300" s="202"/>
      <c r="R300" s="202"/>
      <c r="S300" s="168"/>
      <c r="T300" s="157"/>
    </row>
    <row r="301" spans="1:20" s="86" customFormat="1" x14ac:dyDescent="0.2">
      <c r="A301" s="71"/>
      <c r="B301" s="85"/>
      <c r="C301" s="2"/>
      <c r="N301" s="202"/>
      <c r="O301" s="202"/>
      <c r="P301" s="202"/>
      <c r="Q301" s="202"/>
      <c r="R301" s="202"/>
      <c r="S301" s="168"/>
      <c r="T301" s="157"/>
    </row>
    <row r="302" spans="1:20" s="86" customFormat="1" x14ac:dyDescent="0.2">
      <c r="A302" s="71"/>
      <c r="B302" s="85"/>
      <c r="C302" s="2"/>
      <c r="N302" s="202"/>
      <c r="O302" s="202"/>
      <c r="P302" s="202"/>
      <c r="Q302" s="202"/>
      <c r="R302" s="202"/>
      <c r="S302" s="168"/>
      <c r="T302" s="157"/>
    </row>
    <row r="303" spans="1:20" s="86" customFormat="1" x14ac:dyDescent="0.2">
      <c r="A303" s="71"/>
      <c r="B303" s="85"/>
      <c r="C303" s="2"/>
      <c r="N303" s="202"/>
      <c r="O303" s="202"/>
      <c r="P303" s="202"/>
      <c r="Q303" s="202"/>
      <c r="R303" s="202"/>
      <c r="S303" s="168"/>
      <c r="T303" s="157"/>
    </row>
    <row r="304" spans="1:20" s="86" customFormat="1" x14ac:dyDescent="0.2">
      <c r="A304" s="71"/>
      <c r="B304" s="85"/>
      <c r="C304" s="2"/>
      <c r="N304" s="202"/>
      <c r="O304" s="202"/>
      <c r="P304" s="202"/>
      <c r="Q304" s="202"/>
      <c r="R304" s="202"/>
      <c r="S304" s="168"/>
      <c r="T304" s="157"/>
    </row>
    <row r="305" spans="1:20" s="86" customFormat="1" x14ac:dyDescent="0.2">
      <c r="A305" s="71"/>
      <c r="B305" s="85"/>
      <c r="C305" s="2"/>
      <c r="N305" s="202"/>
      <c r="O305" s="202"/>
      <c r="P305" s="202"/>
      <c r="Q305" s="202"/>
      <c r="R305" s="202"/>
      <c r="S305" s="168"/>
      <c r="T305" s="157"/>
    </row>
    <row r="306" spans="1:20" s="86" customFormat="1" x14ac:dyDescent="0.2">
      <c r="A306" s="71"/>
      <c r="B306" s="85"/>
      <c r="C306" s="2"/>
      <c r="N306" s="202"/>
      <c r="O306" s="202"/>
      <c r="P306" s="202"/>
      <c r="Q306" s="202"/>
      <c r="R306" s="202"/>
      <c r="S306" s="168"/>
      <c r="T306" s="157"/>
    </row>
    <row r="307" spans="1:20" s="86" customFormat="1" x14ac:dyDescent="0.2">
      <c r="A307" s="71"/>
      <c r="B307" s="85"/>
      <c r="C307" s="2"/>
      <c r="N307" s="202"/>
      <c r="O307" s="202"/>
      <c r="P307" s="202"/>
      <c r="Q307" s="202"/>
      <c r="R307" s="202"/>
      <c r="S307" s="168"/>
      <c r="T307" s="157"/>
    </row>
    <row r="308" spans="1:20" s="86" customFormat="1" x14ac:dyDescent="0.2">
      <c r="A308" s="71"/>
      <c r="B308" s="85"/>
      <c r="N308" s="202"/>
      <c r="O308" s="202"/>
      <c r="P308" s="202"/>
      <c r="Q308" s="202"/>
      <c r="R308" s="202"/>
      <c r="S308" s="168"/>
      <c r="T308" s="157"/>
    </row>
    <row r="309" spans="1:20" s="86" customFormat="1" x14ac:dyDescent="0.2">
      <c r="A309" s="71"/>
      <c r="B309" s="85"/>
      <c r="N309" s="202"/>
      <c r="O309" s="202"/>
      <c r="P309" s="202"/>
      <c r="Q309" s="202"/>
      <c r="R309" s="202"/>
      <c r="S309" s="168"/>
      <c r="T309" s="157"/>
    </row>
    <row r="310" spans="1:20" s="86" customFormat="1" x14ac:dyDescent="0.2">
      <c r="A310" s="71"/>
      <c r="B310" s="85"/>
      <c r="N310" s="202"/>
      <c r="O310" s="202"/>
      <c r="P310" s="202"/>
      <c r="Q310" s="202"/>
      <c r="R310" s="202"/>
      <c r="S310" s="168"/>
      <c r="T310" s="157"/>
    </row>
    <row r="311" spans="1:20" s="86" customFormat="1" x14ac:dyDescent="0.2">
      <c r="A311" s="71"/>
      <c r="B311" s="85"/>
      <c r="N311" s="202"/>
      <c r="O311" s="202"/>
      <c r="P311" s="202"/>
      <c r="Q311" s="202"/>
      <c r="R311" s="202"/>
      <c r="S311" s="168"/>
      <c r="T311" s="157"/>
    </row>
    <row r="312" spans="1:20" s="86" customFormat="1" x14ac:dyDescent="0.2">
      <c r="A312" s="71"/>
      <c r="B312" s="85"/>
      <c r="C312" s="2"/>
      <c r="N312" s="202"/>
      <c r="O312" s="202"/>
      <c r="P312" s="202"/>
      <c r="Q312" s="202"/>
      <c r="R312" s="202"/>
      <c r="S312" s="168"/>
      <c r="T312" s="157"/>
    </row>
    <row r="313" spans="1:20" s="86" customFormat="1" x14ac:dyDescent="0.2">
      <c r="A313" s="71"/>
      <c r="B313" s="85"/>
      <c r="C313" s="2"/>
      <c r="N313" s="202"/>
      <c r="O313" s="202"/>
      <c r="P313" s="202"/>
      <c r="Q313" s="202"/>
      <c r="R313" s="202"/>
      <c r="S313" s="168"/>
      <c r="T313" s="157"/>
    </row>
    <row r="314" spans="1:20" s="86" customFormat="1" x14ac:dyDescent="0.2">
      <c r="A314" s="71"/>
      <c r="B314" s="85"/>
      <c r="C314" s="2"/>
      <c r="N314" s="202"/>
      <c r="O314" s="202"/>
      <c r="P314" s="202"/>
      <c r="Q314" s="202"/>
      <c r="R314" s="202"/>
      <c r="S314" s="168"/>
      <c r="T314" s="157"/>
    </row>
    <row r="315" spans="1:20" s="86" customFormat="1" x14ac:dyDescent="0.2">
      <c r="A315" s="71"/>
      <c r="B315" s="85"/>
      <c r="C315" s="2"/>
      <c r="N315" s="202"/>
      <c r="O315" s="202"/>
      <c r="P315" s="202"/>
      <c r="Q315" s="202"/>
      <c r="R315" s="202"/>
      <c r="S315" s="168"/>
      <c r="T315" s="157"/>
    </row>
    <row r="316" spans="1:20" s="86" customFormat="1" x14ac:dyDescent="0.2">
      <c r="A316" s="71"/>
      <c r="B316" s="85"/>
      <c r="C316" s="2"/>
      <c r="N316" s="202"/>
      <c r="O316" s="202"/>
      <c r="P316" s="202"/>
      <c r="Q316" s="202"/>
      <c r="R316" s="202"/>
      <c r="S316" s="168"/>
      <c r="T316" s="157"/>
    </row>
    <row r="317" spans="1:20" s="86" customFormat="1" x14ac:dyDescent="0.2">
      <c r="A317" s="71"/>
      <c r="B317" s="85"/>
      <c r="N317" s="202"/>
      <c r="O317" s="202"/>
      <c r="P317" s="202"/>
      <c r="Q317" s="202"/>
      <c r="R317" s="202"/>
      <c r="S317" s="168"/>
      <c r="T317" s="157"/>
    </row>
    <row r="318" spans="1:20" s="86" customFormat="1" x14ac:dyDescent="0.2">
      <c r="A318" s="71"/>
      <c r="B318" s="85"/>
      <c r="N318" s="202"/>
      <c r="O318" s="202"/>
      <c r="P318" s="202"/>
      <c r="Q318" s="202"/>
      <c r="R318" s="202"/>
      <c r="S318" s="168"/>
      <c r="T318" s="157"/>
    </row>
    <row r="319" spans="1:20" s="86" customFormat="1" x14ac:dyDescent="0.2">
      <c r="A319" s="71"/>
      <c r="B319" s="85"/>
      <c r="N319" s="202"/>
      <c r="O319" s="202"/>
      <c r="P319" s="202"/>
      <c r="Q319" s="202"/>
      <c r="R319" s="202"/>
      <c r="S319" s="168"/>
      <c r="T319" s="157"/>
    </row>
    <row r="320" spans="1:20" s="86" customFormat="1" x14ac:dyDescent="0.2">
      <c r="A320" s="71"/>
      <c r="B320" s="85"/>
      <c r="N320" s="202"/>
      <c r="O320" s="202"/>
      <c r="P320" s="202"/>
      <c r="Q320" s="202"/>
      <c r="R320" s="202"/>
      <c r="S320" s="168"/>
      <c r="T320" s="157"/>
    </row>
    <row r="321" spans="1:20" s="86" customFormat="1" x14ac:dyDescent="0.2">
      <c r="A321" s="71"/>
      <c r="B321" s="85"/>
      <c r="N321" s="202"/>
      <c r="O321" s="202"/>
      <c r="P321" s="202"/>
      <c r="Q321" s="202"/>
      <c r="R321" s="202"/>
      <c r="S321" s="168"/>
      <c r="T321" s="157"/>
    </row>
    <row r="322" spans="1:20" s="86" customFormat="1" x14ac:dyDescent="0.2">
      <c r="A322" s="71"/>
      <c r="B322" s="85"/>
      <c r="N322" s="202"/>
      <c r="O322" s="202"/>
      <c r="P322" s="202"/>
      <c r="Q322" s="202"/>
      <c r="R322" s="202"/>
      <c r="S322" s="168"/>
      <c r="T322" s="157"/>
    </row>
    <row r="323" spans="1:20" s="86" customFormat="1" x14ac:dyDescent="0.2">
      <c r="A323" s="71"/>
      <c r="B323" s="85"/>
      <c r="N323" s="202"/>
      <c r="O323" s="202"/>
      <c r="P323" s="202"/>
      <c r="Q323" s="202"/>
      <c r="R323" s="202"/>
      <c r="S323" s="168"/>
      <c r="T323" s="157"/>
    </row>
    <row r="324" spans="1:20" s="86" customFormat="1" x14ac:dyDescent="0.2">
      <c r="A324" s="71"/>
      <c r="B324" s="85"/>
      <c r="C324" s="2"/>
      <c r="N324" s="202"/>
      <c r="O324" s="202"/>
      <c r="P324" s="202"/>
      <c r="Q324" s="202"/>
      <c r="R324" s="202"/>
      <c r="S324" s="168"/>
      <c r="T324" s="157"/>
    </row>
    <row r="325" spans="1:20" s="86" customFormat="1" x14ac:dyDescent="0.2">
      <c r="A325" s="71"/>
      <c r="B325" s="85"/>
      <c r="N325" s="202"/>
      <c r="O325" s="202"/>
      <c r="P325" s="202"/>
      <c r="Q325" s="202"/>
      <c r="R325" s="202"/>
      <c r="S325" s="168"/>
      <c r="T325" s="157"/>
    </row>
    <row r="326" spans="1:20" s="86" customFormat="1" x14ac:dyDescent="0.2">
      <c r="A326" s="71"/>
      <c r="B326" s="85"/>
      <c r="N326" s="202"/>
      <c r="O326" s="202"/>
      <c r="P326" s="202"/>
      <c r="Q326" s="202"/>
      <c r="R326" s="202"/>
      <c r="S326" s="168"/>
      <c r="T326" s="157"/>
    </row>
    <row r="327" spans="1:20" s="86" customFormat="1" x14ac:dyDescent="0.2">
      <c r="A327" s="71"/>
      <c r="B327" s="85"/>
      <c r="N327" s="202"/>
      <c r="O327" s="202"/>
      <c r="P327" s="202"/>
      <c r="Q327" s="202"/>
      <c r="R327" s="202"/>
      <c r="S327" s="168"/>
      <c r="T327" s="157"/>
    </row>
    <row r="328" spans="1:20" s="86" customFormat="1" x14ac:dyDescent="0.2">
      <c r="A328" s="71"/>
      <c r="B328" s="85"/>
      <c r="N328" s="202"/>
      <c r="O328" s="202"/>
      <c r="P328" s="202"/>
      <c r="Q328" s="202"/>
      <c r="R328" s="202"/>
      <c r="S328" s="168"/>
      <c r="T328" s="157"/>
    </row>
    <row r="329" spans="1:20" s="86" customFormat="1" x14ac:dyDescent="0.2">
      <c r="A329" s="71"/>
      <c r="B329" s="85"/>
      <c r="N329" s="202"/>
      <c r="O329" s="202"/>
      <c r="P329" s="202"/>
      <c r="Q329" s="202"/>
      <c r="R329" s="202"/>
      <c r="S329" s="168"/>
      <c r="T329" s="157"/>
    </row>
    <row r="330" spans="1:20" s="86" customFormat="1" x14ac:dyDescent="0.2">
      <c r="A330" s="71"/>
      <c r="B330" s="85"/>
      <c r="N330" s="202"/>
      <c r="O330" s="202"/>
      <c r="P330" s="202"/>
      <c r="Q330" s="202"/>
      <c r="R330" s="202"/>
      <c r="S330" s="168"/>
      <c r="T330" s="157"/>
    </row>
    <row r="331" spans="1:20" s="86" customFormat="1" x14ac:dyDescent="0.2">
      <c r="A331" s="71"/>
      <c r="B331" s="85"/>
      <c r="C331" s="2"/>
      <c r="N331" s="202"/>
      <c r="O331" s="202"/>
      <c r="P331" s="202"/>
      <c r="Q331" s="202"/>
      <c r="R331" s="202"/>
      <c r="S331" s="168"/>
      <c r="T331" s="157"/>
    </row>
    <row r="332" spans="1:20" s="86" customFormat="1" x14ac:dyDescent="0.2">
      <c r="A332" s="71"/>
      <c r="B332" s="85"/>
      <c r="N332" s="202"/>
      <c r="O332" s="202"/>
      <c r="P332" s="202"/>
      <c r="Q332" s="202"/>
      <c r="R332" s="202"/>
      <c r="S332" s="168"/>
      <c r="T332" s="157"/>
    </row>
    <row r="333" spans="1:20" s="86" customFormat="1" x14ac:dyDescent="0.2">
      <c r="A333" s="71"/>
      <c r="B333" s="85"/>
      <c r="N333" s="202"/>
      <c r="O333" s="202"/>
      <c r="P333" s="202"/>
      <c r="Q333" s="202"/>
      <c r="R333" s="202"/>
      <c r="S333" s="168"/>
      <c r="T333" s="157"/>
    </row>
    <row r="334" spans="1:20" s="86" customFormat="1" x14ac:dyDescent="0.2">
      <c r="A334" s="71"/>
      <c r="B334" s="85"/>
      <c r="C334" s="2"/>
      <c r="N334" s="202"/>
      <c r="O334" s="202"/>
      <c r="P334" s="202"/>
      <c r="Q334" s="202"/>
      <c r="R334" s="202"/>
      <c r="S334" s="168"/>
      <c r="T334" s="157"/>
    </row>
    <row r="335" spans="1:20" s="86" customFormat="1" x14ac:dyDescent="0.2">
      <c r="A335" s="71"/>
      <c r="B335" s="85"/>
      <c r="N335" s="202"/>
      <c r="O335" s="202"/>
      <c r="P335" s="202"/>
      <c r="Q335" s="202"/>
      <c r="R335" s="202"/>
      <c r="S335" s="168"/>
      <c r="T335" s="157"/>
    </row>
    <row r="336" spans="1:20" s="86" customFormat="1" x14ac:dyDescent="0.2">
      <c r="A336" s="71"/>
      <c r="B336" s="85"/>
      <c r="N336" s="202"/>
      <c r="O336" s="202"/>
      <c r="P336" s="202"/>
      <c r="Q336" s="202"/>
      <c r="R336" s="202"/>
      <c r="S336" s="168"/>
      <c r="T336" s="157"/>
    </row>
    <row r="337" spans="1:20" s="86" customFormat="1" x14ac:dyDescent="0.2">
      <c r="A337" s="71"/>
      <c r="B337" s="85"/>
      <c r="N337" s="202"/>
      <c r="O337" s="202"/>
      <c r="P337" s="202"/>
      <c r="Q337" s="202"/>
      <c r="R337" s="202"/>
      <c r="S337" s="168"/>
      <c r="T337" s="157"/>
    </row>
    <row r="338" spans="1:20" s="86" customFormat="1" x14ac:dyDescent="0.2">
      <c r="A338" s="71"/>
      <c r="B338" s="85"/>
      <c r="N338" s="202"/>
      <c r="O338" s="202"/>
      <c r="P338" s="202"/>
      <c r="Q338" s="202"/>
      <c r="R338" s="202"/>
      <c r="S338" s="168"/>
      <c r="T338" s="157"/>
    </row>
    <row r="339" spans="1:20" s="86" customFormat="1" x14ac:dyDescent="0.2">
      <c r="A339" s="71"/>
      <c r="B339" s="85"/>
      <c r="N339" s="202"/>
      <c r="O339" s="202"/>
      <c r="P339" s="202"/>
      <c r="Q339" s="202"/>
      <c r="R339" s="202"/>
      <c r="S339" s="168"/>
      <c r="T339" s="157"/>
    </row>
    <row r="340" spans="1:20" s="86" customFormat="1" x14ac:dyDescent="0.2">
      <c r="A340" s="71"/>
      <c r="B340" s="85"/>
      <c r="N340" s="202"/>
      <c r="O340" s="202"/>
      <c r="P340" s="202"/>
      <c r="Q340" s="202"/>
      <c r="R340" s="202"/>
      <c r="S340" s="168"/>
      <c r="T340" s="157"/>
    </row>
    <row r="341" spans="1:20" s="86" customFormat="1" x14ac:dyDescent="0.2">
      <c r="A341" s="71"/>
      <c r="B341" s="85"/>
      <c r="C341" s="2"/>
      <c r="N341" s="202"/>
      <c r="O341" s="202"/>
      <c r="P341" s="202"/>
      <c r="Q341" s="202"/>
      <c r="R341" s="202"/>
      <c r="S341" s="168"/>
      <c r="T341" s="157"/>
    </row>
    <row r="342" spans="1:20" s="86" customFormat="1" x14ac:dyDescent="0.2">
      <c r="A342" s="71"/>
      <c r="B342" s="85"/>
      <c r="C342" s="2"/>
      <c r="N342" s="202"/>
      <c r="O342" s="202"/>
      <c r="P342" s="202"/>
      <c r="Q342" s="202"/>
      <c r="R342" s="202"/>
      <c r="S342" s="168"/>
      <c r="T342" s="157"/>
    </row>
    <row r="343" spans="1:20" s="86" customFormat="1" x14ac:dyDescent="0.2">
      <c r="A343" s="71"/>
      <c r="B343" s="85"/>
      <c r="C343" s="2"/>
      <c r="N343" s="202"/>
      <c r="O343" s="202"/>
      <c r="P343" s="202"/>
      <c r="Q343" s="202"/>
      <c r="R343" s="202"/>
      <c r="S343" s="168"/>
      <c r="T343" s="157"/>
    </row>
    <row r="344" spans="1:20" s="86" customFormat="1" x14ac:dyDescent="0.2">
      <c r="A344" s="71"/>
      <c r="B344" s="85"/>
      <c r="C344" s="2"/>
      <c r="N344" s="202"/>
      <c r="O344" s="202"/>
      <c r="P344" s="202"/>
      <c r="Q344" s="202"/>
      <c r="R344" s="202"/>
      <c r="S344" s="168"/>
      <c r="T344" s="157"/>
    </row>
    <row r="345" spans="1:20" s="86" customFormat="1" x14ac:dyDescent="0.2">
      <c r="A345" s="71"/>
      <c r="B345" s="85"/>
      <c r="C345" s="2"/>
      <c r="N345" s="202"/>
      <c r="O345" s="202"/>
      <c r="P345" s="202"/>
      <c r="Q345" s="202"/>
      <c r="R345" s="202"/>
      <c r="S345" s="168"/>
      <c r="T345" s="157"/>
    </row>
    <row r="346" spans="1:20" s="86" customFormat="1" x14ac:dyDescent="0.2">
      <c r="A346" s="71"/>
      <c r="B346" s="85"/>
      <c r="C346" s="2"/>
      <c r="N346" s="202"/>
      <c r="O346" s="202"/>
      <c r="P346" s="202"/>
      <c r="Q346" s="202"/>
      <c r="R346" s="202"/>
      <c r="S346" s="168"/>
      <c r="T346" s="157"/>
    </row>
    <row r="347" spans="1:20" s="86" customFormat="1" x14ac:dyDescent="0.2">
      <c r="A347" s="71"/>
      <c r="B347" s="85"/>
      <c r="N347" s="202"/>
      <c r="O347" s="202"/>
      <c r="P347" s="202"/>
      <c r="Q347" s="202"/>
      <c r="R347" s="202"/>
      <c r="S347" s="168"/>
      <c r="T347" s="157"/>
    </row>
    <row r="348" spans="1:20" s="86" customFormat="1" x14ac:dyDescent="0.2">
      <c r="A348" s="71"/>
      <c r="B348" s="85"/>
      <c r="N348" s="202"/>
      <c r="O348" s="202"/>
      <c r="P348" s="202"/>
      <c r="Q348" s="202"/>
      <c r="R348" s="202"/>
      <c r="S348" s="168"/>
      <c r="T348" s="157"/>
    </row>
    <row r="349" spans="1:20" s="86" customFormat="1" x14ac:dyDescent="0.2">
      <c r="A349" s="71"/>
      <c r="B349" s="85"/>
      <c r="N349" s="202"/>
      <c r="O349" s="202"/>
      <c r="P349" s="202"/>
      <c r="Q349" s="202"/>
      <c r="R349" s="202"/>
      <c r="S349" s="168"/>
      <c r="T349" s="157"/>
    </row>
    <row r="350" spans="1:20" s="86" customFormat="1" x14ac:dyDescent="0.2">
      <c r="A350" s="71"/>
      <c r="B350" s="85"/>
      <c r="N350" s="202"/>
      <c r="O350" s="202"/>
      <c r="P350" s="202"/>
      <c r="Q350" s="202"/>
      <c r="R350" s="202"/>
      <c r="S350" s="168"/>
      <c r="T350" s="157"/>
    </row>
    <row r="351" spans="1:20" s="86" customFormat="1" x14ac:dyDescent="0.2">
      <c r="A351" s="71"/>
      <c r="B351" s="85"/>
      <c r="N351" s="202"/>
      <c r="O351" s="202"/>
      <c r="P351" s="202"/>
      <c r="Q351" s="202"/>
      <c r="R351" s="202"/>
      <c r="S351" s="168"/>
      <c r="T351" s="157"/>
    </row>
    <row r="352" spans="1:20" s="86" customFormat="1" x14ac:dyDescent="0.2">
      <c r="A352" s="71"/>
      <c r="B352" s="85"/>
      <c r="N352" s="202"/>
      <c r="O352" s="202"/>
      <c r="P352" s="202"/>
      <c r="Q352" s="202"/>
      <c r="R352" s="202"/>
      <c r="S352" s="168"/>
      <c r="T352" s="157"/>
    </row>
    <row r="353" spans="1:20" s="86" customFormat="1" x14ac:dyDescent="0.2">
      <c r="A353" s="71"/>
      <c r="B353" s="85"/>
      <c r="N353" s="202"/>
      <c r="O353" s="202"/>
      <c r="P353" s="202"/>
      <c r="Q353" s="202"/>
      <c r="R353" s="202"/>
      <c r="S353" s="168"/>
      <c r="T353" s="157"/>
    </row>
    <row r="354" spans="1:20" s="86" customFormat="1" x14ac:dyDescent="0.2">
      <c r="A354" s="71"/>
      <c r="B354" s="85"/>
      <c r="N354" s="202"/>
      <c r="O354" s="202"/>
      <c r="P354" s="202"/>
      <c r="Q354" s="202"/>
      <c r="R354" s="202"/>
      <c r="S354" s="168"/>
      <c r="T354" s="157"/>
    </row>
    <row r="355" spans="1:20" s="86" customFormat="1" x14ac:dyDescent="0.2">
      <c r="A355" s="71"/>
      <c r="B355" s="85"/>
      <c r="N355" s="202"/>
      <c r="O355" s="202"/>
      <c r="P355" s="202"/>
      <c r="Q355" s="202"/>
      <c r="R355" s="202"/>
      <c r="S355" s="168"/>
      <c r="T355" s="157"/>
    </row>
    <row r="356" spans="1:20" s="86" customFormat="1" x14ac:dyDescent="0.2">
      <c r="A356" s="71"/>
      <c r="B356" s="85"/>
      <c r="C356" s="2"/>
      <c r="N356" s="202"/>
      <c r="O356" s="202"/>
      <c r="P356" s="202"/>
      <c r="Q356" s="202"/>
      <c r="R356" s="202"/>
      <c r="S356" s="168"/>
      <c r="T356" s="157"/>
    </row>
  </sheetData>
  <mergeCells count="1">
    <mergeCell ref="A4:M4"/>
  </mergeCells>
  <phoneticPr fontId="5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2:Z357"/>
  <sheetViews>
    <sheetView showGridLines="0" topLeftCell="A49" workbookViewId="0">
      <selection activeCell="N36" sqref="N36"/>
    </sheetView>
  </sheetViews>
  <sheetFormatPr baseColWidth="10" defaultRowHeight="12.75" x14ac:dyDescent="0.2"/>
  <cols>
    <col min="1" max="1" width="34.42578125" style="87" bestFit="1" customWidth="1"/>
    <col min="2" max="3" width="9.140625" style="15" bestFit="1" customWidth="1"/>
    <col min="4" max="4" width="10" style="15" bestFit="1" customWidth="1"/>
    <col min="5" max="5" width="10.140625" style="15" customWidth="1"/>
    <col min="6" max="6" width="10.140625" style="15" hidden="1" customWidth="1"/>
    <col min="7" max="8" width="11" style="15" hidden="1" customWidth="1"/>
    <col min="9" max="9" width="12.42578125" style="15" hidden="1" customWidth="1"/>
    <col min="10" max="10" width="11.5703125" style="14" hidden="1" customWidth="1"/>
    <col min="11" max="11" width="12.42578125" style="14" hidden="1" customWidth="1"/>
    <col min="12" max="12" width="10.85546875" style="14" hidden="1" customWidth="1"/>
    <col min="13" max="13" width="11" style="14" hidden="1" customWidth="1"/>
    <col min="14" max="14" width="15.85546875" style="16" customWidth="1"/>
    <col min="15" max="15" width="11.42578125" style="16"/>
    <col min="16" max="18" width="12.7109375" style="16" customWidth="1"/>
    <col min="19" max="16384" width="11.42578125" style="16"/>
  </cols>
  <sheetData>
    <row r="2" spans="1:26" s="7" customFormat="1" x14ac:dyDescent="0.2">
      <c r="A2" s="271" t="s">
        <v>219</v>
      </c>
      <c r="B2" s="271"/>
      <c r="C2" s="271"/>
      <c r="D2" s="271"/>
      <c r="E2" s="271"/>
      <c r="F2" s="271"/>
      <c r="G2" s="271"/>
      <c r="H2" s="271"/>
      <c r="I2" s="135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6" s="7" customFormat="1" x14ac:dyDescent="0.2">
      <c r="A3" s="269"/>
      <c r="B3" s="270"/>
      <c r="C3" s="270"/>
      <c r="D3" s="6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6" s="7" customFormat="1" x14ac:dyDescent="0.2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26" s="10" customFormat="1" x14ac:dyDescent="0.2">
      <c r="A5" s="267" t="s">
        <v>218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</row>
    <row r="6" spans="1:26" x14ac:dyDescent="0.2">
      <c r="A6" s="11"/>
      <c r="B6" s="164">
        <v>6.3</v>
      </c>
      <c r="C6" s="164">
        <v>1000</v>
      </c>
      <c r="D6" s="164">
        <v>10</v>
      </c>
      <c r="E6" s="12"/>
      <c r="F6" s="12"/>
      <c r="G6" s="12"/>
      <c r="H6" s="12"/>
      <c r="I6" s="12"/>
      <c r="J6" s="13"/>
      <c r="L6" s="13"/>
      <c r="M6" s="13"/>
    </row>
    <row r="7" spans="1:26" x14ac:dyDescent="0.2">
      <c r="A7" s="17"/>
      <c r="B7" s="12"/>
      <c r="C7" s="12"/>
      <c r="D7" s="12"/>
      <c r="E7" s="12"/>
      <c r="F7" s="12"/>
      <c r="G7" s="12"/>
      <c r="H7" s="12"/>
      <c r="I7" s="12"/>
      <c r="J7" s="13"/>
      <c r="L7" s="13"/>
      <c r="M7" s="13"/>
    </row>
    <row r="8" spans="1:26" s="10" customFormat="1" x14ac:dyDescent="0.2">
      <c r="A8" s="18" t="s">
        <v>81</v>
      </c>
      <c r="B8" s="19" t="s">
        <v>82</v>
      </c>
      <c r="C8" s="19" t="s">
        <v>83</v>
      </c>
      <c r="D8" s="19" t="s">
        <v>84</v>
      </c>
      <c r="E8" s="19" t="s">
        <v>85</v>
      </c>
      <c r="F8" s="19" t="s">
        <v>86</v>
      </c>
      <c r="G8" s="19" t="s">
        <v>87</v>
      </c>
      <c r="H8" s="19" t="s">
        <v>88</v>
      </c>
      <c r="I8" s="19" t="s">
        <v>198</v>
      </c>
      <c r="J8" s="19" t="s">
        <v>89</v>
      </c>
      <c r="K8" s="19" t="s">
        <v>90</v>
      </c>
      <c r="L8" s="19" t="s">
        <v>91</v>
      </c>
      <c r="M8" s="19" t="s">
        <v>92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s="24" customFormat="1" ht="12" x14ac:dyDescent="0.2">
      <c r="A9" s="21" t="s">
        <v>93</v>
      </c>
      <c r="B9" s="22">
        <f>+'HAB-POR EC Bs'!B8/'HAB-POR EC M$'!$B$6/$C$6</f>
        <v>0.30981269841269843</v>
      </c>
      <c r="C9" s="22">
        <f>+'HAB-POR EC Bs'!C8/'HAB-POR EC M$'!$B$6/$C$6</f>
        <v>0.65538888888888891</v>
      </c>
      <c r="D9" s="22">
        <f>+'HAB-POR EC Bs'!D8/'HAB-POR EC M$'!$D$6/$C$6</f>
        <v>1.0506829050000002</v>
      </c>
      <c r="E9" s="22">
        <f>+'HAB-POR EC Bs'!E8/'HAB-POR EC M$'!$D$6/$C$6</f>
        <v>1.388351962</v>
      </c>
      <c r="F9" s="22">
        <f>+'HAB-POR EC Bs'!F8/'HAB-POR EC M$'!$D$6/$C$6</f>
        <v>1.7498901999999998</v>
      </c>
      <c r="G9" s="22">
        <f>+'HAB-POR EC Bs'!G8/'HAB-POR EC M$'!$D$6/$C$6</f>
        <v>2.2308953009999999</v>
      </c>
      <c r="H9" s="22">
        <f>+'HAB-POR EC Bs'!H8/'HAB-POR EC M$'!$D$6/$C$6</f>
        <v>2.7806408010000001</v>
      </c>
      <c r="I9" s="22">
        <f>+'HAB-POR EC Bs'!I8/'HAB-POR EC M$'!$D$6/$C$6</f>
        <v>3.3741784679999998</v>
      </c>
      <c r="J9" s="22">
        <f>+'HAB-POR EC Bs'!J8/'HAB-POR EC M$'!$D$6/$C$6</f>
        <v>4.2157933210000005</v>
      </c>
      <c r="K9" s="22">
        <f>+'HAB-POR EC Bs'!K8/'HAB-POR EC M$'!$D$6/$C$6</f>
        <v>5.0490542409999994</v>
      </c>
      <c r="L9" s="22">
        <f>+'HAB-POR EC Bs'!L8/'HAB-POR EC M$'!$D$6/$C$6</f>
        <v>5.0490542409999994</v>
      </c>
      <c r="M9" s="22">
        <f>+'HAB-POR EC Bs'!M8/'HAB-POR EC M$'!$D$6/$C$6</f>
        <v>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4" customFormat="1" ht="12" x14ac:dyDescent="0.2">
      <c r="A10" s="21" t="s">
        <v>94</v>
      </c>
      <c r="B10" s="22">
        <f>+'HAB-POR EC Bs'!B9/'HAB-POR EC M$'!$B$6/$C$6</f>
        <v>5.8557142857142863E-2</v>
      </c>
      <c r="C10" s="22">
        <f>+'HAB-POR EC Bs'!C9/'HAB-POR EC M$'!$B$6/$C$6</f>
        <v>0.13981587301587303</v>
      </c>
      <c r="D10" s="22">
        <f>+'HAB-POR EC Bs'!D9/'HAB-POR EC M$'!$D$6/$C$6</f>
        <v>0.231992052</v>
      </c>
      <c r="E10" s="22">
        <f>+'HAB-POR EC Bs'!E9/'HAB-POR EC M$'!$D$6/$C$6</f>
        <v>0.351812495</v>
      </c>
      <c r="F10" s="22">
        <f>+'HAB-POR EC Bs'!F9/'HAB-POR EC M$'!$D$6/$C$6</f>
        <v>0.58713280599999995</v>
      </c>
      <c r="G10" s="22">
        <f>+'HAB-POR EC Bs'!G9/'HAB-POR EC M$'!$D$6/$C$6</f>
        <v>0.87790497899999986</v>
      </c>
      <c r="H10" s="22">
        <f>+'HAB-POR EC Bs'!H9/'HAB-POR EC M$'!$D$6/$C$6</f>
        <v>1.0804212740000001</v>
      </c>
      <c r="I10" s="22">
        <f>+'HAB-POR EC Bs'!I9/'HAB-POR EC M$'!$D$6/$C$6</f>
        <v>1.3586107569999999</v>
      </c>
      <c r="J10" s="22">
        <f>+'HAB-POR EC Bs'!J9/'HAB-POR EC M$'!$D$6/$C$6</f>
        <v>8.2488816150000002</v>
      </c>
      <c r="K10" s="22">
        <f>+'HAB-POR EC Bs'!K9/'HAB-POR EC M$'!$D$6/$C$6</f>
        <v>8.6574881050000005</v>
      </c>
      <c r="L10" s="22">
        <f>+'HAB-POR EC Bs'!L9/'HAB-POR EC M$'!$D$6/$C$6</f>
        <v>8.6574881050000005</v>
      </c>
      <c r="M10" s="22">
        <f>+'HAB-POR EC Bs'!M9/'HAB-POR EC M$'!$D$6/$C$6</f>
        <v>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4" customFormat="1" ht="12" x14ac:dyDescent="0.2">
      <c r="A11" s="21" t="s">
        <v>95</v>
      </c>
      <c r="B11" s="22">
        <f>+'HAB-POR EC Bs'!B10/'HAB-POR EC M$'!$B$6/$C$6</f>
        <v>0</v>
      </c>
      <c r="C11" s="22">
        <f>+'HAB-POR EC Bs'!C10/'HAB-POR EC M$'!$B$6/$C$6</f>
        <v>0</v>
      </c>
      <c r="D11" s="22">
        <f>+'HAB-POR EC Bs'!D10/'HAB-POR EC M$'!$D$6/$C$6</f>
        <v>2.4129999999999998E-4</v>
      </c>
      <c r="E11" s="22">
        <f>+'HAB-POR EC Bs'!E10/'HAB-POR EC M$'!$D$6/$C$6</f>
        <v>2.4129999999999998E-4</v>
      </c>
      <c r="F11" s="22">
        <f>+'HAB-POR EC Bs'!F10/'HAB-POR EC M$'!$D$6/$C$6</f>
        <v>6.2129999999999998E-4</v>
      </c>
      <c r="G11" s="22">
        <f>+'HAB-POR EC Bs'!G10/'HAB-POR EC M$'!$D$6/$C$6</f>
        <v>6.2129999999999998E-4</v>
      </c>
      <c r="H11" s="22">
        <f>+'HAB-POR EC Bs'!H10/'HAB-POR EC M$'!$D$6/$C$6</f>
        <v>3.3234300000000001E-2</v>
      </c>
      <c r="I11" s="22">
        <f>+'HAB-POR EC Bs'!I10/'HAB-POR EC M$'!$D$6/$C$6</f>
        <v>3.3234300000000001E-2</v>
      </c>
      <c r="J11" s="22">
        <f>+'HAB-POR EC Bs'!J10/'HAB-POR EC M$'!$D$6/$C$6</f>
        <v>0.45348879999999997</v>
      </c>
      <c r="K11" s="22">
        <f>+'HAB-POR EC Bs'!K10/'HAB-POR EC M$'!$D$6/$C$6</f>
        <v>0.60348879999999994</v>
      </c>
      <c r="L11" s="22">
        <f>+'HAB-POR EC Bs'!L10/'HAB-POR EC M$'!$D$6/$C$6</f>
        <v>0.63578329999999994</v>
      </c>
      <c r="M11" s="22">
        <f>+'HAB-POR EC Bs'!M10/'HAB-POR EC M$'!$D$6/$C$6</f>
        <v>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4" customFormat="1" ht="12" x14ac:dyDescent="0.2">
      <c r="A12" s="21" t="s">
        <v>96</v>
      </c>
      <c r="B12" s="22">
        <f>+'HAB-POR EC Bs'!B11/'HAB-POR EC M$'!$B$6/$C$6</f>
        <v>3.9050793650793648E-2</v>
      </c>
      <c r="C12" s="22">
        <f>+'HAB-POR EC Bs'!C11/'HAB-POR EC M$'!$B$6/$C$6</f>
        <v>0.17373492063492063</v>
      </c>
      <c r="D12" s="22">
        <f>+'HAB-POR EC Bs'!D11/'HAB-POR EC M$'!$D$6/$C$6</f>
        <v>0.16055783300000001</v>
      </c>
      <c r="E12" s="22">
        <f>+'HAB-POR EC Bs'!E11/'HAB-POR EC M$'!$D$6/$C$6</f>
        <v>0.35562125700000002</v>
      </c>
      <c r="F12" s="22">
        <f>+'HAB-POR EC Bs'!F11/'HAB-POR EC M$'!$D$6/$C$6</f>
        <v>0.50414508400000002</v>
      </c>
      <c r="G12" s="22">
        <f>+'HAB-POR EC Bs'!G11/'HAB-POR EC M$'!$D$6/$C$6</f>
        <v>0.62246747699999994</v>
      </c>
      <c r="H12" s="22">
        <f>+'HAB-POR EC Bs'!H11/'HAB-POR EC M$'!$D$6/$C$6</f>
        <v>0.73837206499999997</v>
      </c>
      <c r="I12" s="22">
        <f>+'HAB-POR EC Bs'!I11/'HAB-POR EC M$'!$D$6/$C$6</f>
        <v>0.87849824399999998</v>
      </c>
      <c r="J12" s="22">
        <f>+'HAB-POR EC Bs'!J11/'HAB-POR EC M$'!$D$6/$C$6</f>
        <v>1.1266400639999998</v>
      </c>
      <c r="K12" s="22">
        <f>+'HAB-POR EC Bs'!K11/'HAB-POR EC M$'!$D$6/$C$6</f>
        <v>1.6721918</v>
      </c>
      <c r="L12" s="22">
        <f>+'HAB-POR EC Bs'!L11/'HAB-POR EC M$'!$D$6/$C$6</f>
        <v>1.7557876779999999</v>
      </c>
      <c r="M12" s="22">
        <f>+'HAB-POR EC Bs'!M11/'HAB-POR EC M$'!$D$6/$C$6</f>
        <v>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s="24" customFormat="1" ht="12" x14ac:dyDescent="0.2">
      <c r="A13" s="21" t="s">
        <v>97</v>
      </c>
      <c r="B13" s="22">
        <f>+'HAB-POR EC Bs'!B12/'HAB-POR EC M$'!$B$6/$C$6</f>
        <v>0</v>
      </c>
      <c r="C13" s="22">
        <f>+'HAB-POR EC Bs'!C12/'HAB-POR EC M$'!$B$6/$C$6</f>
        <v>0</v>
      </c>
      <c r="D13" s="22">
        <f>+'HAB-POR EC Bs'!D12/'HAB-POR EC M$'!$D$6/$C$6</f>
        <v>0</v>
      </c>
      <c r="E13" s="22">
        <f>+'HAB-POR EC Bs'!E12/'HAB-POR EC M$'!$D$6/$C$6</f>
        <v>1.7343309999999997E-2</v>
      </c>
      <c r="F13" s="22">
        <f>+'HAB-POR EC Bs'!F12/'HAB-POR EC M$'!$D$6/$C$6</f>
        <v>1.7343309999999997E-2</v>
      </c>
      <c r="G13" s="22">
        <f>+'HAB-POR EC Bs'!G12/'HAB-POR EC M$'!$D$6/$C$6</f>
        <v>1.7343309999999997E-2</v>
      </c>
      <c r="H13" s="22">
        <f>+'HAB-POR EC Bs'!H12/'HAB-POR EC M$'!$D$6/$C$6</f>
        <v>0</v>
      </c>
      <c r="I13" s="22">
        <f>+'HAB-POR EC Bs'!I12/'HAB-POR EC M$'!$D$6/$C$6</f>
        <v>0</v>
      </c>
      <c r="J13" s="22">
        <f>+'HAB-POR EC Bs'!J12/'HAB-POR EC M$'!$D$6/$C$6</f>
        <v>0</v>
      </c>
      <c r="K13" s="22">
        <f>+'HAB-POR EC Bs'!K12/'HAB-POR EC M$'!$D$6/$C$6</f>
        <v>0</v>
      </c>
      <c r="L13" s="22">
        <f>+'HAB-POR EC Bs'!L12/'HAB-POR EC M$'!$D$6/$C$6</f>
        <v>0</v>
      </c>
      <c r="M13" s="22">
        <f>+'HAB-POR EC Bs'!M12/'HAB-POR EC M$'!$D$6/$C$6</f>
        <v>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s="32" customFormat="1" ht="12" x14ac:dyDescent="0.2">
      <c r="A14" s="30" t="s">
        <v>98</v>
      </c>
      <c r="B14" s="31">
        <f>SUM(B9:B13)</f>
        <v>0.40742063492063496</v>
      </c>
      <c r="C14" s="31">
        <f t="shared" ref="C14:M14" si="0">SUM(C9:C13)</f>
        <v>0.96893968253968255</v>
      </c>
      <c r="D14" s="31">
        <f>SUM(D9:D13)</f>
        <v>1.4434740900000003</v>
      </c>
      <c r="E14" s="31">
        <f t="shared" si="0"/>
        <v>2.1133703239999999</v>
      </c>
      <c r="F14" s="31">
        <f t="shared" si="0"/>
        <v>2.8591327</v>
      </c>
      <c r="G14" s="31">
        <f t="shared" si="0"/>
        <v>3.7492323669999994</v>
      </c>
      <c r="H14" s="31">
        <f t="shared" si="0"/>
        <v>4.6326684400000007</v>
      </c>
      <c r="I14" s="31">
        <f t="shared" si="0"/>
        <v>5.6445217689999998</v>
      </c>
      <c r="J14" s="31">
        <f t="shared" si="0"/>
        <v>14.044803800000002</v>
      </c>
      <c r="K14" s="31">
        <f t="shared" si="0"/>
        <v>15.982222945999998</v>
      </c>
      <c r="L14" s="31">
        <f t="shared" si="0"/>
        <v>16.098113324</v>
      </c>
      <c r="M14" s="31">
        <f t="shared" si="0"/>
        <v>0</v>
      </c>
      <c r="N14" s="34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24" customFormat="1" ht="12" x14ac:dyDescent="0.2">
      <c r="A15" s="35"/>
      <c r="B15" s="36"/>
      <c r="C15" s="36"/>
      <c r="D15" s="36"/>
      <c r="E15" s="36"/>
      <c r="F15" s="36"/>
      <c r="G15" s="36"/>
      <c r="H15" s="22">
        <f>'HAB-POR EC Bs'!H14/1000/6.3</f>
        <v>0</v>
      </c>
      <c r="I15" s="36"/>
      <c r="J15" s="36"/>
      <c r="K15" s="37"/>
      <c r="L15" s="36"/>
      <c r="M15" s="36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s="10" customFormat="1" x14ac:dyDescent="0.2">
      <c r="A16" s="18" t="s">
        <v>99</v>
      </c>
      <c r="B16" s="19" t="s">
        <v>82</v>
      </c>
      <c r="C16" s="19" t="s">
        <v>83</v>
      </c>
      <c r="D16" s="19" t="s">
        <v>84</v>
      </c>
      <c r="E16" s="19" t="s">
        <v>85</v>
      </c>
      <c r="F16" s="19" t="s">
        <v>86</v>
      </c>
      <c r="G16" s="19" t="s">
        <v>87</v>
      </c>
      <c r="H16" s="19" t="s">
        <v>88</v>
      </c>
      <c r="I16" s="19" t="s">
        <v>198</v>
      </c>
      <c r="J16" s="19" t="s">
        <v>89</v>
      </c>
      <c r="K16" s="19" t="s">
        <v>90</v>
      </c>
      <c r="L16" s="19" t="s">
        <v>91</v>
      </c>
      <c r="M16" s="19" t="s">
        <v>92</v>
      </c>
      <c r="N16" s="41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s="24" customFormat="1" ht="12" x14ac:dyDescent="0.2">
      <c r="A17" s="21" t="s">
        <v>93</v>
      </c>
      <c r="B17" s="22">
        <f>+'HAB-POR EC Bs'!B16/'HAB-POR EC M$'!$B$6/$C$6</f>
        <v>0.24643174603174603</v>
      </c>
      <c r="C17" s="22">
        <f>+'HAB-POR EC Bs'!C16/'HAB-POR EC M$'!$B$6/$C$6</f>
        <v>0.51400000000000001</v>
      </c>
      <c r="D17" s="22">
        <f>+'HAB-POR EC Bs'!D16/'HAB-POR EC M$'!$D$6/$C$6</f>
        <v>0.83052113599999999</v>
      </c>
      <c r="E17" s="22">
        <f>+'HAB-POR EC Bs'!E16/'HAB-POR EC M$'!$D$6/$C$6</f>
        <v>1.1046194920000001</v>
      </c>
      <c r="F17" s="22">
        <f>+'HAB-POR EC Bs'!F16/'HAB-POR EC M$'!$D$6/$C$6</f>
        <v>1.3414616330000002</v>
      </c>
      <c r="G17" s="22">
        <f>+'HAB-POR EC Bs'!G16/'HAB-POR EC M$'!$D$6/$C$6</f>
        <v>1.6932993330000001</v>
      </c>
      <c r="H17" s="22">
        <f>+'HAB-POR EC Bs'!H16/'HAB-POR EC M$'!$D$6/$C$6</f>
        <v>2.0562001059999999</v>
      </c>
      <c r="I17" s="22">
        <f>+'HAB-POR EC Bs'!I16/'HAB-POR EC M$'!$D$6/$C$6</f>
        <v>2.4039238470000002</v>
      </c>
      <c r="J17" s="22">
        <f>+'HAB-POR EC Bs'!J16/'HAB-POR EC M$'!$D$6/$C$6</f>
        <v>2.961662477</v>
      </c>
      <c r="K17" s="22">
        <f>+'HAB-POR EC Bs'!K16/'HAB-POR EC M$'!$D$6/$C$6</f>
        <v>3.5278329360000003</v>
      </c>
      <c r="L17" s="22">
        <f>+'HAB-POR EC Bs'!L16/'HAB-POR EC M$'!$D$6/$C$6</f>
        <v>3.5278329360000003</v>
      </c>
      <c r="M17" s="22">
        <f>+'HAB-POR EC Bs'!M16/'HAB-POR EC M$'!$D$6/$C$6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s="24" customFormat="1" ht="12" x14ac:dyDescent="0.2">
      <c r="A18" s="21" t="s">
        <v>94</v>
      </c>
      <c r="B18" s="22">
        <f>+'HAB-POR EC Bs'!B17/'HAB-POR EC M$'!$B$6/$C$6</f>
        <v>5.3052380952380955E-2</v>
      </c>
      <c r="C18" s="22">
        <f>+'HAB-POR EC Bs'!C17/'HAB-POR EC M$'!$B$6/$C$6</f>
        <v>9.3836507936507926E-2</v>
      </c>
      <c r="D18" s="22">
        <f>+'HAB-POR EC Bs'!D17/'HAB-POR EC M$'!$D$6/$C$6</f>
        <v>0.12596394</v>
      </c>
      <c r="E18" s="22">
        <f>+'HAB-POR EC Bs'!E17/'HAB-POR EC M$'!$D$6/$C$6</f>
        <v>0.21384702499999997</v>
      </c>
      <c r="F18" s="22">
        <f>+'HAB-POR EC Bs'!F17/'HAB-POR EC M$'!$D$6/$C$6</f>
        <v>0.37479813000000001</v>
      </c>
      <c r="G18" s="22">
        <f>+'HAB-POR EC Bs'!G17/'HAB-POR EC M$'!$D$6/$C$6</f>
        <v>0.58105560300000003</v>
      </c>
      <c r="H18" s="22">
        <f>+'HAB-POR EC Bs'!H17/'HAB-POR EC M$'!$D$6/$C$6</f>
        <v>0.70897447099999999</v>
      </c>
      <c r="I18" s="22">
        <f>+'HAB-POR EC Bs'!I17/'HAB-POR EC M$'!$D$6/$C$6</f>
        <v>0.88905476299999986</v>
      </c>
      <c r="J18" s="22">
        <f>+'HAB-POR EC Bs'!J17/'HAB-POR EC M$'!$D$6/$C$6</f>
        <v>5.4055772600000003</v>
      </c>
      <c r="K18" s="22">
        <f>+'HAB-POR EC Bs'!K17/'HAB-POR EC M$'!$D$6/$C$6</f>
        <v>5.7145735220000002</v>
      </c>
      <c r="L18" s="22">
        <f>+'HAB-POR EC Bs'!L17/'HAB-POR EC M$'!$D$6/$C$6</f>
        <v>5.7145735220000002</v>
      </c>
      <c r="M18" s="22">
        <f>+'HAB-POR EC Bs'!M17/'HAB-POR EC M$'!$D$6/$C$6</f>
        <v>0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s="24" customFormat="1" ht="12" x14ac:dyDescent="0.2">
      <c r="A19" s="21" t="s">
        <v>95</v>
      </c>
      <c r="B19" s="22">
        <f>+'HAB-POR EC Bs'!B18/'HAB-POR EC M$'!$B$6/$C$6</f>
        <v>0</v>
      </c>
      <c r="C19" s="22">
        <f>+'HAB-POR EC Bs'!C18/'HAB-POR EC M$'!$B$6/$C$6</f>
        <v>0</v>
      </c>
      <c r="D19" s="22">
        <f>+'HAB-POR EC Bs'!D18/'HAB-POR EC M$'!$D$6/$C$6</f>
        <v>0</v>
      </c>
      <c r="E19" s="22">
        <f>+'HAB-POR EC Bs'!E18/'HAB-POR EC M$'!$D$6/$C$6</f>
        <v>0</v>
      </c>
      <c r="F19" s="22">
        <f>+'HAB-POR EC Bs'!F18/'HAB-POR EC M$'!$D$6/$C$6</f>
        <v>0</v>
      </c>
      <c r="G19" s="22">
        <f>+'HAB-POR EC Bs'!G18/'HAB-POR EC M$'!$D$6/$C$6</f>
        <v>0</v>
      </c>
      <c r="H19" s="22">
        <f>+'HAB-POR EC Bs'!H18/'HAB-POR EC M$'!$D$6/$C$6</f>
        <v>0</v>
      </c>
      <c r="I19" s="22">
        <f>+'HAB-POR EC Bs'!I18/'HAB-POR EC M$'!$D$6/$C$6</f>
        <v>0</v>
      </c>
      <c r="J19" s="22">
        <f>+'HAB-POR EC Bs'!J18/'HAB-POR EC M$'!$D$6/$C$6</f>
        <v>0</v>
      </c>
      <c r="K19" s="22">
        <f>+'HAB-POR EC Bs'!K18/'HAB-POR EC M$'!$D$6/$C$6</f>
        <v>0</v>
      </c>
      <c r="L19" s="22">
        <f>+'HAB-POR EC Bs'!L18/'HAB-POR EC M$'!$D$6/$C$6</f>
        <v>0</v>
      </c>
      <c r="M19" s="22">
        <f>+'HAB-POR EC Bs'!M18/'HAB-POR EC M$'!$D$6/$C$6</f>
        <v>0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s="24" customFormat="1" ht="12" x14ac:dyDescent="0.2">
      <c r="A20" s="21" t="s">
        <v>96</v>
      </c>
      <c r="B20" s="22">
        <f>+'HAB-POR EC Bs'!B19/'HAB-POR EC M$'!$B$6/$C$6</f>
        <v>0.1985095238095238</v>
      </c>
      <c r="C20" s="22">
        <f>+'HAB-POR EC Bs'!C19/'HAB-POR EC M$'!$B$6/$C$6</f>
        <v>0.59964285714285714</v>
      </c>
      <c r="D20" s="22">
        <f>+'HAB-POR EC Bs'!D19/'HAB-POR EC M$'!$D$6/$C$6</f>
        <v>0.51960107099999997</v>
      </c>
      <c r="E20" s="22">
        <f>+'HAB-POR EC Bs'!E19/'HAB-POR EC M$'!$D$6/$C$6</f>
        <v>0.73595885599999999</v>
      </c>
      <c r="F20" s="22">
        <f>+'HAB-POR EC Bs'!F19/'HAB-POR EC M$'!$D$6/$C$6</f>
        <v>0.82462517200000007</v>
      </c>
      <c r="G20" s="22">
        <f>+'HAB-POR EC Bs'!G19/'HAB-POR EC M$'!$D$6/$C$6</f>
        <v>1.0993039839999998</v>
      </c>
      <c r="H20" s="22">
        <f>+'HAB-POR EC Bs'!H19/'HAB-POR EC M$'!$D$6/$C$6</f>
        <v>1.3450711420000001</v>
      </c>
      <c r="I20" s="22">
        <f>+'HAB-POR EC Bs'!I19/'HAB-POR EC M$'!$D$6/$C$6</f>
        <v>1.570791949</v>
      </c>
      <c r="J20" s="22">
        <f>+'HAB-POR EC Bs'!J19/'HAB-POR EC M$'!$D$6/$C$6</f>
        <v>2.070095893</v>
      </c>
      <c r="K20" s="22">
        <f>+'HAB-POR EC Bs'!K19/'HAB-POR EC M$'!$D$6/$C$6</f>
        <v>2.562055558</v>
      </c>
      <c r="L20" s="22">
        <f>+'HAB-POR EC Bs'!L19/'HAB-POR EC M$'!$D$6/$C$6</f>
        <v>2.7227959390000001</v>
      </c>
      <c r="M20" s="22">
        <f>+'HAB-POR EC Bs'!M19/'HAB-POR EC M$'!$D$6/$C$6</f>
        <v>0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s="24" customFormat="1" ht="12" x14ac:dyDescent="0.2">
      <c r="A21" s="21" t="s">
        <v>97</v>
      </c>
      <c r="B21" s="22">
        <f>+'HAB-POR EC Bs'!B20/'HAB-POR EC M$'!$B$6/$C$6</f>
        <v>0</v>
      </c>
      <c r="C21" s="22">
        <f>+'HAB-POR EC Bs'!C20/'HAB-POR EC M$'!$B$6/$C$6</f>
        <v>0</v>
      </c>
      <c r="D21" s="22">
        <f>+'HAB-POR EC Bs'!D20/'HAB-POR EC M$'!$D$6/$C$6</f>
        <v>0</v>
      </c>
      <c r="E21" s="22">
        <f>+'HAB-POR EC Bs'!E20/'HAB-POR EC M$'!$D$6/$C$6</f>
        <v>0</v>
      </c>
      <c r="F21" s="22">
        <f>+'HAB-POR EC Bs'!F20/'HAB-POR EC M$'!$D$6/$C$6</f>
        <v>0</v>
      </c>
      <c r="G21" s="22">
        <f>+'HAB-POR EC Bs'!G20/'HAB-POR EC M$'!$D$6/$C$6</f>
        <v>0</v>
      </c>
      <c r="H21" s="22">
        <f>+'HAB-POR EC Bs'!H20/'HAB-POR EC M$'!$D$6/$C$6</f>
        <v>0</v>
      </c>
      <c r="I21" s="22">
        <f>+'HAB-POR EC Bs'!I20/'HAB-POR EC M$'!$D$6/$C$6</f>
        <v>0</v>
      </c>
      <c r="J21" s="22">
        <f>+'HAB-POR EC Bs'!J20/'HAB-POR EC M$'!$D$6/$C$6</f>
        <v>0</v>
      </c>
      <c r="K21" s="22">
        <f>+'HAB-POR EC Bs'!K20/'HAB-POR EC M$'!$D$6/$C$6</f>
        <v>0</v>
      </c>
      <c r="L21" s="22">
        <f>+'HAB-POR EC Bs'!L20/'HAB-POR EC M$'!$D$6/$C$6</f>
        <v>0</v>
      </c>
      <c r="M21" s="22">
        <f>+'HAB-POR EC Bs'!M20/'HAB-POR EC M$'!$D$6/$C$6</f>
        <v>0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32" customFormat="1" ht="12" x14ac:dyDescent="0.2">
      <c r="A22" s="30" t="s">
        <v>98</v>
      </c>
      <c r="B22" s="31">
        <f>SUM(B17:B21)</f>
        <v>0.49799365079365077</v>
      </c>
      <c r="C22" s="31">
        <f t="shared" ref="C22:M22" si="1">SUM(C17:C21)</f>
        <v>1.2074793650793652</v>
      </c>
      <c r="D22" s="31">
        <f t="shared" si="1"/>
        <v>1.476086147</v>
      </c>
      <c r="E22" s="31">
        <f t="shared" si="1"/>
        <v>2.0544253729999999</v>
      </c>
      <c r="F22" s="31">
        <f t="shared" si="1"/>
        <v>2.5408849350000002</v>
      </c>
      <c r="G22" s="31">
        <f t="shared" si="1"/>
        <v>3.3736589199999996</v>
      </c>
      <c r="H22" s="31">
        <f t="shared" si="1"/>
        <v>4.1102457189999999</v>
      </c>
      <c r="I22" s="31">
        <f t="shared" si="1"/>
        <v>4.8637705589999998</v>
      </c>
      <c r="J22" s="31">
        <f t="shared" si="1"/>
        <v>10.43733563</v>
      </c>
      <c r="K22" s="31">
        <f t="shared" si="1"/>
        <v>11.804462016000002</v>
      </c>
      <c r="L22" s="31">
        <f t="shared" si="1"/>
        <v>11.965202397000002</v>
      </c>
      <c r="M22" s="31">
        <f t="shared" si="1"/>
        <v>0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24" customFormat="1" x14ac:dyDescent="0.2">
      <c r="A23" s="44"/>
      <c r="B23" s="45"/>
      <c r="C23" s="45"/>
      <c r="D23" s="45"/>
      <c r="E23" s="45"/>
      <c r="F23" s="45"/>
      <c r="G23" s="45"/>
      <c r="H23" s="22">
        <f>'HAB-POR EC Bs'!H22/1000/6.3</f>
        <v>0</v>
      </c>
      <c r="I23" s="46"/>
      <c r="J23" s="46"/>
      <c r="K23" s="29"/>
      <c r="L23" s="46"/>
      <c r="M23" s="46"/>
    </row>
    <row r="24" spans="1:26" s="47" customFormat="1" x14ac:dyDescent="0.2">
      <c r="A24" s="18" t="s">
        <v>100</v>
      </c>
      <c r="B24" s="19" t="s">
        <v>82</v>
      </c>
      <c r="C24" s="19" t="s">
        <v>83</v>
      </c>
      <c r="D24" s="19" t="s">
        <v>84</v>
      </c>
      <c r="E24" s="19" t="s">
        <v>85</v>
      </c>
      <c r="F24" s="19" t="s">
        <v>86</v>
      </c>
      <c r="G24" s="19" t="s">
        <v>87</v>
      </c>
      <c r="H24" s="19" t="s">
        <v>88</v>
      </c>
      <c r="I24" s="19" t="s">
        <v>198</v>
      </c>
      <c r="J24" s="19" t="s">
        <v>89</v>
      </c>
      <c r="K24" s="19" t="s">
        <v>90</v>
      </c>
      <c r="L24" s="19" t="s">
        <v>91</v>
      </c>
      <c r="M24" s="19" t="s">
        <v>92</v>
      </c>
      <c r="N24" s="41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s="24" customFormat="1" ht="12" x14ac:dyDescent="0.2">
      <c r="A25" s="21" t="s">
        <v>93</v>
      </c>
      <c r="B25" s="22">
        <f>+'HAB-POR EC Bs'!B24/'HAB-POR EC M$'!$B$6/$C$6</f>
        <v>0.31617936507936506</v>
      </c>
      <c r="C25" s="22">
        <f>+'HAB-POR EC Bs'!C24/'HAB-POR EC M$'!$B$6/$C$6</f>
        <v>0.58814920634920631</v>
      </c>
      <c r="D25" s="22">
        <f>+'HAB-POR EC Bs'!D24/'HAB-POR EC M$'!$D$6/$C$6</f>
        <v>0.82962483499999995</v>
      </c>
      <c r="E25" s="22">
        <f>+'HAB-POR EC Bs'!E24/'HAB-POR EC M$'!$D$6/$C$6</f>
        <v>1.0998361970000001</v>
      </c>
      <c r="F25" s="22">
        <f>+'HAB-POR EC Bs'!F24/'HAB-POR EC M$'!$D$6/$C$6</f>
        <v>1.3709286729999999</v>
      </c>
      <c r="G25" s="22">
        <f>+'HAB-POR EC Bs'!G24/'HAB-POR EC M$'!$D$6/$C$6</f>
        <v>1.7069539229999997</v>
      </c>
      <c r="H25" s="22">
        <f>+'HAB-POR EC Bs'!H24/'HAB-POR EC M$'!$D$6/$C$6</f>
        <v>2.0974830080000002</v>
      </c>
      <c r="I25" s="22">
        <f>+'HAB-POR EC Bs'!I24/'HAB-POR EC M$'!$D$6/$C$6</f>
        <v>2.4644174800000003</v>
      </c>
      <c r="J25" s="22">
        <f>+'HAB-POR EC Bs'!J24/'HAB-POR EC M$'!$D$6/$C$6</f>
        <v>3.011799313</v>
      </c>
      <c r="K25" s="22">
        <f>+'HAB-POR EC Bs'!K24/'HAB-POR EC M$'!$D$6/$C$6</f>
        <v>3.5766327050000002</v>
      </c>
      <c r="L25" s="22">
        <f>+'HAB-POR EC Bs'!L24/'HAB-POR EC M$'!$D$6/$C$6</f>
        <v>3.5766327050000002</v>
      </c>
      <c r="M25" s="22">
        <f>+'HAB-POR EC Bs'!M24/'HAB-POR EC M$'!$D$6/$C$6</f>
        <v>0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s="24" customFormat="1" ht="12" x14ac:dyDescent="0.2">
      <c r="A26" s="21" t="s">
        <v>94</v>
      </c>
      <c r="B26" s="22">
        <f>+'HAB-POR EC Bs'!B25/'HAB-POR EC M$'!$B$6/$C$6</f>
        <v>9.9466666666666675E-2</v>
      </c>
      <c r="C26" s="22">
        <f>+'HAB-POR EC Bs'!C25/'HAB-POR EC M$'!$B$6/$C$6</f>
        <v>0.15486031746031748</v>
      </c>
      <c r="D26" s="22">
        <f>+'HAB-POR EC Bs'!D25/'HAB-POR EC M$'!$D$6/$C$6</f>
        <v>0.181449217</v>
      </c>
      <c r="E26" s="22">
        <f>+'HAB-POR EC Bs'!E25/'HAB-POR EC M$'!$D$6/$C$6</f>
        <v>0.28868176800000006</v>
      </c>
      <c r="F26" s="22">
        <f>+'HAB-POR EC Bs'!F25/'HAB-POR EC M$'!$D$6/$C$6</f>
        <v>0.49802762700000003</v>
      </c>
      <c r="G26" s="22">
        <f>+'HAB-POR EC Bs'!G25/'HAB-POR EC M$'!$D$6/$C$6</f>
        <v>0.72792057700000001</v>
      </c>
      <c r="H26" s="22">
        <f>+'HAB-POR EC Bs'!H25/'HAB-POR EC M$'!$D$6/$C$6</f>
        <v>0.90676481200000003</v>
      </c>
      <c r="I26" s="22">
        <f>+'HAB-POR EC Bs'!I25/'HAB-POR EC M$'!$D$6/$C$6</f>
        <v>1.1447099469999997</v>
      </c>
      <c r="J26" s="22">
        <f>+'HAB-POR EC Bs'!J25/'HAB-POR EC M$'!$D$6/$C$6</f>
        <v>7.0719664800000004</v>
      </c>
      <c r="K26" s="22">
        <f>+'HAB-POR EC Bs'!K25/'HAB-POR EC M$'!$D$6/$C$6</f>
        <v>7.4236323710000001</v>
      </c>
      <c r="L26" s="22">
        <f>+'HAB-POR EC Bs'!L25/'HAB-POR EC M$'!$D$6/$C$6</f>
        <v>7.4236323710000001</v>
      </c>
      <c r="M26" s="22">
        <f>+'HAB-POR EC Bs'!M25/'HAB-POR EC M$'!$D$6/$C$6</f>
        <v>0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4" customFormat="1" ht="12" x14ac:dyDescent="0.2">
      <c r="A27" s="21" t="s">
        <v>95</v>
      </c>
      <c r="B27" s="22">
        <f>+'HAB-POR EC Bs'!B26/'HAB-POR EC M$'!$B$6/$C$6</f>
        <v>0</v>
      </c>
      <c r="C27" s="22">
        <f>+'HAB-POR EC Bs'!C26/'HAB-POR EC M$'!$B$6/$C$6</f>
        <v>0</v>
      </c>
      <c r="D27" s="22">
        <f>+'HAB-POR EC Bs'!D26/'HAB-POR EC M$'!$D$6/$C$6</f>
        <v>4.0000000000000001E-3</v>
      </c>
      <c r="E27" s="22">
        <f>+'HAB-POR EC Bs'!E26/'HAB-POR EC M$'!$D$6/$C$6</f>
        <v>4.0000000000000001E-3</v>
      </c>
      <c r="F27" s="22">
        <f>+'HAB-POR EC Bs'!F26/'HAB-POR EC M$'!$D$6/$C$6</f>
        <v>4.0000000000000001E-3</v>
      </c>
      <c r="G27" s="22">
        <f>+'HAB-POR EC Bs'!G26/'HAB-POR EC M$'!$D$6/$C$6</f>
        <v>4.0000000000000001E-3</v>
      </c>
      <c r="H27" s="22">
        <f>+'HAB-POR EC Bs'!H26/'HAB-POR EC M$'!$D$6/$C$6</f>
        <v>4.45E-3</v>
      </c>
      <c r="I27" s="22">
        <f>+'HAB-POR EC Bs'!I26/'HAB-POR EC M$'!$D$6/$C$6</f>
        <v>4.45E-3</v>
      </c>
      <c r="J27" s="22">
        <f>+'HAB-POR EC Bs'!J26/'HAB-POR EC M$'!$D$6/$C$6</f>
        <v>0.31832800000000006</v>
      </c>
      <c r="K27" s="22">
        <f>+'HAB-POR EC Bs'!K26/'HAB-POR EC M$'!$D$6/$C$6</f>
        <v>0.31832800000000006</v>
      </c>
      <c r="L27" s="22">
        <f>+'HAB-POR EC Bs'!L26/'HAB-POR EC M$'!$D$6/$C$6</f>
        <v>0.31832800000000006</v>
      </c>
      <c r="M27" s="22">
        <f>+'HAB-POR EC Bs'!M26/'HAB-POR EC M$'!$D$6/$C$6</f>
        <v>0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s="24" customFormat="1" ht="12" x14ac:dyDescent="0.2">
      <c r="A28" s="21" t="s">
        <v>96</v>
      </c>
      <c r="B28" s="22">
        <f>+'HAB-POR EC Bs'!B27/'HAB-POR EC M$'!$B$6/$C$6</f>
        <v>0.27831587301587302</v>
      </c>
      <c r="C28" s="22">
        <f>+'HAB-POR EC Bs'!C27/'HAB-POR EC M$'!$B$6/$C$6</f>
        <v>0.84874126984126985</v>
      </c>
      <c r="D28" s="22">
        <f>+'HAB-POR EC Bs'!D27/'HAB-POR EC M$'!$D$6/$C$6</f>
        <v>0.71010289400000004</v>
      </c>
      <c r="E28" s="22">
        <f>+'HAB-POR EC Bs'!E27/'HAB-POR EC M$'!$D$6/$C$6</f>
        <v>0.88379171800000011</v>
      </c>
      <c r="F28" s="22">
        <f>+'HAB-POR EC Bs'!F27/'HAB-POR EC M$'!$D$6/$C$6</f>
        <v>1.1110219050000001</v>
      </c>
      <c r="G28" s="22">
        <f>+'HAB-POR EC Bs'!G27/'HAB-POR EC M$'!$D$6/$C$6</f>
        <v>1.185018906</v>
      </c>
      <c r="H28" s="22">
        <f>+'HAB-POR EC Bs'!H27/'HAB-POR EC M$'!$D$6/$C$6</f>
        <v>1.3957184869999999</v>
      </c>
      <c r="I28" s="22">
        <f>+'HAB-POR EC Bs'!I27/'HAB-POR EC M$'!$D$6/$C$6</f>
        <v>1.607782754</v>
      </c>
      <c r="J28" s="22">
        <f>+'HAB-POR EC Bs'!J27/'HAB-POR EC M$'!$D$6/$C$6</f>
        <v>1.8163963449999998</v>
      </c>
      <c r="K28" s="22">
        <f>+'HAB-POR EC Bs'!K27/'HAB-POR EC M$'!$D$6/$C$6</f>
        <v>2.5646430599999999</v>
      </c>
      <c r="L28" s="22">
        <f>+'HAB-POR EC Bs'!L27/'HAB-POR EC M$'!$D$6/$C$6</f>
        <v>2.5996473920000001</v>
      </c>
      <c r="M28" s="22">
        <f>+'HAB-POR EC Bs'!M27/'HAB-POR EC M$'!$D$6/$C$6</f>
        <v>0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s="24" customFormat="1" ht="12" x14ac:dyDescent="0.2">
      <c r="A29" s="21" t="s">
        <v>97</v>
      </c>
      <c r="B29" s="22">
        <f>+'HAB-POR EC Bs'!B28/'HAB-POR EC M$'!$B$6/$C$6</f>
        <v>0</v>
      </c>
      <c r="C29" s="22">
        <f>+'HAB-POR EC Bs'!C28/'HAB-POR EC M$'!$B$6/$C$6</f>
        <v>0</v>
      </c>
      <c r="D29" s="22">
        <f>+'HAB-POR EC Bs'!D28/'HAB-POR EC M$'!$D$6/$C$6</f>
        <v>0</v>
      </c>
      <c r="E29" s="22">
        <f>+'HAB-POR EC Bs'!E28/'HAB-POR EC M$'!$D$6/$C$6</f>
        <v>0</v>
      </c>
      <c r="F29" s="22">
        <f>+'HAB-POR EC Bs'!F28/'HAB-POR EC M$'!$D$6/$C$6</f>
        <v>0</v>
      </c>
      <c r="G29" s="22">
        <f>+'HAB-POR EC Bs'!G28/'HAB-POR EC M$'!$D$6/$C$6</f>
        <v>0</v>
      </c>
      <c r="H29" s="22">
        <f>+'HAB-POR EC Bs'!H28/'HAB-POR EC M$'!$D$6/$C$6</f>
        <v>0</v>
      </c>
      <c r="I29" s="22">
        <f>+'HAB-POR EC Bs'!I28/'HAB-POR EC M$'!$D$6/$C$6</f>
        <v>0</v>
      </c>
      <c r="J29" s="22">
        <f>+'HAB-POR EC Bs'!J28/'HAB-POR EC M$'!$D$6/$C$6</f>
        <v>0</v>
      </c>
      <c r="K29" s="22">
        <f>+'HAB-POR EC Bs'!K28/'HAB-POR EC M$'!$D$6/$C$6</f>
        <v>0</v>
      </c>
      <c r="L29" s="22">
        <f>+'HAB-POR EC Bs'!L28/'HAB-POR EC M$'!$D$6/$C$6</f>
        <v>0</v>
      </c>
      <c r="M29" s="22">
        <f>+'HAB-POR EC Bs'!M28/'HAB-POR EC M$'!$D$6/$C$6</f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s="32" customFormat="1" ht="12" x14ac:dyDescent="0.2">
      <c r="A30" s="30" t="s">
        <v>98</v>
      </c>
      <c r="B30" s="31">
        <f>SUM(B25:B29)</f>
        <v>0.69396190476190478</v>
      </c>
      <c r="C30" s="31">
        <f t="shared" ref="C30:M30" si="2">SUM(C25:C29)</f>
        <v>1.5917507936507937</v>
      </c>
      <c r="D30" s="31">
        <f>SUM(D25:D29)</f>
        <v>1.7251769459999999</v>
      </c>
      <c r="E30" s="31">
        <f t="shared" si="2"/>
        <v>2.276309683</v>
      </c>
      <c r="F30" s="31">
        <f t="shared" si="2"/>
        <v>2.9839782049999997</v>
      </c>
      <c r="G30" s="31">
        <f t="shared" si="2"/>
        <v>3.6238934059999997</v>
      </c>
      <c r="H30" s="31">
        <f t="shared" si="2"/>
        <v>4.404416307</v>
      </c>
      <c r="I30" s="31">
        <f t="shared" si="2"/>
        <v>5.2213601809999997</v>
      </c>
      <c r="J30" s="31">
        <f t="shared" si="2"/>
        <v>12.218490138</v>
      </c>
      <c r="K30" s="31">
        <f t="shared" si="2"/>
        <v>13.883236135999999</v>
      </c>
      <c r="L30" s="31">
        <f t="shared" si="2"/>
        <v>13.918240467999999</v>
      </c>
      <c r="M30" s="31">
        <f t="shared" si="2"/>
        <v>0</v>
      </c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s="24" customFormat="1" ht="12" x14ac:dyDescent="0.2">
      <c r="A31" s="51"/>
      <c r="B31" s="52"/>
      <c r="C31" s="45"/>
      <c r="D31" s="45"/>
      <c r="E31" s="45"/>
      <c r="F31" s="45"/>
      <c r="G31" s="45"/>
      <c r="H31" s="22">
        <f>'HAB-POR EC Bs'!H30/1000/6.3</f>
        <v>0</v>
      </c>
      <c r="I31" s="46"/>
      <c r="J31" s="46"/>
      <c r="K31" s="29"/>
      <c r="L31" s="46"/>
      <c r="M31" s="46"/>
      <c r="O31" s="53"/>
    </row>
    <row r="32" spans="1:26" s="47" customFormat="1" x14ac:dyDescent="0.2">
      <c r="A32" s="18" t="s">
        <v>101</v>
      </c>
      <c r="B32" s="19" t="s">
        <v>82</v>
      </c>
      <c r="C32" s="19" t="s">
        <v>83</v>
      </c>
      <c r="D32" s="19" t="s">
        <v>84</v>
      </c>
      <c r="E32" s="19" t="s">
        <v>85</v>
      </c>
      <c r="F32" s="19" t="s">
        <v>86</v>
      </c>
      <c r="G32" s="19" t="s">
        <v>87</v>
      </c>
      <c r="H32" s="19" t="s">
        <v>88</v>
      </c>
      <c r="I32" s="19" t="s">
        <v>198</v>
      </c>
      <c r="J32" s="19" t="s">
        <v>89</v>
      </c>
      <c r="K32" s="19" t="s">
        <v>90</v>
      </c>
      <c r="L32" s="19" t="s">
        <v>91</v>
      </c>
      <c r="M32" s="19" t="s">
        <v>92</v>
      </c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s="24" customFormat="1" ht="12" x14ac:dyDescent="0.2">
      <c r="A33" s="21" t="s">
        <v>93</v>
      </c>
      <c r="B33" s="22">
        <f>+'HAB-POR EC Bs'!B32/'HAB-POR EC M$'!$B$6/$C$6</f>
        <v>1.2904761904761905E-2</v>
      </c>
      <c r="C33" s="22">
        <f>+'HAB-POR EC Bs'!C32/'HAB-POR EC M$'!$B$6/$C$6</f>
        <v>1.2904761904761905E-2</v>
      </c>
      <c r="D33" s="22">
        <f>+'HAB-POR EC Bs'!D32/'HAB-POR EC M$'!$D$6/$C$6</f>
        <v>8.1304010000000006E-3</v>
      </c>
      <c r="E33" s="22">
        <f>+'HAB-POR EC Bs'!E32/'HAB-POR EC M$'!$D$6/$C$6</f>
        <v>0</v>
      </c>
      <c r="F33" s="22">
        <f>+'HAB-POR EC Bs'!F32/'HAB-POR EC M$'!$D$6/$C$6</f>
        <v>0</v>
      </c>
      <c r="G33" s="22">
        <f>+'HAB-POR EC Bs'!G32/'HAB-POR EC M$'!$D$6/$C$6</f>
        <v>0</v>
      </c>
      <c r="H33" s="22">
        <f>+'HAB-POR EC Bs'!H32/'HAB-POR EC M$'!$D$6/$C$6</f>
        <v>0</v>
      </c>
      <c r="I33" s="22">
        <f>+'HAB-POR EC Bs'!I32/'HAB-POR EC M$'!$D$6/$C$6</f>
        <v>0</v>
      </c>
      <c r="J33" s="22">
        <f>+'HAB-POR EC Bs'!J32/'HAB-POR EC M$'!$D$6/$C$6</f>
        <v>0</v>
      </c>
      <c r="K33" s="22">
        <f>+'HAB-POR EC Bs'!K32/'HAB-POR EC M$'!$D$6/$C$6</f>
        <v>0</v>
      </c>
      <c r="L33" s="22">
        <f>+'HAB-POR EC Bs'!L32/'HAB-POR EC M$'!$D$6/$C$6</f>
        <v>0</v>
      </c>
      <c r="M33" s="22">
        <f>+'HAB-POR EC Bs'!M32/'HAB-POR EC M$'!$D$6/$C$6</f>
        <v>0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s="24" customFormat="1" ht="12" x14ac:dyDescent="0.2">
      <c r="A34" s="21" t="s">
        <v>94</v>
      </c>
      <c r="B34" s="22">
        <f>+'HAB-POR EC Bs'!B33/'HAB-POR EC M$'!$B$6/$C$6</f>
        <v>2.6920634920634921E-3</v>
      </c>
      <c r="C34" s="22">
        <f>+'HAB-POR EC Bs'!C33/'HAB-POR EC M$'!$B$6/$C$6</f>
        <v>2.6920634920634921E-3</v>
      </c>
      <c r="D34" s="22">
        <f>+'HAB-POR EC Bs'!D33/'HAB-POR EC M$'!$D$6/$C$6</f>
        <v>1.6962409999999998E-3</v>
      </c>
      <c r="E34" s="22">
        <f>+'HAB-POR EC Bs'!E33/'HAB-POR EC M$'!$D$6/$C$6</f>
        <v>0</v>
      </c>
      <c r="F34" s="22">
        <f>+'HAB-POR EC Bs'!F33/'HAB-POR EC M$'!$D$6/$C$6</f>
        <v>0</v>
      </c>
      <c r="G34" s="22">
        <f>+'HAB-POR EC Bs'!G33/'HAB-POR EC M$'!$D$6/$C$6</f>
        <v>0</v>
      </c>
      <c r="H34" s="22">
        <f>+'HAB-POR EC Bs'!H33/'HAB-POR EC M$'!$D$6/$C$6</f>
        <v>0</v>
      </c>
      <c r="I34" s="22">
        <f>+'HAB-POR EC Bs'!I33/'HAB-POR EC M$'!$D$6/$C$6</f>
        <v>0</v>
      </c>
      <c r="J34" s="22">
        <f>+'HAB-POR EC Bs'!J33/'HAB-POR EC M$'!$D$6/$C$6</f>
        <v>0</v>
      </c>
      <c r="K34" s="22">
        <f>+'HAB-POR EC Bs'!K33/'HAB-POR EC M$'!$D$6/$C$6</f>
        <v>0</v>
      </c>
      <c r="L34" s="22">
        <f>+'HAB-POR EC Bs'!L33/'HAB-POR EC M$'!$D$6/$C$6</f>
        <v>0</v>
      </c>
      <c r="M34" s="22">
        <f>+'HAB-POR EC Bs'!M33/'HAB-POR EC M$'!$D$6/$C$6</f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4" customFormat="1" ht="12" x14ac:dyDescent="0.2">
      <c r="A35" s="21" t="s">
        <v>95</v>
      </c>
      <c r="B35" s="22">
        <f>+'HAB-POR EC Bs'!B34/'HAB-POR EC M$'!$B$6/$C$6</f>
        <v>0</v>
      </c>
      <c r="C35" s="22">
        <f>+'HAB-POR EC Bs'!C34/'HAB-POR EC M$'!$B$6/$C$6</f>
        <v>0</v>
      </c>
      <c r="D35" s="22">
        <f>+'HAB-POR EC Bs'!D34/'HAB-POR EC M$'!$D$6/$C$6</f>
        <v>0</v>
      </c>
      <c r="E35" s="22">
        <f>+'HAB-POR EC Bs'!E34/'HAB-POR EC M$'!$D$6/$C$6</f>
        <v>0</v>
      </c>
      <c r="F35" s="22">
        <f>+'HAB-POR EC Bs'!F34/'HAB-POR EC M$'!$D$6/$C$6</f>
        <v>0</v>
      </c>
      <c r="G35" s="22">
        <f>+'HAB-POR EC Bs'!G34/'HAB-POR EC M$'!$D$6/$C$6</f>
        <v>0</v>
      </c>
      <c r="H35" s="22">
        <f>+'HAB-POR EC Bs'!H34/'HAB-POR EC M$'!$D$6/$C$6</f>
        <v>0</v>
      </c>
      <c r="I35" s="22">
        <f>+'HAB-POR EC Bs'!I34/'HAB-POR EC M$'!$D$6/$C$6</f>
        <v>0</v>
      </c>
      <c r="J35" s="22">
        <f>+'HAB-POR EC Bs'!J34/'HAB-POR EC M$'!$D$6/$C$6</f>
        <v>2.3999999999999998E-3</v>
      </c>
      <c r="K35" s="22">
        <f>+'HAB-POR EC Bs'!K34/'HAB-POR EC M$'!$D$6/$C$6</f>
        <v>2.3999999999999998E-3</v>
      </c>
      <c r="L35" s="22">
        <f>+'HAB-POR EC Bs'!L34/'HAB-POR EC M$'!$D$6/$C$6</f>
        <v>2.3999999999999998E-3</v>
      </c>
      <c r="M35" s="22">
        <f>+'HAB-POR EC Bs'!M34/'HAB-POR EC M$'!$D$6/$C$6</f>
        <v>0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s="24" customFormat="1" ht="12" x14ac:dyDescent="0.2">
      <c r="A36" s="21" t="s">
        <v>96</v>
      </c>
      <c r="B36" s="22">
        <f>+'HAB-POR EC Bs'!B35/'HAB-POR EC M$'!$B$6/$C$6</f>
        <v>7.7642857142857138E-2</v>
      </c>
      <c r="C36" s="22">
        <f>+'HAB-POR EC Bs'!C35/'HAB-POR EC M$'!$B$6/$C$6</f>
        <v>0.14536666666666667</v>
      </c>
      <c r="D36" s="22">
        <f>+'HAB-POR EC Bs'!D35/'HAB-POR EC M$'!$D$6/$C$6</f>
        <v>0.12766118500000001</v>
      </c>
      <c r="E36" s="22">
        <f>+'HAB-POR EC Bs'!E35/'HAB-POR EC M$'!$D$6/$C$6</f>
        <v>-1.1242664000000001E-2</v>
      </c>
      <c r="F36" s="22">
        <f>+'HAB-POR EC Bs'!F35/'HAB-POR EC M$'!$D$6/$C$6</f>
        <v>0.11292163200000001</v>
      </c>
      <c r="G36" s="22">
        <f>+'HAB-POR EC Bs'!G35/'HAB-POR EC M$'!$D$6/$C$6</f>
        <v>0.19297603199999999</v>
      </c>
      <c r="H36" s="22">
        <f>+'HAB-POR EC Bs'!H35/'HAB-POR EC M$'!$D$6/$C$6</f>
        <v>0.270448032</v>
      </c>
      <c r="I36" s="22">
        <f>+'HAB-POR EC Bs'!I35/'HAB-POR EC M$'!$D$6/$C$6</f>
        <v>0.34740243199999998</v>
      </c>
      <c r="J36" s="22">
        <f>+'HAB-POR EC Bs'!J35/'HAB-POR EC M$'!$D$6/$C$6</f>
        <v>0.42799870700000003</v>
      </c>
      <c r="K36" s="22">
        <f>+'HAB-POR EC Bs'!K35/'HAB-POR EC M$'!$D$6/$C$6</f>
        <v>0.60758933800000003</v>
      </c>
      <c r="L36" s="22">
        <f>+'HAB-POR EC Bs'!L35/'HAB-POR EC M$'!$D$6/$C$6</f>
        <v>0.60758933800000003</v>
      </c>
      <c r="M36" s="22">
        <f>+'HAB-POR EC Bs'!M35/'HAB-POR EC M$'!$D$6/$C$6</f>
        <v>0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s="24" customFormat="1" ht="12" x14ac:dyDescent="0.2">
      <c r="A37" s="21" t="s">
        <v>97</v>
      </c>
      <c r="B37" s="22">
        <f>+'HAB-POR EC Bs'!B36/'HAB-POR EC M$'!$B$6/$C$6</f>
        <v>0</v>
      </c>
      <c r="C37" s="22">
        <f>+'HAB-POR EC Bs'!C36/'HAB-POR EC M$'!$B$6/$C$6</f>
        <v>0</v>
      </c>
      <c r="D37" s="22">
        <f>+'HAB-POR EC Bs'!D36/'HAB-POR EC M$'!$D$6/$C$6</f>
        <v>0</v>
      </c>
      <c r="E37" s="22">
        <f>+'HAB-POR EC Bs'!E36/'HAB-POR EC M$'!$D$6/$C$6</f>
        <v>0</v>
      </c>
      <c r="F37" s="22">
        <f>+'HAB-POR EC Bs'!F36/'HAB-POR EC M$'!$D$6/$C$6</f>
        <v>0</v>
      </c>
      <c r="G37" s="22">
        <f>+'HAB-POR EC Bs'!G36/'HAB-POR EC M$'!$D$6/$C$6</f>
        <v>0</v>
      </c>
      <c r="H37" s="22">
        <f>+'HAB-POR EC Bs'!H36/'HAB-POR EC M$'!$D$6/$C$6</f>
        <v>0</v>
      </c>
      <c r="I37" s="22">
        <f>+'HAB-POR EC Bs'!I36/'HAB-POR EC M$'!$D$6/$C$6</f>
        <v>0</v>
      </c>
      <c r="J37" s="22">
        <f>+'HAB-POR EC Bs'!J36/'HAB-POR EC M$'!$D$6/$C$6</f>
        <v>0</v>
      </c>
      <c r="K37" s="22">
        <f>+'HAB-POR EC Bs'!K36/'HAB-POR EC M$'!$D$6/$C$6</f>
        <v>0</v>
      </c>
      <c r="L37" s="22">
        <f>+'HAB-POR EC Bs'!L36/'HAB-POR EC M$'!$D$6/$C$6</f>
        <v>0</v>
      </c>
      <c r="M37" s="22">
        <f>+'HAB-POR EC Bs'!M36/'HAB-POR EC M$'!$D$6/$C$6</f>
        <v>0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s="32" customFormat="1" ht="12" x14ac:dyDescent="0.2">
      <c r="A38" s="30" t="s">
        <v>98</v>
      </c>
      <c r="B38" s="31">
        <f>SUM(B33:B37)</f>
        <v>9.3239682539682539E-2</v>
      </c>
      <c r="C38" s="31">
        <f t="shared" ref="C38:M38" si="3">SUM(C33:C37)</f>
        <v>0.16096349206349206</v>
      </c>
      <c r="D38" s="31">
        <f>SUM(D33:D37)</f>
        <v>0.13748782700000001</v>
      </c>
      <c r="E38" s="31">
        <f t="shared" si="3"/>
        <v>-1.1242664000000001E-2</v>
      </c>
      <c r="F38" s="31">
        <f t="shared" si="3"/>
        <v>0.11292163200000001</v>
      </c>
      <c r="G38" s="31">
        <f t="shared" si="3"/>
        <v>0.19297603199999999</v>
      </c>
      <c r="H38" s="31">
        <f t="shared" si="3"/>
        <v>0.270448032</v>
      </c>
      <c r="I38" s="31">
        <f t="shared" si="3"/>
        <v>0.34740243199999998</v>
      </c>
      <c r="J38" s="31">
        <f t="shared" si="3"/>
        <v>0.43039870700000005</v>
      </c>
      <c r="K38" s="31">
        <f t="shared" si="3"/>
        <v>0.60998933799999999</v>
      </c>
      <c r="L38" s="31">
        <f t="shared" si="3"/>
        <v>0.60998933799999999</v>
      </c>
      <c r="M38" s="31">
        <f t="shared" si="3"/>
        <v>0</v>
      </c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s="24" customFormat="1" ht="12" x14ac:dyDescent="0.2">
      <c r="A39" s="51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26" s="47" customFormat="1" x14ac:dyDescent="0.2">
      <c r="A40" s="18" t="s">
        <v>102</v>
      </c>
      <c r="B40" s="19" t="s">
        <v>82</v>
      </c>
      <c r="C40" s="19" t="s">
        <v>83</v>
      </c>
      <c r="D40" s="19" t="s">
        <v>84</v>
      </c>
      <c r="E40" s="19" t="s">
        <v>85</v>
      </c>
      <c r="F40" s="19" t="s">
        <v>86</v>
      </c>
      <c r="G40" s="19" t="s">
        <v>87</v>
      </c>
      <c r="H40" s="19" t="s">
        <v>88</v>
      </c>
      <c r="I40" s="19" t="s">
        <v>198</v>
      </c>
      <c r="J40" s="19" t="s">
        <v>89</v>
      </c>
      <c r="K40" s="19" t="s">
        <v>90</v>
      </c>
      <c r="L40" s="19" t="s">
        <v>91</v>
      </c>
      <c r="M40" s="19" t="s">
        <v>92</v>
      </c>
      <c r="N40" s="41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s="24" customFormat="1" ht="12" x14ac:dyDescent="0.2">
      <c r="A41" s="21" t="s">
        <v>93</v>
      </c>
      <c r="B41" s="22">
        <f>+'HAB-POR EC Bs'!B40/'HAB-POR EC M$'!$B$6/$C$6</f>
        <v>0.20758253968253967</v>
      </c>
      <c r="C41" s="22">
        <f>+'HAB-POR EC Bs'!C40/'HAB-POR EC M$'!$B$6/$C$6</f>
        <v>0.42818571428571434</v>
      </c>
      <c r="D41" s="22">
        <f>+'HAB-POR EC Bs'!D40/'HAB-POR EC M$'!$D$6/$C$6</f>
        <v>0.73518402400000005</v>
      </c>
      <c r="E41" s="22">
        <f>+'HAB-POR EC Bs'!E40/'HAB-POR EC M$'!$D$6/$C$6</f>
        <v>0.99248089000000006</v>
      </c>
      <c r="F41" s="22">
        <f>+'HAB-POR EC Bs'!F40/'HAB-POR EC M$'!$D$6/$C$6</f>
        <v>1.2501299180000001</v>
      </c>
      <c r="G41" s="22">
        <f>+'HAB-POR EC Bs'!G40/'HAB-POR EC M$'!$D$6/$C$6</f>
        <v>1.4966578779999999</v>
      </c>
      <c r="H41" s="22">
        <f>+'HAB-POR EC Bs'!H40/'HAB-POR EC M$'!$D$6/$C$6</f>
        <v>1.7990031609999999</v>
      </c>
      <c r="I41" s="22">
        <f>+'HAB-POR EC Bs'!I40/'HAB-POR EC M$'!$D$6/$C$6</f>
        <v>2.1366889099999997</v>
      </c>
      <c r="J41" s="22">
        <f>+'HAB-POR EC Bs'!J40/'HAB-POR EC M$'!$D$6/$C$6</f>
        <v>2.640126752</v>
      </c>
      <c r="K41" s="22">
        <f>+'HAB-POR EC Bs'!K40/'HAB-POR EC M$'!$D$6/$C$6</f>
        <v>3.2005880069999999</v>
      </c>
      <c r="L41" s="22">
        <f>+'HAB-POR EC Bs'!L40/'HAB-POR EC M$'!$D$6/$C$6</f>
        <v>3.2005880069999999</v>
      </c>
      <c r="M41" s="22">
        <f>+'HAB-POR EC Bs'!M40/'HAB-POR EC M$'!$D$6/$C$6</f>
        <v>0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s="24" customFormat="1" ht="12" x14ac:dyDescent="0.2">
      <c r="A42" s="21" t="s">
        <v>94</v>
      </c>
      <c r="B42" s="22">
        <f>+'HAB-POR EC Bs'!B41/'HAB-POR EC M$'!$B$6/$C$6</f>
        <v>3.1685714285714289E-2</v>
      </c>
      <c r="C42" s="22">
        <f>+'HAB-POR EC Bs'!C41/'HAB-POR EC M$'!$B$6/$C$6</f>
        <v>8.181746031746033E-2</v>
      </c>
      <c r="D42" s="22">
        <f>+'HAB-POR EC Bs'!D41/'HAB-POR EC M$'!$D$6/$C$6</f>
        <v>0.11962122400000001</v>
      </c>
      <c r="E42" s="22">
        <f>+'HAB-POR EC Bs'!E41/'HAB-POR EC M$'!$D$6/$C$6</f>
        <v>0.206780255</v>
      </c>
      <c r="F42" s="22">
        <f>+'HAB-POR EC Bs'!F41/'HAB-POR EC M$'!$D$6/$C$6</f>
        <v>0.35769120499999996</v>
      </c>
      <c r="G42" s="22">
        <f>+'HAB-POR EC Bs'!G41/'HAB-POR EC M$'!$D$6/$C$6</f>
        <v>0.51601294600000003</v>
      </c>
      <c r="H42" s="22">
        <f>+'HAB-POR EC Bs'!H41/'HAB-POR EC M$'!$D$6/$C$6</f>
        <v>0.62292190300000005</v>
      </c>
      <c r="I42" s="22">
        <f>+'HAB-POR EC Bs'!I41/'HAB-POR EC M$'!$D$6/$C$6</f>
        <v>0.78923931199999997</v>
      </c>
      <c r="J42" s="22">
        <f>+'HAB-POR EC Bs'!J41/'HAB-POR EC M$'!$D$6/$C$6</f>
        <v>4.8156752230000004</v>
      </c>
      <c r="K42" s="22">
        <f>+'HAB-POR EC Bs'!K41/'HAB-POR EC M$'!$D$6/$C$6</f>
        <v>5.0854943979999998</v>
      </c>
      <c r="L42" s="22">
        <f>+'HAB-POR EC Bs'!L41/'HAB-POR EC M$'!$D$6/$C$6</f>
        <v>5.0854943979999998</v>
      </c>
      <c r="M42" s="22">
        <f>+'HAB-POR EC Bs'!M41/'HAB-POR EC M$'!$D$6/$C$6</f>
        <v>0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s="24" customFormat="1" ht="12" x14ac:dyDescent="0.2">
      <c r="A43" s="21" t="s">
        <v>95</v>
      </c>
      <c r="B43" s="22">
        <f>+'HAB-POR EC Bs'!B42/'HAB-POR EC M$'!$B$6/$C$6</f>
        <v>0</v>
      </c>
      <c r="C43" s="22">
        <f>+'HAB-POR EC Bs'!C42/'HAB-POR EC M$'!$B$6/$C$6</f>
        <v>1.2698412698412701E-4</v>
      </c>
      <c r="D43" s="22">
        <f>+'HAB-POR EC Bs'!D42/'HAB-POR EC M$'!$D$6/$C$6</f>
        <v>8.0000000000000007E-5</v>
      </c>
      <c r="E43" s="22">
        <f>+'HAB-POR EC Bs'!E42/'HAB-POR EC M$'!$D$6/$C$6</f>
        <v>8.0000000000000007E-5</v>
      </c>
      <c r="F43" s="22">
        <f>+'HAB-POR EC Bs'!F42/'HAB-POR EC M$'!$D$6/$C$6</f>
        <v>8.0000000000000007E-5</v>
      </c>
      <c r="G43" s="22">
        <f>+'HAB-POR EC Bs'!G42/'HAB-POR EC M$'!$D$6/$C$6</f>
        <v>8.0000000000000007E-5</v>
      </c>
      <c r="H43" s="22">
        <f>+'HAB-POR EC Bs'!H42/'HAB-POR EC M$'!$D$6/$C$6</f>
        <v>8.0000000000000007E-5</v>
      </c>
      <c r="I43" s="22">
        <f>+'HAB-POR EC Bs'!I42/'HAB-POR EC M$'!$D$6/$C$6</f>
        <v>8.0000000000000007E-5</v>
      </c>
      <c r="J43" s="22">
        <f>+'HAB-POR EC Bs'!J42/'HAB-POR EC M$'!$D$6/$C$6</f>
        <v>8.0000000000000007E-5</v>
      </c>
      <c r="K43" s="22">
        <f>+'HAB-POR EC Bs'!K42/'HAB-POR EC M$'!$D$6/$C$6</f>
        <v>8.0000000000000007E-5</v>
      </c>
      <c r="L43" s="22">
        <f>+'HAB-POR EC Bs'!L42/'HAB-POR EC M$'!$D$6/$C$6</f>
        <v>8.0000000000000007E-5</v>
      </c>
      <c r="M43" s="22">
        <f>+'HAB-POR EC Bs'!M42/'HAB-POR EC M$'!$D$6/$C$6</f>
        <v>0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s="24" customFormat="1" ht="12" x14ac:dyDescent="0.2">
      <c r="A44" s="21" t="s">
        <v>96</v>
      </c>
      <c r="B44" s="22">
        <f>+'HAB-POR EC Bs'!B43/'HAB-POR EC M$'!$B$6/$C$6</f>
        <v>3.1649206349206351E-2</v>
      </c>
      <c r="C44" s="22">
        <f>+'HAB-POR EC Bs'!C43/'HAB-POR EC M$'!$B$6/$C$6</f>
        <v>8.753650793650794E-2</v>
      </c>
      <c r="D44" s="22">
        <f>+'HAB-POR EC Bs'!D43/'HAB-POR EC M$'!$D$6/$C$6</f>
        <v>5.5440494E-2</v>
      </c>
      <c r="E44" s="22">
        <f>+'HAB-POR EC Bs'!E43/'HAB-POR EC M$'!$D$6/$C$6</f>
        <v>9.5929451999999998E-2</v>
      </c>
      <c r="F44" s="22">
        <f>+'HAB-POR EC Bs'!F43/'HAB-POR EC M$'!$D$6/$C$6</f>
        <v>0.122097919</v>
      </c>
      <c r="G44" s="22">
        <f>+'HAB-POR EC Bs'!G43/'HAB-POR EC M$'!$D$6/$C$6</f>
        <v>0.22430203299999998</v>
      </c>
      <c r="H44" s="22">
        <f>+'HAB-POR EC Bs'!H43/'HAB-POR EC M$'!$D$6/$C$6</f>
        <v>0.21255054400000001</v>
      </c>
      <c r="I44" s="22">
        <f>+'HAB-POR EC Bs'!I43/'HAB-POR EC M$'!$D$6/$C$6</f>
        <v>0.26466221600000001</v>
      </c>
      <c r="J44" s="22">
        <f>+'HAB-POR EC Bs'!J43/'HAB-POR EC M$'!$D$6/$C$6</f>
        <v>0.28671209800000003</v>
      </c>
      <c r="K44" s="22">
        <f>+'HAB-POR EC Bs'!K43/'HAB-POR EC M$'!$D$6/$C$6</f>
        <v>0.69484330799999994</v>
      </c>
      <c r="L44" s="22">
        <f>+'HAB-POR EC Bs'!L43/'HAB-POR EC M$'!$D$6/$C$6</f>
        <v>0.73478191399999992</v>
      </c>
      <c r="M44" s="22">
        <f>+'HAB-POR EC Bs'!M43/'HAB-POR EC M$'!$D$6/$C$6</f>
        <v>0</v>
      </c>
      <c r="N44" s="39"/>
      <c r="O44" s="39"/>
      <c r="P44" s="50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s="24" customFormat="1" ht="12" x14ac:dyDescent="0.2">
      <c r="A45" s="21" t="s">
        <v>97</v>
      </c>
      <c r="B45" s="22">
        <f>+'HAB-POR EC Bs'!B44/'HAB-POR EC M$'!$B$6/$C$6</f>
        <v>0</v>
      </c>
      <c r="C45" s="22">
        <f>+'HAB-POR EC Bs'!C44/'HAB-POR EC M$'!$B$6/$C$6</f>
        <v>0</v>
      </c>
      <c r="D45" s="22">
        <f>+'HAB-POR EC Bs'!D44/'HAB-POR EC M$'!$D$6/$C$6</f>
        <v>0</v>
      </c>
      <c r="E45" s="22">
        <f>+'HAB-POR EC Bs'!E44/'HAB-POR EC M$'!$D$6/$C$6</f>
        <v>0</v>
      </c>
      <c r="F45" s="22">
        <f>+'HAB-POR EC Bs'!F44/'HAB-POR EC M$'!$D$6/$C$6</f>
        <v>0</v>
      </c>
      <c r="G45" s="22">
        <f>+'HAB-POR EC Bs'!G44/'HAB-POR EC M$'!$D$6/$C$6</f>
        <v>0</v>
      </c>
      <c r="H45" s="22">
        <f>+'HAB-POR EC Bs'!H44/'HAB-POR EC M$'!$D$6/$C$6</f>
        <v>0</v>
      </c>
      <c r="I45" s="22">
        <f>+'HAB-POR EC Bs'!I44/'HAB-POR EC M$'!$D$6/$C$6</f>
        <v>0</v>
      </c>
      <c r="J45" s="22">
        <f>+'HAB-POR EC Bs'!J44/'HAB-POR EC M$'!$D$6/$C$6</f>
        <v>0</v>
      </c>
      <c r="K45" s="22">
        <f>+'HAB-POR EC Bs'!K44/'HAB-POR EC M$'!$D$6/$C$6</f>
        <v>0</v>
      </c>
      <c r="L45" s="22">
        <f>+'HAB-POR EC Bs'!L44/'HAB-POR EC M$'!$D$6/$C$6</f>
        <v>0</v>
      </c>
      <c r="M45" s="22">
        <f>+'HAB-POR EC Bs'!M44/'HAB-POR EC M$'!$D$6/$C$6</f>
        <v>0</v>
      </c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s="32" customFormat="1" ht="12" x14ac:dyDescent="0.2">
      <c r="A46" s="30" t="s">
        <v>98</v>
      </c>
      <c r="B46" s="31">
        <f>SUM(B41:B45)</f>
        <v>0.27091746031746033</v>
      </c>
      <c r="C46" s="31">
        <f t="shared" ref="C46:M46" si="4">SUM(C41:C45)</f>
        <v>0.59766666666666668</v>
      </c>
      <c r="D46" s="31">
        <f>SUM(D41:D45)</f>
        <v>0.91032574199999994</v>
      </c>
      <c r="E46" s="31">
        <f t="shared" si="4"/>
        <v>1.2952705970000002</v>
      </c>
      <c r="F46" s="31">
        <f t="shared" si="4"/>
        <v>1.729999042</v>
      </c>
      <c r="G46" s="31">
        <f t="shared" si="4"/>
        <v>2.2370528569999997</v>
      </c>
      <c r="H46" s="31">
        <f t="shared" si="4"/>
        <v>2.6345556079999999</v>
      </c>
      <c r="I46" s="31">
        <f t="shared" si="4"/>
        <v>3.1906704379999997</v>
      </c>
      <c r="J46" s="31">
        <f t="shared" si="4"/>
        <v>7.7425940729999994</v>
      </c>
      <c r="K46" s="31">
        <f t="shared" si="4"/>
        <v>8.9810057130000001</v>
      </c>
      <c r="L46" s="31">
        <f t="shared" si="4"/>
        <v>9.0209443189999998</v>
      </c>
      <c r="M46" s="31">
        <f t="shared" si="4"/>
        <v>0</v>
      </c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s="24" customFormat="1" ht="12" x14ac:dyDescent="0.2">
      <c r="A47" s="5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</row>
    <row r="48" spans="1:26" s="47" customFormat="1" x14ac:dyDescent="0.2">
      <c r="A48" s="18" t="s">
        <v>103</v>
      </c>
      <c r="B48" s="19" t="s">
        <v>82</v>
      </c>
      <c r="C48" s="19" t="s">
        <v>83</v>
      </c>
      <c r="D48" s="19" t="s">
        <v>84</v>
      </c>
      <c r="E48" s="19" t="s">
        <v>85</v>
      </c>
      <c r="F48" s="19" t="s">
        <v>86</v>
      </c>
      <c r="G48" s="19" t="s">
        <v>87</v>
      </c>
      <c r="H48" s="19" t="s">
        <v>88</v>
      </c>
      <c r="I48" s="19" t="s">
        <v>198</v>
      </c>
      <c r="J48" s="19" t="s">
        <v>89</v>
      </c>
      <c r="K48" s="19" t="s">
        <v>90</v>
      </c>
      <c r="L48" s="19" t="s">
        <v>91</v>
      </c>
      <c r="M48" s="19" t="s">
        <v>92</v>
      </c>
      <c r="N48" s="41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s="24" customFormat="1" ht="12" x14ac:dyDescent="0.2">
      <c r="A49" s="21" t="s">
        <v>93</v>
      </c>
      <c r="B49" s="22">
        <f>+'HAB-POR EC Bs'!B48/'HAB-POR EC M$'!$B$6/$C$6</f>
        <v>0.2713936507936508</v>
      </c>
      <c r="C49" s="22">
        <f>+'HAB-POR EC Bs'!C48/'HAB-POR EC M$'!$B$6/$C$6</f>
        <v>0.62513809523809527</v>
      </c>
      <c r="D49" s="22">
        <f>+'HAB-POR EC Bs'!D48/'HAB-POR EC M$'!$D$6/$C$6</f>
        <v>0.88907951699999987</v>
      </c>
      <c r="E49" s="22">
        <f>+'HAB-POR EC Bs'!E48/'HAB-POR EC M$'!$D$6/$C$6</f>
        <v>0.30102599300000005</v>
      </c>
      <c r="F49" s="22">
        <f>+'HAB-POR EC Bs'!F48/'HAB-POR EC M$'!$D$6/$C$6</f>
        <v>0.48266423999999997</v>
      </c>
      <c r="G49" s="22">
        <f>+'HAB-POR EC Bs'!G48/'HAB-POR EC M$'!$D$6/$C$6</f>
        <v>0.86582607299999992</v>
      </c>
      <c r="H49" s="22">
        <f>+'HAB-POR EC Bs'!H48/'HAB-POR EC M$'!$D$6/$C$6</f>
        <v>1.352993074</v>
      </c>
      <c r="I49" s="22">
        <f>+'HAB-POR EC Bs'!I48/'HAB-POR EC M$'!$D$6/$C$6</f>
        <v>1.8511291470000002</v>
      </c>
      <c r="J49" s="22">
        <f>+'HAB-POR EC Bs'!J48/'HAB-POR EC M$'!$D$6/$C$6</f>
        <v>2.6058786879999998</v>
      </c>
      <c r="K49" s="22">
        <f>+'HAB-POR EC Bs'!K48/'HAB-POR EC M$'!$D$6/$C$6</f>
        <v>3.3670079890000002</v>
      </c>
      <c r="L49" s="22">
        <f>+'HAB-POR EC Bs'!L48/'HAB-POR EC M$'!$D$6/$C$6</f>
        <v>3.3670079890000002</v>
      </c>
      <c r="M49" s="22">
        <f>+'HAB-POR EC Bs'!M48/'HAB-POR EC M$'!$D$6/$C$6</f>
        <v>0</v>
      </c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s="24" customFormat="1" ht="12" x14ac:dyDescent="0.2">
      <c r="A50" s="21" t="s">
        <v>94</v>
      </c>
      <c r="B50" s="22">
        <f>+'HAB-POR EC Bs'!B49/'HAB-POR EC M$'!$B$6/$C$6</f>
        <v>6.4025396825396819E-2</v>
      </c>
      <c r="C50" s="22">
        <f>+'HAB-POR EC Bs'!C49/'HAB-POR EC M$'!$B$6/$C$6</f>
        <v>0.14634920634920637</v>
      </c>
      <c r="D50" s="22">
        <f>+'HAB-POR EC Bs'!D49/'HAB-POR EC M$'!$D$6/$C$6</f>
        <v>0.17187847099999998</v>
      </c>
      <c r="E50" s="22">
        <f>+'HAB-POR EC Bs'!E49/'HAB-POR EC M$'!$D$6/$C$6</f>
        <v>9.4300940999999999E-2</v>
      </c>
      <c r="F50" s="22">
        <f>+'HAB-POR EC Bs'!F49/'HAB-POR EC M$'!$D$6/$C$6</f>
        <v>0.26294127199999995</v>
      </c>
      <c r="G50" s="22">
        <f>+'HAB-POR EC Bs'!G49/'HAB-POR EC M$'!$D$6/$C$6</f>
        <v>0.48364542199999994</v>
      </c>
      <c r="H50" s="22">
        <f>+'HAB-POR EC Bs'!H49/'HAB-POR EC M$'!$D$6/$C$6</f>
        <v>0.64575346600000005</v>
      </c>
      <c r="I50" s="22">
        <f>+'HAB-POR EC Bs'!I49/'HAB-POR EC M$'!$D$6/$C$6</f>
        <v>0.88530672300000002</v>
      </c>
      <c r="J50" s="22">
        <f>+'HAB-POR EC Bs'!J49/'HAB-POR EC M$'!$D$6/$C$6</f>
        <v>6.3693345869999991</v>
      </c>
      <c r="K50" s="22">
        <f>+'HAB-POR EC Bs'!K49/'HAB-POR EC M$'!$D$6/$C$6</f>
        <v>6.7287933030000007</v>
      </c>
      <c r="L50" s="22">
        <f>+'HAB-POR EC Bs'!L49/'HAB-POR EC M$'!$D$6/$C$6</f>
        <v>6.7287933030000007</v>
      </c>
      <c r="M50" s="22">
        <f>+'HAB-POR EC Bs'!M49/'HAB-POR EC M$'!$D$6/$C$6</f>
        <v>0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s="24" customFormat="1" ht="12" x14ac:dyDescent="0.2">
      <c r="A51" s="21" t="s">
        <v>95</v>
      </c>
      <c r="B51" s="22">
        <f>+'HAB-POR EC Bs'!B50/'HAB-POR EC M$'!$B$6/$C$6</f>
        <v>0</v>
      </c>
      <c r="C51" s="22">
        <f>+'HAB-POR EC Bs'!C50/'HAB-POR EC M$'!$B$6/$C$6</f>
        <v>-2.1428571428571432E-2</v>
      </c>
      <c r="D51" s="22">
        <f>+'HAB-POR EC Bs'!D50/'HAB-POR EC M$'!$D$6/$C$6</f>
        <v>4.632E-2</v>
      </c>
      <c r="E51" s="22">
        <f>+'HAB-POR EC Bs'!E50/'HAB-POR EC M$'!$D$6/$C$6</f>
        <v>0</v>
      </c>
      <c r="F51" s="22">
        <f>+'HAB-POR EC Bs'!F50/'HAB-POR EC M$'!$D$6/$C$6</f>
        <v>0</v>
      </c>
      <c r="G51" s="22">
        <f>+'HAB-POR EC Bs'!G50/'HAB-POR EC M$'!$D$6/$C$6</f>
        <v>5.4999999999999997E-3</v>
      </c>
      <c r="H51" s="22">
        <f>+'HAB-POR EC Bs'!H50/'HAB-POR EC M$'!$D$6/$C$6</f>
        <v>6.5000000000000002E-2</v>
      </c>
      <c r="I51" s="22">
        <f>+'HAB-POR EC Bs'!I50/'HAB-POR EC M$'!$D$6/$C$6</f>
        <v>0.16</v>
      </c>
      <c r="J51" s="22">
        <f>+'HAB-POR EC Bs'!J50/'HAB-POR EC M$'!$D$6/$C$6</f>
        <v>0.16</v>
      </c>
      <c r="K51" s="22">
        <f>+'HAB-POR EC Bs'!K50/'HAB-POR EC M$'!$D$6/$C$6</f>
        <v>0.16</v>
      </c>
      <c r="L51" s="22">
        <f>+'HAB-POR EC Bs'!L50/'HAB-POR EC M$'!$D$6/$C$6</f>
        <v>0.16</v>
      </c>
      <c r="M51" s="22">
        <f>+'HAB-POR EC Bs'!M50/'HAB-POR EC M$'!$D$6/$C$6</f>
        <v>0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s="24" customFormat="1" ht="12" x14ac:dyDescent="0.2">
      <c r="A52" s="21" t="s">
        <v>96</v>
      </c>
      <c r="B52" s="22">
        <f>+'HAB-POR EC Bs'!B51/'HAB-POR EC M$'!$B$6/$C$6</f>
        <v>0.47069523809523817</v>
      </c>
      <c r="C52" s="22">
        <f>+'HAB-POR EC Bs'!C51/'HAB-POR EC M$'!$B$6/$C$6</f>
        <v>1.1021253968253968</v>
      </c>
      <c r="D52" s="22">
        <f>+'HAB-POR EC Bs'!D51/'HAB-POR EC M$'!$D$6/$C$6</f>
        <v>1.0806684740000001</v>
      </c>
      <c r="E52" s="22">
        <f>+'HAB-POR EC Bs'!E51/'HAB-POR EC M$'!$D$6/$C$6</f>
        <v>-0.170164801</v>
      </c>
      <c r="F52" s="22">
        <f>+'HAB-POR EC Bs'!F51/'HAB-POR EC M$'!$D$6/$C$6</f>
        <v>0.16246043400000001</v>
      </c>
      <c r="G52" s="22">
        <f>+'HAB-POR EC Bs'!G51/'HAB-POR EC M$'!$D$6/$C$6</f>
        <v>0.58679211999999992</v>
      </c>
      <c r="H52" s="22">
        <f>+'HAB-POR EC Bs'!H51/'HAB-POR EC M$'!$D$6/$C$6</f>
        <v>0.795756782</v>
      </c>
      <c r="I52" s="22">
        <f>+'HAB-POR EC Bs'!I51/'HAB-POR EC M$'!$D$6/$C$6</f>
        <v>1.0297056930000001</v>
      </c>
      <c r="J52" s="22">
        <f>+'HAB-POR EC Bs'!J51/'HAB-POR EC M$'!$D$6/$C$6</f>
        <v>1.041102508</v>
      </c>
      <c r="K52" s="22">
        <f>+'HAB-POR EC Bs'!K51/'HAB-POR EC M$'!$D$6/$C$6</f>
        <v>1.3420704649999999</v>
      </c>
      <c r="L52" s="22">
        <f>+'HAB-POR EC Bs'!L51/'HAB-POR EC M$'!$D$6/$C$6</f>
        <v>1.3420704649999999</v>
      </c>
      <c r="M52" s="22">
        <f>+'HAB-POR EC Bs'!M51/'HAB-POR EC M$'!$D$6/$C$6</f>
        <v>0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s="24" customFormat="1" ht="12" x14ac:dyDescent="0.2">
      <c r="A53" s="21" t="s">
        <v>97</v>
      </c>
      <c r="B53" s="22">
        <f>+'HAB-POR EC Bs'!B52/'HAB-POR EC M$'!$B$6/$C$6</f>
        <v>0</v>
      </c>
      <c r="C53" s="22">
        <f>+'HAB-POR EC Bs'!C52/'HAB-POR EC M$'!$B$6/$C$6</f>
        <v>0</v>
      </c>
      <c r="D53" s="22">
        <f>+'HAB-POR EC Bs'!D52/'HAB-POR EC M$'!$D$6/$C$6</f>
        <v>0</v>
      </c>
      <c r="E53" s="22">
        <f>+'HAB-POR EC Bs'!E52/'HAB-POR EC M$'!$D$6/$C$6</f>
        <v>0</v>
      </c>
      <c r="F53" s="22">
        <f>+'HAB-POR EC Bs'!F52/'HAB-POR EC M$'!$D$6/$C$6</f>
        <v>0</v>
      </c>
      <c r="G53" s="22">
        <f>+'HAB-POR EC Bs'!G52/'HAB-POR EC M$'!$D$6/$C$6</f>
        <v>0</v>
      </c>
      <c r="H53" s="22">
        <f>+'HAB-POR EC Bs'!H52/'HAB-POR EC M$'!$D$6/$C$6</f>
        <v>0</v>
      </c>
      <c r="I53" s="22">
        <f>+'HAB-POR EC Bs'!I52/'HAB-POR EC M$'!$D$6/$C$6</f>
        <v>0</v>
      </c>
      <c r="J53" s="22">
        <f>+'HAB-POR EC Bs'!J52/'HAB-POR EC M$'!$D$6/$C$6</f>
        <v>0</v>
      </c>
      <c r="K53" s="22">
        <f>+'HAB-POR EC Bs'!K52/'HAB-POR EC M$'!$D$6/$C$6</f>
        <v>0</v>
      </c>
      <c r="L53" s="22">
        <f>+'HAB-POR EC Bs'!L52/'HAB-POR EC M$'!$D$6/$C$6</f>
        <v>0</v>
      </c>
      <c r="M53" s="22">
        <f>+'HAB-POR EC Bs'!M52/'HAB-POR EC M$'!$D$6/$C$6</f>
        <v>0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s="32" customFormat="1" ht="12" x14ac:dyDescent="0.2">
      <c r="A54" s="30" t="s">
        <v>98</v>
      </c>
      <c r="B54" s="31">
        <f>SUM(B49:B53)</f>
        <v>0.80611428571428578</v>
      </c>
      <c r="C54" s="31">
        <f t="shared" ref="C54:M54" si="5">SUM(C49:C53)</f>
        <v>1.852184126984127</v>
      </c>
      <c r="D54" s="31">
        <f>SUM(D49:D53)</f>
        <v>2.1879464619999998</v>
      </c>
      <c r="E54" s="31">
        <f t="shared" si="5"/>
        <v>0.22516213300000007</v>
      </c>
      <c r="F54" s="31">
        <f t="shared" si="5"/>
        <v>0.9080659459999999</v>
      </c>
      <c r="G54" s="31">
        <f t="shared" si="5"/>
        <v>1.9417636149999999</v>
      </c>
      <c r="H54" s="31">
        <f t="shared" si="5"/>
        <v>2.8595033220000001</v>
      </c>
      <c r="I54" s="31">
        <f t="shared" si="5"/>
        <v>3.9261415630000007</v>
      </c>
      <c r="J54" s="31">
        <f t="shared" si="5"/>
        <v>10.176315782999998</v>
      </c>
      <c r="K54" s="31">
        <f t="shared" si="5"/>
        <v>11.597871757</v>
      </c>
      <c r="L54" s="31">
        <f t="shared" si="5"/>
        <v>11.597871757</v>
      </c>
      <c r="M54" s="31">
        <f t="shared" si="5"/>
        <v>0</v>
      </c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s="24" customFormat="1" ht="12" x14ac:dyDescent="0.2">
      <c r="A55" s="3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s="47" customFormat="1" x14ac:dyDescent="0.2">
      <c r="A56" s="18" t="s">
        <v>104</v>
      </c>
      <c r="B56" s="19" t="s">
        <v>82</v>
      </c>
      <c r="C56" s="19" t="s">
        <v>83</v>
      </c>
      <c r="D56" s="19" t="s">
        <v>84</v>
      </c>
      <c r="E56" s="19" t="s">
        <v>85</v>
      </c>
      <c r="F56" s="19" t="s">
        <v>86</v>
      </c>
      <c r="G56" s="19" t="s">
        <v>87</v>
      </c>
      <c r="H56" s="19" t="s">
        <v>88</v>
      </c>
      <c r="I56" s="19" t="s">
        <v>198</v>
      </c>
      <c r="J56" s="19" t="s">
        <v>89</v>
      </c>
      <c r="K56" s="19" t="s">
        <v>90</v>
      </c>
      <c r="L56" s="19" t="s">
        <v>91</v>
      </c>
      <c r="M56" s="19" t="s">
        <v>92</v>
      </c>
      <c r="N56" s="41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s="24" customFormat="1" ht="12" x14ac:dyDescent="0.2">
      <c r="A57" s="21" t="s">
        <v>93</v>
      </c>
      <c r="B57" s="22">
        <f>+'HAB-POR EC Bs'!B56/'HAB-POR EC M$'!$B$6/$C$6</f>
        <v>1.0416984126984128</v>
      </c>
      <c r="C57" s="22">
        <f>+'HAB-POR EC Bs'!C56/'HAB-POR EC M$'!$B$6/$C$6</f>
        <v>2.0324238095238099</v>
      </c>
      <c r="D57" s="22">
        <f>+'HAB-POR EC Bs'!D56/'HAB-POR EC M$'!$D$6/$C$6</f>
        <v>2.6252651440000001</v>
      </c>
      <c r="E57" s="22">
        <f>+'HAB-POR EC Bs'!E56/'HAB-POR EC M$'!$D$6/$C$6</f>
        <v>3.093167169</v>
      </c>
      <c r="F57" s="22">
        <f>+'HAB-POR EC Bs'!F56/'HAB-POR EC M$'!$D$6/$C$6</f>
        <v>3.6759180289999995</v>
      </c>
      <c r="G57" s="22">
        <f>+'HAB-POR EC Bs'!G56/'HAB-POR EC M$'!$D$6/$C$6</f>
        <v>4.5435691739999999</v>
      </c>
      <c r="H57" s="22">
        <f>+'HAB-POR EC Bs'!H56/'HAB-POR EC M$'!$D$6/$C$6</f>
        <v>5.8434738180000005</v>
      </c>
      <c r="I57" s="22">
        <f>+'HAB-POR EC Bs'!I56/'HAB-POR EC M$'!$D$6/$C$6</f>
        <v>6.8806321809999993</v>
      </c>
      <c r="J57" s="22">
        <f>+'HAB-POR EC Bs'!J56/'HAB-POR EC M$'!$D$6/$C$6</f>
        <v>8.3652601919999992</v>
      </c>
      <c r="K57" s="22">
        <f>+'HAB-POR EC Bs'!K56/'HAB-POR EC M$'!$D$6/$C$6</f>
        <v>9.0308837509999993</v>
      </c>
      <c r="L57" s="22">
        <f>+'HAB-POR EC Bs'!L56/'HAB-POR EC M$'!$D$6/$C$6</f>
        <v>9.2810969679999999</v>
      </c>
      <c r="M57" s="22">
        <f>+'HAB-POR EC Bs'!M56/'HAB-POR EC M$'!$D$6/$C$6</f>
        <v>0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s="24" customFormat="1" ht="12" x14ac:dyDescent="0.2">
      <c r="A58" s="21" t="s">
        <v>94</v>
      </c>
      <c r="B58" s="22">
        <f>+'HAB-POR EC Bs'!B57/'HAB-POR EC M$'!$B$6/$C$6</f>
        <v>0.28327142857142856</v>
      </c>
      <c r="C58" s="22">
        <f>+'HAB-POR EC Bs'!C57/'HAB-POR EC M$'!$B$6/$C$6</f>
        <v>0.45730634920634922</v>
      </c>
      <c r="D58" s="22">
        <f>+'HAB-POR EC Bs'!D57/'HAB-POR EC M$'!$D$6/$C$6</f>
        <v>0.43994806600000003</v>
      </c>
      <c r="E58" s="22">
        <f>+'HAB-POR EC Bs'!E57/'HAB-POR EC M$'!$D$6/$C$6</f>
        <v>0.74843272599999999</v>
      </c>
      <c r="F58" s="22">
        <f>+'HAB-POR EC Bs'!F57/'HAB-POR EC M$'!$D$6/$C$6</f>
        <v>1.3844423810000002</v>
      </c>
      <c r="G58" s="22">
        <f>+'HAB-POR EC Bs'!G57/'HAB-POR EC M$'!$D$6/$C$6</f>
        <v>1.7186386699999998</v>
      </c>
      <c r="H58" s="22">
        <f>+'HAB-POR EC Bs'!H57/'HAB-POR EC M$'!$D$6/$C$6</f>
        <v>2.267975018</v>
      </c>
      <c r="I58" s="22">
        <f>+'HAB-POR EC Bs'!I57/'HAB-POR EC M$'!$D$6/$C$6</f>
        <v>2.8383547279999997</v>
      </c>
      <c r="J58" s="22">
        <f>+'HAB-POR EC Bs'!J57/'HAB-POR EC M$'!$D$6/$C$6</f>
        <v>28.998282689000003</v>
      </c>
      <c r="K58" s="22">
        <f>+'HAB-POR EC Bs'!K57/'HAB-POR EC M$'!$D$6/$C$6</f>
        <v>29.657883354000003</v>
      </c>
      <c r="L58" s="22">
        <f>+'HAB-POR EC Bs'!L57/'HAB-POR EC M$'!$D$6/$C$6</f>
        <v>29.703815821000003</v>
      </c>
      <c r="M58" s="22">
        <f>+'HAB-POR EC Bs'!M57/'HAB-POR EC M$'!$D$6/$C$6</f>
        <v>0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s="24" customFormat="1" ht="12" x14ac:dyDescent="0.2">
      <c r="A59" s="21" t="s">
        <v>95</v>
      </c>
      <c r="B59" s="22">
        <f>+'HAB-POR EC Bs'!B58/'HAB-POR EC M$'!$B$6/$C$6</f>
        <v>0</v>
      </c>
      <c r="C59" s="22">
        <f>+'HAB-POR EC Bs'!C58/'HAB-POR EC M$'!$B$6/$C$6</f>
        <v>0.31998095238095242</v>
      </c>
      <c r="D59" s="22">
        <f>+'HAB-POR EC Bs'!D58/'HAB-POR EC M$'!$D$6/$C$6</f>
        <v>0.20158848800000001</v>
      </c>
      <c r="E59" s="22">
        <f>+'HAB-POR EC Bs'!E58/'HAB-POR EC M$'!$D$6/$C$6</f>
        <v>0.20158848800000001</v>
      </c>
      <c r="F59" s="22">
        <f>+'HAB-POR EC Bs'!F58/'HAB-POR EC M$'!$D$6/$C$6</f>
        <v>0.20807088800000004</v>
      </c>
      <c r="G59" s="22">
        <f>+'HAB-POR EC Bs'!G58/'HAB-POR EC M$'!$D$6/$C$6</f>
        <v>0.30102463799999996</v>
      </c>
      <c r="H59" s="22">
        <f>+'HAB-POR EC Bs'!H58/'HAB-POR EC M$'!$D$6/$C$6</f>
        <v>0.84309863800000007</v>
      </c>
      <c r="I59" s="22">
        <f>+'HAB-POR EC Bs'!I58/'HAB-POR EC M$'!$D$6/$C$6</f>
        <v>1.178217606</v>
      </c>
      <c r="J59" s="22">
        <f>+'HAB-POR EC Bs'!J58/'HAB-POR EC M$'!$D$6/$C$6</f>
        <v>1.6029686059999999</v>
      </c>
      <c r="K59" s="22">
        <f>+'HAB-POR EC Bs'!K58/'HAB-POR EC M$'!$D$6/$C$6</f>
        <v>1.8977986059999998</v>
      </c>
      <c r="L59" s="22">
        <f>+'HAB-POR EC Bs'!L58/'HAB-POR EC M$'!$D$6/$C$6</f>
        <v>2.0227786059999997</v>
      </c>
      <c r="M59" s="22">
        <f>+'HAB-POR EC Bs'!M58/'HAB-POR EC M$'!$D$6/$C$6</f>
        <v>0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s="24" customFormat="1" ht="12" x14ac:dyDescent="0.2">
      <c r="A60" s="21" t="s">
        <v>96</v>
      </c>
      <c r="B60" s="22">
        <f>+'HAB-POR EC Bs'!B59/'HAB-POR EC M$'!$B$6/$C$6</f>
        <v>0.66391587301587296</v>
      </c>
      <c r="C60" s="22">
        <f>+'HAB-POR EC Bs'!C59/'HAB-POR EC M$'!$B$6/$C$6</f>
        <v>2.4246206349206352</v>
      </c>
      <c r="D60" s="22">
        <f>+'HAB-POR EC Bs'!D59/'HAB-POR EC M$'!$D$6/$C$6</f>
        <v>2.2850067059999901</v>
      </c>
      <c r="E60" s="22">
        <f>+'HAB-POR EC Bs'!E59/'HAB-POR EC M$'!$D$6/$C$6</f>
        <v>3.4061259369999997</v>
      </c>
      <c r="F60" s="22">
        <f>+'HAB-POR EC Bs'!F59/'HAB-POR EC M$'!$D$6/$C$6</f>
        <v>5.3203811019999998</v>
      </c>
      <c r="G60" s="22">
        <f>+'HAB-POR EC Bs'!G59/'HAB-POR EC M$'!$D$6/$C$6</f>
        <v>6.8742736549999996</v>
      </c>
      <c r="H60" s="22">
        <f>+'HAB-POR EC Bs'!H59/'HAB-POR EC M$'!$D$6/$C$6</f>
        <v>8.467652870000002</v>
      </c>
      <c r="I60" s="22">
        <f>+'HAB-POR EC Bs'!I59/'HAB-POR EC M$'!$D$6/$C$6</f>
        <v>11.772745727</v>
      </c>
      <c r="J60" s="22">
        <f>+'HAB-POR EC Bs'!J59/'HAB-POR EC M$'!$D$6/$C$6</f>
        <v>15.940260946999999</v>
      </c>
      <c r="K60" s="22">
        <f>+'HAB-POR EC Bs'!K59/'HAB-POR EC M$'!$D$6/$C$6</f>
        <v>23.747987568999999</v>
      </c>
      <c r="L60" s="22">
        <f>+'HAB-POR EC Bs'!L59/'HAB-POR EC M$'!$D$6/$C$6</f>
        <v>25.269862006000004</v>
      </c>
      <c r="M60" s="22">
        <f>+'HAB-POR EC Bs'!M59/'HAB-POR EC M$'!$D$6/$C$6</f>
        <v>0</v>
      </c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s="24" customFormat="1" ht="12" x14ac:dyDescent="0.2">
      <c r="A61" s="21" t="s">
        <v>97</v>
      </c>
      <c r="B61" s="22">
        <f>+'HAB-POR EC Bs'!B60/'HAB-POR EC M$'!$B$6/$C$6</f>
        <v>1.475873015873016E-2</v>
      </c>
      <c r="C61" s="22">
        <f>+'HAB-POR EC Bs'!C60/'HAB-POR EC M$'!$B$6/$C$6</f>
        <v>2.0447984126984129</v>
      </c>
      <c r="D61" s="22">
        <f>+'HAB-POR EC Bs'!D60/'HAB-POR EC M$'!$D$6/$C$6</f>
        <v>1.514701045</v>
      </c>
      <c r="E61" s="22">
        <f>+'HAB-POR EC Bs'!E60/'HAB-POR EC M$'!$D$6/$C$6</f>
        <v>2.4860122619999996</v>
      </c>
      <c r="F61" s="22">
        <f>+'HAB-POR EC Bs'!F60/'HAB-POR EC M$'!$D$6/$C$6</f>
        <v>3.8536098590000001</v>
      </c>
      <c r="G61" s="22">
        <f>+'HAB-POR EC Bs'!G60/'HAB-POR EC M$'!$D$6/$C$6</f>
        <v>5.6977995320000003</v>
      </c>
      <c r="H61" s="22">
        <f>+'HAB-POR EC Bs'!H60/'HAB-POR EC M$'!$D$6/$C$6</f>
        <v>11.95945916</v>
      </c>
      <c r="I61" s="22">
        <f>+'HAB-POR EC Bs'!I60/'HAB-POR EC M$'!$D$6/$C$6</f>
        <v>13.438286203000001</v>
      </c>
      <c r="J61" s="22">
        <f>+'HAB-POR EC Bs'!J60/'HAB-POR EC M$'!$D$6/$C$6</f>
        <v>16.739640523999999</v>
      </c>
      <c r="K61" s="22">
        <f>+'HAB-POR EC Bs'!K60/'HAB-POR EC M$'!$D$6/$C$6</f>
        <v>19.524873332999999</v>
      </c>
      <c r="L61" s="22">
        <f>+'HAB-POR EC Bs'!L60/'HAB-POR EC M$'!$D$6/$C$6</f>
        <v>19.524873332999999</v>
      </c>
      <c r="M61" s="22">
        <f>+'HAB-POR EC Bs'!M60/'HAB-POR EC M$'!$D$6/$C$6</f>
        <v>0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s="32" customFormat="1" ht="12" x14ac:dyDescent="0.2">
      <c r="A62" s="30" t="s">
        <v>98</v>
      </c>
      <c r="B62" s="31">
        <f>SUM(B57:B61)</f>
        <v>2.0036444444444443</v>
      </c>
      <c r="C62" s="31">
        <f t="shared" ref="C62:M62" si="6">SUM(C57:C61)</f>
        <v>7.27913015873016</v>
      </c>
      <c r="D62" s="31">
        <f>SUM(D57:D61)</f>
        <v>7.06650944899999</v>
      </c>
      <c r="E62" s="31">
        <f t="shared" si="6"/>
        <v>9.9353265819999983</v>
      </c>
      <c r="F62" s="31">
        <f t="shared" si="6"/>
        <v>14.442422258999999</v>
      </c>
      <c r="G62" s="31">
        <f t="shared" si="6"/>
        <v>19.135305669000001</v>
      </c>
      <c r="H62" s="31">
        <f t="shared" si="6"/>
        <v>29.381659504000005</v>
      </c>
      <c r="I62" s="31">
        <f t="shared" si="6"/>
        <v>36.108236445000003</v>
      </c>
      <c r="J62" s="31">
        <f t="shared" si="6"/>
        <v>71.646412957999999</v>
      </c>
      <c r="K62" s="31">
        <f t="shared" si="6"/>
        <v>83.859426613000011</v>
      </c>
      <c r="L62" s="31">
        <f t="shared" si="6"/>
        <v>85.802426734000008</v>
      </c>
      <c r="M62" s="31">
        <f t="shared" si="6"/>
        <v>0</v>
      </c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s="24" customFormat="1" ht="12" x14ac:dyDescent="0.2">
      <c r="A63" s="35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s="10" customFormat="1" x14ac:dyDescent="0.2">
      <c r="A64" s="18" t="s">
        <v>105</v>
      </c>
      <c r="B64" s="19" t="s">
        <v>82</v>
      </c>
      <c r="C64" s="19" t="s">
        <v>83</v>
      </c>
      <c r="D64" s="19" t="s">
        <v>84</v>
      </c>
      <c r="E64" s="19" t="s">
        <v>85</v>
      </c>
      <c r="F64" s="19" t="s">
        <v>86</v>
      </c>
      <c r="G64" s="19" t="s">
        <v>87</v>
      </c>
      <c r="H64" s="19" t="s">
        <v>88</v>
      </c>
      <c r="I64" s="19" t="s">
        <v>198</v>
      </c>
      <c r="J64" s="19" t="s">
        <v>89</v>
      </c>
      <c r="K64" s="19" t="s">
        <v>90</v>
      </c>
      <c r="L64" s="19" t="s">
        <v>91</v>
      </c>
      <c r="M64" s="19" t="s">
        <v>92</v>
      </c>
      <c r="N64" s="41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s="24" customFormat="1" ht="12" x14ac:dyDescent="0.2">
      <c r="A65" s="21" t="s">
        <v>93</v>
      </c>
      <c r="B65" s="22">
        <f>+'HAB-POR EC Bs'!B64/'HAB-POR EC M$'!$B$6/$C$6</f>
        <v>0.23850634920634919</v>
      </c>
      <c r="C65" s="22">
        <f>+'HAB-POR EC Bs'!C64/'HAB-POR EC M$'!$B$6/$C$6</f>
        <v>0.45725238095238097</v>
      </c>
      <c r="D65" s="22">
        <f>+'HAB-POR EC Bs'!D64/'HAB-POR EC M$'!$D$6/$C$6</f>
        <v>0.9091747830000001</v>
      </c>
      <c r="E65" s="22">
        <f>+'HAB-POR EC Bs'!E64/'HAB-POR EC M$'!$D$6/$C$6</f>
        <v>1.0972234640000003</v>
      </c>
      <c r="F65" s="22">
        <f>+'HAB-POR EC Bs'!F64/'HAB-POR EC M$'!$D$6/$C$6</f>
        <v>1.4140013220000001</v>
      </c>
      <c r="G65" s="22">
        <f>+'HAB-POR EC Bs'!G64/'HAB-POR EC M$'!$D$6/$C$6</f>
        <v>1.7989680020000001</v>
      </c>
      <c r="H65" s="22">
        <f>+'HAB-POR EC Bs'!H64/'HAB-POR EC M$'!$D$6/$C$6</f>
        <v>2.1450115030000001</v>
      </c>
      <c r="I65" s="22">
        <f>+'HAB-POR EC Bs'!I64/'HAB-POR EC M$'!$D$6/$C$6</f>
        <v>2.6457398679999997</v>
      </c>
      <c r="J65" s="22">
        <f>+'HAB-POR EC Bs'!J64/'HAB-POR EC M$'!$D$6/$C$6</f>
        <v>2.965586751</v>
      </c>
      <c r="K65" s="22">
        <f>+'HAB-POR EC Bs'!K64/'HAB-POR EC M$'!$D$6/$C$6</f>
        <v>2.5949645939999999</v>
      </c>
      <c r="L65" s="22">
        <f>+'HAB-POR EC Bs'!L64/'HAB-POR EC M$'!$D$6/$C$6</f>
        <v>2.5949645939999999</v>
      </c>
      <c r="M65" s="22">
        <f>+'HAB-POR EC Bs'!M64/'HAB-POR EC M$'!$D$6/$C$6</f>
        <v>0</v>
      </c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s="24" customFormat="1" ht="12" x14ac:dyDescent="0.2">
      <c r="A66" s="21" t="s">
        <v>94</v>
      </c>
      <c r="B66" s="22">
        <f>+'HAB-POR EC Bs'!B65/'HAB-POR EC M$'!$B$6/$C$6</f>
        <v>3.8596825396825393E-2</v>
      </c>
      <c r="C66" s="22">
        <f>+'HAB-POR EC Bs'!C65/'HAB-POR EC M$'!$B$6/$C$6</f>
        <v>7.6307936507936519E-2</v>
      </c>
      <c r="D66" s="22">
        <f>+'HAB-POR EC Bs'!D65/'HAB-POR EC M$'!$D$6/$C$6</f>
        <v>0.14701345100000002</v>
      </c>
      <c r="E66" s="22">
        <f>+'HAB-POR EC Bs'!E65/'HAB-POR EC M$'!$D$6/$C$6</f>
        <v>0.222268203</v>
      </c>
      <c r="F66" s="22">
        <f>+'HAB-POR EC Bs'!F65/'HAB-POR EC M$'!$D$6/$C$6</f>
        <v>0.46093699699999996</v>
      </c>
      <c r="G66" s="22">
        <f>+'HAB-POR EC Bs'!G65/'HAB-POR EC M$'!$D$6/$C$6</f>
        <v>0.70219714099999997</v>
      </c>
      <c r="H66" s="22">
        <f>+'HAB-POR EC Bs'!H65/'HAB-POR EC M$'!$D$6/$C$6</f>
        <v>0.83563630900000008</v>
      </c>
      <c r="I66" s="22">
        <f>+'HAB-POR EC Bs'!I65/'HAB-POR EC M$'!$D$6/$C$6</f>
        <v>1.1057163729999999</v>
      </c>
      <c r="J66" s="22">
        <f>+'HAB-POR EC Bs'!J65/'HAB-POR EC M$'!$D$6/$C$6</f>
        <v>10.308935027</v>
      </c>
      <c r="K66" s="22">
        <f>+'HAB-POR EC Bs'!K65/'HAB-POR EC M$'!$D$6/$C$6</f>
        <v>10.178213693</v>
      </c>
      <c r="L66" s="22">
        <f>+'HAB-POR EC Bs'!L65/'HAB-POR EC M$'!$D$6/$C$6</f>
        <v>10.178213693</v>
      </c>
      <c r="M66" s="22">
        <f>+'HAB-POR EC Bs'!M65/'HAB-POR EC M$'!$D$6/$C$6</f>
        <v>0</v>
      </c>
      <c r="N66" s="50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s="24" customFormat="1" ht="12" x14ac:dyDescent="0.2">
      <c r="A67" s="21" t="s">
        <v>95</v>
      </c>
      <c r="B67" s="22">
        <f>+'HAB-POR EC Bs'!B66/'HAB-POR EC M$'!$B$6/$C$6</f>
        <v>0</v>
      </c>
      <c r="C67" s="22">
        <f>+'HAB-POR EC Bs'!C66/'HAB-POR EC M$'!$B$6/$C$6</f>
        <v>0</v>
      </c>
      <c r="D67" s="22">
        <f>+'HAB-POR EC Bs'!D66/'HAB-POR EC M$'!$D$6/$C$6</f>
        <v>0</v>
      </c>
      <c r="E67" s="22">
        <f>+'HAB-POR EC Bs'!E66/'HAB-POR EC M$'!$D$6/$C$6</f>
        <v>0</v>
      </c>
      <c r="F67" s="22">
        <f>+'HAB-POR EC Bs'!F66/'HAB-POR EC M$'!$D$6/$C$6</f>
        <v>0</v>
      </c>
      <c r="G67" s="22">
        <f>+'HAB-POR EC Bs'!G66/'HAB-POR EC M$'!$D$6/$C$6</f>
        <v>0</v>
      </c>
      <c r="H67" s="22">
        <f>+'HAB-POR EC Bs'!H66/'HAB-POR EC M$'!$D$6/$C$6</f>
        <v>0</v>
      </c>
      <c r="I67" s="22">
        <f>+'HAB-POR EC Bs'!I66/'HAB-POR EC M$'!$D$6/$C$6</f>
        <v>0</v>
      </c>
      <c r="J67" s="22">
        <f>+'HAB-POR EC Bs'!J66/'HAB-POR EC M$'!$D$6/$C$6</f>
        <v>0</v>
      </c>
      <c r="K67" s="22">
        <f>+'HAB-POR EC Bs'!K66/'HAB-POR EC M$'!$D$6/$C$6</f>
        <v>0</v>
      </c>
      <c r="L67" s="22">
        <f>+'HAB-POR EC Bs'!L66/'HAB-POR EC M$'!$D$6/$C$6</f>
        <v>7.1366399999999997E-2</v>
      </c>
      <c r="M67" s="22">
        <f>+'HAB-POR EC Bs'!M66/'HAB-POR EC M$'!$D$6/$C$6</f>
        <v>0</v>
      </c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s="24" customFormat="1" ht="12" x14ac:dyDescent="0.2">
      <c r="A68" s="21" t="s">
        <v>96</v>
      </c>
      <c r="B68" s="22">
        <f>+'HAB-POR EC Bs'!B67/'HAB-POR EC M$'!$B$6/$C$6</f>
        <v>3.2630158730158731E-2</v>
      </c>
      <c r="C68" s="22">
        <f>+'HAB-POR EC Bs'!C67/'HAB-POR EC M$'!$B$6/$C$6</f>
        <v>0.1033904761904762</v>
      </c>
      <c r="D68" s="22">
        <f>+'HAB-POR EC Bs'!D67/'HAB-POR EC M$'!$D$6/$C$6</f>
        <v>0.23647478900000002</v>
      </c>
      <c r="E68" s="22">
        <f>+'HAB-POR EC Bs'!E67/'HAB-POR EC M$'!$D$6/$C$6</f>
        <v>0.47156478399999996</v>
      </c>
      <c r="F68" s="22">
        <f>+'HAB-POR EC Bs'!F67/'HAB-POR EC M$'!$D$6/$C$6</f>
        <v>0.51783214599999994</v>
      </c>
      <c r="G68" s="22">
        <f>+'HAB-POR EC Bs'!G67/'HAB-POR EC M$'!$D$6/$C$6</f>
        <v>0.94490260800000003</v>
      </c>
      <c r="H68" s="22">
        <f>+'HAB-POR EC Bs'!H67/'HAB-POR EC M$'!$D$6/$C$6</f>
        <v>1.216180778</v>
      </c>
      <c r="I68" s="22">
        <f>+'HAB-POR EC Bs'!I67/'HAB-POR EC M$'!$D$6/$C$6</f>
        <v>1.2666588959999998</v>
      </c>
      <c r="J68" s="22">
        <f>+'HAB-POR EC Bs'!J67/'HAB-POR EC M$'!$D$6/$C$6</f>
        <v>1.3333905730000002</v>
      </c>
      <c r="K68" s="22">
        <f>+'HAB-POR EC Bs'!K67/'HAB-POR EC M$'!$D$6/$C$6</f>
        <v>2.0047848610000001</v>
      </c>
      <c r="L68" s="22">
        <f>+'HAB-POR EC Bs'!L67/'HAB-POR EC M$'!$D$6/$C$6</f>
        <v>2.1011293500000003</v>
      </c>
      <c r="M68" s="22">
        <f>+'HAB-POR EC Bs'!M67/'HAB-POR EC M$'!$D$6/$C$6</f>
        <v>0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s="24" customFormat="1" ht="12" x14ac:dyDescent="0.2">
      <c r="A69" s="21" t="s">
        <v>97</v>
      </c>
      <c r="B69" s="22">
        <f>+'HAB-POR EC Bs'!B68/'HAB-POR EC M$'!$B$6/$C$6</f>
        <v>0</v>
      </c>
      <c r="C69" s="22">
        <f>+'HAB-POR EC Bs'!C68/'HAB-POR EC M$'!$B$6/$C$6</f>
        <v>0</v>
      </c>
      <c r="D69" s="22">
        <f>+'HAB-POR EC Bs'!D68/'HAB-POR EC M$'!$D$6/$C$6</f>
        <v>0</v>
      </c>
      <c r="E69" s="22">
        <f>+'HAB-POR EC Bs'!E68/'HAB-POR EC M$'!$D$6/$C$6</f>
        <v>0</v>
      </c>
      <c r="F69" s="22">
        <f>+'HAB-POR EC Bs'!F68/'HAB-POR EC M$'!$D$6/$C$6</f>
        <v>0</v>
      </c>
      <c r="G69" s="22">
        <f>+'HAB-POR EC Bs'!G68/'HAB-POR EC M$'!$D$6/$C$6</f>
        <v>0</v>
      </c>
      <c r="H69" s="22">
        <f>+'HAB-POR EC Bs'!H68/'HAB-POR EC M$'!$D$6/$C$6</f>
        <v>0</v>
      </c>
      <c r="I69" s="22">
        <f>+'HAB-POR EC Bs'!I68/'HAB-POR EC M$'!$D$6/$C$6</f>
        <v>0</v>
      </c>
      <c r="J69" s="22">
        <f>+'HAB-POR EC Bs'!J68/'HAB-POR EC M$'!$D$6/$C$6</f>
        <v>0</v>
      </c>
      <c r="K69" s="22">
        <f>+'HAB-POR EC Bs'!K68/'HAB-POR EC M$'!$D$6/$C$6</f>
        <v>2.7039999999999998E-2</v>
      </c>
      <c r="L69" s="22">
        <f>+'HAB-POR EC Bs'!L68/'HAB-POR EC M$'!$D$6/$C$6</f>
        <v>2.7039999999999998E-2</v>
      </c>
      <c r="M69" s="22">
        <f>+'HAB-POR EC Bs'!M68/'HAB-POR EC M$'!$D$6/$C$6</f>
        <v>0</v>
      </c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s="32" customFormat="1" ht="12" x14ac:dyDescent="0.2">
      <c r="A70" s="30" t="s">
        <v>98</v>
      </c>
      <c r="B70" s="31">
        <f>SUM(B65:B69)</f>
        <v>0.3097333333333333</v>
      </c>
      <c r="C70" s="31">
        <f t="shared" ref="C70:M70" si="7">SUM(C65:C69)</f>
        <v>0.63695079365079366</v>
      </c>
      <c r="D70" s="31">
        <f>SUM(D65:D69)</f>
        <v>1.2926630230000002</v>
      </c>
      <c r="E70" s="31">
        <f t="shared" si="7"/>
        <v>1.7910564510000002</v>
      </c>
      <c r="F70" s="31">
        <f t="shared" si="7"/>
        <v>2.3927704649999999</v>
      </c>
      <c r="G70" s="31">
        <f t="shared" si="7"/>
        <v>3.4460677510000002</v>
      </c>
      <c r="H70" s="31">
        <f t="shared" si="7"/>
        <v>4.19682859</v>
      </c>
      <c r="I70" s="31">
        <f t="shared" si="7"/>
        <v>5.0181151369999997</v>
      </c>
      <c r="J70" s="31">
        <f t="shared" si="7"/>
        <v>14.607912351000001</v>
      </c>
      <c r="K70" s="31">
        <f t="shared" si="7"/>
        <v>14.805003148000001</v>
      </c>
      <c r="L70" s="31">
        <f t="shared" si="7"/>
        <v>14.972714037000001</v>
      </c>
      <c r="M70" s="31">
        <f t="shared" si="7"/>
        <v>0</v>
      </c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s="24" customFormat="1" ht="12" x14ac:dyDescent="0.2">
      <c r="A71" s="51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</row>
    <row r="72" spans="1:26" s="10" customFormat="1" x14ac:dyDescent="0.2">
      <c r="A72" s="18" t="s">
        <v>106</v>
      </c>
      <c r="B72" s="19" t="s">
        <v>82</v>
      </c>
      <c r="C72" s="19" t="s">
        <v>83</v>
      </c>
      <c r="D72" s="19" t="s">
        <v>84</v>
      </c>
      <c r="E72" s="19" t="s">
        <v>85</v>
      </c>
      <c r="F72" s="19" t="s">
        <v>86</v>
      </c>
      <c r="G72" s="19" t="s">
        <v>87</v>
      </c>
      <c r="H72" s="19" t="s">
        <v>88</v>
      </c>
      <c r="I72" s="19" t="s">
        <v>198</v>
      </c>
      <c r="J72" s="19" t="s">
        <v>89</v>
      </c>
      <c r="K72" s="19" t="s">
        <v>90</v>
      </c>
      <c r="L72" s="19" t="s">
        <v>91</v>
      </c>
      <c r="M72" s="19" t="s">
        <v>92</v>
      </c>
      <c r="N72" s="41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s="24" customFormat="1" ht="12" x14ac:dyDescent="0.2">
      <c r="A73" s="21" t="s">
        <v>93</v>
      </c>
      <c r="B73" s="22">
        <f>+'HAB-POR EC Bs'!B72/'HAB-POR EC M$'!$B$6/$C$6</f>
        <v>0.398947619047619</v>
      </c>
      <c r="C73" s="22">
        <f>+'HAB-POR EC Bs'!C72/'HAB-POR EC M$'!$B$6/$C$6</f>
        <v>0.8008428571428573</v>
      </c>
      <c r="D73" s="22">
        <f>+'HAB-POR EC Bs'!D72/'HAB-POR EC M$'!$D$6/$C$6</f>
        <v>1.219619784</v>
      </c>
      <c r="E73" s="22">
        <f>+'HAB-POR EC Bs'!E72/'HAB-POR EC M$'!$D$6/$C$6</f>
        <v>1.6359516849999998</v>
      </c>
      <c r="F73" s="22">
        <f>+'HAB-POR EC Bs'!F72/'HAB-POR EC M$'!$D$6/$C$6</f>
        <v>2.037260356</v>
      </c>
      <c r="G73" s="22">
        <f>+'HAB-POR EC Bs'!G72/'HAB-POR EC M$'!$D$6/$C$6</f>
        <v>2.5686595700000003</v>
      </c>
      <c r="H73" s="22">
        <f>+'HAB-POR EC Bs'!H72/'HAB-POR EC M$'!$D$6/$C$6</f>
        <v>3.1865349340000004</v>
      </c>
      <c r="I73" s="22">
        <f>+'HAB-POR EC Bs'!I72/'HAB-POR EC M$'!$D$6/$C$6</f>
        <v>3.8006489370000005</v>
      </c>
      <c r="J73" s="22">
        <f>+'HAB-POR EC Bs'!J72/'HAB-POR EC M$'!$D$6/$C$6</f>
        <v>4.6904823999999996</v>
      </c>
      <c r="K73" s="22">
        <f>+'HAB-POR EC Bs'!K72/'HAB-POR EC M$'!$D$6/$C$6</f>
        <v>5.6517270680000005</v>
      </c>
      <c r="L73" s="22">
        <f>+'HAB-POR EC Bs'!L72/'HAB-POR EC M$'!$D$6/$C$6</f>
        <v>5.6517270680000005</v>
      </c>
      <c r="M73" s="22">
        <f>+'HAB-POR EC Bs'!M72/'HAB-POR EC M$'!$D$6/$C$6</f>
        <v>0</v>
      </c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s="24" customFormat="1" ht="12" x14ac:dyDescent="0.2">
      <c r="A74" s="21" t="s">
        <v>94</v>
      </c>
      <c r="B74" s="22">
        <f>+'HAB-POR EC Bs'!B73/'HAB-POR EC M$'!$B$6/$C$6</f>
        <v>9.2214285714285721E-2</v>
      </c>
      <c r="C74" s="22">
        <f>+'HAB-POR EC Bs'!C73/'HAB-POR EC M$'!$B$6/$C$6</f>
        <v>0.18734603174603173</v>
      </c>
      <c r="D74" s="22">
        <f>+'HAB-POR EC Bs'!D73/'HAB-POR EC M$'!$D$6/$C$6</f>
        <v>0.230609484</v>
      </c>
      <c r="E74" s="22">
        <f>+'HAB-POR EC Bs'!E73/'HAB-POR EC M$'!$D$6/$C$6</f>
        <v>0.36754073600000003</v>
      </c>
      <c r="F74" s="22">
        <f>+'HAB-POR EC Bs'!F73/'HAB-POR EC M$'!$D$6/$C$6</f>
        <v>0.65947977199999996</v>
      </c>
      <c r="G74" s="22">
        <f>+'HAB-POR EC Bs'!G73/'HAB-POR EC M$'!$D$6/$C$6</f>
        <v>1.0219308199999999</v>
      </c>
      <c r="H74" s="22">
        <f>+'HAB-POR EC Bs'!H73/'HAB-POR EC M$'!$D$6/$C$6</f>
        <v>1.2514018439999999</v>
      </c>
      <c r="I74" s="22">
        <f>+'HAB-POR EC Bs'!I73/'HAB-POR EC M$'!$D$6/$C$6</f>
        <v>1.5806268700000001</v>
      </c>
      <c r="J74" s="22">
        <f>+'HAB-POR EC Bs'!J73/'HAB-POR EC M$'!$D$6/$C$6</f>
        <v>9.6359702189999989</v>
      </c>
      <c r="K74" s="22">
        <f>+'HAB-POR EC Bs'!K73/'HAB-POR EC M$'!$D$6/$C$6</f>
        <v>10.153622930999999</v>
      </c>
      <c r="L74" s="22">
        <f>+'HAB-POR EC Bs'!L73/'HAB-POR EC M$'!$D$6/$C$6</f>
        <v>10.153622930999999</v>
      </c>
      <c r="M74" s="22">
        <f>+'HAB-POR EC Bs'!M73/'HAB-POR EC M$'!$D$6/$C$6</f>
        <v>0</v>
      </c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s="24" customFormat="1" ht="12" x14ac:dyDescent="0.2">
      <c r="A75" s="21" t="s">
        <v>95</v>
      </c>
      <c r="B75" s="22">
        <f>+'HAB-POR EC Bs'!B74/'HAB-POR EC M$'!$B$6/$C$6</f>
        <v>6.8253968253968267E-5</v>
      </c>
      <c r="C75" s="22">
        <f>+'HAB-POR EC Bs'!C74/'HAB-POR EC M$'!$B$6/$C$6</f>
        <v>1.331746031746032E-3</v>
      </c>
      <c r="D75" s="22">
        <f>+'HAB-POR EC Bs'!D74/'HAB-POR EC M$'!$D$6/$C$6</f>
        <v>9.59E-4</v>
      </c>
      <c r="E75" s="22">
        <f>+'HAB-POR EC Bs'!E74/'HAB-POR EC M$'!$D$6/$C$6</f>
        <v>9.59E-4</v>
      </c>
      <c r="F75" s="22">
        <f>+'HAB-POR EC Bs'!F74/'HAB-POR EC M$'!$D$6/$C$6</f>
        <v>1.23E-3</v>
      </c>
      <c r="G75" s="22">
        <f>+'HAB-POR EC Bs'!G74/'HAB-POR EC M$'!$D$6/$C$6</f>
        <v>1.23E-3</v>
      </c>
      <c r="H75" s="22">
        <f>+'HAB-POR EC Bs'!H74/'HAB-POR EC M$'!$D$6/$C$6</f>
        <v>1.23E-3</v>
      </c>
      <c r="I75" s="22">
        <f>+'HAB-POR EC Bs'!I74/'HAB-POR EC M$'!$D$6/$C$6</f>
        <v>1.5900000000000001E-3</v>
      </c>
      <c r="J75" s="22">
        <f>+'HAB-POR EC Bs'!J74/'HAB-POR EC M$'!$D$6/$C$6</f>
        <v>9.92E-3</v>
      </c>
      <c r="K75" s="22">
        <f>+'HAB-POR EC Bs'!K74/'HAB-POR EC M$'!$D$6/$C$6</f>
        <v>8.8791999999999996E-2</v>
      </c>
      <c r="L75" s="22">
        <f>+'HAB-POR EC Bs'!L74/'HAB-POR EC M$'!$D$6/$C$6</f>
        <v>8.9529999999999998E-2</v>
      </c>
      <c r="M75" s="22">
        <f>+'HAB-POR EC Bs'!M74/'HAB-POR EC M$'!$D$6/$C$6</f>
        <v>0</v>
      </c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s="24" customFormat="1" ht="12" x14ac:dyDescent="0.2">
      <c r="A76" s="21" t="s">
        <v>96</v>
      </c>
      <c r="B76" s="22">
        <f>+'HAB-POR EC Bs'!B75/'HAB-POR EC M$'!$B$6/$C$6</f>
        <v>5.7761904761904757E-2</v>
      </c>
      <c r="C76" s="22">
        <f>+'HAB-POR EC Bs'!C75/'HAB-POR EC M$'!$B$6/$C$6</f>
        <v>0.11332380952380953</v>
      </c>
      <c r="D76" s="22">
        <f>+'HAB-POR EC Bs'!D75/'HAB-POR EC M$'!$D$6/$C$6</f>
        <v>9.118495900000001E-2</v>
      </c>
      <c r="E76" s="22">
        <f>+'HAB-POR EC Bs'!E75/'HAB-POR EC M$'!$D$6/$C$6</f>
        <v>0.191850731</v>
      </c>
      <c r="F76" s="22">
        <f>+'HAB-POR EC Bs'!F75/'HAB-POR EC M$'!$D$6/$C$6</f>
        <v>0.21835497200000001</v>
      </c>
      <c r="G76" s="22">
        <f>+'HAB-POR EC Bs'!G75/'HAB-POR EC M$'!$D$6/$C$6</f>
        <v>0.32388006800000002</v>
      </c>
      <c r="H76" s="22">
        <f>+'HAB-POR EC Bs'!H75/'HAB-POR EC M$'!$D$6/$C$6</f>
        <v>0.350851939</v>
      </c>
      <c r="I76" s="22">
        <f>+'HAB-POR EC Bs'!I75/'HAB-POR EC M$'!$D$6/$C$6</f>
        <v>0.49193796199999995</v>
      </c>
      <c r="J76" s="22">
        <f>+'HAB-POR EC Bs'!J75/'HAB-POR EC M$'!$D$6/$C$6</f>
        <v>0.82238255700000018</v>
      </c>
      <c r="K76" s="22">
        <f>+'HAB-POR EC Bs'!K75/'HAB-POR EC M$'!$D$6/$C$6</f>
        <v>1.2745653589999999</v>
      </c>
      <c r="L76" s="22">
        <f>+'HAB-POR EC Bs'!L75/'HAB-POR EC M$'!$D$6/$C$6</f>
        <v>1.4499302970000001</v>
      </c>
      <c r="M76" s="22">
        <f>+'HAB-POR EC Bs'!M75/'HAB-POR EC M$'!$D$6/$C$6</f>
        <v>0</v>
      </c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s="24" customFormat="1" ht="12" x14ac:dyDescent="0.2">
      <c r="A77" s="21" t="s">
        <v>97</v>
      </c>
      <c r="B77" s="22">
        <f>+'HAB-POR EC Bs'!B76/'HAB-POR EC M$'!$B$6/$C$6</f>
        <v>0</v>
      </c>
      <c r="C77" s="22">
        <f>+'HAB-POR EC Bs'!C76/'HAB-POR EC M$'!$B$6/$C$6</f>
        <v>0</v>
      </c>
      <c r="D77" s="22">
        <f>+'HAB-POR EC Bs'!D76/'HAB-POR EC M$'!$D$6/$C$6</f>
        <v>0</v>
      </c>
      <c r="E77" s="22">
        <f>+'HAB-POR EC Bs'!E76/'HAB-POR EC M$'!$D$6/$C$6</f>
        <v>0</v>
      </c>
      <c r="F77" s="22">
        <f>+'HAB-POR EC Bs'!F76/'HAB-POR EC M$'!$D$6/$C$6</f>
        <v>0</v>
      </c>
      <c r="G77" s="22">
        <f>+'HAB-POR EC Bs'!G76/'HAB-POR EC M$'!$D$6/$C$6</f>
        <v>0</v>
      </c>
      <c r="H77" s="22">
        <f>+'HAB-POR EC Bs'!H76/'HAB-POR EC M$'!$D$6/$C$6</f>
        <v>0</v>
      </c>
      <c r="I77" s="22">
        <f>+'HAB-POR EC Bs'!I76/'HAB-POR EC M$'!$D$6/$C$6</f>
        <v>0</v>
      </c>
      <c r="J77" s="22">
        <f>+'HAB-POR EC Bs'!J76/'HAB-POR EC M$'!$D$6/$C$6</f>
        <v>0</v>
      </c>
      <c r="K77" s="22">
        <f>+'HAB-POR EC Bs'!K76/'HAB-POR EC M$'!$D$6/$C$6</f>
        <v>0</v>
      </c>
      <c r="L77" s="22">
        <f>+'HAB-POR EC Bs'!L76/'HAB-POR EC M$'!$D$6/$C$6</f>
        <v>0</v>
      </c>
      <c r="M77" s="22">
        <f>+'HAB-POR EC Bs'!M76/'HAB-POR EC M$'!$D$6/$C$6</f>
        <v>0</v>
      </c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s="32" customFormat="1" ht="12" x14ac:dyDescent="0.2">
      <c r="A78" s="30" t="s">
        <v>98</v>
      </c>
      <c r="B78" s="31">
        <f>SUM(B73:B77)</f>
        <v>0.54899206349206342</v>
      </c>
      <c r="C78" s="31">
        <f t="shared" ref="C78:M78" si="8">SUM(C73:C77)</f>
        <v>1.1028444444444445</v>
      </c>
      <c r="D78" s="31">
        <f>SUM(D73:D77)</f>
        <v>1.5423732269999999</v>
      </c>
      <c r="E78" s="31">
        <f t="shared" si="8"/>
        <v>2.1963021519999999</v>
      </c>
      <c r="F78" s="31">
        <f t="shared" si="8"/>
        <v>2.9163251000000003</v>
      </c>
      <c r="G78" s="31">
        <f t="shared" si="8"/>
        <v>3.9157004579999999</v>
      </c>
      <c r="H78" s="31">
        <f t="shared" si="8"/>
        <v>4.7900187169999997</v>
      </c>
      <c r="I78" s="31">
        <f t="shared" si="8"/>
        <v>5.8748037690000006</v>
      </c>
      <c r="J78" s="31">
        <f t="shared" si="8"/>
        <v>15.158755175999998</v>
      </c>
      <c r="K78" s="31">
        <f t="shared" si="8"/>
        <v>17.168707357999999</v>
      </c>
      <c r="L78" s="31">
        <f t="shared" si="8"/>
        <v>17.344810296000002</v>
      </c>
      <c r="M78" s="31">
        <f t="shared" si="8"/>
        <v>0</v>
      </c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s="24" customFormat="1" ht="12" x14ac:dyDescent="0.2">
      <c r="A79" s="51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spans="1:26" s="47" customFormat="1" x14ac:dyDescent="0.2">
      <c r="A80" s="18" t="s">
        <v>107</v>
      </c>
      <c r="B80" s="19" t="s">
        <v>82</v>
      </c>
      <c r="C80" s="19" t="s">
        <v>83</v>
      </c>
      <c r="D80" s="19" t="s">
        <v>84</v>
      </c>
      <c r="E80" s="19" t="s">
        <v>85</v>
      </c>
      <c r="F80" s="19" t="s">
        <v>86</v>
      </c>
      <c r="G80" s="19" t="s">
        <v>87</v>
      </c>
      <c r="H80" s="19" t="s">
        <v>88</v>
      </c>
      <c r="I80" s="19" t="s">
        <v>198</v>
      </c>
      <c r="J80" s="19" t="s">
        <v>89</v>
      </c>
      <c r="K80" s="19" t="s">
        <v>90</v>
      </c>
      <c r="L80" s="19" t="s">
        <v>91</v>
      </c>
      <c r="M80" s="19" t="s">
        <v>92</v>
      </c>
      <c r="N80" s="41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s="24" customFormat="1" ht="12" x14ac:dyDescent="0.2">
      <c r="A81" s="21" t="s">
        <v>93</v>
      </c>
      <c r="B81" s="22">
        <f>+'HAB-POR EC Bs'!B80/'HAB-POR EC M$'!$B$6/$C$6</f>
        <v>3.8938095238095237E-2</v>
      </c>
      <c r="C81" s="22">
        <f>+'HAB-POR EC Bs'!C80/'HAB-POR EC M$'!$B$6/$C$6</f>
        <v>7.9834920634920634E-2</v>
      </c>
      <c r="D81" s="22">
        <f>+'HAB-POR EC Bs'!D80/'HAB-POR EC M$'!$D$6/$C$6</f>
        <v>0.18312610300000001</v>
      </c>
      <c r="E81" s="22">
        <f>+'HAB-POR EC Bs'!E80/'HAB-POR EC M$'!$D$6/$C$6</f>
        <v>0.282151877</v>
      </c>
      <c r="F81" s="22">
        <f>+'HAB-POR EC Bs'!F80/'HAB-POR EC M$'!$D$6/$C$6</f>
        <v>0.35564815800000005</v>
      </c>
      <c r="G81" s="22">
        <f>+'HAB-POR EC Bs'!G80/'HAB-POR EC M$'!$D$6/$C$6</f>
        <v>0.51489247900000001</v>
      </c>
      <c r="H81" s="22">
        <f>+'HAB-POR EC Bs'!H80/'HAB-POR EC M$'!$D$6/$C$6</f>
        <v>0.46591274499999996</v>
      </c>
      <c r="I81" s="22">
        <f>+'HAB-POR EC Bs'!I80/'HAB-POR EC M$'!$D$6/$C$6</f>
        <v>0.55058595700000001</v>
      </c>
      <c r="J81" s="22">
        <f>+'HAB-POR EC Bs'!J80/'HAB-POR EC M$'!$D$6/$C$6</f>
        <v>0.59133174299999991</v>
      </c>
      <c r="K81" s="22">
        <f>+'HAB-POR EC Bs'!K80/'HAB-POR EC M$'!$D$6/$C$6</f>
        <v>0.73712023799999993</v>
      </c>
      <c r="L81" s="22">
        <f>+'HAB-POR EC Bs'!L80/'HAB-POR EC M$'!$D$6/$C$6</f>
        <v>0.73712023799999993</v>
      </c>
      <c r="M81" s="22">
        <f>+'HAB-POR EC Bs'!M80/'HAB-POR EC M$'!$D$6/$C$6</f>
        <v>0</v>
      </c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s="24" customFormat="1" ht="12" x14ac:dyDescent="0.2">
      <c r="A82" s="21" t="s">
        <v>94</v>
      </c>
      <c r="B82" s="22">
        <f>+'HAB-POR EC Bs'!B81/'HAB-POR EC M$'!$B$6/$C$6</f>
        <v>5.3920634920634923E-3</v>
      </c>
      <c r="C82" s="22">
        <f>+'HAB-POR EC Bs'!C81/'HAB-POR EC M$'!$B$6/$C$6</f>
        <v>1.1534920634920634E-2</v>
      </c>
      <c r="D82" s="22">
        <f>+'HAB-POR EC Bs'!D81/'HAB-POR EC M$'!$D$6/$C$6</f>
        <v>3.8496000000000002E-2</v>
      </c>
      <c r="E82" s="22">
        <f>+'HAB-POR EC Bs'!E81/'HAB-POR EC M$'!$D$6/$C$6</f>
        <v>7.6943509999999993E-2</v>
      </c>
      <c r="F82" s="22">
        <f>+'HAB-POR EC Bs'!F81/'HAB-POR EC M$'!$D$6/$C$6</f>
        <v>0.13386727700000001</v>
      </c>
      <c r="G82" s="22">
        <f>+'HAB-POR EC Bs'!G81/'HAB-POR EC M$'!$D$6/$C$6</f>
        <v>0.212376958</v>
      </c>
      <c r="H82" s="22">
        <f>+'HAB-POR EC Bs'!H81/'HAB-POR EC M$'!$D$6/$C$6</f>
        <v>0.19802762799999998</v>
      </c>
      <c r="I82" s="22">
        <f>+'HAB-POR EC Bs'!I81/'HAB-POR EC M$'!$D$6/$C$6</f>
        <v>0.25168857100000003</v>
      </c>
      <c r="J82" s="22">
        <f>+'HAB-POR EC Bs'!J81/'HAB-POR EC M$'!$D$6/$C$6</f>
        <v>1.3488345359999998</v>
      </c>
      <c r="K82" s="22">
        <f>+'HAB-POR EC Bs'!K81/'HAB-POR EC M$'!$D$6/$C$6</f>
        <v>1.401771933</v>
      </c>
      <c r="L82" s="22">
        <f>+'HAB-POR EC Bs'!L81/'HAB-POR EC M$'!$D$6/$C$6</f>
        <v>1.401771933</v>
      </c>
      <c r="M82" s="22">
        <f>+'HAB-POR EC Bs'!M81/'HAB-POR EC M$'!$D$6/$C$6</f>
        <v>0</v>
      </c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s="24" customFormat="1" ht="12" x14ac:dyDescent="0.2">
      <c r="A83" s="21" t="s">
        <v>95</v>
      </c>
      <c r="B83" s="22">
        <f>+'HAB-POR EC Bs'!B82/'HAB-POR EC M$'!$B$6/$C$6</f>
        <v>0</v>
      </c>
      <c r="C83" s="22">
        <f>+'HAB-POR EC Bs'!C82/'HAB-POR EC M$'!$B$6/$C$6</f>
        <v>0</v>
      </c>
      <c r="D83" s="22">
        <f>+'HAB-POR EC Bs'!D82/'HAB-POR EC M$'!$D$6/$C$6</f>
        <v>0</v>
      </c>
      <c r="E83" s="22">
        <f>+'HAB-POR EC Bs'!E82/'HAB-POR EC M$'!$D$6/$C$6</f>
        <v>0</v>
      </c>
      <c r="F83" s="22">
        <f>+'HAB-POR EC Bs'!F82/'HAB-POR EC M$'!$D$6/$C$6</f>
        <v>0</v>
      </c>
      <c r="G83" s="22">
        <f>+'HAB-POR EC Bs'!G82/'HAB-POR EC M$'!$D$6/$C$6</f>
        <v>0</v>
      </c>
      <c r="H83" s="22">
        <f>+'HAB-POR EC Bs'!H82/'HAB-POR EC M$'!$D$6/$C$6</f>
        <v>3.9999999999997726E-5</v>
      </c>
      <c r="I83" s="22">
        <f>+'HAB-POR EC Bs'!I82/'HAB-POR EC M$'!$D$6/$C$6</f>
        <v>3.9999999999997726E-5</v>
      </c>
      <c r="J83" s="22">
        <f>+'HAB-POR EC Bs'!J82/'HAB-POR EC M$'!$D$6/$C$6</f>
        <v>6.0000000000002272E-5</v>
      </c>
      <c r="K83" s="22">
        <f>+'HAB-POR EC Bs'!K82/'HAB-POR EC M$'!$D$6/$C$6</f>
        <v>8.000000000000681E-5</v>
      </c>
      <c r="L83" s="22">
        <f>+'HAB-POR EC Bs'!L82/'HAB-POR EC M$'!$D$6/$C$6</f>
        <v>8.000000000000681E-5</v>
      </c>
      <c r="M83" s="22">
        <f>+'HAB-POR EC Bs'!M82/'HAB-POR EC M$'!$D$6/$C$6</f>
        <v>0</v>
      </c>
      <c r="N83" s="38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s="24" customFormat="1" ht="12" x14ac:dyDescent="0.2">
      <c r="A84" s="21" t="s">
        <v>96</v>
      </c>
      <c r="B84" s="22">
        <f>+'HAB-POR EC Bs'!B83/'HAB-POR EC M$'!$B$6/$C$6</f>
        <v>0.7057349206349206</v>
      </c>
      <c r="C84" s="22">
        <f>+'HAB-POR EC Bs'!C83/'HAB-POR EC M$'!$B$6/$C$6</f>
        <v>1.0269158730158732</v>
      </c>
      <c r="D84" s="22">
        <f>+'HAB-POR EC Bs'!D83/'HAB-POR EC M$'!$D$6/$C$6</f>
        <v>1.0789652E-2</v>
      </c>
      <c r="E84" s="22">
        <f>+'HAB-POR EC Bs'!E83/'HAB-POR EC M$'!$D$6/$C$6</f>
        <v>3.4049837000000006E-2</v>
      </c>
      <c r="F84" s="22">
        <f>+'HAB-POR EC Bs'!F83/'HAB-POR EC M$'!$D$6/$C$6</f>
        <v>0.129453974</v>
      </c>
      <c r="G84" s="22">
        <f>+'HAB-POR EC Bs'!G83/'HAB-POR EC M$'!$D$6/$C$6</f>
        <v>0.32804348100000003</v>
      </c>
      <c r="H84" s="22">
        <f>+'HAB-POR EC Bs'!H83/'HAB-POR EC M$'!$D$6/$C$6</f>
        <v>0.45580930300000011</v>
      </c>
      <c r="I84" s="22">
        <f>+'HAB-POR EC Bs'!I83/'HAB-POR EC M$'!$D$6/$C$6</f>
        <v>0.55246301599999992</v>
      </c>
      <c r="J84" s="22">
        <f>+'HAB-POR EC Bs'!J83/'HAB-POR EC M$'!$D$6/$C$6</f>
        <v>0.54083004000000001</v>
      </c>
      <c r="K84" s="22">
        <f>+'HAB-POR EC Bs'!K83/'HAB-POR EC M$'!$D$6/$C$6</f>
        <v>0.64934776399999983</v>
      </c>
      <c r="L84" s="22">
        <f>+'HAB-POR EC Bs'!L83/'HAB-POR EC M$'!$D$6/$C$6</f>
        <v>0.7002397640000001</v>
      </c>
      <c r="M84" s="22">
        <f>+'HAB-POR EC Bs'!M83/'HAB-POR EC M$'!$D$6/$C$6</f>
        <v>0</v>
      </c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s="24" customFormat="1" ht="12" x14ac:dyDescent="0.2">
      <c r="A85" s="21" t="s">
        <v>97</v>
      </c>
      <c r="B85" s="22">
        <f>+'HAB-POR EC Bs'!B84/'HAB-POR EC M$'!$B$6/$C$6</f>
        <v>8.0761904761904781E-3</v>
      </c>
      <c r="C85" s="22">
        <f>+'HAB-POR EC Bs'!C84/'HAB-POR EC M$'!$B$6/$C$6</f>
        <v>3.9425396825396822E-2</v>
      </c>
      <c r="D85" s="22">
        <f>+'HAB-POR EC Bs'!D84/'HAB-POR EC M$'!$D$6/$C$6</f>
        <v>5.0746500999999999E-2</v>
      </c>
      <c r="E85" s="22">
        <f>+'HAB-POR EC Bs'!E84/'HAB-POR EC M$'!$D$6/$C$6</f>
        <v>0.10521548900000001</v>
      </c>
      <c r="F85" s="22">
        <f>+'HAB-POR EC Bs'!F84/'HAB-POR EC M$'!$D$6/$C$6</f>
        <v>0.195480287</v>
      </c>
      <c r="G85" s="22">
        <f>+'HAB-POR EC Bs'!G84/'HAB-POR EC M$'!$D$6/$C$6</f>
        <v>0.27745835799999996</v>
      </c>
      <c r="H85" s="22">
        <f>+'HAB-POR EC Bs'!H84/'HAB-POR EC M$'!$D$6/$C$6</f>
        <v>0.76636811400000004</v>
      </c>
      <c r="I85" s="22">
        <f>+'HAB-POR EC Bs'!I84/'HAB-POR EC M$'!$D$6/$C$6</f>
        <v>0.68228860499999999</v>
      </c>
      <c r="J85" s="22">
        <f>+'HAB-POR EC Bs'!J84/'HAB-POR EC M$'!$D$6/$C$6</f>
        <v>0.74094316099999991</v>
      </c>
      <c r="K85" s="22">
        <f>+'HAB-POR EC Bs'!K84/'HAB-POR EC M$'!$D$6/$C$6</f>
        <v>2.3429999999999999E-2</v>
      </c>
      <c r="L85" s="22">
        <f>+'HAB-POR EC Bs'!L84/'HAB-POR EC M$'!$D$6/$C$6</f>
        <v>2.3429999999999999E-2</v>
      </c>
      <c r="M85" s="22">
        <f>+'HAB-POR EC Bs'!M84/'HAB-POR EC M$'!$D$6/$C$6</f>
        <v>0</v>
      </c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s="60" customFormat="1" ht="12" x14ac:dyDescent="0.2">
      <c r="A86" s="30" t="s">
        <v>98</v>
      </c>
      <c r="B86" s="31">
        <f>SUM(B81:B85)</f>
        <v>0.75814126984126984</v>
      </c>
      <c r="C86" s="31">
        <f t="shared" ref="C86:M86" si="9">SUM(C81:C85)</f>
        <v>1.1577111111111111</v>
      </c>
      <c r="D86" s="31">
        <f>SUM(D81:D85)</f>
        <v>0.283158256</v>
      </c>
      <c r="E86" s="31">
        <f t="shared" si="9"/>
        <v>0.49836071300000001</v>
      </c>
      <c r="F86" s="31">
        <f t="shared" si="9"/>
        <v>0.81444969600000006</v>
      </c>
      <c r="G86" s="31">
        <f t="shared" si="9"/>
        <v>1.3327712759999999</v>
      </c>
      <c r="H86" s="31">
        <f t="shared" si="9"/>
        <v>1.8861577900000002</v>
      </c>
      <c r="I86" s="31">
        <f t="shared" si="9"/>
        <v>2.0370661490000002</v>
      </c>
      <c r="J86" s="31">
        <f t="shared" si="9"/>
        <v>3.2219994799999991</v>
      </c>
      <c r="K86" s="31">
        <f t="shared" si="9"/>
        <v>2.8117499349999999</v>
      </c>
      <c r="L86" s="31">
        <f t="shared" si="9"/>
        <v>2.8626419350000001</v>
      </c>
      <c r="M86" s="31">
        <f t="shared" si="9"/>
        <v>0</v>
      </c>
      <c r="N86" s="3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s="24" customFormat="1" ht="12" x14ac:dyDescent="0.2">
      <c r="A87" s="61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spans="1:26" s="10" customFormat="1" x14ac:dyDescent="0.2">
      <c r="A88" s="18" t="s">
        <v>108</v>
      </c>
      <c r="B88" s="19" t="s">
        <v>82</v>
      </c>
      <c r="C88" s="19" t="s">
        <v>83</v>
      </c>
      <c r="D88" s="19" t="s">
        <v>84</v>
      </c>
      <c r="E88" s="19" t="s">
        <v>85</v>
      </c>
      <c r="F88" s="19" t="s">
        <v>86</v>
      </c>
      <c r="G88" s="19" t="s">
        <v>87</v>
      </c>
      <c r="H88" s="19" t="s">
        <v>88</v>
      </c>
      <c r="I88" s="19" t="s">
        <v>198</v>
      </c>
      <c r="J88" s="19" t="s">
        <v>89</v>
      </c>
      <c r="K88" s="19" t="s">
        <v>90</v>
      </c>
      <c r="L88" s="19" t="s">
        <v>91</v>
      </c>
      <c r="M88" s="19" t="s">
        <v>92</v>
      </c>
      <c r="N88" s="4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s="24" customFormat="1" ht="12" x14ac:dyDescent="0.2">
      <c r="A89" s="21" t="s">
        <v>93</v>
      </c>
      <c r="B89" s="22">
        <f>+'HAB-POR EC Bs'!B88/'HAB-POR EC M$'!$B$6/$C$6</f>
        <v>0.25852698412698411</v>
      </c>
      <c r="C89" s="22">
        <f>+'HAB-POR EC Bs'!C88/'HAB-POR EC M$'!$B$6/$C$6</f>
        <v>0.51261904761904764</v>
      </c>
      <c r="D89" s="22">
        <f>+'HAB-POR EC Bs'!D88/'HAB-POR EC M$'!$D$6/$C$6</f>
        <v>0.80633688199999998</v>
      </c>
      <c r="E89" s="22">
        <f>+'HAB-POR EC Bs'!E88/'HAB-POR EC M$'!$D$6/$C$6</f>
        <v>1.0515328310000001</v>
      </c>
      <c r="F89" s="22">
        <f>+'HAB-POR EC Bs'!F88/'HAB-POR EC M$'!$D$6/$C$6</f>
        <v>1.3156692520000002</v>
      </c>
      <c r="G89" s="22">
        <f>+'HAB-POR EC Bs'!G88/'HAB-POR EC M$'!$D$6/$C$6</f>
        <v>1.69775572</v>
      </c>
      <c r="H89" s="22">
        <f>+'HAB-POR EC Bs'!H88/'HAB-POR EC M$'!$D$6/$C$6</f>
        <v>2.1185898330000001</v>
      </c>
      <c r="I89" s="22">
        <f>+'HAB-POR EC Bs'!I88/'HAB-POR EC M$'!$D$6/$C$6</f>
        <v>2.5299914980000002</v>
      </c>
      <c r="J89" s="22">
        <f>+'HAB-POR EC Bs'!J88/'HAB-POR EC M$'!$D$6/$C$6</f>
        <v>3.1560153030000002</v>
      </c>
      <c r="K89" s="22">
        <f>+'HAB-POR EC Bs'!K88/'HAB-POR EC M$'!$D$6/$C$6</f>
        <v>3.7251581369999998</v>
      </c>
      <c r="L89" s="22">
        <f>+'HAB-POR EC Bs'!L88/'HAB-POR EC M$'!$D$6/$C$6</f>
        <v>3.7251581369999998</v>
      </c>
      <c r="M89" s="22">
        <f>+'HAB-POR EC Bs'!M88/'HAB-POR EC M$'!$D$6/$C$6</f>
        <v>0</v>
      </c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s="24" customFormat="1" ht="12" x14ac:dyDescent="0.2">
      <c r="A90" s="21" t="s">
        <v>94</v>
      </c>
      <c r="B90" s="22">
        <f>+'HAB-POR EC Bs'!B89/'HAB-POR EC M$'!$B$6/$C$6</f>
        <v>0.17511587301587303</v>
      </c>
      <c r="C90" s="22">
        <f>+'HAB-POR EC Bs'!C89/'HAB-POR EC M$'!$B$6/$C$6</f>
        <v>0.28754285714285716</v>
      </c>
      <c r="D90" s="22">
        <f>+'HAB-POR EC Bs'!D89/'HAB-POR EC M$'!$D$6/$C$6</f>
        <v>0.25240327200000001</v>
      </c>
      <c r="E90" s="22">
        <f>+'HAB-POR EC Bs'!E89/'HAB-POR EC M$'!$D$6/$C$6</f>
        <v>0.36134542599999997</v>
      </c>
      <c r="F90" s="22">
        <f>+'HAB-POR EC Bs'!F89/'HAB-POR EC M$'!$D$6/$C$6</f>
        <v>0.53878431100000002</v>
      </c>
      <c r="G90" s="22">
        <f>+'HAB-POR EC Bs'!G89/'HAB-POR EC M$'!$D$6/$C$6</f>
        <v>0.7735623370000001</v>
      </c>
      <c r="H90" s="22">
        <f>+'HAB-POR EC Bs'!H89/'HAB-POR EC M$'!$D$6/$C$6</f>
        <v>0.92414280299999996</v>
      </c>
      <c r="I90" s="22">
        <f>+'HAB-POR EC Bs'!I89/'HAB-POR EC M$'!$D$6/$C$6</f>
        <v>1.1434786640000001</v>
      </c>
      <c r="J90" s="22">
        <f>+'HAB-POR EC Bs'!J89/'HAB-POR EC M$'!$D$6/$C$6</f>
        <v>6.6019481039999999</v>
      </c>
      <c r="K90" s="22">
        <f>+'HAB-POR EC Bs'!K89/'HAB-POR EC M$'!$D$6/$C$6</f>
        <v>6.9308145029999997</v>
      </c>
      <c r="L90" s="22">
        <f>+'HAB-POR EC Bs'!L89/'HAB-POR EC M$'!$D$6/$C$6</f>
        <v>6.9364777029999996</v>
      </c>
      <c r="M90" s="22">
        <f>+'HAB-POR EC Bs'!M89/'HAB-POR EC M$'!$D$6/$C$6</f>
        <v>0</v>
      </c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s="24" customFormat="1" ht="12" x14ac:dyDescent="0.2">
      <c r="A91" s="21" t="s">
        <v>95</v>
      </c>
      <c r="B91" s="22">
        <f>+'HAB-POR EC Bs'!B90/'HAB-POR EC M$'!$B$6/$C$6</f>
        <v>0</v>
      </c>
      <c r="C91" s="22">
        <f>+'HAB-POR EC Bs'!C90/'HAB-POR EC M$'!$B$6/$C$6</f>
        <v>0</v>
      </c>
      <c r="D91" s="22">
        <f>+'HAB-POR EC Bs'!D90/'HAB-POR EC M$'!$D$6/$C$6</f>
        <v>0</v>
      </c>
      <c r="E91" s="22">
        <f>+'HAB-POR EC Bs'!E90/'HAB-POR EC M$'!$D$6/$C$6</f>
        <v>0</v>
      </c>
      <c r="F91" s="22">
        <f>+'HAB-POR EC Bs'!F90/'HAB-POR EC M$'!$D$6/$C$6</f>
        <v>0</v>
      </c>
      <c r="G91" s="22">
        <f>+'HAB-POR EC Bs'!G90/'HAB-POR EC M$'!$D$6/$C$6</f>
        <v>0</v>
      </c>
      <c r="H91" s="22">
        <f>+'HAB-POR EC Bs'!H90/'HAB-POR EC M$'!$D$6/$C$6</f>
        <v>0</v>
      </c>
      <c r="I91" s="22">
        <f>+'HAB-POR EC Bs'!I90/'HAB-POR EC M$'!$D$6/$C$6</f>
        <v>0</v>
      </c>
      <c r="J91" s="22">
        <f>+'HAB-POR EC Bs'!J90/'HAB-POR EC M$'!$D$6/$C$6</f>
        <v>0.132466</v>
      </c>
      <c r="K91" s="22">
        <f>+'HAB-POR EC Bs'!K90/'HAB-POR EC M$'!$D$6/$C$6</f>
        <v>0.132466</v>
      </c>
      <c r="L91" s="22">
        <f>+'HAB-POR EC Bs'!L90/'HAB-POR EC M$'!$D$6/$C$6</f>
        <v>0.132466</v>
      </c>
      <c r="M91" s="22">
        <f>+'HAB-POR EC Bs'!M90/'HAB-POR EC M$'!$D$6/$C$6</f>
        <v>0</v>
      </c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s="24" customFormat="1" ht="12" x14ac:dyDescent="0.2">
      <c r="A92" s="21" t="s">
        <v>96</v>
      </c>
      <c r="B92" s="22">
        <f>+'HAB-POR EC Bs'!B91/'HAB-POR EC M$'!$B$6/$C$6</f>
        <v>2.1423809523809526E-2</v>
      </c>
      <c r="C92" s="22">
        <f>+'HAB-POR EC Bs'!C91/'HAB-POR EC M$'!$B$6/$C$6</f>
        <v>6.8719047619047624E-2</v>
      </c>
      <c r="D92" s="22">
        <f>+'HAB-POR EC Bs'!D91/'HAB-POR EC M$'!$D$6/$C$6</f>
        <v>5.1307777999999998E-2</v>
      </c>
      <c r="E92" s="22">
        <f>+'HAB-POR EC Bs'!E91/'HAB-POR EC M$'!$D$6/$C$6</f>
        <v>9.4814459000000004E-2</v>
      </c>
      <c r="F92" s="22">
        <f>+'HAB-POR EC Bs'!F91/'HAB-POR EC M$'!$D$6/$C$6</f>
        <v>0.113583563</v>
      </c>
      <c r="G92" s="22">
        <f>+'HAB-POR EC Bs'!G91/'HAB-POR EC M$'!$D$6/$C$6</f>
        <v>0.16801845099999999</v>
      </c>
      <c r="H92" s="22">
        <f>+'HAB-POR EC Bs'!H91/'HAB-POR EC M$'!$D$6/$C$6</f>
        <v>0.189163147</v>
      </c>
      <c r="I92" s="22">
        <f>+'HAB-POR EC Bs'!I91/'HAB-POR EC M$'!$D$6/$C$6</f>
        <v>0.25975411500000001</v>
      </c>
      <c r="J92" s="22">
        <f>+'HAB-POR EC Bs'!J91/'HAB-POR EC M$'!$D$6/$C$6</f>
        <v>0.35069571999999999</v>
      </c>
      <c r="K92" s="22">
        <f>+'HAB-POR EC Bs'!K91/'HAB-POR EC M$'!$D$6/$C$6</f>
        <v>1.0009583559999999</v>
      </c>
      <c r="L92" s="22">
        <f>+'HAB-POR EC Bs'!L91/'HAB-POR EC M$'!$D$6/$C$6</f>
        <v>1.034623767</v>
      </c>
      <c r="M92" s="22">
        <f>+'HAB-POR EC Bs'!M91/'HAB-POR EC M$'!$D$6/$C$6</f>
        <v>0</v>
      </c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s="24" customFormat="1" ht="12" x14ac:dyDescent="0.2">
      <c r="A93" s="21" t="s">
        <v>97</v>
      </c>
      <c r="B93" s="22">
        <f>+'HAB-POR EC Bs'!B92/'HAB-POR EC M$'!$B$6/$C$6</f>
        <v>0</v>
      </c>
      <c r="C93" s="22">
        <f>+'HAB-POR EC Bs'!C92/'HAB-POR EC M$'!$B$6/$C$6</f>
        <v>0</v>
      </c>
      <c r="D93" s="22">
        <f>+'HAB-POR EC Bs'!D92/'HAB-POR EC M$'!$D$6/$C$6</f>
        <v>0</v>
      </c>
      <c r="E93" s="22">
        <f>+'HAB-POR EC Bs'!E92/'HAB-POR EC M$'!$D$6/$C$6</f>
        <v>0</v>
      </c>
      <c r="F93" s="22">
        <f>+'HAB-POR EC Bs'!F92/'HAB-POR EC M$'!$D$6/$C$6</f>
        <v>0</v>
      </c>
      <c r="G93" s="22">
        <f>+'HAB-POR EC Bs'!G92/'HAB-POR EC M$'!$D$6/$C$6</f>
        <v>0</v>
      </c>
      <c r="H93" s="22">
        <f>+'HAB-POR EC Bs'!H92/'HAB-POR EC M$'!$D$6/$C$6</f>
        <v>0</v>
      </c>
      <c r="I93" s="22">
        <f>+'HAB-POR EC Bs'!I92/'HAB-POR EC M$'!$D$6/$C$6</f>
        <v>0</v>
      </c>
      <c r="J93" s="22">
        <f>+'HAB-POR EC Bs'!J92/'HAB-POR EC M$'!$D$6/$C$6</f>
        <v>0</v>
      </c>
      <c r="K93" s="22">
        <f>+'HAB-POR EC Bs'!K92/'HAB-POR EC M$'!$D$6/$C$6</f>
        <v>0</v>
      </c>
      <c r="L93" s="22">
        <f>+'HAB-POR EC Bs'!L92/'HAB-POR EC M$'!$D$6/$C$6</f>
        <v>0</v>
      </c>
      <c r="M93" s="22">
        <f>+'HAB-POR EC Bs'!M92/'HAB-POR EC M$'!$D$6/$C$6</f>
        <v>0</v>
      </c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s="32" customFormat="1" ht="12" x14ac:dyDescent="0.2">
      <c r="A94" s="30" t="s">
        <v>98</v>
      </c>
      <c r="B94" s="31">
        <f>SUM(B89:B93)</f>
        <v>0.45506666666666662</v>
      </c>
      <c r="C94" s="31">
        <f t="shared" ref="C94:M94" si="10">SUM(C89:C93)</f>
        <v>0.86888095238095242</v>
      </c>
      <c r="D94" s="31">
        <f>SUM(D89:D93)</f>
        <v>1.1100479320000001</v>
      </c>
      <c r="E94" s="31">
        <f t="shared" si="10"/>
        <v>1.507692716</v>
      </c>
      <c r="F94" s="31">
        <f t="shared" si="10"/>
        <v>1.9680371260000002</v>
      </c>
      <c r="G94" s="31">
        <f t="shared" si="10"/>
        <v>2.639336508</v>
      </c>
      <c r="H94" s="31">
        <f t="shared" si="10"/>
        <v>3.2318957830000001</v>
      </c>
      <c r="I94" s="31">
        <f t="shared" si="10"/>
        <v>3.9332242769999999</v>
      </c>
      <c r="J94" s="31">
        <f t="shared" si="10"/>
        <v>10.241125127</v>
      </c>
      <c r="K94" s="31">
        <f t="shared" si="10"/>
        <v>11.789396996000001</v>
      </c>
      <c r="L94" s="31">
        <f t="shared" si="10"/>
        <v>11.828725606999999</v>
      </c>
      <c r="M94" s="31">
        <f t="shared" si="10"/>
        <v>0</v>
      </c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s="24" customFormat="1" ht="12" x14ac:dyDescent="0.2">
      <c r="A95" s="35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s="47" customFormat="1" x14ac:dyDescent="0.2">
      <c r="A96" s="18" t="s">
        <v>109</v>
      </c>
      <c r="B96" s="19" t="s">
        <v>82</v>
      </c>
      <c r="C96" s="19" t="s">
        <v>83</v>
      </c>
      <c r="D96" s="19" t="s">
        <v>84</v>
      </c>
      <c r="E96" s="19" t="s">
        <v>85</v>
      </c>
      <c r="F96" s="19" t="s">
        <v>86</v>
      </c>
      <c r="G96" s="19" t="s">
        <v>87</v>
      </c>
      <c r="H96" s="19" t="s">
        <v>88</v>
      </c>
      <c r="I96" s="19" t="s">
        <v>198</v>
      </c>
      <c r="J96" s="19" t="s">
        <v>89</v>
      </c>
      <c r="K96" s="19" t="s">
        <v>90</v>
      </c>
      <c r="L96" s="19" t="s">
        <v>91</v>
      </c>
      <c r="M96" s="19" t="s">
        <v>92</v>
      </c>
      <c r="N96" s="41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s="24" customFormat="1" ht="12" x14ac:dyDescent="0.2">
      <c r="A97" s="63" t="s">
        <v>93</v>
      </c>
      <c r="B97" s="22">
        <f>+'HAB-POR EC Bs'!B96/'HAB-POR EC M$'!$B$6/$C$6</f>
        <v>0.40267936507936508</v>
      </c>
      <c r="C97" s="22">
        <f>+'HAB-POR EC Bs'!C96/'HAB-POR EC M$'!$B$6/$C$6</f>
        <v>0.81185873015873011</v>
      </c>
      <c r="D97" s="22">
        <f>+'HAB-POR EC Bs'!D96/'HAB-POR EC M$'!$D$6/$C$6</f>
        <v>1.2667236639999999</v>
      </c>
      <c r="E97" s="22">
        <f>+'HAB-POR EC Bs'!E96/'HAB-POR EC M$'!$D$6/$C$6</f>
        <v>1.7003509939999999</v>
      </c>
      <c r="F97" s="22">
        <f>+'HAB-POR EC Bs'!F96/'HAB-POR EC M$'!$D$6/$C$6</f>
        <v>2.1591444980000003</v>
      </c>
      <c r="G97" s="22">
        <f>+'HAB-POR EC Bs'!G96/'HAB-POR EC M$'!$D$6/$C$6</f>
        <v>2.7619038639999998</v>
      </c>
      <c r="H97" s="22">
        <f>+'HAB-POR EC Bs'!H96/'HAB-POR EC M$'!$D$6/$C$6</f>
        <v>3.4517525199999994</v>
      </c>
      <c r="I97" s="22">
        <f>+'HAB-POR EC Bs'!I96/'HAB-POR EC M$'!$D$6/$C$6</f>
        <v>4.1234889889999993</v>
      </c>
      <c r="J97" s="22">
        <f>+'HAB-POR EC Bs'!J96/'HAB-POR EC M$'!$D$6/$C$6</f>
        <v>5.1315612490000007</v>
      </c>
      <c r="K97" s="22">
        <f>+'HAB-POR EC Bs'!K96/'HAB-POR EC M$'!$D$6/$C$6</f>
        <v>6.2537054520000002</v>
      </c>
      <c r="L97" s="22">
        <f>+'HAB-POR EC Bs'!L96/'HAB-POR EC M$'!$D$6/$C$6</f>
        <v>6.2537054520000002</v>
      </c>
      <c r="M97" s="22">
        <f>+'HAB-POR EC Bs'!M96/'HAB-POR EC M$'!$D$6/$C$6</f>
        <v>0</v>
      </c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s="24" customFormat="1" ht="12" x14ac:dyDescent="0.2">
      <c r="A98" s="63" t="s">
        <v>94</v>
      </c>
      <c r="B98" s="22">
        <f>+'HAB-POR EC Bs'!B97/'HAB-POR EC M$'!$B$6/$C$6</f>
        <v>6.8515873015873016E-2</v>
      </c>
      <c r="C98" s="22">
        <f>+'HAB-POR EC Bs'!C97/'HAB-POR EC M$'!$B$6/$C$6</f>
        <v>0.17246825396825397</v>
      </c>
      <c r="D98" s="22">
        <f>+'HAB-POR EC Bs'!D97/'HAB-POR EC M$'!$D$6/$C$6</f>
        <v>0.21183358299999999</v>
      </c>
      <c r="E98" s="22">
        <f>+'HAB-POR EC Bs'!E97/'HAB-POR EC M$'!$D$6/$C$6</f>
        <v>0.35082215900000002</v>
      </c>
      <c r="F98" s="22">
        <f>+'HAB-POR EC Bs'!F97/'HAB-POR EC M$'!$D$6/$C$6</f>
        <v>0.61669128299999998</v>
      </c>
      <c r="G98" s="22">
        <f>+'HAB-POR EC Bs'!G97/'HAB-POR EC M$'!$D$6/$C$6</f>
        <v>0.95775538300000007</v>
      </c>
      <c r="H98" s="22">
        <f>+'HAB-POR EC Bs'!H97/'HAB-POR EC M$'!$D$6/$C$6</f>
        <v>1.2006208389999999</v>
      </c>
      <c r="I98" s="22">
        <f>+'HAB-POR EC Bs'!I97/'HAB-POR EC M$'!$D$6/$C$6</f>
        <v>1.5458154570000002</v>
      </c>
      <c r="J98" s="22">
        <f>+'HAB-POR EC Bs'!J97/'HAB-POR EC M$'!$D$6/$C$6</f>
        <v>9.6168299249999993</v>
      </c>
      <c r="K98" s="22">
        <f>+'HAB-POR EC Bs'!K97/'HAB-POR EC M$'!$D$6/$C$6</f>
        <v>10.143884227999999</v>
      </c>
      <c r="L98" s="22">
        <f>+'HAB-POR EC Bs'!L97/'HAB-POR EC M$'!$D$6/$C$6</f>
        <v>10.151640228</v>
      </c>
      <c r="M98" s="22">
        <f>+'HAB-POR EC Bs'!M97/'HAB-POR EC M$'!$D$6/$C$6</f>
        <v>0</v>
      </c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s="24" customFormat="1" ht="12" x14ac:dyDescent="0.2">
      <c r="A99" s="63" t="s">
        <v>95</v>
      </c>
      <c r="B99" s="22">
        <f>+'HAB-POR EC Bs'!B98/'HAB-POR EC M$'!$B$6/$C$6</f>
        <v>5.5555555555555551E-5</v>
      </c>
      <c r="C99" s="22">
        <f>+'HAB-POR EC Bs'!C98/'HAB-POR EC M$'!$B$6/$C$6</f>
        <v>5.5555555555555551E-5</v>
      </c>
      <c r="D99" s="22">
        <f>+'HAB-POR EC Bs'!D98/'HAB-POR EC M$'!$D$6/$C$6</f>
        <v>1.3947799999999998E-4</v>
      </c>
      <c r="E99" s="22">
        <f>+'HAB-POR EC Bs'!E98/'HAB-POR EC M$'!$D$6/$C$6</f>
        <v>4.9347799999999999E-4</v>
      </c>
      <c r="F99" s="22">
        <f>+'HAB-POR EC Bs'!F98/'HAB-POR EC M$'!$D$6/$C$6</f>
        <v>4.9347799999999999E-4</v>
      </c>
      <c r="G99" s="22">
        <f>+'HAB-POR EC Bs'!G98/'HAB-POR EC M$'!$D$6/$C$6</f>
        <v>1.6423477999999998E-2</v>
      </c>
      <c r="H99" s="22">
        <f>+'HAB-POR EC Bs'!H98/'HAB-POR EC M$'!$D$6/$C$6</f>
        <v>1.6495978000000001E-2</v>
      </c>
      <c r="I99" s="22">
        <f>+'HAB-POR EC Bs'!I98/'HAB-POR EC M$'!$D$6/$C$6</f>
        <v>2.9385978E-2</v>
      </c>
      <c r="J99" s="22">
        <f>+'HAB-POR EC Bs'!J98/'HAB-POR EC M$'!$D$6/$C$6</f>
        <v>7.5213477999999986E-2</v>
      </c>
      <c r="K99" s="22">
        <f>+'HAB-POR EC Bs'!K98/'HAB-POR EC M$'!$D$6/$C$6</f>
        <v>0.19411347799999998</v>
      </c>
      <c r="L99" s="22">
        <f>+'HAB-POR EC Bs'!L98/'HAB-POR EC M$'!$D$6/$C$6</f>
        <v>0.19411347799999998</v>
      </c>
      <c r="M99" s="22">
        <f>+'HAB-POR EC Bs'!M98/'HAB-POR EC M$'!$D$6/$C$6</f>
        <v>0</v>
      </c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s="24" customFormat="1" ht="12" x14ac:dyDescent="0.2">
      <c r="A100" s="63" t="s">
        <v>96</v>
      </c>
      <c r="B100" s="22">
        <f>+'HAB-POR EC Bs'!B99/'HAB-POR EC M$'!$B$6/$C$6</f>
        <v>9.1065079365079377E-2</v>
      </c>
      <c r="C100" s="22">
        <f>+'HAB-POR EC Bs'!C99/'HAB-POR EC M$'!$B$6/$C$6</f>
        <v>0.24762222222222224</v>
      </c>
      <c r="D100" s="22">
        <f>+'HAB-POR EC Bs'!D99/'HAB-POR EC M$'!$D$6/$C$6</f>
        <v>0.18026384899999995</v>
      </c>
      <c r="E100" s="22">
        <f>+'HAB-POR EC Bs'!E99/'HAB-POR EC M$'!$D$6/$C$6</f>
        <v>0.35269501500000022</v>
      </c>
      <c r="F100" s="22">
        <f>+'HAB-POR EC Bs'!F99/'HAB-POR EC M$'!$D$6/$C$6</f>
        <v>0.62236622399999975</v>
      </c>
      <c r="G100" s="22">
        <f>+'HAB-POR EC Bs'!G99/'HAB-POR EC M$'!$D$6/$C$6</f>
        <v>0.79172449300000003</v>
      </c>
      <c r="H100" s="22">
        <f>+'HAB-POR EC Bs'!H99/'HAB-POR EC M$'!$D$6/$C$6</f>
        <v>1.4898816790000005</v>
      </c>
      <c r="I100" s="22">
        <f>+'HAB-POR EC Bs'!I99/'HAB-POR EC M$'!$D$6/$C$6</f>
        <v>2.1095328530000002</v>
      </c>
      <c r="J100" s="22">
        <f>+'HAB-POR EC Bs'!J99/'HAB-POR EC M$'!$D$6/$C$6</f>
        <v>2.5884404379999997</v>
      </c>
      <c r="K100" s="22">
        <f>+'HAB-POR EC Bs'!K99/'HAB-POR EC M$'!$D$6/$C$6</f>
        <v>3.7265791320000003</v>
      </c>
      <c r="L100" s="22">
        <f>+'HAB-POR EC Bs'!L99/'HAB-POR EC M$'!$D$6/$C$6</f>
        <v>4.1315105099999982</v>
      </c>
      <c r="M100" s="22">
        <f>+'HAB-POR EC Bs'!M99/'HAB-POR EC M$'!$D$6/$C$6</f>
        <v>0</v>
      </c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s="24" customFormat="1" ht="12" x14ac:dyDescent="0.2">
      <c r="A101" s="63" t="s">
        <v>97</v>
      </c>
      <c r="B101" s="22">
        <f>+'HAB-POR EC Bs'!B100/'HAB-POR EC M$'!$B$6/$C$6</f>
        <v>9.9041269841269847E-2</v>
      </c>
      <c r="C101" s="22">
        <f>+'HAB-POR EC Bs'!C100/'HAB-POR EC M$'!$B$6/$C$6</f>
        <v>1.0925047619047619</v>
      </c>
      <c r="D101" s="22">
        <f>+'HAB-POR EC Bs'!D100/'HAB-POR EC M$'!$D$6/$C$6</f>
        <v>0.9564774880000001</v>
      </c>
      <c r="E101" s="22">
        <f>+'HAB-POR EC Bs'!E100/'HAB-POR EC M$'!$D$6/$C$6</f>
        <v>1.541905064</v>
      </c>
      <c r="F101" s="22">
        <f>+'HAB-POR EC Bs'!F100/'HAB-POR EC M$'!$D$6/$C$6</f>
        <v>1.8201493190000002</v>
      </c>
      <c r="G101" s="22">
        <f>+'HAB-POR EC Bs'!G100/'HAB-POR EC M$'!$D$6/$C$6</f>
        <v>2.249917527</v>
      </c>
      <c r="H101" s="22">
        <f>+'HAB-POR EC Bs'!H100/'HAB-POR EC M$'!$D$6/$C$6</f>
        <v>2.4604111000000004</v>
      </c>
      <c r="I101" s="22">
        <f>+'HAB-POR EC Bs'!I100/'HAB-POR EC M$'!$D$6/$C$6</f>
        <v>2.8149653200000002</v>
      </c>
      <c r="J101" s="22">
        <f>+'HAB-POR EC Bs'!J100/'HAB-POR EC M$'!$D$6/$C$6</f>
        <v>3.6182766529999997</v>
      </c>
      <c r="K101" s="22">
        <f>+'HAB-POR EC Bs'!K100/'HAB-POR EC M$'!$D$6/$C$6</f>
        <v>4.628121191</v>
      </c>
      <c r="L101" s="22">
        <f>+'HAB-POR EC Bs'!L100/'HAB-POR EC M$'!$D$6/$C$6</f>
        <v>4.628121191</v>
      </c>
      <c r="M101" s="22">
        <f>+'HAB-POR EC Bs'!M100/'HAB-POR EC M$'!$D$6/$C$6</f>
        <v>0</v>
      </c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s="32" customFormat="1" ht="12" x14ac:dyDescent="0.2">
      <c r="A102" s="30" t="s">
        <v>98</v>
      </c>
      <c r="B102" s="31">
        <f>SUM(B97:B101)</f>
        <v>0.66135714285714287</v>
      </c>
      <c r="C102" s="31">
        <f t="shared" ref="C102:M102" si="11">SUM(C97:C101)</f>
        <v>2.3245095238095237</v>
      </c>
      <c r="D102" s="31">
        <f>SUM(D97:D101)</f>
        <v>2.615438062</v>
      </c>
      <c r="E102" s="31">
        <f t="shared" si="11"/>
        <v>3.9462667099999997</v>
      </c>
      <c r="F102" s="31">
        <f t="shared" si="11"/>
        <v>5.2188448020000004</v>
      </c>
      <c r="G102" s="31">
        <f t="shared" si="11"/>
        <v>6.7777247450000004</v>
      </c>
      <c r="H102" s="31">
        <f t="shared" si="11"/>
        <v>8.619162116</v>
      </c>
      <c r="I102" s="31">
        <f t="shared" si="11"/>
        <v>10.623188597</v>
      </c>
      <c r="J102" s="31">
        <f t="shared" si="11"/>
        <v>21.030321742999998</v>
      </c>
      <c r="K102" s="31">
        <f t="shared" si="11"/>
        <v>24.946403480999997</v>
      </c>
      <c r="L102" s="31">
        <f t="shared" si="11"/>
        <v>25.359090858999998</v>
      </c>
      <c r="M102" s="31">
        <f t="shared" si="11"/>
        <v>0</v>
      </c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s="24" customFormat="1" ht="12" x14ac:dyDescent="0.2">
      <c r="A103" s="65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s="47" customFormat="1" x14ac:dyDescent="0.2">
      <c r="A104" s="18" t="s">
        <v>110</v>
      </c>
      <c r="B104" s="19" t="s">
        <v>82</v>
      </c>
      <c r="C104" s="19" t="s">
        <v>83</v>
      </c>
      <c r="D104" s="19" t="s">
        <v>84</v>
      </c>
      <c r="E104" s="19" t="s">
        <v>85</v>
      </c>
      <c r="F104" s="19" t="s">
        <v>86</v>
      </c>
      <c r="G104" s="19" t="s">
        <v>87</v>
      </c>
      <c r="H104" s="19" t="s">
        <v>88</v>
      </c>
      <c r="I104" s="19" t="s">
        <v>198</v>
      </c>
      <c r="J104" s="19" t="s">
        <v>89</v>
      </c>
      <c r="K104" s="19" t="s">
        <v>90</v>
      </c>
      <c r="L104" s="19" t="s">
        <v>91</v>
      </c>
      <c r="M104" s="19" t="s">
        <v>92</v>
      </c>
      <c r="N104" s="41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s="24" customFormat="1" ht="12" x14ac:dyDescent="0.2">
      <c r="A105" s="63" t="s">
        <v>93</v>
      </c>
      <c r="B105" s="22">
        <f>+'HAB-POR EC Bs'!B104/'HAB-POR EC M$'!$B$6/$C$6</f>
        <v>2.2356968253968255</v>
      </c>
      <c r="C105" s="22">
        <f>+'HAB-POR EC Bs'!C104/'HAB-POR EC M$'!$B$6/$C$6</f>
        <v>4.7121984126984122</v>
      </c>
      <c r="D105" s="22">
        <f>+'HAB-POR EC Bs'!D104/'HAB-POR EC M$'!$D$6/$C$6</f>
        <v>4.7896401519999996</v>
      </c>
      <c r="E105" s="22">
        <f>+'HAB-POR EC Bs'!E104/'HAB-POR EC M$'!$D$6/$C$6</f>
        <v>5.960136436</v>
      </c>
      <c r="F105" s="22">
        <f>+'HAB-POR EC Bs'!F104/'HAB-POR EC M$'!$D$6/$C$6</f>
        <v>7.4507490720000007</v>
      </c>
      <c r="G105" s="22">
        <f>+'HAB-POR EC Bs'!G104/'HAB-POR EC M$'!$D$6/$C$6</f>
        <v>7.4805943320000008</v>
      </c>
      <c r="H105" s="22">
        <f>+'HAB-POR EC Bs'!H104/'HAB-POR EC M$'!$D$6/$C$6</f>
        <v>11.267472071</v>
      </c>
      <c r="I105" s="22">
        <f>+'HAB-POR EC Bs'!I104/'HAB-POR EC M$'!$D$6/$C$6</f>
        <v>11.297677925</v>
      </c>
      <c r="J105" s="22">
        <f>+'HAB-POR EC Bs'!J104/'HAB-POR EC M$'!$D$6/$C$6</f>
        <v>11.341512334999999</v>
      </c>
      <c r="K105" s="22">
        <f>+'HAB-POR EC Bs'!K104/'HAB-POR EC M$'!$D$6/$C$6</f>
        <v>11.385346745</v>
      </c>
      <c r="L105" s="22">
        <f>+'HAB-POR EC Bs'!L104/'HAB-POR EC M$'!$D$6/$C$6</f>
        <v>11.385346745</v>
      </c>
      <c r="M105" s="22">
        <f>+'HAB-POR EC Bs'!M104/'HAB-POR EC M$'!$D$6/$C$6</f>
        <v>0</v>
      </c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s="24" customFormat="1" ht="12" x14ac:dyDescent="0.2">
      <c r="A106" s="63" t="s">
        <v>94</v>
      </c>
      <c r="B106" s="22">
        <f>+'HAB-POR EC Bs'!B105/'HAB-POR EC M$'!$B$6/$C$6</f>
        <v>1.0984507936507937</v>
      </c>
      <c r="C106" s="22">
        <f>+'HAB-POR EC Bs'!C105/'HAB-POR EC M$'!$B$6/$C$6</f>
        <v>1.8507793650793651</v>
      </c>
      <c r="D106" s="22">
        <f>+'HAB-POR EC Bs'!D105/'HAB-POR EC M$'!$D$6/$C$6</f>
        <v>1.5167657990000001</v>
      </c>
      <c r="E106" s="22">
        <f>+'HAB-POR EC Bs'!E105/'HAB-POR EC M$'!$D$6/$C$6</f>
        <v>2.0116219000000002</v>
      </c>
      <c r="F106" s="22">
        <f>+'HAB-POR EC Bs'!F105/'HAB-POR EC M$'!$D$6/$C$6</f>
        <v>3.2373803489999999</v>
      </c>
      <c r="G106" s="22">
        <f>+'HAB-POR EC Bs'!G105/'HAB-POR EC M$'!$D$6/$C$6</f>
        <v>3.2510852480000003</v>
      </c>
      <c r="H106" s="22">
        <f>+'HAB-POR EC Bs'!H105/'HAB-POR EC M$'!$D$6/$C$6</f>
        <v>4.8523395680000005</v>
      </c>
      <c r="I106" s="22">
        <f>+'HAB-POR EC Bs'!I105/'HAB-POR EC M$'!$D$6/$C$6</f>
        <v>4.8656027670000004</v>
      </c>
      <c r="J106" s="22">
        <f>+'HAB-POR EC Bs'!J105/'HAB-POR EC M$'!$D$6/$C$6</f>
        <v>4.9863823060000003</v>
      </c>
      <c r="K106" s="22">
        <f>+'HAB-POR EC Bs'!K105/'HAB-POR EC M$'!$D$6/$C$6</f>
        <v>5.4867202439999998</v>
      </c>
      <c r="L106" s="22">
        <f>+'HAB-POR EC Bs'!L105/'HAB-POR EC M$'!$D$6/$C$6</f>
        <v>5.5578072440000001</v>
      </c>
      <c r="M106" s="22">
        <f>+'HAB-POR EC Bs'!M105/'HAB-POR EC M$'!$D$6/$C$6</f>
        <v>0</v>
      </c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s="24" customFormat="1" ht="12" x14ac:dyDescent="0.2">
      <c r="A107" s="63" t="s">
        <v>95</v>
      </c>
      <c r="B107" s="22">
        <f>+'HAB-POR EC Bs'!B106/'HAB-POR EC M$'!$B$6/$C$6</f>
        <v>-6.1904761904761906E-5</v>
      </c>
      <c r="C107" s="22">
        <f>+'HAB-POR EC Bs'!C106/'HAB-POR EC M$'!$B$6/$C$6</f>
        <v>-7.7777777777777782E-5</v>
      </c>
      <c r="D107" s="22">
        <f>+'HAB-POR EC Bs'!D106/'HAB-POR EC M$'!$D$6/$C$6</f>
        <v>-4.9200000000000003E-5</v>
      </c>
      <c r="E107" s="22">
        <f>+'HAB-POR EC Bs'!E106/'HAB-POR EC M$'!$D$6/$C$6</f>
        <v>-4.9200000000000003E-5</v>
      </c>
      <c r="F107" s="22">
        <f>+'HAB-POR EC Bs'!F106/'HAB-POR EC M$'!$D$6/$C$6</f>
        <v>-5.1799999999999999E-5</v>
      </c>
      <c r="G107" s="22">
        <f>+'HAB-POR EC Bs'!G106/'HAB-POR EC M$'!$D$6/$C$6</f>
        <v>-5.1799999999999999E-5</v>
      </c>
      <c r="H107" s="22">
        <f>+'HAB-POR EC Bs'!H106/'HAB-POR EC M$'!$D$6/$C$6</f>
        <v>-5.6100000000000002E-5</v>
      </c>
      <c r="I107" s="22">
        <f>+'HAB-POR EC Bs'!I106/'HAB-POR EC M$'!$D$6/$C$6</f>
        <v>0.45394390000000007</v>
      </c>
      <c r="J107" s="22">
        <f>+'HAB-POR EC Bs'!J106/'HAB-POR EC M$'!$D$6/$C$6</f>
        <v>0.45394390000000007</v>
      </c>
      <c r="K107" s="22">
        <f>+'HAB-POR EC Bs'!K106/'HAB-POR EC M$'!$D$6/$C$6</f>
        <v>0.6856949</v>
      </c>
      <c r="L107" s="22">
        <f>+'HAB-POR EC Bs'!L106/'HAB-POR EC M$'!$D$6/$C$6</f>
        <v>0.70657490000000001</v>
      </c>
      <c r="M107" s="22">
        <f>+'HAB-POR EC Bs'!M106/'HAB-POR EC M$'!$D$6/$C$6</f>
        <v>0</v>
      </c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s="24" customFormat="1" ht="12" x14ac:dyDescent="0.2">
      <c r="A108" s="63" t="s">
        <v>96</v>
      </c>
      <c r="B108" s="22">
        <f>+'HAB-POR EC Bs'!B107/'HAB-POR EC M$'!$B$6/$C$6</f>
        <v>1.46975873015873</v>
      </c>
      <c r="C108" s="22">
        <f>+'HAB-POR EC Bs'!C107/'HAB-POR EC M$'!$B$6/$C$6</f>
        <v>3.0430000000000006</v>
      </c>
      <c r="D108" s="22">
        <f>+'HAB-POR EC Bs'!D107/'HAB-POR EC M$'!$D$6/$C$6</f>
        <v>2.8477807359999998</v>
      </c>
      <c r="E108" s="22">
        <f>+'HAB-POR EC Bs'!E107/'HAB-POR EC M$'!$D$6/$C$6</f>
        <v>5.6233850990000001</v>
      </c>
      <c r="F108" s="22">
        <f>+'HAB-POR EC Bs'!F107/'HAB-POR EC M$'!$D$6/$C$6</f>
        <v>8.0205281369999994</v>
      </c>
      <c r="G108" s="22">
        <f>+'HAB-POR EC Bs'!G107/'HAB-POR EC M$'!$D$6/$C$6</f>
        <v>9.8270479080000008</v>
      </c>
      <c r="H108" s="22">
        <f>+'HAB-POR EC Bs'!H107/'HAB-POR EC M$'!$D$6/$C$6</f>
        <v>11.933771362</v>
      </c>
      <c r="I108" s="22">
        <f>+'HAB-POR EC Bs'!I107/'HAB-POR EC M$'!$D$6/$C$6</f>
        <v>14.351808583</v>
      </c>
      <c r="J108" s="22">
        <f>+'HAB-POR EC Bs'!J107/'HAB-POR EC M$'!$D$6/$C$6</f>
        <v>17.776879443000002</v>
      </c>
      <c r="K108" s="22">
        <f>+'HAB-POR EC Bs'!K107/'HAB-POR EC M$'!$D$6/$C$6</f>
        <v>24.439367751000002</v>
      </c>
      <c r="L108" s="22">
        <f>+'HAB-POR EC Bs'!L107/'HAB-POR EC M$'!$D$6/$C$6</f>
        <v>25.421831708000003</v>
      </c>
      <c r="M108" s="22">
        <f>+'HAB-POR EC Bs'!M107/'HAB-POR EC M$'!$D$6/$C$6</f>
        <v>0</v>
      </c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s="24" customFormat="1" ht="12" x14ac:dyDescent="0.2">
      <c r="A109" s="63" t="s">
        <v>97</v>
      </c>
      <c r="B109" s="22">
        <f>+'HAB-POR EC Bs'!B108/'HAB-POR EC M$'!$B$6/$C$6</f>
        <v>6.949206349206349E-3</v>
      </c>
      <c r="C109" s="22">
        <f>+'HAB-POR EC Bs'!C108/'HAB-POR EC M$'!$B$6/$C$6</f>
        <v>0.39654920634920637</v>
      </c>
      <c r="D109" s="22">
        <f>+'HAB-POR EC Bs'!D108/'HAB-POR EC M$'!$D$6/$C$6</f>
        <v>0.25516191199999999</v>
      </c>
      <c r="E109" s="22">
        <f>+'HAB-POR EC Bs'!E108/'HAB-POR EC M$'!$D$6/$C$6</f>
        <v>0.30077899200000002</v>
      </c>
      <c r="F109" s="22">
        <f>+'HAB-POR EC Bs'!F108/'HAB-POR EC M$'!$D$6/$C$6</f>
        <v>0.30490619800000002</v>
      </c>
      <c r="G109" s="22">
        <f>+'HAB-POR EC Bs'!G108/'HAB-POR EC M$'!$D$6/$C$6</f>
        <v>0.30842467299999998</v>
      </c>
      <c r="H109" s="22">
        <f>+'HAB-POR EC Bs'!H108/'HAB-POR EC M$'!$D$6/$C$6</f>
        <v>0.30929711099999996</v>
      </c>
      <c r="I109" s="22">
        <f>+'HAB-POR EC Bs'!I108/'HAB-POR EC M$'!$D$6/$C$6</f>
        <v>0.313593187</v>
      </c>
      <c r="J109" s="22">
        <f>+'HAB-POR EC Bs'!J108/'HAB-POR EC M$'!$D$6/$C$6</f>
        <v>0.31857430899999994</v>
      </c>
      <c r="K109" s="22">
        <f>+'HAB-POR EC Bs'!K108/'HAB-POR EC M$'!$D$6/$C$6</f>
        <v>0.32489026900000001</v>
      </c>
      <c r="L109" s="22">
        <f>+'HAB-POR EC Bs'!L108/'HAB-POR EC M$'!$D$6/$C$6</f>
        <v>0.32489026900000001</v>
      </c>
      <c r="M109" s="22">
        <f>+'HAB-POR EC Bs'!M108/'HAB-POR EC M$'!$D$6/$C$6</f>
        <v>0</v>
      </c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s="32" customFormat="1" ht="12" x14ac:dyDescent="0.2">
      <c r="A110" s="30" t="s">
        <v>98</v>
      </c>
      <c r="B110" s="31">
        <f>SUM(B105:B109)</f>
        <v>4.8107936507936513</v>
      </c>
      <c r="C110" s="31">
        <f t="shared" ref="C110:M110" si="12">SUM(C105:C109)</f>
        <v>10.002449206349207</v>
      </c>
      <c r="D110" s="31">
        <f>SUM(D105:D109)</f>
        <v>9.409299399</v>
      </c>
      <c r="E110" s="31">
        <f t="shared" si="12"/>
        <v>13.895873227000001</v>
      </c>
      <c r="F110" s="31">
        <f t="shared" si="12"/>
        <v>19.013511956000002</v>
      </c>
      <c r="G110" s="31">
        <f t="shared" si="12"/>
        <v>20.867100361000002</v>
      </c>
      <c r="H110" s="31">
        <f t="shared" si="12"/>
        <v>28.362824012000004</v>
      </c>
      <c r="I110" s="31">
        <f t="shared" si="12"/>
        <v>31.282626361999998</v>
      </c>
      <c r="J110" s="31">
        <f t="shared" si="12"/>
        <v>34.877292292999996</v>
      </c>
      <c r="K110" s="31">
        <f t="shared" si="12"/>
        <v>42.322019909000005</v>
      </c>
      <c r="L110" s="31">
        <f t="shared" si="12"/>
        <v>43.396450866000002</v>
      </c>
      <c r="M110" s="31">
        <f t="shared" si="12"/>
        <v>0</v>
      </c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s="24" customFormat="1" ht="12" x14ac:dyDescent="0.2">
      <c r="A111" s="67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</row>
    <row r="112" spans="1:26" s="47" customFormat="1" x14ac:dyDescent="0.2">
      <c r="A112" s="18" t="s">
        <v>111</v>
      </c>
      <c r="B112" s="19" t="s">
        <v>82</v>
      </c>
      <c r="C112" s="19" t="s">
        <v>83</v>
      </c>
      <c r="D112" s="19" t="s">
        <v>84</v>
      </c>
      <c r="E112" s="19" t="s">
        <v>85</v>
      </c>
      <c r="F112" s="19" t="s">
        <v>86</v>
      </c>
      <c r="G112" s="19" t="s">
        <v>87</v>
      </c>
      <c r="H112" s="19" t="s">
        <v>88</v>
      </c>
      <c r="I112" s="19" t="s">
        <v>198</v>
      </c>
      <c r="J112" s="19" t="s">
        <v>89</v>
      </c>
      <c r="K112" s="19" t="s">
        <v>90</v>
      </c>
      <c r="L112" s="19" t="s">
        <v>91</v>
      </c>
      <c r="M112" s="19" t="s">
        <v>92</v>
      </c>
      <c r="N112" s="41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s="24" customFormat="1" ht="12" x14ac:dyDescent="0.2">
      <c r="A113" s="21" t="s">
        <v>93</v>
      </c>
      <c r="B113" s="22">
        <f>+'HAB-POR EC Bs'!B112/'HAB-POR EC M$'!$B$6/$C$6</f>
        <v>7.9376190476190475E-2</v>
      </c>
      <c r="C113" s="22">
        <f>+'HAB-POR EC Bs'!C112/'HAB-POR EC M$'!$B$6/$C$6</f>
        <v>0.15247460317460318</v>
      </c>
      <c r="D113" s="22">
        <f>+'HAB-POR EC Bs'!D112/'HAB-POR EC M$'!$D$6/$C$6</f>
        <v>0.22753435699999999</v>
      </c>
      <c r="E113" s="22">
        <f>+'HAB-POR EC Bs'!E112/'HAB-POR EC M$'!$D$6/$C$6</f>
        <v>0.34967393299999999</v>
      </c>
      <c r="F113" s="22">
        <f>+'HAB-POR EC Bs'!F112/'HAB-POR EC M$'!$D$6/$C$6</f>
        <v>0.45430080399999995</v>
      </c>
      <c r="G113" s="22">
        <f>+'HAB-POR EC Bs'!G112/'HAB-POR EC M$'!$D$6/$C$6</f>
        <v>0.55323453900000008</v>
      </c>
      <c r="H113" s="22">
        <f>+'HAB-POR EC Bs'!H112/'HAB-POR EC M$'!$D$6/$C$6</f>
        <v>0.65012856399999996</v>
      </c>
      <c r="I113" s="22">
        <f>+'HAB-POR EC Bs'!I112/'HAB-POR EC M$'!$D$6/$C$6</f>
        <v>0.77914344899999988</v>
      </c>
      <c r="J113" s="22">
        <f>+'HAB-POR EC Bs'!J112/'HAB-POR EC M$'!$D$6/$C$6</f>
        <v>1.0316283849999999</v>
      </c>
      <c r="K113" s="22">
        <f>+'HAB-POR EC Bs'!K112/'HAB-POR EC M$'!$D$6/$C$6</f>
        <v>1.1998398959999999</v>
      </c>
      <c r="L113" s="22">
        <f>+'HAB-POR EC Bs'!L112/'HAB-POR EC M$'!$D$6/$C$6</f>
        <v>1.1998398959999999</v>
      </c>
      <c r="M113" s="22">
        <f>+'HAB-POR EC Bs'!M112/'HAB-POR EC M$'!$D$6/$C$6</f>
        <v>0</v>
      </c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s="24" customFormat="1" ht="12" x14ac:dyDescent="0.2">
      <c r="A114" s="21" t="s">
        <v>94</v>
      </c>
      <c r="B114" s="22">
        <f>+'HAB-POR EC Bs'!B113/'HAB-POR EC M$'!$B$6/$C$6</f>
        <v>9.5111111111111108E-3</v>
      </c>
      <c r="C114" s="22">
        <f>+'HAB-POR EC Bs'!C113/'HAB-POR EC M$'!$B$6/$C$6</f>
        <v>3.2374603174603174E-2</v>
      </c>
      <c r="D114" s="22">
        <f>+'HAB-POR EC Bs'!D113/'HAB-POR EC M$'!$D$6/$C$6</f>
        <v>3.6191771999999997E-2</v>
      </c>
      <c r="E114" s="22">
        <f>+'HAB-POR EC Bs'!E113/'HAB-POR EC M$'!$D$6/$C$6</f>
        <v>7.7951885999999998E-2</v>
      </c>
      <c r="F114" s="22">
        <f>+'HAB-POR EC Bs'!F113/'HAB-POR EC M$'!$D$6/$C$6</f>
        <v>0.147322853</v>
      </c>
      <c r="G114" s="22">
        <f>+'HAB-POR EC Bs'!G113/'HAB-POR EC M$'!$D$6/$C$6</f>
        <v>0.21106325000000001</v>
      </c>
      <c r="H114" s="22">
        <f>+'HAB-POR EC Bs'!H113/'HAB-POR EC M$'!$D$6/$C$6</f>
        <v>0.256325364</v>
      </c>
      <c r="I114" s="22">
        <f>+'HAB-POR EC Bs'!I113/'HAB-POR EC M$'!$D$6/$C$6</f>
        <v>0.32335631599999998</v>
      </c>
      <c r="J114" s="22">
        <f>+'HAB-POR EC Bs'!J113/'HAB-POR EC M$'!$D$6/$C$6</f>
        <v>2.218950194</v>
      </c>
      <c r="K114" s="22">
        <f>+'HAB-POR EC Bs'!K113/'HAB-POR EC M$'!$D$6/$C$6</f>
        <v>2.3117960169999998</v>
      </c>
      <c r="L114" s="22">
        <f>+'HAB-POR EC Bs'!L113/'HAB-POR EC M$'!$D$6/$C$6</f>
        <v>2.3117960169999998</v>
      </c>
      <c r="M114" s="22">
        <f>+'HAB-POR EC Bs'!M113/'HAB-POR EC M$'!$D$6/$C$6</f>
        <v>0</v>
      </c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s="24" customFormat="1" ht="12" x14ac:dyDescent="0.2">
      <c r="A115" s="21" t="s">
        <v>95</v>
      </c>
      <c r="B115" s="22">
        <f>+'HAB-POR EC Bs'!B114/'HAB-POR EC M$'!$B$6/$C$6</f>
        <v>0</v>
      </c>
      <c r="C115" s="22">
        <f>+'HAB-POR EC Bs'!C114/'HAB-POR EC M$'!$B$6/$C$6</f>
        <v>0</v>
      </c>
      <c r="D115" s="22">
        <f>+'HAB-POR EC Bs'!D114/'HAB-POR EC M$'!$D$6/$C$6</f>
        <v>0</v>
      </c>
      <c r="E115" s="22">
        <f>+'HAB-POR EC Bs'!E114/'HAB-POR EC M$'!$D$6/$C$6</f>
        <v>0</v>
      </c>
      <c r="F115" s="22">
        <f>+'HAB-POR EC Bs'!F114/'HAB-POR EC M$'!$D$6/$C$6</f>
        <v>0</v>
      </c>
      <c r="G115" s="22">
        <f>+'HAB-POR EC Bs'!G114/'HAB-POR EC M$'!$D$6/$C$6</f>
        <v>0</v>
      </c>
      <c r="H115" s="22">
        <f>+'HAB-POR EC Bs'!H114/'HAB-POR EC M$'!$D$6/$C$6</f>
        <v>1.1000000000000002E-4</v>
      </c>
      <c r="I115" s="22">
        <f>+'HAB-POR EC Bs'!I114/'HAB-POR EC M$'!$D$6/$C$6</f>
        <v>1.1000000000000002E-4</v>
      </c>
      <c r="J115" s="22">
        <f>+'HAB-POR EC Bs'!J114/'HAB-POR EC M$'!$D$6/$C$6</f>
        <v>1.1000000000000002E-4</v>
      </c>
      <c r="K115" s="22">
        <f>+'HAB-POR EC Bs'!K114/'HAB-POR EC M$'!$D$6/$C$6</f>
        <v>1.1000000000000002E-4</v>
      </c>
      <c r="L115" s="22">
        <f>+'HAB-POR EC Bs'!L114/'HAB-POR EC M$'!$D$6/$C$6</f>
        <v>1.1000000000000002E-4</v>
      </c>
      <c r="M115" s="22">
        <f>+'HAB-POR EC Bs'!M114/'HAB-POR EC M$'!$D$6/$C$6</f>
        <v>0</v>
      </c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s="24" customFormat="1" ht="12" x14ac:dyDescent="0.2">
      <c r="A116" s="21" t="s">
        <v>96</v>
      </c>
      <c r="B116" s="22">
        <f>+'HAB-POR EC Bs'!B115/'HAB-POR EC M$'!$B$6/$C$6</f>
        <v>0.1534142857142857</v>
      </c>
      <c r="C116" s="22">
        <f>+'HAB-POR EC Bs'!C115/'HAB-POR EC M$'!$B$6/$C$6</f>
        <v>0.19385396825396825</v>
      </c>
      <c r="D116" s="22">
        <f>+'HAB-POR EC Bs'!D115/'HAB-POR EC M$'!$D$6/$C$6</f>
        <v>0.14219012</v>
      </c>
      <c r="E116" s="22">
        <f>+'HAB-POR EC Bs'!E115/'HAB-POR EC M$'!$D$6/$C$6</f>
        <v>0.55855574600000002</v>
      </c>
      <c r="F116" s="22">
        <f>+'HAB-POR EC Bs'!F115/'HAB-POR EC M$'!$D$6/$C$6</f>
        <v>0.98241954099999995</v>
      </c>
      <c r="G116" s="22">
        <f>+'HAB-POR EC Bs'!G115/'HAB-POR EC M$'!$D$6/$C$6</f>
        <v>1.281049111</v>
      </c>
      <c r="H116" s="22">
        <f>+'HAB-POR EC Bs'!H115/'HAB-POR EC M$'!$D$6/$C$6</f>
        <v>1.3647853909999998</v>
      </c>
      <c r="I116" s="22">
        <f>+'HAB-POR EC Bs'!I115/'HAB-POR EC M$'!$D$6/$C$6</f>
        <v>1.466000475</v>
      </c>
      <c r="J116" s="22">
        <f>+'HAB-POR EC Bs'!J115/'HAB-POR EC M$'!$D$6/$C$6</f>
        <v>1.9154045909999999</v>
      </c>
      <c r="K116" s="22">
        <f>+'HAB-POR EC Bs'!K115/'HAB-POR EC M$'!$D$6/$C$6</f>
        <v>2.2029758040000003</v>
      </c>
      <c r="L116" s="22">
        <f>+'HAB-POR EC Bs'!L115/'HAB-POR EC M$'!$D$6/$C$6</f>
        <v>2.2516858039999996</v>
      </c>
      <c r="M116" s="22">
        <f>+'HAB-POR EC Bs'!M115/'HAB-POR EC M$'!$D$6/$C$6</f>
        <v>0</v>
      </c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s="24" customFormat="1" ht="12" x14ac:dyDescent="0.2">
      <c r="A117" s="21" t="s">
        <v>97</v>
      </c>
      <c r="B117" s="22">
        <f>+'HAB-POR EC Bs'!B116/'HAB-POR EC M$'!$B$6/$C$6</f>
        <v>0</v>
      </c>
      <c r="C117" s="22">
        <f>+'HAB-POR EC Bs'!C116/'HAB-POR EC M$'!$B$6/$C$6</f>
        <v>0</v>
      </c>
      <c r="D117" s="22">
        <f>+'HAB-POR EC Bs'!D116/'HAB-POR EC M$'!$D$6/$C$6</f>
        <v>0</v>
      </c>
      <c r="E117" s="22">
        <f>+'HAB-POR EC Bs'!E116/'HAB-POR EC M$'!$D$6/$C$6</f>
        <v>0</v>
      </c>
      <c r="F117" s="22">
        <f>+'HAB-POR EC Bs'!F116/'HAB-POR EC M$'!$D$6/$C$6</f>
        <v>0</v>
      </c>
      <c r="G117" s="22">
        <f>+'HAB-POR EC Bs'!G116/'HAB-POR EC M$'!$D$6/$C$6</f>
        <v>0</v>
      </c>
      <c r="H117" s="22">
        <f>+'HAB-POR EC Bs'!H116/'HAB-POR EC M$'!$D$6/$C$6</f>
        <v>0</v>
      </c>
      <c r="I117" s="22">
        <f>+'HAB-POR EC Bs'!I116/'HAB-POR EC M$'!$D$6/$C$6</f>
        <v>0</v>
      </c>
      <c r="J117" s="22">
        <f>+'HAB-POR EC Bs'!J116/'HAB-POR EC M$'!$D$6/$C$6</f>
        <v>0</v>
      </c>
      <c r="K117" s="22">
        <f>+'HAB-POR EC Bs'!K116/'HAB-POR EC M$'!$D$6/$C$6</f>
        <v>0</v>
      </c>
      <c r="L117" s="22">
        <f>+'HAB-POR EC Bs'!L116/'HAB-POR EC M$'!$D$6/$C$6</f>
        <v>0</v>
      </c>
      <c r="M117" s="22">
        <f>+'HAB-POR EC Bs'!M116/'HAB-POR EC M$'!$D$6/$C$6</f>
        <v>0</v>
      </c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s="32" customFormat="1" ht="12" x14ac:dyDescent="0.2">
      <c r="A118" s="30" t="s">
        <v>98</v>
      </c>
      <c r="B118" s="31">
        <f>SUM(B113:B117)</f>
        <v>0.2423015873015873</v>
      </c>
      <c r="C118" s="31">
        <f t="shared" ref="C118:M118" si="13">SUM(C113:C117)</f>
        <v>0.3787031746031746</v>
      </c>
      <c r="D118" s="31">
        <f t="shared" si="13"/>
        <v>0.40591624900000001</v>
      </c>
      <c r="E118" s="31">
        <f t="shared" si="13"/>
        <v>0.98618156499999998</v>
      </c>
      <c r="F118" s="31">
        <f t="shared" si="13"/>
        <v>1.5840431979999998</v>
      </c>
      <c r="G118" s="31">
        <f t="shared" si="13"/>
        <v>2.0453469000000002</v>
      </c>
      <c r="H118" s="31">
        <f t="shared" si="13"/>
        <v>2.2713493189999996</v>
      </c>
      <c r="I118" s="31">
        <f t="shared" si="13"/>
        <v>2.5686102399999999</v>
      </c>
      <c r="J118" s="31">
        <f t="shared" si="13"/>
        <v>5.1660931699999999</v>
      </c>
      <c r="K118" s="31">
        <f t="shared" si="13"/>
        <v>5.7147217169999998</v>
      </c>
      <c r="L118" s="31">
        <f t="shared" si="13"/>
        <v>5.7634317169999996</v>
      </c>
      <c r="M118" s="31">
        <f t="shared" si="13"/>
        <v>0</v>
      </c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s="24" customFormat="1" ht="12" x14ac:dyDescent="0.2">
      <c r="A119" s="65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s="47" customFormat="1" x14ac:dyDescent="0.2">
      <c r="A120" s="18" t="s">
        <v>112</v>
      </c>
      <c r="B120" s="19" t="s">
        <v>82</v>
      </c>
      <c r="C120" s="19" t="s">
        <v>83</v>
      </c>
      <c r="D120" s="19" t="s">
        <v>84</v>
      </c>
      <c r="E120" s="19" t="s">
        <v>85</v>
      </c>
      <c r="F120" s="19" t="s">
        <v>86</v>
      </c>
      <c r="G120" s="19" t="s">
        <v>87</v>
      </c>
      <c r="H120" s="19" t="s">
        <v>88</v>
      </c>
      <c r="I120" s="19" t="s">
        <v>198</v>
      </c>
      <c r="J120" s="19" t="s">
        <v>89</v>
      </c>
      <c r="K120" s="19" t="s">
        <v>90</v>
      </c>
      <c r="L120" s="19" t="s">
        <v>91</v>
      </c>
      <c r="M120" s="19" t="s">
        <v>92</v>
      </c>
      <c r="N120" s="41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s="24" customFormat="1" ht="12" x14ac:dyDescent="0.2">
      <c r="A121" s="63" t="s">
        <v>93</v>
      </c>
      <c r="B121" s="22">
        <f>+'HAB-POR EC Bs'!B120/'HAB-POR EC M$'!$B$6/$C$6</f>
        <v>1.079531746031746</v>
      </c>
      <c r="C121" s="22">
        <f>+'HAB-POR EC Bs'!C120/'HAB-POR EC M$'!$B$6/$C$6</f>
        <v>2.0714031746031747</v>
      </c>
      <c r="D121" s="22">
        <f>+'HAB-POR EC Bs'!D120/'HAB-POR EC M$'!$D$6/$C$6</f>
        <v>3.0576317259999999</v>
      </c>
      <c r="E121" s="22">
        <f>+'HAB-POR EC Bs'!E120/'HAB-POR EC M$'!$D$6/$C$6</f>
        <v>3.9771489329999996</v>
      </c>
      <c r="F121" s="22">
        <f>+'HAB-POR EC Bs'!F120/'HAB-POR EC M$'!$D$6/$C$6</f>
        <v>4.8971550289999994</v>
      </c>
      <c r="G121" s="22">
        <f>+'HAB-POR EC Bs'!G120/'HAB-POR EC M$'!$D$6/$C$6</f>
        <v>6.3254172610000001</v>
      </c>
      <c r="H121" s="22">
        <f>+'HAB-POR EC Bs'!H120/'HAB-POR EC M$'!$D$6/$C$6</f>
        <v>7.7872566949999991</v>
      </c>
      <c r="I121" s="22">
        <f>+'HAB-POR EC Bs'!I120/'HAB-POR EC M$'!$D$6/$C$6</f>
        <v>9.3476932130000012</v>
      </c>
      <c r="J121" s="22">
        <f>+'HAB-POR EC Bs'!J120/'HAB-POR EC M$'!$D$6/$C$6</f>
        <v>11.566796163000001</v>
      </c>
      <c r="K121" s="22">
        <f>+'HAB-POR EC Bs'!K120/'HAB-POR EC M$'!$D$6/$C$6</f>
        <v>13.967093741000001</v>
      </c>
      <c r="L121" s="22">
        <f>+'HAB-POR EC Bs'!L120/'HAB-POR EC M$'!$D$6/$C$6</f>
        <v>13.967093741000001</v>
      </c>
      <c r="M121" s="22">
        <f>+'HAB-POR EC Bs'!M120/'HAB-POR EC M$'!$D$6/$C$6</f>
        <v>0</v>
      </c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s="24" customFormat="1" ht="12" x14ac:dyDescent="0.2">
      <c r="A122" s="63" t="s">
        <v>94</v>
      </c>
      <c r="B122" s="22">
        <f>+'HAB-POR EC Bs'!B121/'HAB-POR EC M$'!$B$6/$C$6</f>
        <v>0.26004126984126985</v>
      </c>
      <c r="C122" s="22">
        <f>+'HAB-POR EC Bs'!C121/'HAB-POR EC M$'!$B$6/$C$6</f>
        <v>0.53292539682539675</v>
      </c>
      <c r="D122" s="22">
        <f>+'HAB-POR EC Bs'!D121/'HAB-POR EC M$'!$D$6/$C$6</f>
        <v>0.58078466299999998</v>
      </c>
      <c r="E122" s="22">
        <f>+'HAB-POR EC Bs'!E121/'HAB-POR EC M$'!$D$6/$C$6</f>
        <v>0.91926545900000001</v>
      </c>
      <c r="F122" s="22">
        <f>+'HAB-POR EC Bs'!F121/'HAB-POR EC M$'!$D$6/$C$6</f>
        <v>1.5809970760000001</v>
      </c>
      <c r="G122" s="22">
        <f>+'HAB-POR EC Bs'!G121/'HAB-POR EC M$'!$D$6/$C$6</f>
        <v>2.4494757380000003</v>
      </c>
      <c r="H122" s="22">
        <f>+'HAB-POR EC Bs'!H121/'HAB-POR EC M$'!$D$6/$C$6</f>
        <v>3.0472250189999999</v>
      </c>
      <c r="I122" s="22">
        <f>+'HAB-POR EC Bs'!I121/'HAB-POR EC M$'!$D$6/$C$6</f>
        <v>3.9405111020000003</v>
      </c>
      <c r="J122" s="22">
        <f>+'HAB-POR EC Bs'!J121/'HAB-POR EC M$'!$D$6/$C$6</f>
        <v>25.640219618</v>
      </c>
      <c r="K122" s="22">
        <f>+'HAB-POR EC Bs'!K121/'HAB-POR EC M$'!$D$6/$C$6</f>
        <v>26.848619094</v>
      </c>
      <c r="L122" s="22">
        <f>+'HAB-POR EC Bs'!L121/'HAB-POR EC M$'!$D$6/$C$6</f>
        <v>26.848937694</v>
      </c>
      <c r="M122" s="22">
        <f>+'HAB-POR EC Bs'!M121/'HAB-POR EC M$'!$D$6/$C$6</f>
        <v>0</v>
      </c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s="24" customFormat="1" ht="12" x14ac:dyDescent="0.2">
      <c r="A123" s="63" t="s">
        <v>95</v>
      </c>
      <c r="B123" s="22">
        <f>+'HAB-POR EC Bs'!B122/'HAB-POR EC M$'!$B$6/$C$6</f>
        <v>3.0476190476190474E-4</v>
      </c>
      <c r="C123" s="22">
        <f>+'HAB-POR EC Bs'!C122/'HAB-POR EC M$'!$B$6/$C$6</f>
        <v>8.7919047619047619E-2</v>
      </c>
      <c r="D123" s="22">
        <f>+'HAB-POR EC Bs'!D122/'HAB-POR EC M$'!$D$6/$C$6</f>
        <v>5.5686980000000004E-2</v>
      </c>
      <c r="E123" s="22">
        <f>+'HAB-POR EC Bs'!E122/'HAB-POR EC M$'!$D$6/$C$6</f>
        <v>5.5784540000000007E-2</v>
      </c>
      <c r="F123" s="22">
        <f>+'HAB-POR EC Bs'!F122/'HAB-POR EC M$'!$D$6/$C$6</f>
        <v>0.1194838</v>
      </c>
      <c r="G123" s="22">
        <f>+'HAB-POR EC Bs'!G122/'HAB-POR EC M$'!$D$6/$C$6</f>
        <v>0.20488947899999999</v>
      </c>
      <c r="H123" s="22">
        <f>+'HAB-POR EC Bs'!H122/'HAB-POR EC M$'!$D$6/$C$6</f>
        <v>0.10731315999999999</v>
      </c>
      <c r="I123" s="22">
        <f>+'HAB-POR EC Bs'!I122/'HAB-POR EC M$'!$D$6/$C$6</f>
        <v>0.108408439</v>
      </c>
      <c r="J123" s="22">
        <f>+'HAB-POR EC Bs'!J122/'HAB-POR EC M$'!$D$6/$C$6</f>
        <v>1.0005221180000001</v>
      </c>
      <c r="K123" s="22">
        <f>+'HAB-POR EC Bs'!K122/'HAB-POR EC M$'!$D$6/$C$6</f>
        <v>0.54543211799999991</v>
      </c>
      <c r="L123" s="22">
        <f>+'HAB-POR EC Bs'!L122/'HAB-POR EC M$'!$D$6/$C$6</f>
        <v>0.54550979699999991</v>
      </c>
      <c r="M123" s="22">
        <f>+'HAB-POR EC Bs'!M122/'HAB-POR EC M$'!$D$6/$C$6</f>
        <v>0</v>
      </c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s="24" customFormat="1" ht="12" x14ac:dyDescent="0.2">
      <c r="A124" s="63" t="s">
        <v>96</v>
      </c>
      <c r="B124" s="22">
        <f>+'HAB-POR EC Bs'!B123/'HAB-POR EC M$'!$B$6/$C$6</f>
        <v>0.16419365079365081</v>
      </c>
      <c r="C124" s="22">
        <f>+'HAB-POR EC Bs'!C123/'HAB-POR EC M$'!$B$6/$C$6</f>
        <v>0.5469587301587302</v>
      </c>
      <c r="D124" s="22">
        <f>+'HAB-POR EC Bs'!D123/'HAB-POR EC M$'!$D$6/$C$6</f>
        <v>0.54684404599999992</v>
      </c>
      <c r="E124" s="22">
        <f>+'HAB-POR EC Bs'!E123/'HAB-POR EC M$'!$D$6/$C$6</f>
        <v>0.91988366100000019</v>
      </c>
      <c r="F124" s="22">
        <f>+'HAB-POR EC Bs'!F123/'HAB-POR EC M$'!$D$6/$C$6</f>
        <v>1.1187694490000002</v>
      </c>
      <c r="G124" s="22">
        <f>+'HAB-POR EC Bs'!G123/'HAB-POR EC M$'!$D$6/$C$6</f>
        <v>1.348814427</v>
      </c>
      <c r="H124" s="22">
        <f>+'HAB-POR EC Bs'!H123/'HAB-POR EC M$'!$D$6/$C$6</f>
        <v>1.8481510409999999</v>
      </c>
      <c r="I124" s="22">
        <f>+'HAB-POR EC Bs'!I123/'HAB-POR EC M$'!$D$6/$C$6</f>
        <v>2.2473144400000007</v>
      </c>
      <c r="J124" s="22">
        <f>+'HAB-POR EC Bs'!J123/'HAB-POR EC M$'!$D$6/$C$6</f>
        <v>3.0690941279999997</v>
      </c>
      <c r="K124" s="22">
        <f>+'HAB-POR EC Bs'!K123/'HAB-POR EC M$'!$D$6/$C$6</f>
        <v>5.1641444329999997</v>
      </c>
      <c r="L124" s="22">
        <f>+'HAB-POR EC Bs'!L123/'HAB-POR EC M$'!$D$6/$C$6</f>
        <v>5.6622765999999993</v>
      </c>
      <c r="M124" s="22">
        <f>+'HAB-POR EC Bs'!M123/'HAB-POR EC M$'!$D$6/$C$6</f>
        <v>0</v>
      </c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s="24" customFormat="1" ht="12" x14ac:dyDescent="0.2">
      <c r="A125" s="63" t="s">
        <v>97</v>
      </c>
      <c r="B125" s="22">
        <f>+'HAB-POR EC Bs'!B124/'HAB-POR EC M$'!$B$6/$C$6</f>
        <v>0.13062857142857143</v>
      </c>
      <c r="C125" s="22">
        <f>+'HAB-POR EC Bs'!C124/'HAB-POR EC M$'!$B$6/$C$6</f>
        <v>0.74366031746031747</v>
      </c>
      <c r="D125" s="22">
        <f>+'HAB-POR EC Bs'!D124/'HAB-POR EC M$'!$D$6/$C$6</f>
        <v>0.359372998</v>
      </c>
      <c r="E125" s="22">
        <f>+'HAB-POR EC Bs'!E124/'HAB-POR EC M$'!$D$6/$C$6</f>
        <v>0.63099963100000001</v>
      </c>
      <c r="F125" s="22">
        <f>+'HAB-POR EC Bs'!F124/'HAB-POR EC M$'!$D$6/$C$6</f>
        <v>0.43089275999999999</v>
      </c>
      <c r="G125" s="22">
        <f>+'HAB-POR EC Bs'!G124/'HAB-POR EC M$'!$D$6/$C$6</f>
        <v>0.56924468299999997</v>
      </c>
      <c r="H125" s="22">
        <f>+'HAB-POR EC Bs'!H124/'HAB-POR EC M$'!$D$6/$C$6</f>
        <v>1.3362352180000001</v>
      </c>
      <c r="I125" s="22">
        <f>+'HAB-POR EC Bs'!I124/'HAB-POR EC M$'!$D$6/$C$6</f>
        <v>40.310407048000002</v>
      </c>
      <c r="J125" s="22">
        <f>+'HAB-POR EC Bs'!J124/'HAB-POR EC M$'!$D$6/$C$6</f>
        <v>87.810904582000006</v>
      </c>
      <c r="K125" s="22">
        <f>+'HAB-POR EC Bs'!K124/'HAB-POR EC M$'!$D$6/$C$6</f>
        <v>98.024883587999994</v>
      </c>
      <c r="L125" s="22">
        <f>+'HAB-POR EC Bs'!L124/'HAB-POR EC M$'!$D$6/$C$6</f>
        <v>98.024883587999994</v>
      </c>
      <c r="M125" s="22">
        <f>+'HAB-POR EC Bs'!M124/'HAB-POR EC M$'!$D$6/$C$6</f>
        <v>0</v>
      </c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s="32" customFormat="1" ht="12" x14ac:dyDescent="0.2">
      <c r="A126" s="30" t="s">
        <v>98</v>
      </c>
      <c r="B126" s="31">
        <f>SUM(B121:B125)</f>
        <v>1.6347</v>
      </c>
      <c r="C126" s="31">
        <f t="shared" ref="C126:M126" si="14">SUM(C121:C125)</f>
        <v>3.9828666666666668</v>
      </c>
      <c r="D126" s="31">
        <f t="shared" si="14"/>
        <v>4.6003204129999986</v>
      </c>
      <c r="E126" s="31">
        <f t="shared" si="14"/>
        <v>6.5030822239999999</v>
      </c>
      <c r="F126" s="31">
        <f t="shared" si="14"/>
        <v>8.1472981139999998</v>
      </c>
      <c r="G126" s="31">
        <f t="shared" si="14"/>
        <v>10.897841588000002</v>
      </c>
      <c r="H126" s="31">
        <f t="shared" si="14"/>
        <v>14.126181132999999</v>
      </c>
      <c r="I126" s="31">
        <f t="shared" si="14"/>
        <v>55.954334242000002</v>
      </c>
      <c r="J126" s="31">
        <f t="shared" si="14"/>
        <v>129.08753660900001</v>
      </c>
      <c r="K126" s="31">
        <f t="shared" si="14"/>
        <v>144.55017297399999</v>
      </c>
      <c r="L126" s="31">
        <f t="shared" si="14"/>
        <v>145.04870141999999</v>
      </c>
      <c r="M126" s="31">
        <f t="shared" si="14"/>
        <v>0</v>
      </c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s="24" customFormat="1" ht="12" x14ac:dyDescent="0.2">
      <c r="A127" s="65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s="47" customFormat="1" x14ac:dyDescent="0.2">
      <c r="A128" s="18" t="s">
        <v>113</v>
      </c>
      <c r="B128" s="19" t="s">
        <v>82</v>
      </c>
      <c r="C128" s="19" t="s">
        <v>83</v>
      </c>
      <c r="D128" s="19" t="s">
        <v>84</v>
      </c>
      <c r="E128" s="19" t="s">
        <v>85</v>
      </c>
      <c r="F128" s="19" t="s">
        <v>86</v>
      </c>
      <c r="G128" s="19" t="s">
        <v>87</v>
      </c>
      <c r="H128" s="19" t="s">
        <v>88</v>
      </c>
      <c r="I128" s="19" t="s">
        <v>198</v>
      </c>
      <c r="J128" s="19" t="s">
        <v>89</v>
      </c>
      <c r="K128" s="19" t="s">
        <v>90</v>
      </c>
      <c r="L128" s="19" t="s">
        <v>91</v>
      </c>
      <c r="M128" s="19" t="s">
        <v>92</v>
      </c>
      <c r="N128" s="41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s="24" customFormat="1" ht="12" x14ac:dyDescent="0.2">
      <c r="A129" s="63" t="s">
        <v>93</v>
      </c>
      <c r="B129" s="22">
        <f>+'HAB-POR EC Bs'!B128/'HAB-POR EC M$'!$B$6/$C$6</f>
        <v>0.15597936507936508</v>
      </c>
      <c r="C129" s="22">
        <f>+'HAB-POR EC Bs'!C128/'HAB-POR EC M$'!$B$6/$C$6</f>
        <v>0.31200634920634923</v>
      </c>
      <c r="D129" s="22">
        <f>+'HAB-POR EC Bs'!D128/'HAB-POR EC M$'!$D$6/$C$6</f>
        <v>0.47735734499999999</v>
      </c>
      <c r="E129" s="22">
        <f>+'HAB-POR EC Bs'!E128/'HAB-POR EC M$'!$D$6/$C$6</f>
        <v>0.64006944999999993</v>
      </c>
      <c r="F129" s="22">
        <f>+'HAB-POR EC Bs'!F128/'HAB-POR EC M$'!$D$6/$C$6</f>
        <v>0.80527513900000003</v>
      </c>
      <c r="G129" s="22">
        <f>+'HAB-POR EC Bs'!G128/'HAB-POR EC M$'!$D$6/$C$6</f>
        <v>1.038219636</v>
      </c>
      <c r="H129" s="22">
        <f>+'HAB-POR EC Bs'!H128/'HAB-POR EC M$'!$D$6/$C$6</f>
        <v>1.3436062900000001</v>
      </c>
      <c r="I129" s="22">
        <f>+'HAB-POR EC Bs'!I128/'HAB-POR EC M$'!$D$6/$C$6</f>
        <v>1.5720234280000001</v>
      </c>
      <c r="J129" s="22">
        <f>+'HAB-POR EC Bs'!J128/'HAB-POR EC M$'!$D$6/$C$6</f>
        <v>1.9510225780000001</v>
      </c>
      <c r="K129" s="22">
        <f>+'HAB-POR EC Bs'!K128/'HAB-POR EC M$'!$D$6/$C$6</f>
        <v>2.3213586469999998</v>
      </c>
      <c r="L129" s="22">
        <f>+'HAB-POR EC Bs'!L128/'HAB-POR EC M$'!$D$6/$C$6</f>
        <v>0</v>
      </c>
      <c r="M129" s="22">
        <f>+'HAB-POR EC Bs'!M128/'HAB-POR EC M$'!$D$6/$C$6</f>
        <v>0</v>
      </c>
      <c r="N129" s="39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s="24" customFormat="1" ht="12" x14ac:dyDescent="0.2">
      <c r="A130" s="63" t="s">
        <v>94</v>
      </c>
      <c r="B130" s="22">
        <f>+'HAB-POR EC Bs'!B129/'HAB-POR EC M$'!$B$6/$C$6</f>
        <v>3.5531746031746032E-2</v>
      </c>
      <c r="C130" s="22">
        <f>+'HAB-POR EC Bs'!C129/'HAB-POR EC M$'!$B$6/$C$6</f>
        <v>6.3066666666666674E-2</v>
      </c>
      <c r="D130" s="22">
        <f>+'HAB-POR EC Bs'!D129/'HAB-POR EC M$'!$D$6/$C$6</f>
        <v>8.6596473999999993E-2</v>
      </c>
      <c r="E130" s="22">
        <f>+'HAB-POR EC Bs'!E129/'HAB-POR EC M$'!$D$6/$C$6</f>
        <v>0.15482921400000005</v>
      </c>
      <c r="F130" s="22">
        <f>+'HAB-POR EC Bs'!F129/'HAB-POR EC M$'!$D$6/$C$6</f>
        <v>0.25824383699999998</v>
      </c>
      <c r="G130" s="22">
        <f>+'HAB-POR EC Bs'!G129/'HAB-POR EC M$'!$D$6/$C$6</f>
        <v>0.39445380600000002</v>
      </c>
      <c r="H130" s="22">
        <f>+'HAB-POR EC Bs'!H129/'HAB-POR EC M$'!$D$6/$C$6</f>
        <v>0.51700967100000006</v>
      </c>
      <c r="I130" s="22">
        <f>+'HAB-POR EC Bs'!I129/'HAB-POR EC M$'!$D$6/$C$6</f>
        <v>0.63739637800000015</v>
      </c>
      <c r="J130" s="22">
        <f>+'HAB-POR EC Bs'!J129/'HAB-POR EC M$'!$D$6/$C$6</f>
        <v>3.7243454669999991</v>
      </c>
      <c r="K130" s="22">
        <f>+'HAB-POR EC Bs'!K129/'HAB-POR EC M$'!$D$6/$C$6</f>
        <v>3.9088882599999999</v>
      </c>
      <c r="L130" s="22">
        <f>+'HAB-POR EC Bs'!L129/'HAB-POR EC M$'!$D$6/$C$6</f>
        <v>2.3213586469999998</v>
      </c>
      <c r="M130" s="22">
        <f>+'HAB-POR EC Bs'!M129/'HAB-POR EC M$'!$D$6/$C$6</f>
        <v>0</v>
      </c>
      <c r="N130" s="39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s="24" customFormat="1" ht="12" x14ac:dyDescent="0.2">
      <c r="A131" s="63" t="s">
        <v>95</v>
      </c>
      <c r="B131" s="22">
        <f>+'HAB-POR EC Bs'!B130/'HAB-POR EC M$'!$B$6/$C$6</f>
        <v>0</v>
      </c>
      <c r="C131" s="22">
        <f>+'HAB-POR EC Bs'!C130/'HAB-POR EC M$'!$B$6/$C$6</f>
        <v>4.7619047619047624E-4</v>
      </c>
      <c r="D131" s="22">
        <f>+'HAB-POR EC Bs'!D130/'HAB-POR EC M$'!$D$6/$C$6</f>
        <v>4.4987599999999999E-4</v>
      </c>
      <c r="E131" s="22">
        <f>+'HAB-POR EC Bs'!E130/'HAB-POR EC M$'!$D$6/$C$6</f>
        <v>4.4987599999999999E-4</v>
      </c>
      <c r="F131" s="22">
        <f>+'HAB-POR EC Bs'!F130/'HAB-POR EC M$'!$D$6/$C$6</f>
        <v>7.0979599999999995E-4</v>
      </c>
      <c r="G131" s="22">
        <f>+'HAB-POR EC Bs'!G130/'HAB-POR EC M$'!$D$6/$C$6</f>
        <v>7.0979599999999995E-4</v>
      </c>
      <c r="H131" s="22">
        <f>+'HAB-POR EC Bs'!H130/'HAB-POR EC M$'!$D$6/$C$6</f>
        <v>1.0803848E-2</v>
      </c>
      <c r="I131" s="22">
        <f>+'HAB-POR EC Bs'!I130/'HAB-POR EC M$'!$D$6/$C$6</f>
        <v>1.0803848E-2</v>
      </c>
      <c r="J131" s="22">
        <f>+'HAB-POR EC Bs'!J130/'HAB-POR EC M$'!$D$6/$C$6</f>
        <v>1.0936848000000001E-2</v>
      </c>
      <c r="K131" s="22">
        <f>+'HAB-POR EC Bs'!K130/'HAB-POR EC M$'!$D$6/$C$6</f>
        <v>0.13953684800000002</v>
      </c>
      <c r="L131" s="22">
        <f>+'HAB-POR EC Bs'!L130/'HAB-POR EC M$'!$D$6/$C$6</f>
        <v>3.9114971599999997</v>
      </c>
      <c r="M131" s="22">
        <f>+'HAB-POR EC Bs'!M130/'HAB-POR EC M$'!$D$6/$C$6</f>
        <v>0</v>
      </c>
      <c r="N131" s="39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s="24" customFormat="1" ht="12" x14ac:dyDescent="0.2">
      <c r="A132" s="63" t="s">
        <v>96</v>
      </c>
      <c r="B132" s="22">
        <f>+'HAB-POR EC Bs'!B131/'HAB-POR EC M$'!$B$6/$C$6</f>
        <v>0.19228571428571431</v>
      </c>
      <c r="C132" s="22">
        <f>+'HAB-POR EC Bs'!C131/'HAB-POR EC M$'!$B$6/$C$6</f>
        <v>0.61055079365079357</v>
      </c>
      <c r="D132" s="22">
        <f>+'HAB-POR EC Bs'!D131/'HAB-POR EC M$'!$D$6/$C$6</f>
        <v>0.52879545300000008</v>
      </c>
      <c r="E132" s="22">
        <f>+'HAB-POR EC Bs'!E131/'HAB-POR EC M$'!$D$6/$C$6</f>
        <v>0.8033085259999998</v>
      </c>
      <c r="F132" s="22">
        <f>+'HAB-POR EC Bs'!F131/'HAB-POR EC M$'!$D$6/$C$6</f>
        <v>1.0805792669999996</v>
      </c>
      <c r="G132" s="22">
        <f>+'HAB-POR EC Bs'!G131/'HAB-POR EC M$'!$D$6/$C$6</f>
        <v>1.4421973519999998</v>
      </c>
      <c r="H132" s="22">
        <f>+'HAB-POR EC Bs'!H131/'HAB-POR EC M$'!$D$6/$C$6</f>
        <v>1.6362444029999998</v>
      </c>
      <c r="I132" s="22">
        <f>+'HAB-POR EC Bs'!I131/'HAB-POR EC M$'!$D$6/$C$6</f>
        <v>1.8837499620000002</v>
      </c>
      <c r="J132" s="22">
        <f>+'HAB-POR EC Bs'!J131/'HAB-POR EC M$'!$D$6/$C$6</f>
        <v>2.1685698169999998</v>
      </c>
      <c r="K132" s="22">
        <f>+'HAB-POR EC Bs'!K131/'HAB-POR EC M$'!$D$6/$C$6</f>
        <v>3.5922617320000003</v>
      </c>
      <c r="L132" s="22">
        <f>+'HAB-POR EC Bs'!L131/'HAB-POR EC M$'!$D$6/$C$6</f>
        <v>0.13953684800000002</v>
      </c>
      <c r="M132" s="22">
        <f>+'HAB-POR EC Bs'!M131/'HAB-POR EC M$'!$D$6/$C$6</f>
        <v>0</v>
      </c>
      <c r="N132" s="39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s="24" customFormat="1" ht="12" x14ac:dyDescent="0.2">
      <c r="A133" s="63" t="s">
        <v>97</v>
      </c>
      <c r="B133" s="22">
        <f>+'HAB-POR EC Bs'!B132/'HAB-POR EC M$'!$B$6/$C$6</f>
        <v>0.22836825396825397</v>
      </c>
      <c r="C133" s="22">
        <f>+'HAB-POR EC Bs'!C132/'HAB-POR EC M$'!$B$6/$C$6</f>
        <v>0.90426984126984122</v>
      </c>
      <c r="D133" s="22">
        <f>+'HAB-POR EC Bs'!D132/'HAB-POR EC M$'!$D$6/$C$6</f>
        <v>0.99034905500000003</v>
      </c>
      <c r="E133" s="22">
        <f>+'HAB-POR EC Bs'!E132/'HAB-POR EC M$'!$D$6/$C$6</f>
        <v>1.3834062499999999</v>
      </c>
      <c r="F133" s="22">
        <f>+'HAB-POR EC Bs'!F132/'HAB-POR EC M$'!$D$6/$C$6</f>
        <v>1.8198151679999999</v>
      </c>
      <c r="G133" s="22">
        <f>+'HAB-POR EC Bs'!G132/'HAB-POR EC M$'!$D$6/$C$6</f>
        <v>2.0978260419999999</v>
      </c>
      <c r="H133" s="22">
        <f>+'HAB-POR EC Bs'!H132/'HAB-POR EC M$'!$D$6/$C$6</f>
        <v>2.7250013050000002</v>
      </c>
      <c r="I133" s="22">
        <f>+'HAB-POR EC Bs'!I132/'HAB-POR EC M$'!$D$6/$C$6</f>
        <v>3.0576786929999997</v>
      </c>
      <c r="J133" s="22">
        <f>+'HAB-POR EC Bs'!J132/'HAB-POR EC M$'!$D$6/$C$6</f>
        <v>3.7351810250000002</v>
      </c>
      <c r="K133" s="22">
        <f>+'HAB-POR EC Bs'!K132/'HAB-POR EC M$'!$D$6/$C$6</f>
        <v>4.5928515209999992</v>
      </c>
      <c r="L133" s="22">
        <f>+'HAB-POR EC Bs'!L132/'HAB-POR EC M$'!$D$6/$C$6</f>
        <v>3.6663456070000002</v>
      </c>
      <c r="M133" s="22">
        <f>+'HAB-POR EC Bs'!M132/'HAB-POR EC M$'!$D$6/$C$6</f>
        <v>0</v>
      </c>
      <c r="N133" s="39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s="32" customFormat="1" ht="12" x14ac:dyDescent="0.2">
      <c r="A134" s="30" t="s">
        <v>98</v>
      </c>
      <c r="B134" s="31">
        <f>SUM(B129:B133)</f>
        <v>0.61216507936507936</v>
      </c>
      <c r="C134" s="31">
        <f t="shared" ref="C134:M134" si="15">SUM(C129:C133)</f>
        <v>1.8903698412698411</v>
      </c>
      <c r="D134" s="31">
        <f>SUM(D129:D133)</f>
        <v>2.0835482030000003</v>
      </c>
      <c r="E134" s="31">
        <f t="shared" si="15"/>
        <v>2.9820633159999996</v>
      </c>
      <c r="F134" s="31">
        <f t="shared" si="15"/>
        <v>3.9646232069999998</v>
      </c>
      <c r="G134" s="31">
        <f t="shared" si="15"/>
        <v>4.9734066319999997</v>
      </c>
      <c r="H134" s="31">
        <f t="shared" si="15"/>
        <v>6.232665517</v>
      </c>
      <c r="I134" s="31">
        <f t="shared" si="15"/>
        <v>7.1616523089999999</v>
      </c>
      <c r="J134" s="31">
        <f t="shared" si="15"/>
        <v>11.590055735</v>
      </c>
      <c r="K134" s="31">
        <f t="shared" si="15"/>
        <v>14.554897007999998</v>
      </c>
      <c r="L134" s="31">
        <f t="shared" si="15"/>
        <v>10.038738261999999</v>
      </c>
      <c r="M134" s="31">
        <f t="shared" si="15"/>
        <v>0</v>
      </c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s="24" customFormat="1" ht="12" x14ac:dyDescent="0.2">
      <c r="A135" s="65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s="47" customFormat="1" x14ac:dyDescent="0.2">
      <c r="A136" s="18" t="s">
        <v>114</v>
      </c>
      <c r="B136" s="19" t="s">
        <v>82</v>
      </c>
      <c r="C136" s="19" t="s">
        <v>83</v>
      </c>
      <c r="D136" s="19" t="s">
        <v>84</v>
      </c>
      <c r="E136" s="19" t="s">
        <v>85</v>
      </c>
      <c r="F136" s="19" t="s">
        <v>86</v>
      </c>
      <c r="G136" s="19" t="s">
        <v>87</v>
      </c>
      <c r="H136" s="19" t="s">
        <v>88</v>
      </c>
      <c r="I136" s="19" t="s">
        <v>198</v>
      </c>
      <c r="J136" s="19" t="s">
        <v>89</v>
      </c>
      <c r="K136" s="19" t="s">
        <v>90</v>
      </c>
      <c r="L136" s="19" t="s">
        <v>91</v>
      </c>
      <c r="M136" s="19" t="s">
        <v>92</v>
      </c>
      <c r="N136" s="41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s="24" customFormat="1" ht="12" x14ac:dyDescent="0.2">
      <c r="A137" s="21" t="s">
        <v>93</v>
      </c>
      <c r="B137" s="22">
        <f>+'HAB-POR EC Bs'!B136/'HAB-POR EC M$'!$B$6/$C$6</f>
        <v>0.63514761904761907</v>
      </c>
      <c r="C137" s="22">
        <f>+'HAB-POR EC Bs'!C136/'HAB-POR EC M$'!$B$6/$C$6</f>
        <v>1.255552380952381</v>
      </c>
      <c r="D137" s="22">
        <f>+'HAB-POR EC Bs'!D136/'HAB-POR EC M$'!$D$6/$C$6</f>
        <v>1.747396733</v>
      </c>
      <c r="E137" s="22">
        <f>+'HAB-POR EC Bs'!E136/'HAB-POR EC M$'!$D$6/$C$6</f>
        <v>2.3529152239999997</v>
      </c>
      <c r="F137" s="22">
        <f>+'HAB-POR EC Bs'!F136/'HAB-POR EC M$'!$D$6/$C$6</f>
        <v>2.9605150519999999</v>
      </c>
      <c r="G137" s="22">
        <f>+'HAB-POR EC Bs'!G136/'HAB-POR EC M$'!$D$6/$C$6</f>
        <v>3.6194429069999998</v>
      </c>
      <c r="H137" s="22">
        <f>+'HAB-POR EC Bs'!H136/'HAB-POR EC M$'!$D$6/$C$6</f>
        <v>4.2286727800000001</v>
      </c>
      <c r="I137" s="22">
        <f>+'HAB-POR EC Bs'!I136/'HAB-POR EC M$'!$D$6/$C$6</f>
        <v>5.1055409129999996</v>
      </c>
      <c r="J137" s="22">
        <f>+'HAB-POR EC Bs'!J136/'HAB-POR EC M$'!$D$6/$C$6</f>
        <v>6.2936692160000005</v>
      </c>
      <c r="K137" s="22">
        <f>+'HAB-POR EC Bs'!K136/'HAB-POR EC M$'!$D$6/$C$6</f>
        <v>7.6260608320000003</v>
      </c>
      <c r="L137" s="22">
        <f>+'HAB-POR EC Bs'!L136/'HAB-POR EC M$'!$D$6/$C$6</f>
        <v>7.6260608320000003</v>
      </c>
      <c r="M137" s="22">
        <f>+'HAB-POR EC Bs'!M136/'HAB-POR EC M$'!$D$6/$C$6</f>
        <v>0</v>
      </c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s="24" customFormat="1" ht="12" x14ac:dyDescent="0.2">
      <c r="A138" s="21" t="s">
        <v>94</v>
      </c>
      <c r="B138" s="22">
        <f>+'HAB-POR EC Bs'!B137/'HAB-POR EC M$'!$B$6/$C$6</f>
        <v>2.0426492063492065</v>
      </c>
      <c r="C138" s="22">
        <f>+'HAB-POR EC Bs'!C137/'HAB-POR EC M$'!$B$6/$C$6</f>
        <v>4.0130825396825394</v>
      </c>
      <c r="D138" s="22">
        <f>+'HAB-POR EC Bs'!D137/'HAB-POR EC M$'!$D$6/$C$6</f>
        <v>3.8767781979999998</v>
      </c>
      <c r="E138" s="22">
        <f>+'HAB-POR EC Bs'!E137/'HAB-POR EC M$'!$D$6/$C$6</f>
        <v>4.8076624170000004</v>
      </c>
      <c r="F138" s="22">
        <f>+'HAB-POR EC Bs'!F137/'HAB-POR EC M$'!$D$6/$C$6</f>
        <v>5.2888091529999999</v>
      </c>
      <c r="G138" s="22">
        <f>+'HAB-POR EC Bs'!G137/'HAB-POR EC M$'!$D$6/$C$6</f>
        <v>6.5149653220000001</v>
      </c>
      <c r="H138" s="22">
        <f>+'HAB-POR EC Bs'!H137/'HAB-POR EC M$'!$D$6/$C$6</f>
        <v>8.7106738010000004</v>
      </c>
      <c r="I138" s="22">
        <f>+'HAB-POR EC Bs'!I137/'HAB-POR EC M$'!$D$6/$C$6</f>
        <v>9.9789400639999997</v>
      </c>
      <c r="J138" s="22">
        <f>+'HAB-POR EC Bs'!J137/'HAB-POR EC M$'!$D$6/$C$6</f>
        <v>23.550309732000002</v>
      </c>
      <c r="K138" s="22">
        <f>+'HAB-POR EC Bs'!K137/'HAB-POR EC M$'!$D$6/$C$6</f>
        <v>24.580503201999999</v>
      </c>
      <c r="L138" s="22">
        <f>+'HAB-POR EC Bs'!L137/'HAB-POR EC M$'!$D$6/$C$6</f>
        <v>24.622737203</v>
      </c>
      <c r="M138" s="22">
        <f>+'HAB-POR EC Bs'!M137/'HAB-POR EC M$'!$D$6/$C$6</f>
        <v>0</v>
      </c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s="24" customFormat="1" ht="12" x14ac:dyDescent="0.2">
      <c r="A139" s="21" t="s">
        <v>95</v>
      </c>
      <c r="B139" s="22">
        <f>+'HAB-POR EC Bs'!B138/'HAB-POR EC M$'!$B$6/$C$6</f>
        <v>-5.4857142857142865E-3</v>
      </c>
      <c r="C139" s="22">
        <f>+'HAB-POR EC Bs'!C138/'HAB-POR EC M$'!$B$6/$C$6</f>
        <v>0.3304285714285714</v>
      </c>
      <c r="D139" s="22">
        <f>+'HAB-POR EC Bs'!D138/'HAB-POR EC M$'!$D$6/$C$6</f>
        <v>0.23997424900000003</v>
      </c>
      <c r="E139" s="22">
        <f>+'HAB-POR EC Bs'!E138/'HAB-POR EC M$'!$D$6/$C$6</f>
        <v>0.32940160800000001</v>
      </c>
      <c r="F139" s="22">
        <f>+'HAB-POR EC Bs'!F138/'HAB-POR EC M$'!$D$6/$C$6</f>
        <v>0.32939200799999996</v>
      </c>
      <c r="G139" s="22">
        <f>+'HAB-POR EC Bs'!G138/'HAB-POR EC M$'!$D$6/$C$6</f>
        <v>0.33875611700000002</v>
      </c>
      <c r="H139" s="22">
        <f>+'HAB-POR EC Bs'!H138/'HAB-POR EC M$'!$D$6/$C$6</f>
        <v>0.77822651199999993</v>
      </c>
      <c r="I139" s="22">
        <f>+'HAB-POR EC Bs'!I138/'HAB-POR EC M$'!$D$6/$C$6</f>
        <v>3.2132454619999997</v>
      </c>
      <c r="J139" s="22">
        <f>+'HAB-POR EC Bs'!J138/'HAB-POR EC M$'!$D$6/$C$6</f>
        <v>3.6716557820000002</v>
      </c>
      <c r="K139" s="22">
        <f>+'HAB-POR EC Bs'!K138/'HAB-POR EC M$'!$D$6/$C$6</f>
        <v>4.0483082820000007</v>
      </c>
      <c r="L139" s="22">
        <f>+'HAB-POR EC Bs'!L138/'HAB-POR EC M$'!$D$6/$C$6</f>
        <v>4.0485752809999997</v>
      </c>
      <c r="M139" s="22">
        <f>+'HAB-POR EC Bs'!M138/'HAB-POR EC M$'!$D$6/$C$6</f>
        <v>0</v>
      </c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s="24" customFormat="1" ht="12" x14ac:dyDescent="0.2">
      <c r="A140" s="21" t="s">
        <v>96</v>
      </c>
      <c r="B140" s="22">
        <f>+'HAB-POR EC Bs'!B139/'HAB-POR EC M$'!$B$6/$C$6</f>
        <v>0.16939365079365082</v>
      </c>
      <c r="C140" s="22">
        <f>+'HAB-POR EC Bs'!C139/'HAB-POR EC M$'!$B$6/$C$6</f>
        <v>1.0074222222222224</v>
      </c>
      <c r="D140" s="22">
        <f>+'HAB-POR EC Bs'!D139/'HAB-POR EC M$'!$D$6/$C$6</f>
        <v>1.0565188829999999</v>
      </c>
      <c r="E140" s="22">
        <f>+'HAB-POR EC Bs'!E139/'HAB-POR EC M$'!$D$6/$C$6</f>
        <v>1.5629412</v>
      </c>
      <c r="F140" s="22">
        <f>+'HAB-POR EC Bs'!F139/'HAB-POR EC M$'!$D$6/$C$6</f>
        <v>2.1763144830000001</v>
      </c>
      <c r="G140" s="22">
        <f>+'HAB-POR EC Bs'!G139/'HAB-POR EC M$'!$D$6/$C$6</f>
        <v>3.2571092680000002</v>
      </c>
      <c r="H140" s="22">
        <f>+'HAB-POR EC Bs'!H139/'HAB-POR EC M$'!$D$6/$C$6</f>
        <v>5.1867758039999998</v>
      </c>
      <c r="I140" s="22">
        <f>+'HAB-POR EC Bs'!I139/'HAB-POR EC M$'!$D$6/$C$6</f>
        <v>6.0557578379999999</v>
      </c>
      <c r="J140" s="22">
        <f>+'HAB-POR EC Bs'!J139/'HAB-POR EC M$'!$D$6/$C$6</f>
        <v>7.2339879449999991</v>
      </c>
      <c r="K140" s="22">
        <f>+'HAB-POR EC Bs'!K139/'HAB-POR EC M$'!$D$6/$C$6</f>
        <v>8.2300017850000007</v>
      </c>
      <c r="L140" s="22">
        <f>+'HAB-POR EC Bs'!L139/'HAB-POR EC M$'!$D$6/$C$6</f>
        <v>8.6638016010000012</v>
      </c>
      <c r="M140" s="22">
        <f>+'HAB-POR EC Bs'!M139/'HAB-POR EC M$'!$D$6/$C$6</f>
        <v>0</v>
      </c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s="24" customFormat="1" ht="12" x14ac:dyDescent="0.2">
      <c r="A141" s="21" t="s">
        <v>97</v>
      </c>
      <c r="B141" s="22">
        <f>+'HAB-POR EC Bs'!B140/'HAB-POR EC M$'!$B$6/$C$6</f>
        <v>0</v>
      </c>
      <c r="C141" s="22">
        <f>+'HAB-POR EC Bs'!C140/'HAB-POR EC M$'!$B$6/$C$6</f>
        <v>0</v>
      </c>
      <c r="D141" s="22">
        <f>+'HAB-POR EC Bs'!D140/'HAB-POR EC M$'!$D$6/$C$6</f>
        <v>0</v>
      </c>
      <c r="E141" s="22">
        <f>+'HAB-POR EC Bs'!E140/'HAB-POR EC M$'!$D$6/$C$6</f>
        <v>0</v>
      </c>
      <c r="F141" s="22">
        <f>+'HAB-POR EC Bs'!F140/'HAB-POR EC M$'!$D$6/$C$6</f>
        <v>0</v>
      </c>
      <c r="G141" s="22">
        <f>+'HAB-POR EC Bs'!G140/'HAB-POR EC M$'!$D$6/$C$6</f>
        <v>0</v>
      </c>
      <c r="H141" s="22">
        <f>+'HAB-POR EC Bs'!H140/'HAB-POR EC M$'!$D$6/$C$6</f>
        <v>6.9119952999999998E-2</v>
      </c>
      <c r="I141" s="22">
        <f>+'HAB-POR EC Bs'!I140/'HAB-POR EC M$'!$D$6/$C$6</f>
        <v>0.15008595299999999</v>
      </c>
      <c r="J141" s="22">
        <f>+'HAB-POR EC Bs'!J140/'HAB-POR EC M$'!$D$6/$C$6</f>
        <v>0.15008595299999999</v>
      </c>
      <c r="K141" s="22">
        <f>+'HAB-POR EC Bs'!K140/'HAB-POR EC M$'!$D$6/$C$6</f>
        <v>0.89805407799999992</v>
      </c>
      <c r="L141" s="22">
        <f>+'HAB-POR EC Bs'!L140/'HAB-POR EC M$'!$D$6/$C$6</f>
        <v>0.89805407799999992</v>
      </c>
      <c r="M141" s="22">
        <f>+'HAB-POR EC Bs'!M140/'HAB-POR EC M$'!$D$6/$C$6</f>
        <v>0</v>
      </c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s="32" customFormat="1" ht="12" x14ac:dyDescent="0.2">
      <c r="A142" s="30" t="s">
        <v>98</v>
      </c>
      <c r="B142" s="31">
        <f>SUM(B137:B141)</f>
        <v>2.841704761904762</v>
      </c>
      <c r="C142" s="31">
        <f t="shared" ref="C142:M142" si="16">SUM(C137:C141)</f>
        <v>6.6064857142857143</v>
      </c>
      <c r="D142" s="31">
        <f>SUM(D137:D141)</f>
        <v>6.9206680629999999</v>
      </c>
      <c r="E142" s="31">
        <f t="shared" si="16"/>
        <v>9.0529204490000001</v>
      </c>
      <c r="F142" s="31">
        <f t="shared" si="16"/>
        <v>10.755030696</v>
      </c>
      <c r="G142" s="31">
        <f t="shared" si="16"/>
        <v>13.730273614000001</v>
      </c>
      <c r="H142" s="31">
        <f t="shared" si="16"/>
        <v>18.97346885</v>
      </c>
      <c r="I142" s="31">
        <f t="shared" si="16"/>
        <v>24.503570230000001</v>
      </c>
      <c r="J142" s="31">
        <f t="shared" si="16"/>
        <v>40.899708627999999</v>
      </c>
      <c r="K142" s="31">
        <f t="shared" si="16"/>
        <v>45.382928178999997</v>
      </c>
      <c r="L142" s="31">
        <f t="shared" si="16"/>
        <v>45.859228995000002</v>
      </c>
      <c r="M142" s="31">
        <f t="shared" si="16"/>
        <v>0</v>
      </c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s="24" customFormat="1" ht="12" x14ac:dyDescent="0.2">
      <c r="A143" s="65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s="47" customFormat="1" x14ac:dyDescent="0.2">
      <c r="A144" s="18" t="s">
        <v>115</v>
      </c>
      <c r="B144" s="19" t="s">
        <v>82</v>
      </c>
      <c r="C144" s="19" t="s">
        <v>83</v>
      </c>
      <c r="D144" s="19" t="s">
        <v>84</v>
      </c>
      <c r="E144" s="19" t="s">
        <v>85</v>
      </c>
      <c r="F144" s="19" t="s">
        <v>86</v>
      </c>
      <c r="G144" s="19" t="s">
        <v>87</v>
      </c>
      <c r="H144" s="19" t="s">
        <v>88</v>
      </c>
      <c r="I144" s="19" t="s">
        <v>198</v>
      </c>
      <c r="J144" s="19" t="s">
        <v>89</v>
      </c>
      <c r="K144" s="19" t="s">
        <v>90</v>
      </c>
      <c r="L144" s="19" t="s">
        <v>91</v>
      </c>
      <c r="M144" s="19" t="s">
        <v>92</v>
      </c>
      <c r="N144" s="41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s="24" customFormat="1" ht="12" x14ac:dyDescent="0.2">
      <c r="A145" s="21" t="s">
        <v>93</v>
      </c>
      <c r="B145" s="22">
        <f>+'HAB-POR EC Bs'!B144/'HAB-POR EC M$'!$B$6/$C$6</f>
        <v>0.89840476190476193</v>
      </c>
      <c r="C145" s="22">
        <f>+'HAB-POR EC Bs'!C144/'HAB-POR EC M$'!$B$6/$C$6</f>
        <v>1.9867650793650795</v>
      </c>
      <c r="D145" s="22">
        <f>+'HAB-POR EC Bs'!D144/'HAB-POR EC M$'!$D$6/$C$6</f>
        <v>2.3297630229999999</v>
      </c>
      <c r="E145" s="22">
        <f>+'HAB-POR EC Bs'!E144/'HAB-POR EC M$'!$D$6/$C$6</f>
        <v>3.0272308249999997</v>
      </c>
      <c r="F145" s="22">
        <f>+'HAB-POR EC Bs'!F144/'HAB-POR EC M$'!$D$6/$C$6</f>
        <v>3.7581473519999999</v>
      </c>
      <c r="G145" s="22">
        <f>+'HAB-POR EC Bs'!G144/'HAB-POR EC M$'!$D$6/$C$6</f>
        <v>4.5726835200000009</v>
      </c>
      <c r="H145" s="22">
        <f>+'HAB-POR EC Bs'!H144/'HAB-POR EC M$'!$D$6/$C$6</f>
        <v>5.579249356</v>
      </c>
      <c r="I145" s="22">
        <f>+'HAB-POR EC Bs'!I144/'HAB-POR EC M$'!$D$6/$C$6</f>
        <v>6.6689912690000002</v>
      </c>
      <c r="J145" s="22">
        <f>+'HAB-POR EC Bs'!J144/'HAB-POR EC M$'!$D$6/$C$6</f>
        <v>8.0446983789999997</v>
      </c>
      <c r="K145" s="22">
        <f>+'HAB-POR EC Bs'!K144/'HAB-POR EC M$'!$D$6/$C$6</f>
        <v>9.548457183</v>
      </c>
      <c r="L145" s="22">
        <f>+'HAB-POR EC Bs'!L144/'HAB-POR EC M$'!$D$6/$C$6</f>
        <v>9.548457183</v>
      </c>
      <c r="M145" s="22">
        <f>+'HAB-POR EC Bs'!M144/'HAB-POR EC M$'!$D$6/$C$6</f>
        <v>0</v>
      </c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s="24" customFormat="1" ht="12" x14ac:dyDescent="0.2">
      <c r="A146" s="21" t="s">
        <v>94</v>
      </c>
      <c r="B146" s="22">
        <f>+'HAB-POR EC Bs'!B145/'HAB-POR EC M$'!$B$6/$C$6</f>
        <v>0.34235555555555564</v>
      </c>
      <c r="C146" s="22">
        <f>+'HAB-POR EC Bs'!C145/'HAB-POR EC M$'!$B$6/$C$6</f>
        <v>0.65127460317460317</v>
      </c>
      <c r="D146" s="22">
        <f>+'HAB-POR EC Bs'!D145/'HAB-POR EC M$'!$D$6/$C$6</f>
        <v>0.66915754700000007</v>
      </c>
      <c r="E146" s="22">
        <f>+'HAB-POR EC Bs'!E145/'HAB-POR EC M$'!$D$6/$C$6</f>
        <v>0.94069845499999993</v>
      </c>
      <c r="F146" s="22">
        <f>+'HAB-POR EC Bs'!F145/'HAB-POR EC M$'!$D$6/$C$6</f>
        <v>1.5635601570000002</v>
      </c>
      <c r="G146" s="22">
        <f>+'HAB-POR EC Bs'!G145/'HAB-POR EC M$'!$D$6/$C$6</f>
        <v>2.1484211449999999</v>
      </c>
      <c r="H146" s="22">
        <f>+'HAB-POR EC Bs'!H145/'HAB-POR EC M$'!$D$6/$C$6</f>
        <v>2.6863122960000001</v>
      </c>
      <c r="I146" s="22">
        <f>+'HAB-POR EC Bs'!I145/'HAB-POR EC M$'!$D$6/$C$6</f>
        <v>3.3418810899999998</v>
      </c>
      <c r="J146" s="22">
        <f>+'HAB-POR EC Bs'!J145/'HAB-POR EC M$'!$D$6/$C$6</f>
        <v>16.644330301</v>
      </c>
      <c r="K146" s="22">
        <f>+'HAB-POR EC Bs'!K145/'HAB-POR EC M$'!$D$6/$C$6</f>
        <v>17.453486291000001</v>
      </c>
      <c r="L146" s="22">
        <f>+'HAB-POR EC Bs'!L145/'HAB-POR EC M$'!$D$6/$C$6</f>
        <v>17.563586291</v>
      </c>
      <c r="M146" s="22">
        <f>+'HAB-POR EC Bs'!M145/'HAB-POR EC M$'!$D$6/$C$6</f>
        <v>0</v>
      </c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s="24" customFormat="1" ht="12" x14ac:dyDescent="0.2">
      <c r="A147" s="21" t="s">
        <v>95</v>
      </c>
      <c r="B147" s="22">
        <f>+'HAB-POR EC Bs'!B146/'HAB-POR EC M$'!$B$6/$C$6</f>
        <v>-1.1111111111111113E-5</v>
      </c>
      <c r="C147" s="22">
        <f>+'HAB-POR EC Bs'!C146/'HAB-POR EC M$'!$B$6/$C$6</f>
        <v>-1.1111111111111113E-5</v>
      </c>
      <c r="D147" s="22">
        <f>+'HAB-POR EC Bs'!D146/'HAB-POR EC M$'!$D$6/$C$6</f>
        <v>-1.6352626000000001</v>
      </c>
      <c r="E147" s="22">
        <f>+'HAB-POR EC Bs'!E146/'HAB-POR EC M$'!$D$6/$C$6</f>
        <v>-0.1852683</v>
      </c>
      <c r="F147" s="22">
        <f>+'HAB-POR EC Bs'!F146/'HAB-POR EC M$'!$D$6/$C$6</f>
        <v>-0.18527070000000001</v>
      </c>
      <c r="G147" s="22">
        <f>+'HAB-POR EC Bs'!G146/'HAB-POR EC M$'!$D$6/$C$6</f>
        <v>2.4679300000000001E-2</v>
      </c>
      <c r="H147" s="22">
        <f>+'HAB-POR EC Bs'!H146/'HAB-POR EC M$'!$D$6/$C$6</f>
        <v>2.4679300000000001E-2</v>
      </c>
      <c r="I147" s="22">
        <f>+'HAB-POR EC Bs'!I146/'HAB-POR EC M$'!$D$6/$C$6</f>
        <v>0.10467929999999999</v>
      </c>
      <c r="J147" s="22">
        <f>+'HAB-POR EC Bs'!J146/'HAB-POR EC M$'!$D$6/$C$6</f>
        <v>0.5549849</v>
      </c>
      <c r="K147" s="22">
        <f>+'HAB-POR EC Bs'!K146/'HAB-POR EC M$'!$D$6/$C$6</f>
        <v>0.5549849</v>
      </c>
      <c r="L147" s="22">
        <f>+'HAB-POR EC Bs'!L146/'HAB-POR EC M$'!$D$6/$C$6</f>
        <v>2.6150975000000001</v>
      </c>
      <c r="M147" s="22">
        <f>+'HAB-POR EC Bs'!M146/'HAB-POR EC M$'!$D$6/$C$6</f>
        <v>0</v>
      </c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s="24" customFormat="1" ht="12" x14ac:dyDescent="0.2">
      <c r="A148" s="21" t="s">
        <v>96</v>
      </c>
      <c r="B148" s="22">
        <f>+'HAB-POR EC Bs'!B147/'HAB-POR EC M$'!$B$6/$C$6</f>
        <v>0.49052063492063497</v>
      </c>
      <c r="C148" s="22">
        <f>+'HAB-POR EC Bs'!C147/'HAB-POR EC M$'!$B$6/$C$6</f>
        <v>1.0995825396825396</v>
      </c>
      <c r="D148" s="22">
        <f>+'HAB-POR EC Bs'!D147/'HAB-POR EC M$'!$D$6/$C$6</f>
        <v>1.077400736</v>
      </c>
      <c r="E148" s="22">
        <f>+'HAB-POR EC Bs'!E147/'HAB-POR EC M$'!$D$6/$C$6</f>
        <v>1.946762541</v>
      </c>
      <c r="F148" s="22">
        <f>+'HAB-POR EC Bs'!F147/'HAB-POR EC M$'!$D$6/$C$6</f>
        <v>2.4175666840000005</v>
      </c>
      <c r="G148" s="22">
        <f>+'HAB-POR EC Bs'!G147/'HAB-POR EC M$'!$D$6/$C$6</f>
        <v>3.05360787</v>
      </c>
      <c r="H148" s="22">
        <f>+'HAB-POR EC Bs'!H147/'HAB-POR EC M$'!$D$6/$C$6</f>
        <v>4.0490132360000004</v>
      </c>
      <c r="I148" s="22">
        <f>+'HAB-POR EC Bs'!I147/'HAB-POR EC M$'!$D$6/$C$6</f>
        <v>5.0843294979999998</v>
      </c>
      <c r="J148" s="22">
        <f>+'HAB-POR EC Bs'!J147/'HAB-POR EC M$'!$D$6/$C$6</f>
        <v>6.1673348749999999</v>
      </c>
      <c r="K148" s="22">
        <f>+'HAB-POR EC Bs'!K147/'HAB-POR EC M$'!$D$6/$C$6</f>
        <v>8.867694632000001</v>
      </c>
      <c r="L148" s="22">
        <f>+'HAB-POR EC Bs'!L147/'HAB-POR EC M$'!$D$6/$C$6</f>
        <v>9.6490176349999999</v>
      </c>
      <c r="M148" s="22">
        <f>+'HAB-POR EC Bs'!M147/'HAB-POR EC M$'!$D$6/$C$6</f>
        <v>0</v>
      </c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s="24" customFormat="1" ht="12" x14ac:dyDescent="0.2">
      <c r="A149" s="21" t="s">
        <v>97</v>
      </c>
      <c r="B149" s="22">
        <f>+'HAB-POR EC Bs'!B148/'HAB-POR EC M$'!$B$6/$C$6</f>
        <v>0</v>
      </c>
      <c r="C149" s="22">
        <f>+'HAB-POR EC Bs'!C148/'HAB-POR EC M$'!$B$6/$C$6</f>
        <v>0</v>
      </c>
      <c r="D149" s="22">
        <f>+'HAB-POR EC Bs'!D148/'HAB-POR EC M$'!$D$6/$C$6</f>
        <v>0</v>
      </c>
      <c r="E149" s="22">
        <f>+'HAB-POR EC Bs'!E148/'HAB-POR EC M$'!$D$6/$C$6</f>
        <v>0</v>
      </c>
      <c r="F149" s="22">
        <f>+'HAB-POR EC Bs'!F148/'HAB-POR EC M$'!$D$6/$C$6</f>
        <v>0</v>
      </c>
      <c r="G149" s="22">
        <f>+'HAB-POR EC Bs'!G148/'HAB-POR EC M$'!$D$6/$C$6</f>
        <v>0</v>
      </c>
      <c r="H149" s="22">
        <f>+'HAB-POR EC Bs'!H148/'HAB-POR EC M$'!$D$6/$C$6</f>
        <v>0</v>
      </c>
      <c r="I149" s="22">
        <f>+'HAB-POR EC Bs'!I148/'HAB-POR EC M$'!$D$6/$C$6</f>
        <v>0</v>
      </c>
      <c r="J149" s="22">
        <f>+'HAB-POR EC Bs'!J148/'HAB-POR EC M$'!$D$6/$C$6</f>
        <v>0</v>
      </c>
      <c r="K149" s="22">
        <f>+'HAB-POR EC Bs'!K148/'HAB-POR EC M$'!$D$6/$C$6</f>
        <v>0</v>
      </c>
      <c r="L149" s="22">
        <f>+'HAB-POR EC Bs'!L148/'HAB-POR EC M$'!$D$6/$C$6</f>
        <v>0</v>
      </c>
      <c r="M149" s="22">
        <f>+'HAB-POR EC Bs'!M148/'HAB-POR EC M$'!$D$6/$C$6</f>
        <v>0</v>
      </c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s="32" customFormat="1" ht="12" x14ac:dyDescent="0.2">
      <c r="A150" s="30" t="s">
        <v>98</v>
      </c>
      <c r="B150" s="31">
        <f>SUM(B145:B149)</f>
        <v>1.7312698412698413</v>
      </c>
      <c r="C150" s="31">
        <f t="shared" ref="C150:M150" si="17">SUM(C145:C149)</f>
        <v>3.7376111111111108</v>
      </c>
      <c r="D150" s="31">
        <f>SUM(D145:D149)</f>
        <v>2.4410587059999997</v>
      </c>
      <c r="E150" s="31">
        <f t="shared" si="17"/>
        <v>5.7294235209999993</v>
      </c>
      <c r="F150" s="31">
        <f t="shared" si="17"/>
        <v>7.5540034930000006</v>
      </c>
      <c r="G150" s="31">
        <f t="shared" si="17"/>
        <v>9.7993918349999998</v>
      </c>
      <c r="H150" s="31">
        <f t="shared" si="17"/>
        <v>12.339254188000002</v>
      </c>
      <c r="I150" s="31">
        <f t="shared" si="17"/>
        <v>15.199881157</v>
      </c>
      <c r="J150" s="31">
        <f t="shared" si="17"/>
        <v>31.411348455000002</v>
      </c>
      <c r="K150" s="31">
        <f t="shared" si="17"/>
        <v>36.424623006000004</v>
      </c>
      <c r="L150" s="31">
        <f t="shared" si="17"/>
        <v>39.376158609000001</v>
      </c>
      <c r="M150" s="31">
        <f t="shared" si="17"/>
        <v>0</v>
      </c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s="24" customFormat="1" ht="12" x14ac:dyDescent="0.2">
      <c r="A151" s="65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s="47" customFormat="1" x14ac:dyDescent="0.2">
      <c r="A152" s="18" t="s">
        <v>116</v>
      </c>
      <c r="B152" s="19" t="s">
        <v>82</v>
      </c>
      <c r="C152" s="19" t="s">
        <v>83</v>
      </c>
      <c r="D152" s="19" t="s">
        <v>84</v>
      </c>
      <c r="E152" s="19" t="s">
        <v>85</v>
      </c>
      <c r="F152" s="19" t="s">
        <v>86</v>
      </c>
      <c r="G152" s="19" t="s">
        <v>87</v>
      </c>
      <c r="H152" s="19" t="s">
        <v>88</v>
      </c>
      <c r="I152" s="19" t="s">
        <v>198</v>
      </c>
      <c r="J152" s="19" t="s">
        <v>89</v>
      </c>
      <c r="K152" s="19" t="s">
        <v>90</v>
      </c>
      <c r="L152" s="19" t="s">
        <v>91</v>
      </c>
      <c r="M152" s="19" t="s">
        <v>92</v>
      </c>
      <c r="N152" s="41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s="24" customFormat="1" ht="12" x14ac:dyDescent="0.2">
      <c r="A153" s="21" t="s">
        <v>93</v>
      </c>
      <c r="B153" s="22">
        <f>+'HAB-POR EC Bs'!B152/'HAB-POR EC M$'!$B$6/$C$6</f>
        <v>0</v>
      </c>
      <c r="C153" s="22">
        <f>+'HAB-POR EC Bs'!C152/'HAB-POR EC M$'!$B$6/$C$6</f>
        <v>0</v>
      </c>
      <c r="D153" s="22">
        <f>+'HAB-POR EC Bs'!D152/'HAB-POR EC M$'!$D$6/$C$6</f>
        <v>0</v>
      </c>
      <c r="E153" s="22">
        <f>+'HAB-POR EC Bs'!E152/'HAB-POR EC M$'!$D$6/$C$6</f>
        <v>0</v>
      </c>
      <c r="F153" s="22">
        <f>+'HAB-POR EC Bs'!F152/'HAB-POR EC M$'!$D$6/$C$6</f>
        <v>0</v>
      </c>
      <c r="G153" s="22">
        <f>+'HAB-POR EC Bs'!G152/'HAB-POR EC M$'!$D$6/$C$6</f>
        <v>0</v>
      </c>
      <c r="H153" s="22">
        <f>+'HAB-POR EC Bs'!H152/'HAB-POR EC M$'!$D$6/$C$6</f>
        <v>0</v>
      </c>
      <c r="I153" s="22">
        <f>+'HAB-POR EC Bs'!I152/'HAB-POR EC M$'!$D$6/$C$6</f>
        <v>0</v>
      </c>
      <c r="J153" s="22">
        <f>+'HAB-POR EC Bs'!J152/'HAB-POR EC M$'!$D$6/$C$6</f>
        <v>0</v>
      </c>
      <c r="K153" s="22">
        <f>+'HAB-POR EC Bs'!K152/'HAB-POR EC M$'!$D$6/$C$6</f>
        <v>0</v>
      </c>
      <c r="L153" s="22">
        <f>+'HAB-POR EC Bs'!L152/'HAB-POR EC M$'!$D$6/$C$6</f>
        <v>0</v>
      </c>
      <c r="M153" s="22">
        <f>+'HAB-POR EC Bs'!M152/'HAB-POR EC M$'!$D$6/$C$6</f>
        <v>0</v>
      </c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s="24" customFormat="1" ht="12" x14ac:dyDescent="0.2">
      <c r="A154" s="21" t="s">
        <v>94</v>
      </c>
      <c r="B154" s="22">
        <f>+'HAB-POR EC Bs'!B153/'HAB-POR EC M$'!$B$6/$C$6</f>
        <v>0</v>
      </c>
      <c r="C154" s="22">
        <f>+'HAB-POR EC Bs'!C153/'HAB-POR EC M$'!$B$6/$C$6</f>
        <v>0</v>
      </c>
      <c r="D154" s="22">
        <f>+'HAB-POR EC Bs'!D153/'HAB-POR EC M$'!$D$6/$C$6</f>
        <v>0</v>
      </c>
      <c r="E154" s="22">
        <f>+'HAB-POR EC Bs'!E153/'HAB-POR EC M$'!$D$6/$C$6</f>
        <v>0</v>
      </c>
      <c r="F154" s="22">
        <f>+'HAB-POR EC Bs'!F153/'HAB-POR EC M$'!$D$6/$C$6</f>
        <v>0</v>
      </c>
      <c r="G154" s="22">
        <f>+'HAB-POR EC Bs'!G153/'HAB-POR EC M$'!$D$6/$C$6</f>
        <v>0</v>
      </c>
      <c r="H154" s="22">
        <f>+'HAB-POR EC Bs'!H153/'HAB-POR EC M$'!$D$6/$C$6</f>
        <v>0</v>
      </c>
      <c r="I154" s="22">
        <f>+'HAB-POR EC Bs'!I153/'HAB-POR EC M$'!$D$6/$C$6</f>
        <v>0</v>
      </c>
      <c r="J154" s="22">
        <f>+'HAB-POR EC Bs'!J153/'HAB-POR EC M$'!$D$6/$C$6</f>
        <v>0.22661452800000001</v>
      </c>
      <c r="K154" s="22">
        <f>+'HAB-POR EC Bs'!K153/'HAB-POR EC M$'!$D$6/$C$6</f>
        <v>0.22661452800000001</v>
      </c>
      <c r="L154" s="22">
        <f>+'HAB-POR EC Bs'!L153/'HAB-POR EC M$'!$D$6/$C$6</f>
        <v>0.22661452800000001</v>
      </c>
      <c r="M154" s="22">
        <f>+'HAB-POR EC Bs'!M153/'HAB-POR EC M$'!$D$6/$C$6</f>
        <v>0</v>
      </c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s="24" customFormat="1" ht="12" x14ac:dyDescent="0.2">
      <c r="A155" s="21" t="s">
        <v>95</v>
      </c>
      <c r="B155" s="22">
        <f>+'HAB-POR EC Bs'!B154/'HAB-POR EC M$'!$B$6/$C$6</f>
        <v>0</v>
      </c>
      <c r="C155" s="22">
        <f>+'HAB-POR EC Bs'!C154/'HAB-POR EC M$'!$B$6/$C$6</f>
        <v>0</v>
      </c>
      <c r="D155" s="22">
        <f>+'HAB-POR EC Bs'!D154/'HAB-POR EC M$'!$D$6/$C$6</f>
        <v>0</v>
      </c>
      <c r="E155" s="22">
        <f>+'HAB-POR EC Bs'!E154/'HAB-POR EC M$'!$D$6/$C$6</f>
        <v>0</v>
      </c>
      <c r="F155" s="22">
        <f>+'HAB-POR EC Bs'!F154/'HAB-POR EC M$'!$D$6/$C$6</f>
        <v>0</v>
      </c>
      <c r="G155" s="22">
        <f>+'HAB-POR EC Bs'!G154/'HAB-POR EC M$'!$D$6/$C$6</f>
        <v>0</v>
      </c>
      <c r="H155" s="22">
        <f>+'HAB-POR EC Bs'!H154/'HAB-POR EC M$'!$D$6/$C$6</f>
        <v>0</v>
      </c>
      <c r="I155" s="22">
        <f>+'HAB-POR EC Bs'!I154/'HAB-POR EC M$'!$D$6/$C$6</f>
        <v>0</v>
      </c>
      <c r="J155" s="22">
        <f>+'HAB-POR EC Bs'!J154/'HAB-POR EC M$'!$D$6/$C$6</f>
        <v>0</v>
      </c>
      <c r="K155" s="22">
        <f>+'HAB-POR EC Bs'!K154/'HAB-POR EC M$'!$D$6/$C$6</f>
        <v>0</v>
      </c>
      <c r="L155" s="22">
        <f>+'HAB-POR EC Bs'!L154/'HAB-POR EC M$'!$D$6/$C$6</f>
        <v>0</v>
      </c>
      <c r="M155" s="22">
        <f>+'HAB-POR EC Bs'!M154/'HAB-POR EC M$'!$D$6/$C$6</f>
        <v>0</v>
      </c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s="24" customFormat="1" ht="12" x14ac:dyDescent="0.2">
      <c r="A156" s="21" t="s">
        <v>96</v>
      </c>
      <c r="B156" s="22">
        <f>+'HAB-POR EC Bs'!B155/'HAB-POR EC M$'!$B$6/$C$6</f>
        <v>0</v>
      </c>
      <c r="C156" s="22">
        <f>+'HAB-POR EC Bs'!C155/'HAB-POR EC M$'!$B$6/$C$6</f>
        <v>0</v>
      </c>
      <c r="D156" s="22">
        <f>+'HAB-POR EC Bs'!D155/'HAB-POR EC M$'!$D$6/$C$6</f>
        <v>0</v>
      </c>
      <c r="E156" s="22">
        <f>+'HAB-POR EC Bs'!E155/'HAB-POR EC M$'!$D$6/$C$6</f>
        <v>0</v>
      </c>
      <c r="F156" s="22">
        <f>+'HAB-POR EC Bs'!F155/'HAB-POR EC M$'!$D$6/$C$6</f>
        <v>0</v>
      </c>
      <c r="G156" s="22">
        <f>+'HAB-POR EC Bs'!G155/'HAB-POR EC M$'!$D$6/$C$6</f>
        <v>2.1469999999999999E-4</v>
      </c>
      <c r="H156" s="22">
        <f>+'HAB-POR EC Bs'!H155/'HAB-POR EC M$'!$D$6/$C$6</f>
        <v>2.1469999999999999E-4</v>
      </c>
      <c r="I156" s="22">
        <f>+'HAB-POR EC Bs'!I155/'HAB-POR EC M$'!$D$6/$C$6</f>
        <v>2.1469999999999999E-4</v>
      </c>
      <c r="J156" s="22">
        <f>+'HAB-POR EC Bs'!J155/'HAB-POR EC M$'!$D$6/$C$6</f>
        <v>2.1469999999999999E-4</v>
      </c>
      <c r="K156" s="22">
        <f>+'HAB-POR EC Bs'!K155/'HAB-POR EC M$'!$D$6/$C$6</f>
        <v>5.4619400000000006E-4</v>
      </c>
      <c r="L156" s="22">
        <f>+'HAB-POR EC Bs'!L155/'HAB-POR EC M$'!$D$6/$C$6</f>
        <v>5.4619400000000006E-4</v>
      </c>
      <c r="M156" s="22">
        <f>+'HAB-POR EC Bs'!M155/'HAB-POR EC M$'!$D$6/$C$6</f>
        <v>0</v>
      </c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s="24" customFormat="1" ht="12" x14ac:dyDescent="0.2">
      <c r="A157" s="21" t="s">
        <v>97</v>
      </c>
      <c r="B157" s="22">
        <f>+'HAB-POR EC Bs'!B156/'HAB-POR EC M$'!$B$6/$C$6</f>
        <v>0</v>
      </c>
      <c r="C157" s="22">
        <f>+'HAB-POR EC Bs'!C156/'HAB-POR EC M$'!$B$6/$C$6</f>
        <v>0</v>
      </c>
      <c r="D157" s="22">
        <f>+'HAB-POR EC Bs'!D156/'HAB-POR EC M$'!$D$6/$C$6</f>
        <v>0</v>
      </c>
      <c r="E157" s="22">
        <f>+'HAB-POR EC Bs'!E156/'HAB-POR EC M$'!$D$6/$C$6</f>
        <v>0</v>
      </c>
      <c r="F157" s="22">
        <f>+'HAB-POR EC Bs'!F156/'HAB-POR EC M$'!$D$6/$C$6</f>
        <v>0</v>
      </c>
      <c r="G157" s="22">
        <f>+'HAB-POR EC Bs'!G156/'HAB-POR EC M$'!$D$6/$C$6</f>
        <v>0</v>
      </c>
      <c r="H157" s="22">
        <f>+'HAB-POR EC Bs'!H156/'HAB-POR EC M$'!$D$6/$C$6</f>
        <v>0</v>
      </c>
      <c r="I157" s="22">
        <f>+'HAB-POR EC Bs'!I156/'HAB-POR EC M$'!$D$6/$C$6</f>
        <v>0</v>
      </c>
      <c r="J157" s="22">
        <f>+'HAB-POR EC Bs'!J156/'HAB-POR EC M$'!$D$6/$C$6</f>
        <v>0</v>
      </c>
      <c r="K157" s="22">
        <f>+'HAB-POR EC Bs'!K156/'HAB-POR EC M$'!$D$6/$C$6</f>
        <v>0</v>
      </c>
      <c r="L157" s="22">
        <f>+'HAB-POR EC Bs'!L156/'HAB-POR EC M$'!$D$6/$C$6</f>
        <v>0</v>
      </c>
      <c r="M157" s="22">
        <f>+'HAB-POR EC Bs'!M156/'HAB-POR EC M$'!$D$6/$C$6</f>
        <v>0</v>
      </c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s="32" customFormat="1" ht="12" x14ac:dyDescent="0.2">
      <c r="A158" s="30" t="s">
        <v>98</v>
      </c>
      <c r="B158" s="31">
        <f>SUM(B153:B157)</f>
        <v>0</v>
      </c>
      <c r="C158" s="31">
        <f t="shared" ref="C158:M158" si="18">SUM(C153:C157)</f>
        <v>0</v>
      </c>
      <c r="D158" s="31">
        <f>SUM(D153:D157)</f>
        <v>0</v>
      </c>
      <c r="E158" s="31">
        <f t="shared" si="18"/>
        <v>0</v>
      </c>
      <c r="F158" s="31">
        <f t="shared" si="18"/>
        <v>0</v>
      </c>
      <c r="G158" s="31">
        <f t="shared" si="18"/>
        <v>2.1469999999999999E-4</v>
      </c>
      <c r="H158" s="31">
        <f t="shared" si="18"/>
        <v>2.1469999999999999E-4</v>
      </c>
      <c r="I158" s="31">
        <f t="shared" si="18"/>
        <v>2.1469999999999999E-4</v>
      </c>
      <c r="J158" s="31">
        <f t="shared" si="18"/>
        <v>0.22682922800000002</v>
      </c>
      <c r="K158" s="31">
        <f t="shared" si="18"/>
        <v>0.22716072200000001</v>
      </c>
      <c r="L158" s="31">
        <f t="shared" si="18"/>
        <v>0.22716072200000001</v>
      </c>
      <c r="M158" s="31">
        <f t="shared" si="18"/>
        <v>0</v>
      </c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s="24" customFormat="1" ht="12" x14ac:dyDescent="0.2">
      <c r="A159" s="3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s="10" customFormat="1" x14ac:dyDescent="0.2">
      <c r="A160" s="18" t="s">
        <v>117</v>
      </c>
      <c r="B160" s="19" t="s">
        <v>82</v>
      </c>
      <c r="C160" s="19" t="s">
        <v>83</v>
      </c>
      <c r="D160" s="19" t="s">
        <v>84</v>
      </c>
      <c r="E160" s="19" t="s">
        <v>85</v>
      </c>
      <c r="F160" s="19" t="s">
        <v>86</v>
      </c>
      <c r="G160" s="19" t="s">
        <v>87</v>
      </c>
      <c r="H160" s="19" t="s">
        <v>88</v>
      </c>
      <c r="I160" s="19" t="s">
        <v>198</v>
      </c>
      <c r="J160" s="19" t="s">
        <v>89</v>
      </c>
      <c r="K160" s="19" t="s">
        <v>90</v>
      </c>
      <c r="L160" s="19" t="s">
        <v>91</v>
      </c>
      <c r="M160" s="19" t="s">
        <v>92</v>
      </c>
      <c r="N160" s="41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s="24" customFormat="1" ht="12" x14ac:dyDescent="0.2">
      <c r="A161" s="21" t="s">
        <v>93</v>
      </c>
      <c r="B161" s="22">
        <f>+'HAB-POR EC Bs'!B160/'HAB-POR EC M$'!$B$6/$C$6</f>
        <v>2.4546873015873016</v>
      </c>
      <c r="C161" s="22">
        <f>+'HAB-POR EC Bs'!C160/'HAB-POR EC M$'!$B$6/$C$6</f>
        <v>3.658639682539683</v>
      </c>
      <c r="D161" s="22">
        <f>+'HAB-POR EC Bs'!D160/'HAB-POR EC M$'!$D$6/$C$6</f>
        <v>4.1210787929999997</v>
      </c>
      <c r="E161" s="22">
        <f>+'HAB-POR EC Bs'!E160/'HAB-POR EC M$'!$D$6/$C$6</f>
        <v>5.3364889349999993</v>
      </c>
      <c r="F161" s="22">
        <f>+'HAB-POR EC Bs'!F160/'HAB-POR EC M$'!$D$6/$C$6</f>
        <v>6.7500057550000001</v>
      </c>
      <c r="G161" s="22">
        <f>+'HAB-POR EC Bs'!G160/'HAB-POR EC M$'!$D$6/$C$6</f>
        <v>8.3429710959999994</v>
      </c>
      <c r="H161" s="22">
        <f>+'HAB-POR EC Bs'!H160/'HAB-POR EC M$'!$D$6/$C$6</f>
        <v>10.350805973999998</v>
      </c>
      <c r="I161" s="22">
        <f>+'HAB-POR EC Bs'!I160/'HAB-POR EC M$'!$D$6/$C$6</f>
        <v>12.387444162</v>
      </c>
      <c r="J161" s="22">
        <f>+'HAB-POR EC Bs'!J160/'HAB-POR EC M$'!$D$6/$C$6</f>
        <v>14.957555921999999</v>
      </c>
      <c r="K161" s="22">
        <f>+'HAB-POR EC Bs'!K160/'HAB-POR EC M$'!$D$6/$C$6</f>
        <v>17.999378969000002</v>
      </c>
      <c r="L161" s="22">
        <f>+'HAB-POR EC Bs'!L160/'HAB-POR EC M$'!$D$6/$C$6</f>
        <v>17.999378969000002</v>
      </c>
      <c r="M161" s="22">
        <f>+'HAB-POR EC Bs'!M160/'HAB-POR EC M$'!$D$6/$C$6</f>
        <v>0</v>
      </c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s="24" customFormat="1" ht="12" x14ac:dyDescent="0.2">
      <c r="A162" s="21" t="s">
        <v>94</v>
      </c>
      <c r="B162" s="22">
        <f>+'HAB-POR EC Bs'!B161/'HAB-POR EC M$'!$B$6/$C$6</f>
        <v>1.2497015873015873</v>
      </c>
      <c r="C162" s="22">
        <f>+'HAB-POR EC Bs'!C161/'HAB-POR EC M$'!$B$6/$C$6</f>
        <v>1.6411857142857142</v>
      </c>
      <c r="D162" s="22">
        <f>+'HAB-POR EC Bs'!D161/'HAB-POR EC M$'!$D$6/$C$6</f>
        <v>1.5378005370000001</v>
      </c>
      <c r="E162" s="22">
        <f>+'HAB-POR EC Bs'!E161/'HAB-POR EC M$'!$D$6/$C$6</f>
        <v>2.0944852159999998</v>
      </c>
      <c r="F162" s="22">
        <f>+'HAB-POR EC Bs'!F161/'HAB-POR EC M$'!$D$6/$C$6</f>
        <v>3.6101308040000002</v>
      </c>
      <c r="G162" s="22">
        <f>+'HAB-POR EC Bs'!G161/'HAB-POR EC M$'!$D$6/$C$6</f>
        <v>4.8206580209999998</v>
      </c>
      <c r="H162" s="22">
        <f>+'HAB-POR EC Bs'!H161/'HAB-POR EC M$'!$D$6/$C$6</f>
        <v>6.2520086739999998</v>
      </c>
      <c r="I162" s="22">
        <f>+'HAB-POR EC Bs'!I161/'HAB-POR EC M$'!$D$6/$C$6</f>
        <v>8.0158671100000003</v>
      </c>
      <c r="J162" s="22">
        <f>+'HAB-POR EC Bs'!J161/'HAB-POR EC M$'!$D$6/$C$6</f>
        <v>47.915029966999995</v>
      </c>
      <c r="K162" s="22">
        <f>+'HAB-POR EC Bs'!K161/'HAB-POR EC M$'!$D$6/$C$6</f>
        <v>49.489521267999997</v>
      </c>
      <c r="L162" s="22">
        <f>+'HAB-POR EC Bs'!L161/'HAB-POR EC M$'!$D$6/$C$6</f>
        <v>49.504105267999996</v>
      </c>
      <c r="M162" s="22">
        <f>+'HAB-POR EC Bs'!M161/'HAB-POR EC M$'!$D$6/$C$6</f>
        <v>0</v>
      </c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s="24" customFormat="1" ht="12" x14ac:dyDescent="0.2">
      <c r="A163" s="21" t="s">
        <v>95</v>
      </c>
      <c r="B163" s="22">
        <f>+'HAB-POR EC Bs'!B162/'HAB-POR EC M$'!$B$6/$C$6</f>
        <v>-7.9365079365079379E-6</v>
      </c>
      <c r="C163" s="22">
        <f>+'HAB-POR EC Bs'!C162/'HAB-POR EC M$'!$B$6/$C$6</f>
        <v>0.10655396825396825</v>
      </c>
      <c r="D163" s="22">
        <f>+'HAB-POR EC Bs'!D162/'HAB-POR EC M$'!$D$6/$C$6</f>
        <v>0.23184417899999998</v>
      </c>
      <c r="E163" s="22">
        <f>+'HAB-POR EC Bs'!E162/'HAB-POR EC M$'!$D$6/$C$6</f>
        <v>1.7321843199999998</v>
      </c>
      <c r="F163" s="22">
        <f>+'HAB-POR EC Bs'!F162/'HAB-POR EC M$'!$D$6/$C$6</f>
        <v>2.4877890200000001</v>
      </c>
      <c r="G163" s="22">
        <f>+'HAB-POR EC Bs'!G162/'HAB-POR EC M$'!$D$6/$C$6</f>
        <v>5.9931151899999993</v>
      </c>
      <c r="H163" s="22">
        <f>+'HAB-POR EC Bs'!H162/'HAB-POR EC M$'!$D$6/$C$6</f>
        <v>8.2314999990000004</v>
      </c>
      <c r="I163" s="22">
        <f>+'HAB-POR EC Bs'!I162/'HAB-POR EC M$'!$D$6/$C$6</f>
        <v>14.281181927000002</v>
      </c>
      <c r="J163" s="22">
        <f>+'HAB-POR EC Bs'!J162/'HAB-POR EC M$'!$D$6/$C$6</f>
        <v>21.549257099999998</v>
      </c>
      <c r="K163" s="22">
        <f>+'HAB-POR EC Bs'!K162/'HAB-POR EC M$'!$D$6/$C$6</f>
        <v>34.262372233000001</v>
      </c>
      <c r="L163" s="22">
        <f>+'HAB-POR EC Bs'!L162/'HAB-POR EC M$'!$D$6/$C$6</f>
        <v>53.596798733</v>
      </c>
      <c r="M163" s="22">
        <f>+'HAB-POR EC Bs'!M162/'HAB-POR EC M$'!$D$6/$C$6</f>
        <v>0</v>
      </c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s="24" customFormat="1" ht="12" x14ac:dyDescent="0.2">
      <c r="A164" s="21" t="s">
        <v>96</v>
      </c>
      <c r="B164" s="22">
        <f>+'HAB-POR EC Bs'!B163/'HAB-POR EC M$'!$B$6/$C$6</f>
        <v>5.3717317460317462</v>
      </c>
      <c r="C164" s="22">
        <f>+'HAB-POR EC Bs'!C163/'HAB-POR EC M$'!$B$6/$C$6</f>
        <v>9.888538095238097</v>
      </c>
      <c r="D164" s="22">
        <f>+'HAB-POR EC Bs'!D163/'HAB-POR EC M$'!$D$6/$C$6</f>
        <v>6.5642717180000005</v>
      </c>
      <c r="E164" s="22">
        <f>+'HAB-POR EC Bs'!E163/'HAB-POR EC M$'!$D$6/$C$6</f>
        <v>9.2026681490000009</v>
      </c>
      <c r="F164" s="22">
        <f>+'HAB-POR EC Bs'!F163/'HAB-POR EC M$'!$D$6/$C$6</f>
        <v>14.253382352999999</v>
      </c>
      <c r="G164" s="22">
        <f>+'HAB-POR EC Bs'!G163/'HAB-POR EC M$'!$D$6/$C$6</f>
        <v>36.329933353999998</v>
      </c>
      <c r="H164" s="22">
        <f>+'HAB-POR EC Bs'!H163/'HAB-POR EC M$'!$D$6/$C$6</f>
        <v>46.978522531000003</v>
      </c>
      <c r="I164" s="22">
        <f>+'HAB-POR EC Bs'!I163/'HAB-POR EC M$'!$D$6/$C$6</f>
        <v>60.186742945000006</v>
      </c>
      <c r="J164" s="22">
        <f>+'HAB-POR EC Bs'!J163/'HAB-POR EC M$'!$D$6/$C$6</f>
        <v>73.042011115999998</v>
      </c>
      <c r="K164" s="22">
        <f>+'HAB-POR EC Bs'!K163/'HAB-POR EC M$'!$D$6/$C$6</f>
        <v>99.151318386999989</v>
      </c>
      <c r="L164" s="22">
        <f>+'HAB-POR EC Bs'!L163/'HAB-POR EC M$'!$D$6/$C$6</f>
        <v>140.32211200500001</v>
      </c>
      <c r="M164" s="22">
        <f>+'HAB-POR EC Bs'!M163/'HAB-POR EC M$'!$D$6/$C$6</f>
        <v>0</v>
      </c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s="24" customFormat="1" ht="12" x14ac:dyDescent="0.2">
      <c r="A165" s="21" t="s">
        <v>97</v>
      </c>
      <c r="B165" s="22">
        <f>+'HAB-POR EC Bs'!B164/'HAB-POR EC M$'!$B$6/$C$6</f>
        <v>0.42888095238095236</v>
      </c>
      <c r="C165" s="22">
        <f>+'HAB-POR EC Bs'!C164/'HAB-POR EC M$'!$B$6/$C$6</f>
        <v>6.9297746031746037</v>
      </c>
      <c r="D165" s="22">
        <f>+'HAB-POR EC Bs'!D164/'HAB-POR EC M$'!$D$6/$C$6</f>
        <v>7.4250540840000001</v>
      </c>
      <c r="E165" s="22">
        <f>+'HAB-POR EC Bs'!E164/'HAB-POR EC M$'!$D$6/$C$6</f>
        <v>8.7767671840000006</v>
      </c>
      <c r="F165" s="22">
        <f>+'HAB-POR EC Bs'!F164/'HAB-POR EC M$'!$D$6/$C$6</f>
        <v>13.559540224000001</v>
      </c>
      <c r="G165" s="22">
        <f>+'HAB-POR EC Bs'!G164/'HAB-POR EC M$'!$D$6/$C$6</f>
        <v>24.552691987999999</v>
      </c>
      <c r="H165" s="22">
        <f>+'HAB-POR EC Bs'!H164/'HAB-POR EC M$'!$D$6/$C$6</f>
        <v>26.565597087999997</v>
      </c>
      <c r="I165" s="22">
        <f>+'HAB-POR EC Bs'!I164/'HAB-POR EC M$'!$D$6/$C$6</f>
        <v>34.619802092999997</v>
      </c>
      <c r="J165" s="22">
        <f>+'HAB-POR EC Bs'!J164/'HAB-POR EC M$'!$D$6/$C$6</f>
        <v>42.926104892999994</v>
      </c>
      <c r="K165" s="22">
        <f>+'HAB-POR EC Bs'!K164/'HAB-POR EC M$'!$D$6/$C$6</f>
        <v>34.604908218000006</v>
      </c>
      <c r="L165" s="22">
        <f>+'HAB-POR EC Bs'!L164/'HAB-POR EC M$'!$D$6/$C$6</f>
        <v>34.604908218000006</v>
      </c>
      <c r="M165" s="22">
        <f>+'HAB-POR EC Bs'!M164/'HAB-POR EC M$'!$D$6/$C$6</f>
        <v>0</v>
      </c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s="32" customFormat="1" ht="12" x14ac:dyDescent="0.2">
      <c r="A166" s="30" t="s">
        <v>98</v>
      </c>
      <c r="B166" s="31">
        <f>SUM(B161:B165)</f>
        <v>9.5049936507936508</v>
      </c>
      <c r="C166" s="31">
        <f t="shared" ref="C166:M166" si="19">SUM(C161:C165)</f>
        <v>22.224692063492068</v>
      </c>
      <c r="D166" s="31">
        <f t="shared" si="19"/>
        <v>19.880049311000001</v>
      </c>
      <c r="E166" s="31">
        <f t="shared" si="19"/>
        <v>27.142593804000001</v>
      </c>
      <c r="F166" s="31">
        <f t="shared" si="19"/>
        <v>40.660848156</v>
      </c>
      <c r="G166" s="31">
        <f t="shared" si="19"/>
        <v>80.039369648999994</v>
      </c>
      <c r="H166" s="31">
        <f t="shared" si="19"/>
        <v>98.378434265999999</v>
      </c>
      <c r="I166" s="31">
        <f t="shared" si="19"/>
        <v>129.491038237</v>
      </c>
      <c r="J166" s="31">
        <f t="shared" si="19"/>
        <v>200.389958998</v>
      </c>
      <c r="K166" s="31">
        <f t="shared" si="19"/>
        <v>235.507499075</v>
      </c>
      <c r="L166" s="31">
        <f t="shared" si="19"/>
        <v>296.02730319299997</v>
      </c>
      <c r="M166" s="31">
        <f t="shared" si="19"/>
        <v>0</v>
      </c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s="24" customFormat="1" ht="12" x14ac:dyDescent="0.2">
      <c r="A167" s="3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s="47" customFormat="1" x14ac:dyDescent="0.2">
      <c r="A168" s="18" t="s">
        <v>118</v>
      </c>
      <c r="B168" s="19" t="s">
        <v>82</v>
      </c>
      <c r="C168" s="19" t="s">
        <v>83</v>
      </c>
      <c r="D168" s="19" t="s">
        <v>84</v>
      </c>
      <c r="E168" s="19" t="s">
        <v>85</v>
      </c>
      <c r="F168" s="19" t="s">
        <v>86</v>
      </c>
      <c r="G168" s="19" t="s">
        <v>87</v>
      </c>
      <c r="H168" s="19" t="s">
        <v>88</v>
      </c>
      <c r="I168" s="19" t="s">
        <v>198</v>
      </c>
      <c r="J168" s="19" t="s">
        <v>89</v>
      </c>
      <c r="K168" s="19" t="s">
        <v>90</v>
      </c>
      <c r="L168" s="19" t="s">
        <v>91</v>
      </c>
      <c r="M168" s="19" t="s">
        <v>92</v>
      </c>
      <c r="N168" s="41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s="24" customFormat="1" ht="12" x14ac:dyDescent="0.2">
      <c r="A169" s="21" t="s">
        <v>93</v>
      </c>
      <c r="B169" s="22">
        <f>+'HAB-POR EC Bs'!B168/'HAB-POR EC M$'!$B$6/$C$6</f>
        <v>0</v>
      </c>
      <c r="C169" s="22">
        <f>+'HAB-POR EC Bs'!C168/'HAB-POR EC M$'!$B$6/$C$6</f>
        <v>0</v>
      </c>
      <c r="D169" s="22">
        <f>+'HAB-POR EC Bs'!D168/'HAB-POR EC M$'!$D$6/$C$6</f>
        <v>0</v>
      </c>
      <c r="E169" s="22">
        <f>+'HAB-POR EC Bs'!E168/'HAB-POR EC M$'!$D$6/$C$6</f>
        <v>0</v>
      </c>
      <c r="F169" s="22">
        <f>+'HAB-POR EC Bs'!F168/'HAB-POR EC M$'!$D$6/$C$6</f>
        <v>0</v>
      </c>
      <c r="G169" s="22">
        <f>+'HAB-POR EC Bs'!G168/'HAB-POR EC M$'!$D$6/$C$6</f>
        <v>0</v>
      </c>
      <c r="H169" s="22">
        <f>+'HAB-POR EC Bs'!H168/'HAB-POR EC M$'!$D$6/$C$6</f>
        <v>0</v>
      </c>
      <c r="I169" s="22">
        <f>+'HAB-POR EC Bs'!I168/'HAB-POR EC M$'!$D$6/$C$6</f>
        <v>0</v>
      </c>
      <c r="J169" s="22">
        <f>+'HAB-POR EC Bs'!J168/'HAB-POR EC M$'!$D$6/$C$6</f>
        <v>0</v>
      </c>
      <c r="K169" s="22">
        <f>+'HAB-POR EC Bs'!K168/'HAB-POR EC M$'!$D$6/$C$6</f>
        <v>0</v>
      </c>
      <c r="L169" s="22">
        <f>+'HAB-POR EC Bs'!L168/'HAB-POR EC M$'!$D$6/$C$6</f>
        <v>0</v>
      </c>
      <c r="M169" s="22">
        <f>+'HAB-POR EC Bs'!M168/'HAB-POR EC M$'!$D$6/$C$6</f>
        <v>0</v>
      </c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s="24" customFormat="1" ht="12" x14ac:dyDescent="0.2">
      <c r="A170" s="21" t="s">
        <v>94</v>
      </c>
      <c r="B170" s="22">
        <f>+'HAB-POR EC Bs'!B169/'HAB-POR EC M$'!$B$6/$C$6</f>
        <v>0</v>
      </c>
      <c r="C170" s="22">
        <f>+'HAB-POR EC Bs'!C169/'HAB-POR EC M$'!$B$6/$C$6</f>
        <v>0</v>
      </c>
      <c r="D170" s="22">
        <f>+'HAB-POR EC Bs'!D169/'HAB-POR EC M$'!$D$6/$C$6</f>
        <v>0</v>
      </c>
      <c r="E170" s="22">
        <f>+'HAB-POR EC Bs'!E169/'HAB-POR EC M$'!$D$6/$C$6</f>
        <v>3.0999999999999999E-3</v>
      </c>
      <c r="F170" s="22">
        <f>+'HAB-POR EC Bs'!F169/'HAB-POR EC M$'!$D$6/$C$6</f>
        <v>8.8000000000000005E-3</v>
      </c>
      <c r="G170" s="22">
        <f>+'HAB-POR EC Bs'!G169/'HAB-POR EC M$'!$D$6/$C$6</f>
        <v>1.3977E-2</v>
      </c>
      <c r="H170" s="22">
        <f>+'HAB-POR EC Bs'!H169/'HAB-POR EC M$'!$D$6/$C$6</f>
        <v>1.7777000000000001E-2</v>
      </c>
      <c r="I170" s="22">
        <f>+'HAB-POR EC Bs'!I169/'HAB-POR EC M$'!$D$6/$C$6</f>
        <v>4.5445399999999997E-2</v>
      </c>
      <c r="J170" s="22">
        <f>+'HAB-POR EC Bs'!J169/'HAB-POR EC M$'!$D$6/$C$6</f>
        <v>0.27855992800000001</v>
      </c>
      <c r="K170" s="22">
        <f>+'HAB-POR EC Bs'!K169/'HAB-POR EC M$'!$D$6/$C$6</f>
        <v>0.29832842799999998</v>
      </c>
      <c r="L170" s="22">
        <f>+'HAB-POR EC Bs'!L169/'HAB-POR EC M$'!$D$6/$C$6</f>
        <v>0.29832842799999998</v>
      </c>
      <c r="M170" s="22">
        <f>+'HAB-POR EC Bs'!M169/'HAB-POR EC M$'!$D$6/$C$6</f>
        <v>0</v>
      </c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s="24" customFormat="1" ht="12" x14ac:dyDescent="0.2">
      <c r="A171" s="21" t="s">
        <v>95</v>
      </c>
      <c r="B171" s="22">
        <f>+'HAB-POR EC Bs'!B170/'HAB-POR EC M$'!$B$6/$C$6</f>
        <v>0</v>
      </c>
      <c r="C171" s="22">
        <f>+'HAB-POR EC Bs'!C170/'HAB-POR EC M$'!$B$6/$C$6</f>
        <v>0</v>
      </c>
      <c r="D171" s="22">
        <f>+'HAB-POR EC Bs'!D170/'HAB-POR EC M$'!$D$6/$C$6</f>
        <v>0</v>
      </c>
      <c r="E171" s="22">
        <f>+'HAB-POR EC Bs'!E170/'HAB-POR EC M$'!$D$6/$C$6</f>
        <v>0</v>
      </c>
      <c r="F171" s="22">
        <f>+'HAB-POR EC Bs'!F170/'HAB-POR EC M$'!$D$6/$C$6</f>
        <v>0</v>
      </c>
      <c r="G171" s="22">
        <f>+'HAB-POR EC Bs'!G170/'HAB-POR EC M$'!$D$6/$C$6</f>
        <v>0</v>
      </c>
      <c r="H171" s="22">
        <f>+'HAB-POR EC Bs'!H170/'HAB-POR EC M$'!$D$6/$C$6</f>
        <v>0</v>
      </c>
      <c r="I171" s="22">
        <f>+'HAB-POR EC Bs'!I170/'HAB-POR EC M$'!$D$6/$C$6</f>
        <v>0</v>
      </c>
      <c r="J171" s="22">
        <f>+'HAB-POR EC Bs'!J170/'HAB-POR EC M$'!$D$6/$C$6</f>
        <v>0</v>
      </c>
      <c r="K171" s="22">
        <f>+'HAB-POR EC Bs'!K170/'HAB-POR EC M$'!$D$6/$C$6</f>
        <v>0</v>
      </c>
      <c r="L171" s="22">
        <f>+'HAB-POR EC Bs'!L170/'HAB-POR EC M$'!$D$6/$C$6</f>
        <v>0</v>
      </c>
      <c r="M171" s="22">
        <f>+'HAB-POR EC Bs'!M170/'HAB-POR EC M$'!$D$6/$C$6</f>
        <v>0</v>
      </c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s="24" customFormat="1" ht="12" x14ac:dyDescent="0.2">
      <c r="A172" s="21" t="s">
        <v>96</v>
      </c>
      <c r="B172" s="22">
        <f>+'HAB-POR EC Bs'!B171/'HAB-POR EC M$'!$B$6/$C$6</f>
        <v>3.968253968253968E-2</v>
      </c>
      <c r="C172" s="22">
        <f>+'HAB-POR EC Bs'!C171/'HAB-POR EC M$'!$B$6/$C$6</f>
        <v>0.25792698412698417</v>
      </c>
      <c r="D172" s="22">
        <f>+'HAB-POR EC Bs'!D171/'HAB-POR EC M$'!$D$6/$C$6</f>
        <v>0.32807915300000001</v>
      </c>
      <c r="E172" s="22">
        <f>+'HAB-POR EC Bs'!E171/'HAB-POR EC M$'!$D$6/$C$6</f>
        <v>0.73504215299999998</v>
      </c>
      <c r="F172" s="22">
        <f>+'HAB-POR EC Bs'!F171/'HAB-POR EC M$'!$D$6/$C$6</f>
        <v>1.0365258879999999</v>
      </c>
      <c r="G172" s="22">
        <f>+'HAB-POR EC Bs'!G171/'HAB-POR EC M$'!$D$6/$C$6</f>
        <v>1.3178912420000002</v>
      </c>
      <c r="H172" s="22">
        <f>+'HAB-POR EC Bs'!H171/'HAB-POR EC M$'!$D$6/$C$6</f>
        <v>1.661561042</v>
      </c>
      <c r="I172" s="22">
        <f>+'HAB-POR EC Bs'!I171/'HAB-POR EC M$'!$D$6/$C$6</f>
        <v>1.8433019670000002</v>
      </c>
      <c r="J172" s="22">
        <f>+'HAB-POR EC Bs'!J171/'HAB-POR EC M$'!$D$6/$C$6</f>
        <v>19.35162356</v>
      </c>
      <c r="K172" s="22">
        <f>+'HAB-POR EC Bs'!K171/'HAB-POR EC M$'!$D$6/$C$6</f>
        <v>19.637877883000002</v>
      </c>
      <c r="L172" s="22">
        <f>+'HAB-POR EC Bs'!L171/'HAB-POR EC M$'!$D$6/$C$6</f>
        <v>19.657419341000001</v>
      </c>
      <c r="M172" s="22">
        <f>+'HAB-POR EC Bs'!M171/'HAB-POR EC M$'!$D$6/$C$6</f>
        <v>0</v>
      </c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s="24" customFormat="1" ht="12" x14ac:dyDescent="0.2">
      <c r="A173" s="21" t="s">
        <v>97</v>
      </c>
      <c r="B173" s="22">
        <f>+'HAB-POR EC Bs'!B172/'HAB-POR EC M$'!$B$6/$C$6</f>
        <v>0</v>
      </c>
      <c r="C173" s="22">
        <f>+'HAB-POR EC Bs'!C172/'HAB-POR EC M$'!$B$6/$C$6</f>
        <v>0</v>
      </c>
      <c r="D173" s="22">
        <f>+'HAB-POR EC Bs'!D172/'HAB-POR EC M$'!$D$6/$C$6</f>
        <v>0</v>
      </c>
      <c r="E173" s="22">
        <f>+'HAB-POR EC Bs'!E172/'HAB-POR EC M$'!$D$6/$C$6</f>
        <v>0.11283583500000001</v>
      </c>
      <c r="F173" s="22">
        <f>+'HAB-POR EC Bs'!F172/'HAB-POR EC M$'!$D$6/$C$6</f>
        <v>0.11283583500000001</v>
      </c>
      <c r="G173" s="22">
        <f>+'HAB-POR EC Bs'!G172/'HAB-POR EC M$'!$D$6/$C$6</f>
        <v>0.11283583500000001</v>
      </c>
      <c r="H173" s="22">
        <f>+'HAB-POR EC Bs'!H172/'HAB-POR EC M$'!$D$6/$C$6</f>
        <v>0.11283583500000001</v>
      </c>
      <c r="I173" s="22">
        <f>+'HAB-POR EC Bs'!I172/'HAB-POR EC M$'!$D$6/$C$6</f>
        <v>0.11283583500000001</v>
      </c>
      <c r="J173" s="22">
        <f>+'HAB-POR EC Bs'!J172/'HAB-POR EC M$'!$D$6/$C$6</f>
        <v>0.31060599</v>
      </c>
      <c r="K173" s="22">
        <f>+'HAB-POR EC Bs'!K172/'HAB-POR EC M$'!$D$6/$C$6</f>
        <v>0.31060599</v>
      </c>
      <c r="L173" s="22">
        <f>+'HAB-POR EC Bs'!L172/'HAB-POR EC M$'!$D$6/$C$6</f>
        <v>0.31060599</v>
      </c>
      <c r="M173" s="22">
        <f>+'HAB-POR EC Bs'!M172/'HAB-POR EC M$'!$D$6/$C$6</f>
        <v>0</v>
      </c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s="32" customFormat="1" ht="12" x14ac:dyDescent="0.2">
      <c r="A174" s="30" t="s">
        <v>98</v>
      </c>
      <c r="B174" s="31">
        <f>SUM(B169:B173)</f>
        <v>3.968253968253968E-2</v>
      </c>
      <c r="C174" s="31">
        <f t="shared" ref="C174:M174" si="20">SUM(C169:C173)</f>
        <v>0.25792698412698417</v>
      </c>
      <c r="D174" s="31">
        <f>SUM(D169:D173)</f>
        <v>0.32807915300000001</v>
      </c>
      <c r="E174" s="31">
        <f t="shared" si="20"/>
        <v>0.85097798800000002</v>
      </c>
      <c r="F174" s="31">
        <f t="shared" si="20"/>
        <v>1.1581617229999999</v>
      </c>
      <c r="G174" s="31">
        <f t="shared" si="20"/>
        <v>1.4447040770000001</v>
      </c>
      <c r="H174" s="31">
        <f t="shared" si="20"/>
        <v>1.792173877</v>
      </c>
      <c r="I174" s="31">
        <f t="shared" si="20"/>
        <v>2.001583202</v>
      </c>
      <c r="J174" s="31">
        <f t="shared" si="20"/>
        <v>19.940789477999999</v>
      </c>
      <c r="K174" s="31">
        <f t="shared" si="20"/>
        <v>20.246812301000002</v>
      </c>
      <c r="L174" s="31">
        <f t="shared" si="20"/>
        <v>20.266353759000001</v>
      </c>
      <c r="M174" s="31">
        <f t="shared" si="20"/>
        <v>0</v>
      </c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s="24" customFormat="1" ht="12" x14ac:dyDescent="0.2">
      <c r="A175" s="3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s="47" customFormat="1" x14ac:dyDescent="0.2">
      <c r="A176" s="18" t="s">
        <v>119</v>
      </c>
      <c r="B176" s="19" t="s">
        <v>82</v>
      </c>
      <c r="C176" s="19" t="s">
        <v>83</v>
      </c>
      <c r="D176" s="19" t="s">
        <v>84</v>
      </c>
      <c r="E176" s="19" t="s">
        <v>85</v>
      </c>
      <c r="F176" s="19" t="s">
        <v>86</v>
      </c>
      <c r="G176" s="19" t="s">
        <v>87</v>
      </c>
      <c r="H176" s="19" t="s">
        <v>88</v>
      </c>
      <c r="I176" s="19" t="s">
        <v>198</v>
      </c>
      <c r="J176" s="19" t="s">
        <v>89</v>
      </c>
      <c r="K176" s="19" t="s">
        <v>90</v>
      </c>
      <c r="L176" s="19" t="s">
        <v>91</v>
      </c>
      <c r="M176" s="19" t="s">
        <v>92</v>
      </c>
      <c r="N176" s="41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s="24" customFormat="1" ht="12" x14ac:dyDescent="0.2">
      <c r="A177" s="63" t="s">
        <v>93</v>
      </c>
      <c r="B177" s="22">
        <f>+'HAB-POR EC Bs'!B176/'HAB-POR EC M$'!$B$6/$C$6</f>
        <v>0.15698888888888887</v>
      </c>
      <c r="C177" s="22">
        <f>+'HAB-POR EC Bs'!C176/'HAB-POR EC M$'!$B$6/$C$6</f>
        <v>0.31370476190476188</v>
      </c>
      <c r="D177" s="22">
        <f>+'HAB-POR EC Bs'!D176/'HAB-POR EC M$'!$D$6/$C$6</f>
        <v>0.46201299000000001</v>
      </c>
      <c r="E177" s="22">
        <f>+'HAB-POR EC Bs'!E176/'HAB-POR EC M$'!$D$6/$C$6</f>
        <v>0.58704207800000008</v>
      </c>
      <c r="F177" s="22">
        <f>+'HAB-POR EC Bs'!F176/'HAB-POR EC M$'!$D$6/$C$6</f>
        <v>0.59079706099999996</v>
      </c>
      <c r="G177" s="22">
        <f>+'HAB-POR EC Bs'!G176/'HAB-POR EC M$'!$D$6/$C$6</f>
        <v>0.8012426290000001</v>
      </c>
      <c r="H177" s="22">
        <f>+'HAB-POR EC Bs'!H176/'HAB-POR EC M$'!$D$6/$C$6</f>
        <v>1.2266129649999999</v>
      </c>
      <c r="I177" s="22">
        <f>+'HAB-POR EC Bs'!I176/'HAB-POR EC M$'!$D$6/$C$6</f>
        <v>1.4483287899999999</v>
      </c>
      <c r="J177" s="22">
        <f>+'HAB-POR EC Bs'!J176/'HAB-POR EC M$'!$D$6/$C$6</f>
        <v>1.8013356620000001</v>
      </c>
      <c r="K177" s="22">
        <f>+'HAB-POR EC Bs'!K176/'HAB-POR EC M$'!$D$6/$C$6</f>
        <v>2.2090814839999999</v>
      </c>
      <c r="L177" s="22">
        <f>+'HAB-POR EC Bs'!L176/'HAB-POR EC M$'!$D$6/$C$6</f>
        <v>2.2090814839999999</v>
      </c>
      <c r="M177" s="22">
        <f>+'HAB-POR EC Bs'!M176/'HAB-POR EC M$'!$D$6/$C$6</f>
        <v>0</v>
      </c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s="24" customFormat="1" ht="12" x14ac:dyDescent="0.2">
      <c r="A178" s="63" t="s">
        <v>94</v>
      </c>
      <c r="B178" s="22">
        <f>+'HAB-POR EC Bs'!B177/'HAB-POR EC M$'!$B$6/$C$6</f>
        <v>2.3761904761904758E-2</v>
      </c>
      <c r="C178" s="22">
        <f>+'HAB-POR EC Bs'!C177/'HAB-POR EC M$'!$B$6/$C$6</f>
        <v>4.1725396825396825E-2</v>
      </c>
      <c r="D178" s="22">
        <f>+'HAB-POR EC Bs'!D177/'HAB-POR EC M$'!$D$6/$C$6</f>
        <v>4.2670659E-2</v>
      </c>
      <c r="E178" s="22">
        <f>+'HAB-POR EC Bs'!E177/'HAB-POR EC M$'!$D$6/$C$6</f>
        <v>8.1479660999999995E-2</v>
      </c>
      <c r="F178" s="22">
        <f>+'HAB-POR EC Bs'!F177/'HAB-POR EC M$'!$D$6/$C$6</f>
        <v>0.149742194</v>
      </c>
      <c r="G178" s="22">
        <f>+'HAB-POR EC Bs'!G177/'HAB-POR EC M$'!$D$6/$C$6</f>
        <v>0.295478199</v>
      </c>
      <c r="H178" s="22">
        <f>+'HAB-POR EC Bs'!H177/'HAB-POR EC M$'!$D$6/$C$6</f>
        <v>0.462922273</v>
      </c>
      <c r="I178" s="22">
        <f>+'HAB-POR EC Bs'!I177/'HAB-POR EC M$'!$D$6/$C$6</f>
        <v>0.584787952</v>
      </c>
      <c r="J178" s="22">
        <f>+'HAB-POR EC Bs'!J177/'HAB-POR EC M$'!$D$6/$C$6</f>
        <v>3.889576704</v>
      </c>
      <c r="K178" s="22">
        <f>+'HAB-POR EC Bs'!K177/'HAB-POR EC M$'!$D$6/$C$6</f>
        <v>4.1050001290000004</v>
      </c>
      <c r="L178" s="22">
        <f>+'HAB-POR EC Bs'!L177/'HAB-POR EC M$'!$D$6/$C$6</f>
        <v>4.1050001290000004</v>
      </c>
      <c r="M178" s="22">
        <f>+'HAB-POR EC Bs'!M177/'HAB-POR EC M$'!$D$6/$C$6</f>
        <v>0</v>
      </c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s="24" customFormat="1" ht="12" x14ac:dyDescent="0.2">
      <c r="A179" s="63" t="s">
        <v>95</v>
      </c>
      <c r="B179" s="22">
        <f>+'HAB-POR EC Bs'!B178/'HAB-POR EC M$'!$B$6/$C$6</f>
        <v>0</v>
      </c>
      <c r="C179" s="22">
        <f>+'HAB-POR EC Bs'!C178/'HAB-POR EC M$'!$B$6/$C$6</f>
        <v>0</v>
      </c>
      <c r="D179" s="22">
        <f>+'HAB-POR EC Bs'!D178/'HAB-POR EC M$'!$D$6/$C$6</f>
        <v>4.5668750000000006E-3</v>
      </c>
      <c r="E179" s="22">
        <f>+'HAB-POR EC Bs'!E178/'HAB-POR EC M$'!$D$6/$C$6</f>
        <v>4.5668750000000006E-3</v>
      </c>
      <c r="F179" s="22">
        <f>+'HAB-POR EC Bs'!F178/'HAB-POR EC M$'!$D$6/$C$6</f>
        <v>4.5668750000000006E-3</v>
      </c>
      <c r="G179" s="22">
        <f>+'HAB-POR EC Bs'!G178/'HAB-POR EC M$'!$D$6/$C$6</f>
        <v>8.5266874999999992E-2</v>
      </c>
      <c r="H179" s="22">
        <f>+'HAB-POR EC Bs'!H178/'HAB-POR EC M$'!$D$6/$C$6</f>
        <v>1.073966875</v>
      </c>
      <c r="I179" s="22">
        <f>+'HAB-POR EC Bs'!I178/'HAB-POR EC M$'!$D$6/$C$6</f>
        <v>0.65581225599999993</v>
      </c>
      <c r="J179" s="22">
        <f>+'HAB-POR EC Bs'!J178/'HAB-POR EC M$'!$D$6/$C$6</f>
        <v>0.65581225599999993</v>
      </c>
      <c r="K179" s="22">
        <f>+'HAB-POR EC Bs'!K178/'HAB-POR EC M$'!$D$6/$C$6</f>
        <v>0.65581225599999993</v>
      </c>
      <c r="L179" s="22">
        <f>+'HAB-POR EC Bs'!L178/'HAB-POR EC M$'!$D$6/$C$6</f>
        <v>0.65581225599999993</v>
      </c>
      <c r="M179" s="22">
        <f>+'HAB-POR EC Bs'!M178/'HAB-POR EC M$'!$D$6/$C$6</f>
        <v>0</v>
      </c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s="24" customFormat="1" ht="12" x14ac:dyDescent="0.2">
      <c r="A180" s="63" t="s">
        <v>96</v>
      </c>
      <c r="B180" s="22">
        <f>+'HAB-POR EC Bs'!B179/'HAB-POR EC M$'!$B$6/$C$6</f>
        <v>0.19449682539682539</v>
      </c>
      <c r="C180" s="22">
        <f>+'HAB-POR EC Bs'!C179/'HAB-POR EC M$'!$B$6/$C$6</f>
        <v>0.41567142857142858</v>
      </c>
      <c r="D180" s="22">
        <f>+'HAB-POR EC Bs'!D179/'HAB-POR EC M$'!$D$6/$C$6</f>
        <v>0.38599153000000003</v>
      </c>
      <c r="E180" s="22">
        <f>+'HAB-POR EC Bs'!E179/'HAB-POR EC M$'!$D$6/$C$6</f>
        <v>0.62353875399999992</v>
      </c>
      <c r="F180" s="22">
        <f>+'HAB-POR EC Bs'!F179/'HAB-POR EC M$'!$D$6/$C$6</f>
        <v>0.78385536</v>
      </c>
      <c r="G180" s="22">
        <f>+'HAB-POR EC Bs'!G179/'HAB-POR EC M$'!$D$6/$C$6</f>
        <v>2.8351246700000003</v>
      </c>
      <c r="H180" s="22">
        <f>+'HAB-POR EC Bs'!H179/'HAB-POR EC M$'!$D$6/$C$6</f>
        <v>1.4767124040000001</v>
      </c>
      <c r="I180" s="22">
        <f>+'HAB-POR EC Bs'!I179/'HAB-POR EC M$'!$D$6/$C$6</f>
        <v>1.7934358380000002</v>
      </c>
      <c r="J180" s="22">
        <f>+'HAB-POR EC Bs'!J179/'HAB-POR EC M$'!$D$6/$C$6</f>
        <v>2.3900764219999999</v>
      </c>
      <c r="K180" s="22">
        <f>+'HAB-POR EC Bs'!K179/'HAB-POR EC M$'!$D$6/$C$6</f>
        <v>3.6168637970000006</v>
      </c>
      <c r="L180" s="22">
        <f>+'HAB-POR EC Bs'!L179/'HAB-POR EC M$'!$D$6/$C$6</f>
        <v>3.7875641669999998</v>
      </c>
      <c r="M180" s="22">
        <f>+'HAB-POR EC Bs'!M179/'HAB-POR EC M$'!$D$6/$C$6</f>
        <v>0</v>
      </c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s="24" customFormat="1" ht="12" x14ac:dyDescent="0.2">
      <c r="A181" s="63" t="s">
        <v>97</v>
      </c>
      <c r="B181" s="22">
        <f>+'HAB-POR EC Bs'!B180/'HAB-POR EC M$'!$B$6/$C$6</f>
        <v>3.8565079365079372E-2</v>
      </c>
      <c r="C181" s="22">
        <f>+'HAB-POR EC Bs'!C180/'HAB-POR EC M$'!$B$6/$C$6</f>
        <v>0.16394285714285711</v>
      </c>
      <c r="D181" s="22">
        <f>+'HAB-POR EC Bs'!D180/'HAB-POR EC M$'!$D$6/$C$6</f>
        <v>0.417592044</v>
      </c>
      <c r="E181" s="22">
        <f>+'HAB-POR EC Bs'!E180/'HAB-POR EC M$'!$D$6/$C$6</f>
        <v>0.73554533500000008</v>
      </c>
      <c r="F181" s="22">
        <f>+'HAB-POR EC Bs'!F180/'HAB-POR EC M$'!$D$6/$C$6</f>
        <v>0.85445014400000008</v>
      </c>
      <c r="G181" s="22">
        <f>+'HAB-POR EC Bs'!G180/'HAB-POR EC M$'!$D$6/$C$6</f>
        <v>0.91998613299999998</v>
      </c>
      <c r="H181" s="22">
        <f>+'HAB-POR EC Bs'!H180/'HAB-POR EC M$'!$D$6/$C$6</f>
        <v>1.2256300980000001</v>
      </c>
      <c r="I181" s="22">
        <f>+'HAB-POR EC Bs'!I180/'HAB-POR EC M$'!$D$6/$C$6</f>
        <v>1.5069104959999999</v>
      </c>
      <c r="J181" s="22">
        <f>+'HAB-POR EC Bs'!J180/'HAB-POR EC M$'!$D$6/$C$6</f>
        <v>4.3482330320000004</v>
      </c>
      <c r="K181" s="22">
        <f>+'HAB-POR EC Bs'!K180/'HAB-POR EC M$'!$D$6/$C$6</f>
        <v>4.9212240169999992</v>
      </c>
      <c r="L181" s="22">
        <f>+'HAB-POR EC Bs'!L180/'HAB-POR EC M$'!$D$6/$C$6</f>
        <v>4.9212240169999992</v>
      </c>
      <c r="M181" s="22">
        <f>+'HAB-POR EC Bs'!M180/'HAB-POR EC M$'!$D$6/$C$6</f>
        <v>0</v>
      </c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s="32" customFormat="1" ht="12" x14ac:dyDescent="0.2">
      <c r="A182" s="30" t="s">
        <v>98</v>
      </c>
      <c r="B182" s="31">
        <f>SUM(B177:B181)</f>
        <v>0.41381269841269841</v>
      </c>
      <c r="C182" s="31">
        <f t="shared" ref="C182:M182" si="21">SUM(C177:C181)</f>
        <v>0.93504444444444434</v>
      </c>
      <c r="D182" s="31">
        <f>SUM(D177:D181)</f>
        <v>1.3128340979999999</v>
      </c>
      <c r="E182" s="31">
        <f t="shared" si="21"/>
        <v>2.0321727030000001</v>
      </c>
      <c r="F182" s="31">
        <f t="shared" si="21"/>
        <v>2.3834116339999998</v>
      </c>
      <c r="G182" s="31">
        <f t="shared" si="21"/>
        <v>4.9370985060000008</v>
      </c>
      <c r="H182" s="31">
        <f t="shared" si="21"/>
        <v>5.465844615</v>
      </c>
      <c r="I182" s="31">
        <f t="shared" si="21"/>
        <v>5.9892753320000001</v>
      </c>
      <c r="J182" s="31">
        <f t="shared" si="21"/>
        <v>13.085034075999999</v>
      </c>
      <c r="K182" s="31">
        <f t="shared" si="21"/>
        <v>15.507981683000001</v>
      </c>
      <c r="L182" s="31">
        <f t="shared" si="21"/>
        <v>15.678682052999999</v>
      </c>
      <c r="M182" s="31">
        <f t="shared" si="21"/>
        <v>0</v>
      </c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s="24" customFormat="1" ht="12" x14ac:dyDescent="0.2">
      <c r="A183" s="61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spans="1:26" s="47" customFormat="1" x14ac:dyDescent="0.2">
      <c r="A184" s="18" t="s">
        <v>120</v>
      </c>
      <c r="B184" s="19" t="s">
        <v>82</v>
      </c>
      <c r="C184" s="19" t="s">
        <v>83</v>
      </c>
      <c r="D184" s="19" t="s">
        <v>84</v>
      </c>
      <c r="E184" s="19" t="s">
        <v>85</v>
      </c>
      <c r="F184" s="19" t="s">
        <v>86</v>
      </c>
      <c r="G184" s="19" t="s">
        <v>87</v>
      </c>
      <c r="H184" s="19" t="s">
        <v>88</v>
      </c>
      <c r="I184" s="19" t="s">
        <v>198</v>
      </c>
      <c r="J184" s="19" t="s">
        <v>89</v>
      </c>
      <c r="K184" s="19" t="s">
        <v>90</v>
      </c>
      <c r="L184" s="19" t="s">
        <v>91</v>
      </c>
      <c r="M184" s="19" t="s">
        <v>92</v>
      </c>
      <c r="N184" s="41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s="24" customFormat="1" ht="12" x14ac:dyDescent="0.2">
      <c r="A185" s="21" t="s">
        <v>93</v>
      </c>
      <c r="B185" s="22">
        <f>+'HAB-POR EC Bs'!B184/'HAB-POR EC M$'!$B$6/$C$6</f>
        <v>0.48121587301587299</v>
      </c>
      <c r="C185" s="22">
        <f>+'HAB-POR EC Bs'!C184/'HAB-POR EC M$'!$B$6/$C$6</f>
        <v>0.93870000000000009</v>
      </c>
      <c r="D185" s="22">
        <f>+'HAB-POR EC Bs'!D184/'HAB-POR EC M$'!$D$6/$C$6</f>
        <v>1.0735008929999998</v>
      </c>
      <c r="E185" s="22">
        <f>+'HAB-POR EC Bs'!E184/'HAB-POR EC M$'!$D$6/$C$6</f>
        <v>1.392534685</v>
      </c>
      <c r="F185" s="22">
        <f>+'HAB-POR EC Bs'!F184/'HAB-POR EC M$'!$D$6/$C$6</f>
        <v>1.7575527539999998</v>
      </c>
      <c r="G185" s="22">
        <f>+'HAB-POR EC Bs'!G184/'HAB-POR EC M$'!$D$6/$C$6</f>
        <v>2.0839795480000003</v>
      </c>
      <c r="H185" s="22">
        <f>+'HAB-POR EC Bs'!H184/'HAB-POR EC M$'!$D$6/$C$6</f>
        <v>2.5765868830000001</v>
      </c>
      <c r="I185" s="22">
        <f>+'HAB-POR EC Bs'!I184/'HAB-POR EC M$'!$D$6/$C$6</f>
        <v>3.1157173429999996</v>
      </c>
      <c r="J185" s="22">
        <f>+'HAB-POR EC Bs'!J184/'HAB-POR EC M$'!$D$6/$C$6</f>
        <v>3.7420867919999994</v>
      </c>
      <c r="K185" s="22">
        <f>+'HAB-POR EC Bs'!K184/'HAB-POR EC M$'!$D$6/$C$6</f>
        <v>4.4458462060000006</v>
      </c>
      <c r="L185" s="22">
        <f>+'HAB-POR EC Bs'!L184/'HAB-POR EC M$'!$D$6/$C$6</f>
        <v>4.4458462060000006</v>
      </c>
      <c r="M185" s="22">
        <f>+'HAB-POR EC Bs'!M184/'HAB-POR EC M$'!$D$6/$C$6</f>
        <v>0</v>
      </c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s="24" customFormat="1" ht="12" x14ac:dyDescent="0.2">
      <c r="A186" s="21" t="s">
        <v>94</v>
      </c>
      <c r="B186" s="22">
        <f>+'HAB-POR EC Bs'!B185/'HAB-POR EC M$'!$B$6/$C$6</f>
        <v>0.24348253968253972</v>
      </c>
      <c r="C186" s="22">
        <f>+'HAB-POR EC Bs'!C185/'HAB-POR EC M$'!$B$6/$C$6</f>
        <v>0.34151587301587305</v>
      </c>
      <c r="D186" s="22">
        <f>+'HAB-POR EC Bs'!D185/'HAB-POR EC M$'!$D$6/$C$6</f>
        <v>0.33986862000000001</v>
      </c>
      <c r="E186" s="22">
        <f>+'HAB-POR EC Bs'!E185/'HAB-POR EC M$'!$D$6/$C$6</f>
        <v>0.45271489499999995</v>
      </c>
      <c r="F186" s="22">
        <f>+'HAB-POR EC Bs'!F185/'HAB-POR EC M$'!$D$6/$C$6</f>
        <v>0.72445111299999998</v>
      </c>
      <c r="G186" s="22">
        <f>+'HAB-POR EC Bs'!G185/'HAB-POR EC M$'!$D$6/$C$6</f>
        <v>0.95263058099999998</v>
      </c>
      <c r="H186" s="22">
        <f>+'HAB-POR EC Bs'!H185/'HAB-POR EC M$'!$D$6/$C$6</f>
        <v>1.2354900369999999</v>
      </c>
      <c r="I186" s="22">
        <f>+'HAB-POR EC Bs'!I185/'HAB-POR EC M$'!$D$6/$C$6</f>
        <v>1.5739446739999998</v>
      </c>
      <c r="J186" s="22">
        <f>+'HAB-POR EC Bs'!J185/'HAB-POR EC M$'!$D$6/$C$6</f>
        <v>8.4899503540000012</v>
      </c>
      <c r="K186" s="22">
        <f>+'HAB-POR EC Bs'!K185/'HAB-POR EC M$'!$D$6/$C$6</f>
        <v>8.8830603929999992</v>
      </c>
      <c r="L186" s="22">
        <f>+'HAB-POR EC Bs'!L185/'HAB-POR EC M$'!$D$6/$C$6</f>
        <v>8.8830603929999992</v>
      </c>
      <c r="M186" s="22">
        <f>+'HAB-POR EC Bs'!M185/'HAB-POR EC M$'!$D$6/$C$6</f>
        <v>0</v>
      </c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s="24" customFormat="1" ht="12" x14ac:dyDescent="0.2">
      <c r="A187" s="21" t="s">
        <v>95</v>
      </c>
      <c r="B187" s="22">
        <f>+'HAB-POR EC Bs'!B186/'HAB-POR EC M$'!$B$6/$C$6</f>
        <v>-0.11883015873015873</v>
      </c>
      <c r="C187" s="22">
        <f>+'HAB-POR EC Bs'!C186/'HAB-POR EC M$'!$B$6/$C$6</f>
        <v>-0.11883333333333333</v>
      </c>
      <c r="D187" s="22">
        <f>+'HAB-POR EC Bs'!D186/'HAB-POR EC M$'!$D$6/$C$6</f>
        <v>6.3550599999999999E-2</v>
      </c>
      <c r="E187" s="22">
        <f>+'HAB-POR EC Bs'!E186/'HAB-POR EC M$'!$D$6/$C$6</f>
        <v>0.2009406</v>
      </c>
      <c r="F187" s="22">
        <f>+'HAB-POR EC Bs'!F186/'HAB-POR EC M$'!$D$6/$C$6</f>
        <v>0.28178000000000003</v>
      </c>
      <c r="G187" s="22">
        <f>+'HAB-POR EC Bs'!G186/'HAB-POR EC M$'!$D$6/$C$6</f>
        <v>0.43601826600000004</v>
      </c>
      <c r="H187" s="22">
        <f>+'HAB-POR EC Bs'!H186/'HAB-POR EC M$'!$D$6/$C$6</f>
        <v>0.71941516599999999</v>
      </c>
      <c r="I187" s="22">
        <f>+'HAB-POR EC Bs'!I186/'HAB-POR EC M$'!$D$6/$C$6</f>
        <v>2.00059517</v>
      </c>
      <c r="J187" s="22">
        <f>+'HAB-POR EC Bs'!J186/'HAB-POR EC M$'!$D$6/$C$6</f>
        <v>4.1189454019999996</v>
      </c>
      <c r="K187" s="22">
        <f>+'HAB-POR EC Bs'!K186/'HAB-POR EC M$'!$D$6/$C$6</f>
        <v>7.0594569740000006</v>
      </c>
      <c r="L187" s="22">
        <f>+'HAB-POR EC Bs'!L186/'HAB-POR EC M$'!$D$6/$C$6</f>
        <v>8.3694442739999992</v>
      </c>
      <c r="M187" s="22">
        <f>+'HAB-POR EC Bs'!M186/'HAB-POR EC M$'!$D$6/$C$6</f>
        <v>0</v>
      </c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s="24" customFormat="1" ht="12" x14ac:dyDescent="0.2">
      <c r="A188" s="21" t="s">
        <v>96</v>
      </c>
      <c r="B188" s="22">
        <f>+'HAB-POR EC Bs'!B187/'HAB-POR EC M$'!$B$6/$C$6</f>
        <v>0.2284936507936508</v>
      </c>
      <c r="C188" s="22">
        <f>+'HAB-POR EC Bs'!C187/'HAB-POR EC M$'!$B$6/$C$6</f>
        <v>0.58695873015873024</v>
      </c>
      <c r="D188" s="22">
        <f>+'HAB-POR EC Bs'!D187/'HAB-POR EC M$'!$D$6/$C$6</f>
        <v>0.49585699499999997</v>
      </c>
      <c r="E188" s="22">
        <f>+'HAB-POR EC Bs'!E187/'HAB-POR EC M$'!$D$6/$C$6</f>
        <v>2.077727238</v>
      </c>
      <c r="F188" s="22">
        <f>+'HAB-POR EC Bs'!F187/'HAB-POR EC M$'!$D$6/$C$6</f>
        <v>2.2860451660000001</v>
      </c>
      <c r="G188" s="22">
        <f>+'HAB-POR EC Bs'!G187/'HAB-POR EC M$'!$D$6/$C$6</f>
        <v>3.0657839570000003</v>
      </c>
      <c r="H188" s="22">
        <f>+'HAB-POR EC Bs'!H187/'HAB-POR EC M$'!$D$6/$C$6</f>
        <v>4.1676731170000005</v>
      </c>
      <c r="I188" s="22">
        <f>+'HAB-POR EC Bs'!I187/'HAB-POR EC M$'!$D$6/$C$6</f>
        <v>7.6247172189999999</v>
      </c>
      <c r="J188" s="22">
        <f>+'HAB-POR EC Bs'!J187/'HAB-POR EC M$'!$D$6/$C$6</f>
        <v>9.0001836079999986</v>
      </c>
      <c r="K188" s="22">
        <f>+'HAB-POR EC Bs'!K187/'HAB-POR EC M$'!$D$6/$C$6</f>
        <v>11.720171103999999</v>
      </c>
      <c r="L188" s="22">
        <f>+'HAB-POR EC Bs'!L187/'HAB-POR EC M$'!$D$6/$C$6</f>
        <v>12.280004697000001</v>
      </c>
      <c r="M188" s="22">
        <f>+'HAB-POR EC Bs'!M187/'HAB-POR EC M$'!$D$6/$C$6</f>
        <v>0</v>
      </c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s="24" customFormat="1" ht="12" x14ac:dyDescent="0.2">
      <c r="A189" s="21" t="s">
        <v>97</v>
      </c>
      <c r="B189" s="22">
        <f>+'HAB-POR EC Bs'!B188/'HAB-POR EC M$'!$B$6/$C$6</f>
        <v>0</v>
      </c>
      <c r="C189" s="22">
        <f>+'HAB-POR EC Bs'!C188/'HAB-POR EC M$'!$B$6/$C$6</f>
        <v>0</v>
      </c>
      <c r="D189" s="22">
        <f>+'HAB-POR EC Bs'!D188/'HAB-POR EC M$'!$D$6/$C$6</f>
        <v>0</v>
      </c>
      <c r="E189" s="22">
        <f>+'HAB-POR EC Bs'!E188/'HAB-POR EC M$'!$D$6/$C$6</f>
        <v>0</v>
      </c>
      <c r="F189" s="22">
        <f>+'HAB-POR EC Bs'!F188/'HAB-POR EC M$'!$D$6/$C$6</f>
        <v>0</v>
      </c>
      <c r="G189" s="22">
        <f>+'HAB-POR EC Bs'!G188/'HAB-POR EC M$'!$D$6/$C$6</f>
        <v>0</v>
      </c>
      <c r="H189" s="22">
        <f>+'HAB-POR EC Bs'!H188/'HAB-POR EC M$'!$D$6/$C$6</f>
        <v>0</v>
      </c>
      <c r="I189" s="22">
        <f>+'HAB-POR EC Bs'!I188/'HAB-POR EC M$'!$D$6/$C$6</f>
        <v>0</v>
      </c>
      <c r="J189" s="22">
        <f>+'HAB-POR EC Bs'!J188/'HAB-POR EC M$'!$D$6/$C$6</f>
        <v>0</v>
      </c>
      <c r="K189" s="22">
        <f>+'HAB-POR EC Bs'!K188/'HAB-POR EC M$'!$D$6/$C$6</f>
        <v>0</v>
      </c>
      <c r="L189" s="22">
        <f>+'HAB-POR EC Bs'!L188/'HAB-POR EC M$'!$D$6/$C$6</f>
        <v>0</v>
      </c>
      <c r="M189" s="22">
        <f>+'HAB-POR EC Bs'!M188/'HAB-POR EC M$'!$D$6/$C$6</f>
        <v>0</v>
      </c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s="32" customFormat="1" ht="12" x14ac:dyDescent="0.2">
      <c r="A190" s="30" t="s">
        <v>98</v>
      </c>
      <c r="B190" s="31">
        <f>SUM(B185:B189)</f>
        <v>0.83436190476190486</v>
      </c>
      <c r="C190" s="31">
        <f t="shared" ref="C190:M190" si="22">SUM(C185:C189)</f>
        <v>1.7483412698412699</v>
      </c>
      <c r="D190" s="31">
        <f>SUM(D185:D189)</f>
        <v>1.9727771079999998</v>
      </c>
      <c r="E190" s="31">
        <f t="shared" si="22"/>
        <v>4.1239174179999996</v>
      </c>
      <c r="F190" s="31">
        <f t="shared" si="22"/>
        <v>5.049829033</v>
      </c>
      <c r="G190" s="31">
        <f t="shared" si="22"/>
        <v>6.5384123520000008</v>
      </c>
      <c r="H190" s="31">
        <f t="shared" si="22"/>
        <v>8.6991652029999997</v>
      </c>
      <c r="I190" s="31">
        <f t="shared" si="22"/>
        <v>14.314974406000001</v>
      </c>
      <c r="J190" s="31">
        <f t="shared" si="22"/>
        <v>25.351166155999998</v>
      </c>
      <c r="K190" s="31">
        <f t="shared" si="22"/>
        <v>32.108534676999994</v>
      </c>
      <c r="L190" s="31">
        <f t="shared" si="22"/>
        <v>33.978355569999998</v>
      </c>
      <c r="M190" s="31">
        <f t="shared" si="22"/>
        <v>0</v>
      </c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s="24" customFormat="1" ht="12" x14ac:dyDescent="0.2">
      <c r="A191" s="70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s="47" customFormat="1" x14ac:dyDescent="0.2">
      <c r="A192" s="18" t="s">
        <v>121</v>
      </c>
      <c r="B192" s="19" t="s">
        <v>82</v>
      </c>
      <c r="C192" s="19" t="s">
        <v>83</v>
      </c>
      <c r="D192" s="19" t="s">
        <v>84</v>
      </c>
      <c r="E192" s="19" t="s">
        <v>85</v>
      </c>
      <c r="F192" s="19" t="s">
        <v>86</v>
      </c>
      <c r="G192" s="19" t="s">
        <v>87</v>
      </c>
      <c r="H192" s="19" t="s">
        <v>88</v>
      </c>
      <c r="I192" s="19" t="s">
        <v>198</v>
      </c>
      <c r="J192" s="19" t="s">
        <v>89</v>
      </c>
      <c r="K192" s="19" t="s">
        <v>90</v>
      </c>
      <c r="L192" s="19" t="s">
        <v>91</v>
      </c>
      <c r="M192" s="19" t="s">
        <v>92</v>
      </c>
      <c r="N192" s="41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s="24" customFormat="1" ht="12" x14ac:dyDescent="0.2">
      <c r="A193" s="21" t="s">
        <v>93</v>
      </c>
      <c r="B193" s="22">
        <f>+'HAB-POR EC Bs'!B192/'HAB-POR EC M$'!$B$6/$C$6</f>
        <v>0.22080000000000002</v>
      </c>
      <c r="C193" s="22">
        <f>+'HAB-POR EC Bs'!C192/'HAB-POR EC M$'!$B$6/$C$6</f>
        <v>0.44222539682539685</v>
      </c>
      <c r="D193" s="22">
        <f>+'HAB-POR EC Bs'!D192/'HAB-POR EC M$'!$D$6/$C$6</f>
        <v>0.7054899389999999</v>
      </c>
      <c r="E193" s="22">
        <f>+'HAB-POR EC Bs'!E192/'HAB-POR EC M$'!$D$6/$C$6</f>
        <v>0.93861781200000005</v>
      </c>
      <c r="F193" s="22">
        <f>+'HAB-POR EC Bs'!F192/'HAB-POR EC M$'!$D$6/$C$6</f>
        <v>1.176831086</v>
      </c>
      <c r="G193" s="22">
        <f>+'HAB-POR EC Bs'!G192/'HAB-POR EC M$'!$D$6/$C$6</f>
        <v>1.5491040639999998</v>
      </c>
      <c r="H193" s="22">
        <f>+'HAB-POR EC Bs'!H192/'HAB-POR EC M$'!$D$6/$C$6</f>
        <v>1.8775963080000002</v>
      </c>
      <c r="I193" s="22">
        <f>+'HAB-POR EC Bs'!I192/'HAB-POR EC M$'!$D$6/$C$6</f>
        <v>2.2209114740000002</v>
      </c>
      <c r="J193" s="22">
        <f>+'HAB-POR EC Bs'!J192/'HAB-POR EC M$'!$D$6/$C$6</f>
        <v>2.68280743</v>
      </c>
      <c r="K193" s="22">
        <f>+'HAB-POR EC Bs'!K192/'HAB-POR EC M$'!$D$6/$C$6</f>
        <v>3.223238029</v>
      </c>
      <c r="L193" s="22">
        <f>+'HAB-POR EC Bs'!L192/'HAB-POR EC M$'!$D$6/$C$6</f>
        <v>3.223238029</v>
      </c>
      <c r="M193" s="22">
        <f>+'HAB-POR EC Bs'!M192/'HAB-POR EC M$'!$D$6/$C$6</f>
        <v>0</v>
      </c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s="24" customFormat="1" ht="12" x14ac:dyDescent="0.2">
      <c r="A194" s="21" t="s">
        <v>94</v>
      </c>
      <c r="B194" s="22">
        <f>+'HAB-POR EC Bs'!B193/'HAB-POR EC M$'!$B$6/$C$6</f>
        <v>4.2152380952380955E-2</v>
      </c>
      <c r="C194" s="22">
        <f>+'HAB-POR EC Bs'!C193/'HAB-POR EC M$'!$B$6/$C$6</f>
        <v>0.11175873015873017</v>
      </c>
      <c r="D194" s="22">
        <f>+'HAB-POR EC Bs'!D193/'HAB-POR EC M$'!$D$6/$C$6</f>
        <v>0.13296675899999999</v>
      </c>
      <c r="E194" s="22">
        <f>+'HAB-POR EC Bs'!E193/'HAB-POR EC M$'!$D$6/$C$6</f>
        <v>0.22703113</v>
      </c>
      <c r="F194" s="22">
        <f>+'HAB-POR EC Bs'!F193/'HAB-POR EC M$'!$D$6/$C$6</f>
        <v>0.38388442900000003</v>
      </c>
      <c r="G194" s="22">
        <f>+'HAB-POR EC Bs'!G193/'HAB-POR EC M$'!$D$6/$C$6</f>
        <v>0.58278321500000008</v>
      </c>
      <c r="H194" s="22">
        <f>+'HAB-POR EC Bs'!H193/'HAB-POR EC M$'!$D$6/$C$6</f>
        <v>0.74131636000000001</v>
      </c>
      <c r="I194" s="22">
        <f>+'HAB-POR EC Bs'!I193/'HAB-POR EC M$'!$D$6/$C$6</f>
        <v>0.93000932400000003</v>
      </c>
      <c r="J194" s="22">
        <f>+'HAB-POR EC Bs'!J193/'HAB-POR EC M$'!$D$6/$C$6</f>
        <v>4.965970532</v>
      </c>
      <c r="K194" s="22">
        <f>+'HAB-POR EC Bs'!K193/'HAB-POR EC M$'!$D$6/$C$6</f>
        <v>5.3516691420000004</v>
      </c>
      <c r="L194" s="22">
        <f>+'HAB-POR EC Bs'!L193/'HAB-POR EC M$'!$D$6/$C$6</f>
        <v>5.4290055419999996</v>
      </c>
      <c r="M194" s="22">
        <f>+'HAB-POR EC Bs'!M193/'HAB-POR EC M$'!$D$6/$C$6</f>
        <v>0</v>
      </c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s="24" customFormat="1" ht="12" x14ac:dyDescent="0.2">
      <c r="A195" s="21" t="s">
        <v>95</v>
      </c>
      <c r="B195" s="22">
        <f>+'HAB-POR EC Bs'!B194/'HAB-POR EC M$'!$B$6/$C$6</f>
        <v>1.8730158730158731E-3</v>
      </c>
      <c r="C195" s="22">
        <f>+'HAB-POR EC Bs'!C194/'HAB-POR EC M$'!$B$6/$C$6</f>
        <v>2.3412698412698415E-3</v>
      </c>
      <c r="D195" s="22">
        <f>+'HAB-POR EC Bs'!D194/'HAB-POR EC M$'!$D$6/$C$6</f>
        <v>2.3600000000000001E-3</v>
      </c>
      <c r="E195" s="22">
        <f>+'HAB-POR EC Bs'!E194/'HAB-POR EC M$'!$D$6/$C$6</f>
        <v>2.6550000000000002E-3</v>
      </c>
      <c r="F195" s="22">
        <f>+'HAB-POR EC Bs'!F194/'HAB-POR EC M$'!$D$6/$C$6</f>
        <v>2.9500000000000004E-3</v>
      </c>
      <c r="G195" s="22">
        <f>+'HAB-POR EC Bs'!G194/'HAB-POR EC M$'!$D$6/$C$6</f>
        <v>2.9500000000000004E-3</v>
      </c>
      <c r="H195" s="22">
        <f>+'HAB-POR EC Bs'!H194/'HAB-POR EC M$'!$D$6/$C$6</f>
        <v>3.8349999999999999E-3</v>
      </c>
      <c r="I195" s="22">
        <f>+'HAB-POR EC Bs'!I194/'HAB-POR EC M$'!$D$6/$C$6</f>
        <v>3.8349999999999999E-3</v>
      </c>
      <c r="J195" s="22">
        <f>+'HAB-POR EC Bs'!J194/'HAB-POR EC M$'!$D$6/$C$6</f>
        <v>0.17322989999999999</v>
      </c>
      <c r="K195" s="22">
        <f>+'HAB-POR EC Bs'!K194/'HAB-POR EC M$'!$D$6/$C$6</f>
        <v>0.17352490000000001</v>
      </c>
      <c r="L195" s="22">
        <f>+'HAB-POR EC Bs'!L194/'HAB-POR EC M$'!$D$6/$C$6</f>
        <v>0.17352490000000001</v>
      </c>
      <c r="M195" s="22">
        <f>+'HAB-POR EC Bs'!M194/'HAB-POR EC M$'!$D$6/$C$6</f>
        <v>0</v>
      </c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s="24" customFormat="1" ht="12" x14ac:dyDescent="0.2">
      <c r="A196" s="21" t="s">
        <v>96</v>
      </c>
      <c r="B196" s="22">
        <f>+'HAB-POR EC Bs'!B195/'HAB-POR EC M$'!$B$6/$C$6</f>
        <v>6.1576190476190479E-2</v>
      </c>
      <c r="C196" s="22">
        <f>+'HAB-POR EC Bs'!C195/'HAB-POR EC M$'!$B$6/$C$6</f>
        <v>0.33113809523809529</v>
      </c>
      <c r="D196" s="22">
        <f>+'HAB-POR EC Bs'!D195/'HAB-POR EC M$'!$D$6/$C$6</f>
        <v>0.258518107</v>
      </c>
      <c r="E196" s="22">
        <f>+'HAB-POR EC Bs'!E195/'HAB-POR EC M$'!$D$6/$C$6</f>
        <v>0.269570368</v>
      </c>
      <c r="F196" s="22">
        <f>+'HAB-POR EC Bs'!F195/'HAB-POR EC M$'!$D$6/$C$6</f>
        <v>0.45570302499999998</v>
      </c>
      <c r="G196" s="22">
        <f>+'HAB-POR EC Bs'!G195/'HAB-POR EC M$'!$D$6/$C$6</f>
        <v>0.570940067</v>
      </c>
      <c r="H196" s="22">
        <f>+'HAB-POR EC Bs'!H195/'HAB-POR EC M$'!$D$6/$C$6</f>
        <v>0.57032074399999999</v>
      </c>
      <c r="I196" s="22">
        <f>+'HAB-POR EC Bs'!I195/'HAB-POR EC M$'!$D$6/$C$6</f>
        <v>0.66651786899999999</v>
      </c>
      <c r="J196" s="22">
        <f>+'HAB-POR EC Bs'!J195/'HAB-POR EC M$'!$D$6/$C$6</f>
        <v>0.76065995399999997</v>
      </c>
      <c r="K196" s="22">
        <f>+'HAB-POR EC Bs'!K195/'HAB-POR EC M$'!$D$6/$C$6</f>
        <v>0.95626119199999993</v>
      </c>
      <c r="L196" s="22">
        <f>+'HAB-POR EC Bs'!L195/'HAB-POR EC M$'!$D$6/$C$6</f>
        <v>1.0097591920000002</v>
      </c>
      <c r="M196" s="22">
        <f>+'HAB-POR EC Bs'!M195/'HAB-POR EC M$'!$D$6/$C$6</f>
        <v>0</v>
      </c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s="24" customFormat="1" ht="12" x14ac:dyDescent="0.2">
      <c r="A197" s="21" t="s">
        <v>97</v>
      </c>
      <c r="B197" s="22">
        <f>+'HAB-POR EC Bs'!B196/'HAB-POR EC M$'!$B$6/$C$6</f>
        <v>0</v>
      </c>
      <c r="C197" s="22">
        <f>+'HAB-POR EC Bs'!C196/'HAB-POR EC M$'!$B$6/$C$6</f>
        <v>0</v>
      </c>
      <c r="D197" s="22">
        <f>+'HAB-POR EC Bs'!D196/'HAB-POR EC M$'!$D$6/$C$6</f>
        <v>0</v>
      </c>
      <c r="E197" s="22">
        <f>+'HAB-POR EC Bs'!E196/'HAB-POR EC M$'!$D$6/$C$6</f>
        <v>0</v>
      </c>
      <c r="F197" s="22">
        <f>+'HAB-POR EC Bs'!F196/'HAB-POR EC M$'!$D$6/$C$6</f>
        <v>0</v>
      </c>
      <c r="G197" s="22">
        <f>+'HAB-POR EC Bs'!G196/'HAB-POR EC M$'!$D$6/$C$6</f>
        <v>0</v>
      </c>
      <c r="H197" s="22">
        <f>+'HAB-POR EC Bs'!H196/'HAB-POR EC M$'!$D$6/$C$6</f>
        <v>0</v>
      </c>
      <c r="I197" s="22">
        <f>+'HAB-POR EC Bs'!I196/'HAB-POR EC M$'!$D$6/$C$6</f>
        <v>0</v>
      </c>
      <c r="J197" s="22">
        <f>+'HAB-POR EC Bs'!J196/'HAB-POR EC M$'!$D$6/$C$6</f>
        <v>0</v>
      </c>
      <c r="K197" s="22">
        <f>+'HAB-POR EC Bs'!K196/'HAB-POR EC M$'!$D$6/$C$6</f>
        <v>0</v>
      </c>
      <c r="L197" s="22">
        <f>+'HAB-POR EC Bs'!L196/'HAB-POR EC M$'!$D$6/$C$6</f>
        <v>0</v>
      </c>
      <c r="M197" s="22">
        <f>+'HAB-POR EC Bs'!M196/'HAB-POR EC M$'!$D$6/$C$6</f>
        <v>0</v>
      </c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s="32" customFormat="1" ht="12" x14ac:dyDescent="0.2">
      <c r="A198" s="30" t="s">
        <v>98</v>
      </c>
      <c r="B198" s="31">
        <f>SUM(B193:B197)</f>
        <v>0.3264015873015873</v>
      </c>
      <c r="C198" s="31">
        <f t="shared" ref="C198:M198" si="23">SUM(C193:C197)</f>
        <v>0.88746349206349207</v>
      </c>
      <c r="D198" s="31">
        <f>SUM(D193:D197)</f>
        <v>1.0993348049999998</v>
      </c>
      <c r="E198" s="31">
        <f t="shared" si="23"/>
        <v>1.4378743100000002</v>
      </c>
      <c r="F198" s="31">
        <f t="shared" si="23"/>
        <v>2.0193685399999999</v>
      </c>
      <c r="G198" s="31">
        <f t="shared" si="23"/>
        <v>2.7057773459999996</v>
      </c>
      <c r="H198" s="31">
        <f t="shared" si="23"/>
        <v>3.1930684120000001</v>
      </c>
      <c r="I198" s="31">
        <f t="shared" si="23"/>
        <v>3.8212736670000007</v>
      </c>
      <c r="J198" s="31">
        <f t="shared" si="23"/>
        <v>8.5826678160000007</v>
      </c>
      <c r="K198" s="31">
        <f t="shared" si="23"/>
        <v>9.7046932629999993</v>
      </c>
      <c r="L198" s="31">
        <f t="shared" si="23"/>
        <v>9.8355276630000006</v>
      </c>
      <c r="M198" s="31">
        <f t="shared" si="23"/>
        <v>0</v>
      </c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x14ac:dyDescent="0.2">
      <c r="A199" s="71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26" s="47" customFormat="1" x14ac:dyDescent="0.2">
      <c r="A200" s="18" t="s">
        <v>122</v>
      </c>
      <c r="B200" s="19" t="s">
        <v>82</v>
      </c>
      <c r="C200" s="19" t="s">
        <v>83</v>
      </c>
      <c r="D200" s="19" t="s">
        <v>84</v>
      </c>
      <c r="E200" s="19" t="s">
        <v>85</v>
      </c>
      <c r="F200" s="19" t="s">
        <v>86</v>
      </c>
      <c r="G200" s="19" t="s">
        <v>87</v>
      </c>
      <c r="H200" s="19" t="s">
        <v>88</v>
      </c>
      <c r="I200" s="19" t="s">
        <v>198</v>
      </c>
      <c r="J200" s="19" t="s">
        <v>89</v>
      </c>
      <c r="K200" s="19" t="s">
        <v>90</v>
      </c>
      <c r="L200" s="19" t="s">
        <v>91</v>
      </c>
      <c r="M200" s="19" t="s">
        <v>92</v>
      </c>
      <c r="N200" s="41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s="24" customFormat="1" ht="12" x14ac:dyDescent="0.2">
      <c r="A201" s="21" t="s">
        <v>93</v>
      </c>
      <c r="B201" s="22">
        <f>+'HAB-POR EC Bs'!B200/'HAB-POR EC M$'!$B$6/$C$6</f>
        <v>0</v>
      </c>
      <c r="C201" s="22">
        <f>+'HAB-POR EC Bs'!C200/'HAB-POR EC M$'!$B$6/$C$6</f>
        <v>0</v>
      </c>
      <c r="D201" s="22">
        <f>+'HAB-POR EC Bs'!D200/'HAB-POR EC M$'!$D$6/$C$6</f>
        <v>0</v>
      </c>
      <c r="E201" s="22">
        <f>+'HAB-POR EC Bs'!E200/'HAB-POR EC M$'!$D$6/$C$6</f>
        <v>0</v>
      </c>
      <c r="F201" s="22">
        <f>+'HAB-POR EC Bs'!F200/'HAB-POR EC M$'!$D$6/$C$6</f>
        <v>0</v>
      </c>
      <c r="G201" s="22">
        <f>+'HAB-POR EC Bs'!G200/'HAB-POR EC M$'!$D$6/$C$6</f>
        <v>0</v>
      </c>
      <c r="H201" s="22">
        <f>+'HAB-POR EC Bs'!H200/'HAB-POR EC M$'!$D$6/$C$6</f>
        <v>0</v>
      </c>
      <c r="I201" s="22">
        <f>+'HAB-POR EC Bs'!I200/'HAB-POR EC M$'!$D$6/$C$6</f>
        <v>0</v>
      </c>
      <c r="J201" s="22">
        <f>+'HAB-POR EC Bs'!J200/'HAB-POR EC M$'!$D$6/$C$6</f>
        <v>0</v>
      </c>
      <c r="K201" s="22">
        <f>+'HAB-POR EC Bs'!K200/'HAB-POR EC M$'!$D$6/$C$6</f>
        <v>0</v>
      </c>
      <c r="L201" s="22">
        <f>+'HAB-POR EC Bs'!L200/'HAB-POR EC M$'!$D$6/$C$6</f>
        <v>0</v>
      </c>
      <c r="M201" s="22">
        <f>+'HAB-POR EC Bs'!M200/'HAB-POR EC M$'!$D$6/$C$6</f>
        <v>0</v>
      </c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s="24" customFormat="1" ht="12" x14ac:dyDescent="0.2">
      <c r="A202" s="21" t="s">
        <v>94</v>
      </c>
      <c r="B202" s="22">
        <f>+'HAB-POR EC Bs'!B201/'HAB-POR EC M$'!$B$6/$C$6</f>
        <v>0</v>
      </c>
      <c r="C202" s="22">
        <f>+'HAB-POR EC Bs'!C201/'HAB-POR EC M$'!$B$6/$C$6</f>
        <v>0</v>
      </c>
      <c r="D202" s="22">
        <f>+'HAB-POR EC Bs'!D201/'HAB-POR EC M$'!$D$6/$C$6</f>
        <v>0</v>
      </c>
      <c r="E202" s="22">
        <f>+'HAB-POR EC Bs'!E201/'HAB-POR EC M$'!$D$6/$C$6</f>
        <v>0</v>
      </c>
      <c r="F202" s="22">
        <f>+'HAB-POR EC Bs'!F201/'HAB-POR EC M$'!$D$6/$C$6</f>
        <v>0</v>
      </c>
      <c r="G202" s="22">
        <f>+'HAB-POR EC Bs'!G201/'HAB-POR EC M$'!$D$6/$C$6</f>
        <v>0</v>
      </c>
      <c r="H202" s="22">
        <f>+'HAB-POR EC Bs'!H201/'HAB-POR EC M$'!$D$6/$C$6</f>
        <v>0</v>
      </c>
      <c r="I202" s="22">
        <f>+'HAB-POR EC Bs'!I201/'HAB-POR EC M$'!$D$6/$C$6</f>
        <v>0</v>
      </c>
      <c r="J202" s="22">
        <f>+'HAB-POR EC Bs'!J201/'HAB-POR EC M$'!$D$6/$C$6</f>
        <v>0</v>
      </c>
      <c r="K202" s="22">
        <f>+'HAB-POR EC Bs'!K201/'HAB-POR EC M$'!$D$6/$C$6</f>
        <v>0</v>
      </c>
      <c r="L202" s="22">
        <f>+'HAB-POR EC Bs'!L201/'HAB-POR EC M$'!$D$6/$C$6</f>
        <v>0</v>
      </c>
      <c r="M202" s="22">
        <f>+'HAB-POR EC Bs'!M201/'HAB-POR EC M$'!$D$6/$C$6</f>
        <v>0</v>
      </c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s="24" customFormat="1" ht="12" x14ac:dyDescent="0.2">
      <c r="A203" s="21" t="s">
        <v>95</v>
      </c>
      <c r="B203" s="22">
        <f>+'HAB-POR EC Bs'!B202/'HAB-POR EC M$'!$B$6/$C$6</f>
        <v>0</v>
      </c>
      <c r="C203" s="22">
        <f>+'HAB-POR EC Bs'!C202/'HAB-POR EC M$'!$B$6/$C$6</f>
        <v>0</v>
      </c>
      <c r="D203" s="22">
        <f>+'HAB-POR EC Bs'!D202/'HAB-POR EC M$'!$D$6/$C$6</f>
        <v>0</v>
      </c>
      <c r="E203" s="22">
        <f>+'HAB-POR EC Bs'!E202/'HAB-POR EC M$'!$D$6/$C$6</f>
        <v>0</v>
      </c>
      <c r="F203" s="22">
        <f>+'HAB-POR EC Bs'!F202/'HAB-POR EC M$'!$D$6/$C$6</f>
        <v>0</v>
      </c>
      <c r="G203" s="22">
        <f>+'HAB-POR EC Bs'!G202/'HAB-POR EC M$'!$D$6/$C$6</f>
        <v>0</v>
      </c>
      <c r="H203" s="22">
        <f>+'HAB-POR EC Bs'!H202/'HAB-POR EC M$'!$D$6/$C$6</f>
        <v>0</v>
      </c>
      <c r="I203" s="22">
        <f>+'HAB-POR EC Bs'!I202/'HAB-POR EC M$'!$D$6/$C$6</f>
        <v>0</v>
      </c>
      <c r="J203" s="22">
        <f>+'HAB-POR EC Bs'!J202/'HAB-POR EC M$'!$D$6/$C$6</f>
        <v>0</v>
      </c>
      <c r="K203" s="22">
        <f>+'HAB-POR EC Bs'!K202/'HAB-POR EC M$'!$D$6/$C$6</f>
        <v>0</v>
      </c>
      <c r="L203" s="22">
        <f>+'HAB-POR EC Bs'!L202/'HAB-POR EC M$'!$D$6/$C$6</f>
        <v>0</v>
      </c>
      <c r="M203" s="22">
        <f>+'HAB-POR EC Bs'!M202/'HAB-POR EC M$'!$D$6/$C$6</f>
        <v>0</v>
      </c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s="24" customFormat="1" ht="12" x14ac:dyDescent="0.2">
      <c r="A204" s="21" t="s">
        <v>96</v>
      </c>
      <c r="B204" s="22">
        <f>+'HAB-POR EC Bs'!B203/'HAB-POR EC M$'!$B$6/$C$6</f>
        <v>0</v>
      </c>
      <c r="C204" s="22">
        <f>+'HAB-POR EC Bs'!C203/'HAB-POR EC M$'!$B$6/$C$6</f>
        <v>0</v>
      </c>
      <c r="D204" s="22">
        <f>+'HAB-POR EC Bs'!D203/'HAB-POR EC M$'!$D$6/$C$6</f>
        <v>0</v>
      </c>
      <c r="E204" s="22">
        <f>+'HAB-POR EC Bs'!E203/'HAB-POR EC M$'!$D$6/$C$6</f>
        <v>0</v>
      </c>
      <c r="F204" s="22">
        <f>+'HAB-POR EC Bs'!F203/'HAB-POR EC M$'!$D$6/$C$6</f>
        <v>0</v>
      </c>
      <c r="G204" s="22">
        <f>+'HAB-POR EC Bs'!G203/'HAB-POR EC M$'!$D$6/$C$6</f>
        <v>0</v>
      </c>
      <c r="H204" s="22">
        <f>+'HAB-POR EC Bs'!H203/'HAB-POR EC M$'!$D$6/$C$6</f>
        <v>0</v>
      </c>
      <c r="I204" s="22">
        <f>+'HAB-POR EC Bs'!I203/'HAB-POR EC M$'!$D$6/$C$6</f>
        <v>0</v>
      </c>
      <c r="J204" s="22">
        <f>+'HAB-POR EC Bs'!J203/'HAB-POR EC M$'!$D$6/$C$6</f>
        <v>0</v>
      </c>
      <c r="K204" s="22">
        <f>+'HAB-POR EC Bs'!K203/'HAB-POR EC M$'!$D$6/$C$6</f>
        <v>0</v>
      </c>
      <c r="L204" s="22">
        <f>+'HAB-POR EC Bs'!L203/'HAB-POR EC M$'!$D$6/$C$6</f>
        <v>0</v>
      </c>
      <c r="M204" s="22">
        <f>+'HAB-POR EC Bs'!M203/'HAB-POR EC M$'!$D$6/$C$6</f>
        <v>0</v>
      </c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s="24" customFormat="1" ht="12" x14ac:dyDescent="0.2">
      <c r="A205" s="21" t="s">
        <v>97</v>
      </c>
      <c r="B205" s="22">
        <f>+'HAB-POR EC Bs'!B204/'HAB-POR EC M$'!$B$6/$C$6</f>
        <v>0</v>
      </c>
      <c r="C205" s="22">
        <f>+'HAB-POR EC Bs'!C204/'HAB-POR EC M$'!$B$6/$C$6</f>
        <v>0</v>
      </c>
      <c r="D205" s="22">
        <f>+'HAB-POR EC Bs'!D204/'HAB-POR EC M$'!$D$6/$C$6</f>
        <v>0</v>
      </c>
      <c r="E205" s="22">
        <f>+'HAB-POR EC Bs'!E204/'HAB-POR EC M$'!$D$6/$C$6</f>
        <v>0</v>
      </c>
      <c r="F205" s="22">
        <f>+'HAB-POR EC Bs'!F204/'HAB-POR EC M$'!$D$6/$C$6</f>
        <v>0</v>
      </c>
      <c r="G205" s="22">
        <f>+'HAB-POR EC Bs'!G204/'HAB-POR EC M$'!$D$6/$C$6</f>
        <v>0</v>
      </c>
      <c r="H205" s="22">
        <f>+'HAB-POR EC Bs'!H204/'HAB-POR EC M$'!$D$6/$C$6</f>
        <v>0</v>
      </c>
      <c r="I205" s="22">
        <f>+'HAB-POR EC Bs'!I204/'HAB-POR EC M$'!$D$6/$C$6</f>
        <v>0</v>
      </c>
      <c r="J205" s="22">
        <f>+'HAB-POR EC Bs'!J204/'HAB-POR EC M$'!$D$6/$C$6</f>
        <v>0</v>
      </c>
      <c r="K205" s="22">
        <f>+'HAB-POR EC Bs'!K204/'HAB-POR EC M$'!$D$6/$C$6</f>
        <v>0</v>
      </c>
      <c r="L205" s="22">
        <f>+'HAB-POR EC Bs'!L204/'HAB-POR EC M$'!$D$6/$C$6</f>
        <v>0</v>
      </c>
      <c r="M205" s="22">
        <f>+'HAB-POR EC Bs'!M204/'HAB-POR EC M$'!$D$6/$C$6</f>
        <v>0</v>
      </c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s="32" customFormat="1" ht="12" x14ac:dyDescent="0.2">
      <c r="A206" s="30" t="s">
        <v>98</v>
      </c>
      <c r="B206" s="31">
        <f>SUM(B201:B205)</f>
        <v>0</v>
      </c>
      <c r="C206" s="31">
        <f t="shared" ref="C206:M206" si="24">SUM(C201:C205)</f>
        <v>0</v>
      </c>
      <c r="D206" s="31">
        <f>SUM(D201:D205)</f>
        <v>0</v>
      </c>
      <c r="E206" s="31">
        <f t="shared" si="24"/>
        <v>0</v>
      </c>
      <c r="F206" s="31">
        <f t="shared" si="24"/>
        <v>0</v>
      </c>
      <c r="G206" s="31">
        <f t="shared" si="24"/>
        <v>0</v>
      </c>
      <c r="H206" s="31">
        <f t="shared" si="24"/>
        <v>0</v>
      </c>
      <c r="I206" s="31">
        <f t="shared" si="24"/>
        <v>0</v>
      </c>
      <c r="J206" s="31">
        <f t="shared" si="24"/>
        <v>0</v>
      </c>
      <c r="K206" s="31">
        <f t="shared" si="24"/>
        <v>0</v>
      </c>
      <c r="L206" s="31">
        <f t="shared" si="24"/>
        <v>0</v>
      </c>
      <c r="M206" s="31">
        <f t="shared" si="24"/>
        <v>0</v>
      </c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x14ac:dyDescent="0.2">
      <c r="A207" s="71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s="47" customFormat="1" x14ac:dyDescent="0.2">
      <c r="A208" s="18" t="s">
        <v>123</v>
      </c>
      <c r="B208" s="19" t="s">
        <v>82</v>
      </c>
      <c r="C208" s="19" t="s">
        <v>83</v>
      </c>
      <c r="D208" s="19" t="s">
        <v>84</v>
      </c>
      <c r="E208" s="19" t="s">
        <v>85</v>
      </c>
      <c r="F208" s="19" t="s">
        <v>86</v>
      </c>
      <c r="G208" s="19" t="s">
        <v>87</v>
      </c>
      <c r="H208" s="19" t="s">
        <v>88</v>
      </c>
      <c r="I208" s="19" t="s">
        <v>198</v>
      </c>
      <c r="J208" s="19" t="s">
        <v>89</v>
      </c>
      <c r="K208" s="19" t="s">
        <v>90</v>
      </c>
      <c r="L208" s="19" t="s">
        <v>91</v>
      </c>
      <c r="M208" s="19" t="s">
        <v>92</v>
      </c>
      <c r="N208" s="41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s="24" customFormat="1" ht="12" x14ac:dyDescent="0.2">
      <c r="A209" s="21" t="s">
        <v>93</v>
      </c>
      <c r="B209" s="22">
        <f>+'HAB-POR EC Bs'!B208/'HAB-POR EC M$'!$B$6/$C$6</f>
        <v>0</v>
      </c>
      <c r="C209" s="22">
        <f>+'HAB-POR EC Bs'!C208/'HAB-POR EC M$'!$B$6/$C$6</f>
        <v>0</v>
      </c>
      <c r="D209" s="22">
        <f>+'HAB-POR EC Bs'!D208/'HAB-POR EC M$'!$D$6/$C$6</f>
        <v>0</v>
      </c>
      <c r="E209" s="22">
        <f>+'HAB-POR EC Bs'!E208/'HAB-POR EC M$'!$D$6/$C$6</f>
        <v>0</v>
      </c>
      <c r="F209" s="22">
        <f>+'HAB-POR EC Bs'!F208/'HAB-POR EC M$'!$D$6/$C$6</f>
        <v>0</v>
      </c>
      <c r="G209" s="22">
        <f>+'HAB-POR EC Bs'!G208/'HAB-POR EC M$'!$D$6/$C$6</f>
        <v>0</v>
      </c>
      <c r="H209" s="22">
        <f>+'HAB-POR EC Bs'!H208/'HAB-POR EC M$'!$D$6/$C$6</f>
        <v>0</v>
      </c>
      <c r="I209" s="22">
        <f>+'HAB-POR EC Bs'!I208/'HAB-POR EC M$'!$D$6/$C$6</f>
        <v>0</v>
      </c>
      <c r="J209" s="22">
        <f>+'HAB-POR EC Bs'!J208/'HAB-POR EC M$'!$D$6/$C$6</f>
        <v>0</v>
      </c>
      <c r="K209" s="22">
        <f>+'HAB-POR EC Bs'!K208/'HAB-POR EC M$'!$D$6/$C$6</f>
        <v>0</v>
      </c>
      <c r="L209" s="22">
        <f>+'HAB-POR EC Bs'!L208/'HAB-POR EC M$'!$D$6/$C$6</f>
        <v>0</v>
      </c>
      <c r="M209" s="22">
        <f>+'HAB-POR EC Bs'!M208/'HAB-POR EC M$'!$D$6/$C$6</f>
        <v>0</v>
      </c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s="24" customFormat="1" ht="12" x14ac:dyDescent="0.2">
      <c r="A210" s="21" t="s">
        <v>94</v>
      </c>
      <c r="B210" s="22">
        <f>+'HAB-POR EC Bs'!B209/'HAB-POR EC M$'!$B$6/$C$6</f>
        <v>0</v>
      </c>
      <c r="C210" s="22">
        <f>+'HAB-POR EC Bs'!C209/'HAB-POR EC M$'!$B$6/$C$6</f>
        <v>0</v>
      </c>
      <c r="D210" s="22">
        <f>+'HAB-POR EC Bs'!D209/'HAB-POR EC M$'!$D$6/$C$6</f>
        <v>0</v>
      </c>
      <c r="E210" s="22">
        <f>+'HAB-POR EC Bs'!E209/'HAB-POR EC M$'!$D$6/$C$6</f>
        <v>1.0497570000000001E-3</v>
      </c>
      <c r="F210" s="22">
        <f>+'HAB-POR EC Bs'!F209/'HAB-POR EC M$'!$D$6/$C$6</f>
        <v>3.1687570000000003E-3</v>
      </c>
      <c r="G210" s="22">
        <f>+'HAB-POR EC Bs'!G209/'HAB-POR EC M$'!$D$6/$C$6</f>
        <v>3.8389000000000001E-3</v>
      </c>
      <c r="H210" s="22">
        <f>+'HAB-POR EC Bs'!H209/'HAB-POR EC M$'!$D$6/$C$6</f>
        <v>4.4833480000000007E-3</v>
      </c>
      <c r="I210" s="22">
        <f>+'HAB-POR EC Bs'!I209/'HAB-POR EC M$'!$D$6/$C$6</f>
        <v>5.2312969999999993E-3</v>
      </c>
      <c r="J210" s="22">
        <f>+'HAB-POR EC Bs'!J209/'HAB-POR EC M$'!$D$6/$C$6</f>
        <v>5.8605699999999998E-3</v>
      </c>
      <c r="K210" s="22">
        <f>+'HAB-POR EC Bs'!K209/'HAB-POR EC M$'!$D$6/$C$6</f>
        <v>6.6590050000000008E-3</v>
      </c>
      <c r="L210" s="22">
        <f>+'HAB-POR EC Bs'!L209/'HAB-POR EC M$'!$D$6/$C$6</f>
        <v>6.6590050000000008E-3</v>
      </c>
      <c r="M210" s="22">
        <f>+'HAB-POR EC Bs'!M209/'HAB-POR EC M$'!$D$6/$C$6</f>
        <v>0</v>
      </c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s="24" customFormat="1" ht="12" x14ac:dyDescent="0.2">
      <c r="A211" s="21" t="s">
        <v>95</v>
      </c>
      <c r="B211" s="22">
        <f>+'HAB-POR EC Bs'!B210/'HAB-POR EC M$'!$B$6/$C$6</f>
        <v>0</v>
      </c>
      <c r="C211" s="22">
        <f>+'HAB-POR EC Bs'!C210/'HAB-POR EC M$'!$B$6/$C$6</f>
        <v>0</v>
      </c>
      <c r="D211" s="22">
        <f>+'HAB-POR EC Bs'!D210/'HAB-POR EC M$'!$D$6/$C$6</f>
        <v>0</v>
      </c>
      <c r="E211" s="22">
        <f>+'HAB-POR EC Bs'!E210/'HAB-POR EC M$'!$D$6/$C$6</f>
        <v>0</v>
      </c>
      <c r="F211" s="22">
        <f>+'HAB-POR EC Bs'!F210/'HAB-POR EC M$'!$D$6/$C$6</f>
        <v>0</v>
      </c>
      <c r="G211" s="22">
        <f>+'HAB-POR EC Bs'!G210/'HAB-POR EC M$'!$D$6/$C$6</f>
        <v>0</v>
      </c>
      <c r="H211" s="22">
        <f>+'HAB-POR EC Bs'!H210/'HAB-POR EC M$'!$D$6/$C$6</f>
        <v>0</v>
      </c>
      <c r="I211" s="22">
        <f>+'HAB-POR EC Bs'!I210/'HAB-POR EC M$'!$D$6/$C$6</f>
        <v>0</v>
      </c>
      <c r="J211" s="22">
        <f>+'HAB-POR EC Bs'!J210/'HAB-POR EC M$'!$D$6/$C$6</f>
        <v>0</v>
      </c>
      <c r="K211" s="22">
        <f>+'HAB-POR EC Bs'!K210/'HAB-POR EC M$'!$D$6/$C$6</f>
        <v>0</v>
      </c>
      <c r="L211" s="22">
        <f>+'HAB-POR EC Bs'!L210/'HAB-POR EC M$'!$D$6/$C$6</f>
        <v>0</v>
      </c>
      <c r="M211" s="22">
        <f>+'HAB-POR EC Bs'!M210/'HAB-POR EC M$'!$D$6/$C$6</f>
        <v>0</v>
      </c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s="24" customFormat="1" ht="12" x14ac:dyDescent="0.2">
      <c r="A212" s="21" t="s">
        <v>96</v>
      </c>
      <c r="B212" s="22">
        <f>+'HAB-POR EC Bs'!B211/'HAB-POR EC M$'!$B$6/$C$6</f>
        <v>0</v>
      </c>
      <c r="C212" s="22">
        <f>+'HAB-POR EC Bs'!C211/'HAB-POR EC M$'!$B$6/$C$6</f>
        <v>0</v>
      </c>
      <c r="D212" s="22">
        <f>+'HAB-POR EC Bs'!D211/'HAB-POR EC M$'!$D$6/$C$6</f>
        <v>0</v>
      </c>
      <c r="E212" s="22">
        <f>+'HAB-POR EC Bs'!E211/'HAB-POR EC M$'!$D$6/$C$6</f>
        <v>0</v>
      </c>
      <c r="F212" s="22">
        <f>+'HAB-POR EC Bs'!F211/'HAB-POR EC M$'!$D$6/$C$6</f>
        <v>0</v>
      </c>
      <c r="G212" s="22">
        <f>+'HAB-POR EC Bs'!G211/'HAB-POR EC M$'!$D$6/$C$6</f>
        <v>0</v>
      </c>
      <c r="H212" s="22">
        <f>+'HAB-POR EC Bs'!H211/'HAB-POR EC M$'!$D$6/$C$6</f>
        <v>0</v>
      </c>
      <c r="I212" s="22">
        <f>+'HAB-POR EC Bs'!I211/'HAB-POR EC M$'!$D$6/$C$6</f>
        <v>0</v>
      </c>
      <c r="J212" s="22">
        <f>+'HAB-POR EC Bs'!J211/'HAB-POR EC M$'!$D$6/$C$6</f>
        <v>0</v>
      </c>
      <c r="K212" s="22">
        <f>+'HAB-POR EC Bs'!K211/'HAB-POR EC M$'!$D$6/$C$6</f>
        <v>0</v>
      </c>
      <c r="L212" s="22">
        <f>+'HAB-POR EC Bs'!L211/'HAB-POR EC M$'!$D$6/$C$6</f>
        <v>0</v>
      </c>
      <c r="M212" s="22">
        <f>+'HAB-POR EC Bs'!M211/'HAB-POR EC M$'!$D$6/$C$6</f>
        <v>0</v>
      </c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s="24" customFormat="1" ht="12" x14ac:dyDescent="0.2">
      <c r="A213" s="21" t="s">
        <v>97</v>
      </c>
      <c r="B213" s="22">
        <f>+'HAB-POR EC Bs'!B212/'HAB-POR EC M$'!$B$6/$C$6</f>
        <v>0</v>
      </c>
      <c r="C213" s="22">
        <f>+'HAB-POR EC Bs'!C212/'HAB-POR EC M$'!$B$6/$C$6</f>
        <v>0</v>
      </c>
      <c r="D213" s="22">
        <f>+'HAB-POR EC Bs'!D212/'HAB-POR EC M$'!$D$6/$C$6</f>
        <v>0</v>
      </c>
      <c r="E213" s="22">
        <f>+'HAB-POR EC Bs'!E212/'HAB-POR EC M$'!$D$6/$C$6</f>
        <v>0</v>
      </c>
      <c r="F213" s="22">
        <f>+'HAB-POR EC Bs'!F212/'HAB-POR EC M$'!$D$6/$C$6</f>
        <v>0</v>
      </c>
      <c r="G213" s="22">
        <f>+'HAB-POR EC Bs'!G212/'HAB-POR EC M$'!$D$6/$C$6</f>
        <v>0</v>
      </c>
      <c r="H213" s="22">
        <f>+'HAB-POR EC Bs'!H212/'HAB-POR EC M$'!$D$6/$C$6</f>
        <v>0</v>
      </c>
      <c r="I213" s="22">
        <f>+'HAB-POR EC Bs'!I212/'HAB-POR EC M$'!$D$6/$C$6</f>
        <v>0</v>
      </c>
      <c r="J213" s="22">
        <f>+'HAB-POR EC Bs'!J212/'HAB-POR EC M$'!$D$6/$C$6</f>
        <v>0</v>
      </c>
      <c r="K213" s="22">
        <f>+'HAB-POR EC Bs'!K212/'HAB-POR EC M$'!$D$6/$C$6</f>
        <v>0</v>
      </c>
      <c r="L213" s="22">
        <f>+'HAB-POR EC Bs'!L212/'HAB-POR EC M$'!$D$6/$C$6</f>
        <v>0</v>
      </c>
      <c r="M213" s="22">
        <f>+'HAB-POR EC Bs'!M212/'HAB-POR EC M$'!$D$6/$C$6</f>
        <v>0</v>
      </c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s="32" customFormat="1" ht="12" x14ac:dyDescent="0.2">
      <c r="A214" s="30" t="s">
        <v>98</v>
      </c>
      <c r="B214" s="31">
        <f>SUM(B209:B213)</f>
        <v>0</v>
      </c>
      <c r="C214" s="31">
        <f t="shared" ref="C214:M214" si="25">SUM(C209:C213)</f>
        <v>0</v>
      </c>
      <c r="D214" s="31">
        <f>SUM(D209:D213)</f>
        <v>0</v>
      </c>
      <c r="E214" s="31">
        <f t="shared" si="25"/>
        <v>1.0497570000000001E-3</v>
      </c>
      <c r="F214" s="31">
        <f t="shared" si="25"/>
        <v>3.1687570000000003E-3</v>
      </c>
      <c r="G214" s="31">
        <f t="shared" si="25"/>
        <v>3.8389000000000001E-3</v>
      </c>
      <c r="H214" s="31">
        <f t="shared" si="25"/>
        <v>4.4833480000000007E-3</v>
      </c>
      <c r="I214" s="31">
        <f t="shared" si="25"/>
        <v>5.2312969999999993E-3</v>
      </c>
      <c r="J214" s="31">
        <f t="shared" si="25"/>
        <v>5.8605699999999998E-3</v>
      </c>
      <c r="K214" s="31">
        <f t="shared" si="25"/>
        <v>6.6590050000000008E-3</v>
      </c>
      <c r="L214" s="31">
        <f t="shared" si="25"/>
        <v>6.6590050000000008E-3</v>
      </c>
      <c r="M214" s="31">
        <f t="shared" si="25"/>
        <v>0</v>
      </c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x14ac:dyDescent="0.2">
      <c r="A215" s="71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s="47" customFormat="1" x14ac:dyDescent="0.2">
      <c r="A216" s="18" t="s">
        <v>124</v>
      </c>
      <c r="B216" s="19" t="s">
        <v>82</v>
      </c>
      <c r="C216" s="19" t="s">
        <v>83</v>
      </c>
      <c r="D216" s="19" t="s">
        <v>84</v>
      </c>
      <c r="E216" s="19" t="s">
        <v>85</v>
      </c>
      <c r="F216" s="19" t="s">
        <v>86</v>
      </c>
      <c r="G216" s="19" t="s">
        <v>87</v>
      </c>
      <c r="H216" s="19" t="s">
        <v>88</v>
      </c>
      <c r="I216" s="19" t="s">
        <v>198</v>
      </c>
      <c r="J216" s="19" t="s">
        <v>89</v>
      </c>
      <c r="K216" s="19" t="s">
        <v>90</v>
      </c>
      <c r="L216" s="19" t="s">
        <v>91</v>
      </c>
      <c r="M216" s="19" t="s">
        <v>92</v>
      </c>
      <c r="N216" s="41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s="24" customFormat="1" ht="12" x14ac:dyDescent="0.2">
      <c r="A217" s="21" t="s">
        <v>93</v>
      </c>
      <c r="B217" s="22">
        <f>+'HAB-POR EC Bs'!B216/'HAB-POR EC M$'!$B$6/$C$6</f>
        <v>0</v>
      </c>
      <c r="C217" s="22">
        <f>+'HAB-POR EC Bs'!C216/'HAB-POR EC M$'!$B$6/$C$6</f>
        <v>0</v>
      </c>
      <c r="D217" s="22">
        <f>+'HAB-POR EC Bs'!D216/'HAB-POR EC M$'!$D$6/$C$6</f>
        <v>0</v>
      </c>
      <c r="E217" s="22">
        <f>+'HAB-POR EC Bs'!E216/'HAB-POR EC M$'!$D$6/$C$6</f>
        <v>0</v>
      </c>
      <c r="F217" s="22">
        <f>+'HAB-POR EC Bs'!F216/'HAB-POR EC M$'!$D$6/$C$6</f>
        <v>0</v>
      </c>
      <c r="G217" s="22">
        <f>+'HAB-POR EC Bs'!G216/'HAB-POR EC M$'!$D$6/$C$6</f>
        <v>0</v>
      </c>
      <c r="H217" s="22">
        <f>+'HAB-POR EC Bs'!H216/'HAB-POR EC M$'!$D$6/$C$6</f>
        <v>0</v>
      </c>
      <c r="I217" s="22">
        <f>+'HAB-POR EC Bs'!I216/'HAB-POR EC M$'!$D$6/$C$6</f>
        <v>0</v>
      </c>
      <c r="J217" s="22">
        <f>+'HAB-POR EC Bs'!J216/'HAB-POR EC M$'!$D$6/$C$6</f>
        <v>0</v>
      </c>
      <c r="K217" s="22">
        <f>+'HAB-POR EC Bs'!K216/'HAB-POR EC M$'!$D$6/$C$6</f>
        <v>0</v>
      </c>
      <c r="L217" s="22">
        <f>+'HAB-POR EC Bs'!L216/'HAB-POR EC M$'!$D$6/$C$6</f>
        <v>0</v>
      </c>
      <c r="M217" s="22">
        <f>+'HAB-POR EC Bs'!M216/'HAB-POR EC M$'!$D$6/$C$6</f>
        <v>0</v>
      </c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s="24" customFormat="1" ht="12" x14ac:dyDescent="0.2">
      <c r="A218" s="21" t="s">
        <v>94</v>
      </c>
      <c r="B218" s="22">
        <f>+'HAB-POR EC Bs'!B217/'HAB-POR EC M$'!$B$6/$C$6</f>
        <v>0</v>
      </c>
      <c r="C218" s="22">
        <f>+'HAB-POR EC Bs'!C217/'HAB-POR EC M$'!$B$6/$C$6</f>
        <v>0</v>
      </c>
      <c r="D218" s="22">
        <f>+'HAB-POR EC Bs'!D217/'HAB-POR EC M$'!$D$6/$C$6</f>
        <v>1.0304600000000001E-2</v>
      </c>
      <c r="E218" s="22">
        <f>+'HAB-POR EC Bs'!E217/'HAB-POR EC M$'!$D$6/$C$6</f>
        <v>5.3429615999999999E-2</v>
      </c>
      <c r="F218" s="22">
        <f>+'HAB-POR EC Bs'!F217/'HAB-POR EC M$'!$D$6/$C$6</f>
        <v>9.2104881999999999E-2</v>
      </c>
      <c r="G218" s="22">
        <f>+'HAB-POR EC Bs'!G217/'HAB-POR EC M$'!$D$6/$C$6</f>
        <v>0.160573354</v>
      </c>
      <c r="H218" s="22">
        <f>+'HAB-POR EC Bs'!H217/'HAB-POR EC M$'!$D$6/$C$6</f>
        <v>0.26279744399999999</v>
      </c>
      <c r="I218" s="22">
        <f>+'HAB-POR EC Bs'!I217/'HAB-POR EC M$'!$D$6/$C$6</f>
        <v>0.26279744399999999</v>
      </c>
      <c r="J218" s="22">
        <f>+'HAB-POR EC Bs'!J217/'HAB-POR EC M$'!$D$6/$C$6</f>
        <v>0.59346100700000004</v>
      </c>
      <c r="K218" s="22">
        <f>+'HAB-POR EC Bs'!K217/'HAB-POR EC M$'!$D$6/$C$6</f>
        <v>0.71879709599999997</v>
      </c>
      <c r="L218" s="22">
        <f>+'HAB-POR EC Bs'!L217/'HAB-POR EC M$'!$D$6/$C$6</f>
        <v>0.76269759599999998</v>
      </c>
      <c r="M218" s="22">
        <f>+'HAB-POR EC Bs'!M217/'HAB-POR EC M$'!$D$6/$C$6</f>
        <v>0</v>
      </c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s="24" customFormat="1" ht="12" x14ac:dyDescent="0.2">
      <c r="A219" s="21" t="s">
        <v>95</v>
      </c>
      <c r="B219" s="22">
        <f>+'HAB-POR EC Bs'!B218/'HAB-POR EC M$'!$B$6/$C$6</f>
        <v>0.89647619047619043</v>
      </c>
      <c r="C219" s="22">
        <f>+'HAB-POR EC Bs'!C218/'HAB-POR EC M$'!$B$6/$C$6</f>
        <v>0.89647619047619043</v>
      </c>
      <c r="D219" s="22">
        <f>+'HAB-POR EC Bs'!D218/'HAB-POR EC M$'!$D$6/$C$6</f>
        <v>0.56477967299999998</v>
      </c>
      <c r="E219" s="22">
        <f>+'HAB-POR EC Bs'!E218/'HAB-POR EC M$'!$D$6/$C$6</f>
        <v>0.56477967299999998</v>
      </c>
      <c r="F219" s="22">
        <f>+'HAB-POR EC Bs'!F218/'HAB-POR EC M$'!$D$6/$C$6</f>
        <v>0.56477967299999998</v>
      </c>
      <c r="G219" s="22">
        <f>+'HAB-POR EC Bs'!G218/'HAB-POR EC M$'!$D$6/$C$6</f>
        <v>0.56477967299999998</v>
      </c>
      <c r="H219" s="22">
        <f>+'HAB-POR EC Bs'!H218/'HAB-POR EC M$'!$D$6/$C$6</f>
        <v>0.56477967299999998</v>
      </c>
      <c r="I219" s="22">
        <f>+'HAB-POR EC Bs'!I218/'HAB-POR EC M$'!$D$6/$C$6</f>
        <v>0.8206587649999999</v>
      </c>
      <c r="J219" s="22">
        <f>+'HAB-POR EC Bs'!J218/'HAB-POR EC M$'!$D$6/$C$6</f>
        <v>1.058433577</v>
      </c>
      <c r="K219" s="22">
        <f>+'HAB-POR EC Bs'!K218/'HAB-POR EC M$'!$D$6/$C$6</f>
        <v>1.749706465</v>
      </c>
      <c r="L219" s="22">
        <f>+'HAB-POR EC Bs'!L218/'HAB-POR EC M$'!$D$6/$C$6</f>
        <v>2.0366512650000002</v>
      </c>
      <c r="M219" s="22">
        <f>+'HAB-POR EC Bs'!M218/'HAB-POR EC M$'!$D$6/$C$6</f>
        <v>0</v>
      </c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s="24" customFormat="1" ht="12" x14ac:dyDescent="0.2">
      <c r="A220" s="21" t="s">
        <v>96</v>
      </c>
      <c r="B220" s="22">
        <f>+'HAB-POR EC Bs'!B219/'HAB-POR EC M$'!$B$6/$C$6</f>
        <v>1.7639984126984127</v>
      </c>
      <c r="C220" s="22">
        <f>+'HAB-POR EC Bs'!C219/'HAB-POR EC M$'!$B$6/$C$6</f>
        <v>27.380295238095236</v>
      </c>
      <c r="D220" s="22">
        <f>+'HAB-POR EC Bs'!D219/'HAB-POR EC M$'!$D$6/$C$6</f>
        <v>20.809688264000002</v>
      </c>
      <c r="E220" s="22">
        <f>+'HAB-POR EC Bs'!E219/'HAB-POR EC M$'!$D$6/$C$6</f>
        <v>11.769784669</v>
      </c>
      <c r="F220" s="22">
        <f>+'HAB-POR EC Bs'!F219/'HAB-POR EC M$'!$D$6/$C$6</f>
        <v>-4.9274937970000003</v>
      </c>
      <c r="G220" s="22">
        <f>+'HAB-POR EC Bs'!G219/'HAB-POR EC M$'!$D$6/$C$6</f>
        <v>-2.1555994999999997</v>
      </c>
      <c r="H220" s="22">
        <f>+'HAB-POR EC Bs'!H219/'HAB-POR EC M$'!$D$6/$C$6</f>
        <v>21.439585818000001</v>
      </c>
      <c r="I220" s="22">
        <f>+'HAB-POR EC Bs'!I219/'HAB-POR EC M$'!$D$6/$C$6</f>
        <v>29.768053529999996</v>
      </c>
      <c r="J220" s="22">
        <f>+'HAB-POR EC Bs'!J219/'HAB-POR EC M$'!$D$6/$C$6</f>
        <v>39.604963325000007</v>
      </c>
      <c r="K220" s="22">
        <f>+'HAB-POR EC Bs'!K219/'HAB-POR EC M$'!$D$6/$C$6</f>
        <v>47.686762227999999</v>
      </c>
      <c r="L220" s="22">
        <f>+'HAB-POR EC Bs'!L219/'HAB-POR EC M$'!$D$6/$C$6</f>
        <v>51.904552531</v>
      </c>
      <c r="M220" s="22">
        <f>+'HAB-POR EC Bs'!M219/'HAB-POR EC M$'!$D$6/$C$6</f>
        <v>0</v>
      </c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s="24" customFormat="1" ht="12" x14ac:dyDescent="0.2">
      <c r="A221" s="21" t="s">
        <v>97</v>
      </c>
      <c r="B221" s="22">
        <f>+'HAB-POR EC Bs'!B220/'HAB-POR EC M$'!$B$6/$C$6</f>
        <v>0.20123174603174604</v>
      </c>
      <c r="C221" s="22">
        <f>+'HAB-POR EC Bs'!C220/'HAB-POR EC M$'!$B$6/$C$6</f>
        <v>0.3964746031746032</v>
      </c>
      <c r="D221" s="22">
        <f>+'HAB-POR EC Bs'!D220/'HAB-POR EC M$'!$D$6/$C$6</f>
        <v>0.64285275799999997</v>
      </c>
      <c r="E221" s="22">
        <f>+'HAB-POR EC Bs'!E220/'HAB-POR EC M$'!$D$6/$C$6</f>
        <v>0.88929508700000004</v>
      </c>
      <c r="F221" s="22">
        <f>+'HAB-POR EC Bs'!F220/'HAB-POR EC M$'!$D$6/$C$6</f>
        <v>0.99122677600000009</v>
      </c>
      <c r="G221" s="22">
        <f>+'HAB-POR EC Bs'!G220/'HAB-POR EC M$'!$D$6/$C$6</f>
        <v>1.3960541909999999</v>
      </c>
      <c r="H221" s="22">
        <f>+'HAB-POR EC Bs'!H220/'HAB-POR EC M$'!$D$6/$C$6</f>
        <v>1.7713070849999999</v>
      </c>
      <c r="I221" s="22">
        <f>+'HAB-POR EC Bs'!I220/'HAB-POR EC M$'!$D$6/$C$6</f>
        <v>5.1138185290000004</v>
      </c>
      <c r="J221" s="22">
        <f>+'HAB-POR EC Bs'!J220/'HAB-POR EC M$'!$D$6/$C$6</f>
        <v>5.7009181530000008</v>
      </c>
      <c r="K221" s="22">
        <f>+'HAB-POR EC Bs'!K220/'HAB-POR EC M$'!$D$6/$C$6</f>
        <v>7.2043119329999996</v>
      </c>
      <c r="L221" s="22">
        <f>+'HAB-POR EC Bs'!L220/'HAB-POR EC M$'!$D$6/$C$6</f>
        <v>7.2043119329999996</v>
      </c>
      <c r="M221" s="22">
        <f>+'HAB-POR EC Bs'!M220/'HAB-POR EC M$'!$D$6/$C$6</f>
        <v>0</v>
      </c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s="32" customFormat="1" ht="12" x14ac:dyDescent="0.2">
      <c r="A222" s="30" t="s">
        <v>98</v>
      </c>
      <c r="B222" s="31">
        <f>SUM(B217:B221)</f>
        <v>2.8617063492063495</v>
      </c>
      <c r="C222" s="31">
        <f t="shared" ref="C222:M222" si="26">SUM(C217:C221)</f>
        <v>28.673246031746029</v>
      </c>
      <c r="D222" s="31">
        <f t="shared" si="26"/>
        <v>22.027625295000004</v>
      </c>
      <c r="E222" s="31">
        <f t="shared" si="26"/>
        <v>13.277289045</v>
      </c>
      <c r="F222" s="31">
        <f t="shared" si="26"/>
        <v>-3.2793824660000008</v>
      </c>
      <c r="G222" s="31">
        <f t="shared" si="26"/>
        <v>-3.4192281999999796E-2</v>
      </c>
      <c r="H222" s="31">
        <f t="shared" si="26"/>
        <v>24.038470020000002</v>
      </c>
      <c r="I222" s="31">
        <f t="shared" si="26"/>
        <v>35.965328268</v>
      </c>
      <c r="J222" s="31">
        <f t="shared" si="26"/>
        <v>46.957776062000008</v>
      </c>
      <c r="K222" s="31">
        <f t="shared" si="26"/>
        <v>57.359577721999997</v>
      </c>
      <c r="L222" s="31">
        <f t="shared" si="26"/>
        <v>61.908213324999998</v>
      </c>
      <c r="M222" s="31">
        <f t="shared" si="26"/>
        <v>0</v>
      </c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s="10" customFormat="1" x14ac:dyDescent="0.2">
      <c r="A223" s="75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s="47" customFormat="1" x14ac:dyDescent="0.2">
      <c r="A224" s="18" t="s">
        <v>125</v>
      </c>
      <c r="B224" s="19" t="s">
        <v>82</v>
      </c>
      <c r="C224" s="19" t="s">
        <v>83</v>
      </c>
      <c r="D224" s="19" t="s">
        <v>84</v>
      </c>
      <c r="E224" s="19" t="s">
        <v>85</v>
      </c>
      <c r="F224" s="19" t="s">
        <v>86</v>
      </c>
      <c r="G224" s="19" t="s">
        <v>87</v>
      </c>
      <c r="H224" s="19" t="s">
        <v>88</v>
      </c>
      <c r="I224" s="19" t="s">
        <v>198</v>
      </c>
      <c r="J224" s="19" t="s">
        <v>89</v>
      </c>
      <c r="K224" s="19" t="s">
        <v>90</v>
      </c>
      <c r="L224" s="19" t="s">
        <v>91</v>
      </c>
      <c r="M224" s="19" t="s">
        <v>92</v>
      </c>
      <c r="N224" s="41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s="24" customFormat="1" ht="12" x14ac:dyDescent="0.2">
      <c r="A225" s="21" t="s">
        <v>93</v>
      </c>
      <c r="B225" s="22">
        <f>+'HAB-POR EC Bs'!B224/'HAB-POR EC M$'!$B$6/$C$6</f>
        <v>1.8395238095238096E-2</v>
      </c>
      <c r="C225" s="22">
        <f>+'HAB-POR EC Bs'!C224/'HAB-POR EC M$'!$B$6/$C$6</f>
        <v>3.6790476190476193E-2</v>
      </c>
      <c r="D225" s="22">
        <f>+'HAB-POR EC Bs'!D224/'HAB-POR EC M$'!$D$6/$C$6</f>
        <v>5.7640695000000006E-2</v>
      </c>
      <c r="E225" s="22">
        <f>+'HAB-POR EC Bs'!E224/'HAB-POR EC M$'!$D$6/$C$6</f>
        <v>5.7640695000000006E-2</v>
      </c>
      <c r="F225" s="22">
        <f>+'HAB-POR EC Bs'!F224/'HAB-POR EC M$'!$D$6/$C$6</f>
        <v>5.7640695000000006E-2</v>
      </c>
      <c r="G225" s="22">
        <f>+'HAB-POR EC Bs'!G224/'HAB-POR EC M$'!$D$6/$C$6</f>
        <v>9.5652439000000006E-2</v>
      </c>
      <c r="H225" s="22">
        <f>+'HAB-POR EC Bs'!H224/'HAB-POR EC M$'!$D$6/$C$6</f>
        <v>0.156364534</v>
      </c>
      <c r="I225" s="22">
        <f>+'HAB-POR EC Bs'!I224/'HAB-POR EC M$'!$D$6/$C$6</f>
        <v>0.179274876</v>
      </c>
      <c r="J225" s="22">
        <f>+'HAB-POR EC Bs'!J224/'HAB-POR EC M$'!$D$6/$C$6</f>
        <v>0.179274876</v>
      </c>
      <c r="K225" s="22">
        <f>+'HAB-POR EC Bs'!K224/'HAB-POR EC M$'!$D$6/$C$6</f>
        <v>-4.0140913E-2</v>
      </c>
      <c r="L225" s="22">
        <f>+'HAB-POR EC Bs'!L224/'HAB-POR EC M$'!$D$6/$C$6</f>
        <v>5.1120900000000006E-3</v>
      </c>
      <c r="M225" s="22">
        <f>+'HAB-POR EC Bs'!M224/'HAB-POR EC M$'!$D$6/$C$6</f>
        <v>0</v>
      </c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s="24" customFormat="1" ht="12" x14ac:dyDescent="0.2">
      <c r="A226" s="21" t="s">
        <v>94</v>
      </c>
      <c r="B226" s="22">
        <f>+'HAB-POR EC Bs'!B225/'HAB-POR EC M$'!$B$6/$C$6</f>
        <v>9.4587301587301595E-3</v>
      </c>
      <c r="C226" s="22">
        <f>+'HAB-POR EC Bs'!C225/'HAB-POR EC M$'!$B$6/$C$6</f>
        <v>1.371111111111111E-2</v>
      </c>
      <c r="D226" s="22">
        <f>+'HAB-POR EC Bs'!D225/'HAB-POR EC M$'!$D$6/$C$6</f>
        <v>1.4950162000000001E-2</v>
      </c>
      <c r="E226" s="22">
        <f>+'HAB-POR EC Bs'!E225/'HAB-POR EC M$'!$D$6/$C$6</f>
        <v>1.3050162000000001E-2</v>
      </c>
      <c r="F226" s="22">
        <f>+'HAB-POR EC Bs'!F225/'HAB-POR EC M$'!$D$6/$C$6</f>
        <v>1.3050162000000001E-2</v>
      </c>
      <c r="G226" s="22">
        <f>+'HAB-POR EC Bs'!G225/'HAB-POR EC M$'!$D$6/$C$6</f>
        <v>2.9999763999999998E-2</v>
      </c>
      <c r="H226" s="22">
        <f>+'HAB-POR EC Bs'!H225/'HAB-POR EC M$'!$D$6/$C$6</f>
        <v>3.8569096999999997E-2</v>
      </c>
      <c r="I226" s="22">
        <f>+'HAB-POR EC Bs'!I225/'HAB-POR EC M$'!$D$6/$C$6</f>
        <v>4.4004046000000005E-2</v>
      </c>
      <c r="J226" s="22">
        <f>+'HAB-POR EC Bs'!J225/'HAB-POR EC M$'!$D$6/$C$6</f>
        <v>4.7211646000000003E-2</v>
      </c>
      <c r="K226" s="22">
        <f>+'HAB-POR EC Bs'!K225/'HAB-POR EC M$'!$D$6/$C$6</f>
        <v>-6.5004348000000003E-2</v>
      </c>
      <c r="L226" s="22">
        <f>+'HAB-POR EC Bs'!L225/'HAB-POR EC M$'!$D$6/$C$6</f>
        <v>-5.9332270000000006E-2</v>
      </c>
      <c r="M226" s="22">
        <f>+'HAB-POR EC Bs'!M225/'HAB-POR EC M$'!$D$6/$C$6</f>
        <v>0</v>
      </c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s="24" customFormat="1" ht="12" x14ac:dyDescent="0.2">
      <c r="A227" s="21" t="s">
        <v>95</v>
      </c>
      <c r="B227" s="22">
        <f>+'HAB-POR EC Bs'!B226/'HAB-POR EC M$'!$B$6/$C$6</f>
        <v>-7.6571428571428568E-2</v>
      </c>
      <c r="C227" s="22">
        <f>+'HAB-POR EC Bs'!C226/'HAB-POR EC M$'!$B$6/$C$6</f>
        <v>8.1617460317460325E-2</v>
      </c>
      <c r="D227" s="22">
        <f>+'HAB-POR EC Bs'!D226/'HAB-POR EC M$'!$D$6/$C$6</f>
        <v>0.32900523699999995</v>
      </c>
      <c r="E227" s="22">
        <f>+'HAB-POR EC Bs'!E226/'HAB-POR EC M$'!$D$6/$C$6</f>
        <v>0.40857072899999997</v>
      </c>
      <c r="F227" s="22">
        <f>+'HAB-POR EC Bs'!F226/'HAB-POR EC M$'!$D$6/$C$6</f>
        <v>0.49590619600000002</v>
      </c>
      <c r="G227" s="22">
        <f>+'HAB-POR EC Bs'!G226/'HAB-POR EC M$'!$D$6/$C$6</f>
        <v>0.69111619600000007</v>
      </c>
      <c r="H227" s="22">
        <f>+'HAB-POR EC Bs'!H226/'HAB-POR EC M$'!$D$6/$C$6</f>
        <v>0.69111619600000007</v>
      </c>
      <c r="I227" s="22">
        <f>+'HAB-POR EC Bs'!I226/'HAB-POR EC M$'!$D$6/$C$6</f>
        <v>1.2202890900000001</v>
      </c>
      <c r="J227" s="22">
        <f>+'HAB-POR EC Bs'!J226/'HAB-POR EC M$'!$D$6/$C$6</f>
        <v>2.4766610899999999</v>
      </c>
      <c r="K227" s="22">
        <f>+'HAB-POR EC Bs'!K226/'HAB-POR EC M$'!$D$6/$C$6</f>
        <v>4.7509391360000004</v>
      </c>
      <c r="L227" s="22">
        <f>+'HAB-POR EC Bs'!L226/'HAB-POR EC M$'!$D$6/$C$6</f>
        <v>4.8567391359999998</v>
      </c>
      <c r="M227" s="22">
        <f>+'HAB-POR EC Bs'!M226/'HAB-POR EC M$'!$D$6/$C$6</f>
        <v>0</v>
      </c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s="24" customFormat="1" ht="12" x14ac:dyDescent="0.2">
      <c r="A228" s="21" t="s">
        <v>96</v>
      </c>
      <c r="B228" s="22">
        <f>+'HAB-POR EC Bs'!B227/'HAB-POR EC M$'!$B$6/$C$6</f>
        <v>0.17084126984126985</v>
      </c>
      <c r="C228" s="22">
        <f>+'HAB-POR EC Bs'!C227/'HAB-POR EC M$'!$B$6/$C$6</f>
        <v>1.2271460317460319</v>
      </c>
      <c r="D228" s="22">
        <f>+'HAB-POR EC Bs'!D227/'HAB-POR EC M$'!$D$6/$C$6</f>
        <v>1.5746790580000001</v>
      </c>
      <c r="E228" s="22">
        <f>+'HAB-POR EC Bs'!E227/'HAB-POR EC M$'!$D$6/$C$6</f>
        <v>4.3141954580000004</v>
      </c>
      <c r="F228" s="22">
        <f>+'HAB-POR EC Bs'!F227/'HAB-POR EC M$'!$D$6/$C$6</f>
        <v>8.4962316009999999</v>
      </c>
      <c r="G228" s="22">
        <f>+'HAB-POR EC Bs'!G227/'HAB-POR EC M$'!$D$6/$C$6</f>
        <v>10.626031443</v>
      </c>
      <c r="H228" s="22">
        <f>+'HAB-POR EC Bs'!H227/'HAB-POR EC M$'!$D$6/$C$6</f>
        <v>12.041364829000001</v>
      </c>
      <c r="I228" s="22">
        <f>+'HAB-POR EC Bs'!I227/'HAB-POR EC M$'!$D$6/$C$6</f>
        <v>16.574786147999998</v>
      </c>
      <c r="J228" s="22">
        <f>+'HAB-POR EC Bs'!J227/'HAB-POR EC M$'!$D$6/$C$6</f>
        <v>21.212975627999999</v>
      </c>
      <c r="K228" s="22">
        <f>+'HAB-POR EC Bs'!K227/'HAB-POR EC M$'!$D$6/$C$6</f>
        <v>27.260423962000001</v>
      </c>
      <c r="L228" s="22">
        <f>+'HAB-POR EC Bs'!L227/'HAB-POR EC M$'!$D$6/$C$6</f>
        <v>28.212029401999995</v>
      </c>
      <c r="M228" s="22">
        <f>+'HAB-POR EC Bs'!M227/'HAB-POR EC M$'!$D$6/$C$6</f>
        <v>0</v>
      </c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s="24" customFormat="1" ht="12" x14ac:dyDescent="0.2">
      <c r="A229" s="21" t="s">
        <v>97</v>
      </c>
      <c r="B229" s="22">
        <f>+'HAB-POR EC Bs'!B228/'HAB-POR EC M$'!$B$6/$C$6</f>
        <v>0</v>
      </c>
      <c r="C229" s="22">
        <f>+'HAB-POR EC Bs'!C228/'HAB-POR EC M$'!$B$6/$C$6</f>
        <v>0</v>
      </c>
      <c r="D229" s="22">
        <f>+'HAB-POR EC Bs'!D228/'HAB-POR EC M$'!$D$6/$C$6</f>
        <v>0</v>
      </c>
      <c r="E229" s="22">
        <f>+'HAB-POR EC Bs'!E228/'HAB-POR EC M$'!$D$6/$C$6</f>
        <v>0</v>
      </c>
      <c r="F229" s="22">
        <f>+'HAB-POR EC Bs'!F228/'HAB-POR EC M$'!$D$6/$C$6</f>
        <v>0</v>
      </c>
      <c r="G229" s="22">
        <f>+'HAB-POR EC Bs'!G228/'HAB-POR EC M$'!$D$6/$C$6</f>
        <v>0</v>
      </c>
      <c r="H229" s="22">
        <f>+'HAB-POR EC Bs'!H228/'HAB-POR EC M$'!$D$6/$C$6</f>
        <v>0</v>
      </c>
      <c r="I229" s="22">
        <f>+'HAB-POR EC Bs'!I228/'HAB-POR EC M$'!$D$6/$C$6</f>
        <v>0</v>
      </c>
      <c r="J229" s="22">
        <f>+'HAB-POR EC Bs'!J228/'HAB-POR EC M$'!$D$6/$C$6</f>
        <v>0</v>
      </c>
      <c r="K229" s="22">
        <f>+'HAB-POR EC Bs'!K228/'HAB-POR EC M$'!$D$6/$C$6</f>
        <v>0</v>
      </c>
      <c r="L229" s="22">
        <f>+'HAB-POR EC Bs'!L228/'HAB-POR EC M$'!$D$6/$C$6</f>
        <v>0</v>
      </c>
      <c r="M229" s="22">
        <f>+'HAB-POR EC Bs'!M228/'HAB-POR EC M$'!$D$6/$C$6</f>
        <v>0</v>
      </c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s="32" customFormat="1" ht="12" x14ac:dyDescent="0.2">
      <c r="A230" s="30" t="s">
        <v>98</v>
      </c>
      <c r="B230" s="31">
        <f>SUM(B225:B229)</f>
        <v>0.12212380952380954</v>
      </c>
      <c r="C230" s="31">
        <f t="shared" ref="C230:M230" si="27">SUM(C225:C229)</f>
        <v>1.3592650793650796</v>
      </c>
      <c r="D230" s="31">
        <f t="shared" si="27"/>
        <v>1.9762751519999999</v>
      </c>
      <c r="E230" s="31">
        <f t="shared" si="27"/>
        <v>4.7934570440000002</v>
      </c>
      <c r="F230" s="31">
        <f t="shared" si="27"/>
        <v>9.0628286540000005</v>
      </c>
      <c r="G230" s="31">
        <f t="shared" si="27"/>
        <v>11.442799842000001</v>
      </c>
      <c r="H230" s="31">
        <f t="shared" si="27"/>
        <v>12.927414656000002</v>
      </c>
      <c r="I230" s="31">
        <f t="shared" si="27"/>
        <v>18.018354159999998</v>
      </c>
      <c r="J230" s="31">
        <f t="shared" si="27"/>
        <v>23.916123239999997</v>
      </c>
      <c r="K230" s="31">
        <f t="shared" si="27"/>
        <v>31.906217837</v>
      </c>
      <c r="L230" s="31">
        <f t="shared" si="27"/>
        <v>33.014548357999999</v>
      </c>
      <c r="M230" s="31">
        <f t="shared" si="27"/>
        <v>0</v>
      </c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x14ac:dyDescent="0.2">
      <c r="A231" s="71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</row>
    <row r="232" spans="1:26" s="47" customFormat="1" x14ac:dyDescent="0.2">
      <c r="A232" s="18" t="s">
        <v>126</v>
      </c>
      <c r="B232" s="19" t="s">
        <v>82</v>
      </c>
      <c r="C232" s="19" t="s">
        <v>83</v>
      </c>
      <c r="D232" s="19" t="s">
        <v>84</v>
      </c>
      <c r="E232" s="19" t="s">
        <v>85</v>
      </c>
      <c r="F232" s="19" t="s">
        <v>86</v>
      </c>
      <c r="G232" s="19" t="s">
        <v>87</v>
      </c>
      <c r="H232" s="19" t="s">
        <v>88</v>
      </c>
      <c r="I232" s="19" t="s">
        <v>198</v>
      </c>
      <c r="J232" s="19" t="s">
        <v>89</v>
      </c>
      <c r="K232" s="19" t="s">
        <v>90</v>
      </c>
      <c r="L232" s="19" t="s">
        <v>91</v>
      </c>
      <c r="M232" s="19" t="s">
        <v>92</v>
      </c>
      <c r="N232" s="41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s="24" customFormat="1" ht="12" x14ac:dyDescent="0.2">
      <c r="A233" s="21" t="s">
        <v>93</v>
      </c>
      <c r="B233" s="22">
        <f>+'HAB-POR EC Bs'!B232/'HAB-POR EC M$'!$B$6/$C$6</f>
        <v>0</v>
      </c>
      <c r="C233" s="22">
        <f>+'HAB-POR EC Bs'!C232/'HAB-POR EC M$'!$B$6/$C$6</f>
        <v>0</v>
      </c>
      <c r="D233" s="22">
        <f>+'HAB-POR EC Bs'!D232/'HAB-POR EC M$'!$D$6/$C$6</f>
        <v>0</v>
      </c>
      <c r="E233" s="22">
        <f>+'HAB-POR EC Bs'!E232/'HAB-POR EC M$'!$D$6/$C$6</f>
        <v>0</v>
      </c>
      <c r="F233" s="22">
        <f>+'HAB-POR EC Bs'!F232/'HAB-POR EC M$'!$D$6/$C$6</f>
        <v>0</v>
      </c>
      <c r="G233" s="22">
        <f>+'HAB-POR EC Bs'!G232/'HAB-POR EC M$'!$D$6/$C$6</f>
        <v>0</v>
      </c>
      <c r="H233" s="22">
        <f>+'HAB-POR EC Bs'!H232/'HAB-POR EC M$'!$D$6/$C$6</f>
        <v>0</v>
      </c>
      <c r="I233" s="22">
        <f>+'HAB-POR EC Bs'!I232/'HAB-POR EC M$'!$D$6/$C$6</f>
        <v>0</v>
      </c>
      <c r="J233" s="22">
        <f>+'HAB-POR EC Bs'!J232/'HAB-POR EC M$'!$D$6/$C$6</f>
        <v>0</v>
      </c>
      <c r="K233" s="22">
        <f>+'HAB-POR EC Bs'!K232/'HAB-POR EC M$'!$D$6/$C$6</f>
        <v>0</v>
      </c>
      <c r="L233" s="22">
        <f>+'HAB-POR EC Bs'!L232/'HAB-POR EC M$'!$D$6/$C$6</f>
        <v>0</v>
      </c>
      <c r="M233" s="22">
        <f>+'HAB-POR EC Bs'!M232/'HAB-POR EC M$'!$D$6/$C$6</f>
        <v>0</v>
      </c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s="24" customFormat="1" ht="12" x14ac:dyDescent="0.2">
      <c r="A234" s="21" t="s">
        <v>94</v>
      </c>
      <c r="B234" s="22">
        <f>+'HAB-POR EC Bs'!B233/'HAB-POR EC M$'!$B$6/$C$6</f>
        <v>0</v>
      </c>
      <c r="C234" s="22">
        <f>+'HAB-POR EC Bs'!C233/'HAB-POR EC M$'!$B$6/$C$6</f>
        <v>0</v>
      </c>
      <c r="D234" s="22">
        <f>+'HAB-POR EC Bs'!D233/'HAB-POR EC M$'!$D$6/$C$6</f>
        <v>0</v>
      </c>
      <c r="E234" s="22">
        <f>+'HAB-POR EC Bs'!E233/'HAB-POR EC M$'!$D$6/$C$6</f>
        <v>0</v>
      </c>
      <c r="F234" s="22">
        <f>+'HAB-POR EC Bs'!F233/'HAB-POR EC M$'!$D$6/$C$6</f>
        <v>0</v>
      </c>
      <c r="G234" s="22">
        <f>+'HAB-POR EC Bs'!G233/'HAB-POR EC M$'!$D$6/$C$6</f>
        <v>0</v>
      </c>
      <c r="H234" s="22">
        <f>+'HAB-POR EC Bs'!H233/'HAB-POR EC M$'!$D$6/$C$6</f>
        <v>0</v>
      </c>
      <c r="I234" s="22">
        <f>+'HAB-POR EC Bs'!I233/'HAB-POR EC M$'!$D$6/$C$6</f>
        <v>0</v>
      </c>
      <c r="J234" s="22">
        <f>+'HAB-POR EC Bs'!J233/'HAB-POR EC M$'!$D$6/$C$6</f>
        <v>0</v>
      </c>
      <c r="K234" s="22">
        <f>+'HAB-POR EC Bs'!K233/'HAB-POR EC M$'!$D$6/$C$6</f>
        <v>0</v>
      </c>
      <c r="L234" s="22">
        <f>+'HAB-POR EC Bs'!L233/'HAB-POR EC M$'!$D$6/$C$6</f>
        <v>0</v>
      </c>
      <c r="M234" s="22">
        <f>+'HAB-POR EC Bs'!M233/'HAB-POR EC M$'!$D$6/$C$6</f>
        <v>0</v>
      </c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s="24" customFormat="1" ht="12" x14ac:dyDescent="0.2">
      <c r="A235" s="21" t="s">
        <v>95</v>
      </c>
      <c r="B235" s="22">
        <f>+'HAB-POR EC Bs'!B234/'HAB-POR EC M$'!$B$6/$C$6</f>
        <v>0</v>
      </c>
      <c r="C235" s="22">
        <f>+'HAB-POR EC Bs'!C234/'HAB-POR EC M$'!$B$6/$C$6</f>
        <v>0</v>
      </c>
      <c r="D235" s="22">
        <f>+'HAB-POR EC Bs'!D234/'HAB-POR EC M$'!$D$6/$C$6</f>
        <v>0</v>
      </c>
      <c r="E235" s="22">
        <f>+'HAB-POR EC Bs'!E234/'HAB-POR EC M$'!$D$6/$C$6</f>
        <v>0</v>
      </c>
      <c r="F235" s="22">
        <f>+'HAB-POR EC Bs'!F234/'HAB-POR EC M$'!$D$6/$C$6</f>
        <v>0</v>
      </c>
      <c r="G235" s="22">
        <f>+'HAB-POR EC Bs'!G234/'HAB-POR EC M$'!$D$6/$C$6</f>
        <v>0</v>
      </c>
      <c r="H235" s="22">
        <f>+'HAB-POR EC Bs'!H234/'HAB-POR EC M$'!$D$6/$C$6</f>
        <v>0</v>
      </c>
      <c r="I235" s="22">
        <f>+'HAB-POR EC Bs'!I234/'HAB-POR EC M$'!$D$6/$C$6</f>
        <v>0</v>
      </c>
      <c r="J235" s="22">
        <f>+'HAB-POR EC Bs'!J234/'HAB-POR EC M$'!$D$6/$C$6</f>
        <v>0</v>
      </c>
      <c r="K235" s="22">
        <f>+'HAB-POR EC Bs'!K234/'HAB-POR EC M$'!$D$6/$C$6</f>
        <v>0</v>
      </c>
      <c r="L235" s="22">
        <f>+'HAB-POR EC Bs'!L234/'HAB-POR EC M$'!$D$6/$C$6</f>
        <v>0</v>
      </c>
      <c r="M235" s="22">
        <f>+'HAB-POR EC Bs'!M234/'HAB-POR EC M$'!$D$6/$C$6</f>
        <v>0</v>
      </c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s="24" customFormat="1" ht="12" x14ac:dyDescent="0.2">
      <c r="A236" s="21" t="s">
        <v>96</v>
      </c>
      <c r="B236" s="22">
        <f>+'HAB-POR EC Bs'!B235/'HAB-POR EC M$'!$B$6/$C$6</f>
        <v>0</v>
      </c>
      <c r="C236" s="22">
        <f>+'HAB-POR EC Bs'!C235/'HAB-POR EC M$'!$B$6/$C$6</f>
        <v>0</v>
      </c>
      <c r="D236" s="22">
        <f>+'HAB-POR EC Bs'!D235/'HAB-POR EC M$'!$D$6/$C$6</f>
        <v>0</v>
      </c>
      <c r="E236" s="22">
        <f>+'HAB-POR EC Bs'!E235/'HAB-POR EC M$'!$D$6/$C$6</f>
        <v>1.9019999999999998E-3</v>
      </c>
      <c r="F236" s="22">
        <f>+'HAB-POR EC Bs'!F235/'HAB-POR EC M$'!$D$6/$C$6</f>
        <v>1.9019999999999998E-3</v>
      </c>
      <c r="G236" s="22">
        <f>+'HAB-POR EC Bs'!G235/'HAB-POR EC M$'!$D$6/$C$6</f>
        <v>6.9902000000000006E-2</v>
      </c>
      <c r="H236" s="22">
        <f>+'HAB-POR EC Bs'!H235/'HAB-POR EC M$'!$D$6/$C$6</f>
        <v>8.9625805000000003E-2</v>
      </c>
      <c r="I236" s="22">
        <f>+'HAB-POR EC Bs'!I235/'HAB-POR EC M$'!$D$6/$C$6</f>
        <v>8.9625805000000003E-2</v>
      </c>
      <c r="J236" s="22">
        <f>+'HAB-POR EC Bs'!J235/'HAB-POR EC M$'!$D$6/$C$6</f>
        <v>0.25560745299999998</v>
      </c>
      <c r="K236" s="22">
        <f>+'HAB-POR EC Bs'!K235/'HAB-POR EC M$'!$D$6/$C$6</f>
        <v>0.25560745299999998</v>
      </c>
      <c r="L236" s="22">
        <f>+'HAB-POR EC Bs'!L235/'HAB-POR EC M$'!$D$6/$C$6</f>
        <v>0.25560745299999998</v>
      </c>
      <c r="M236" s="22">
        <f>+'HAB-POR EC Bs'!M235/'HAB-POR EC M$'!$D$6/$C$6</f>
        <v>0</v>
      </c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s="24" customFormat="1" ht="12" x14ac:dyDescent="0.2">
      <c r="A237" s="21" t="s">
        <v>97</v>
      </c>
      <c r="B237" s="22">
        <f>+'HAB-POR EC Bs'!B236/'HAB-POR EC M$'!$B$6/$C$6</f>
        <v>0</v>
      </c>
      <c r="C237" s="22">
        <f>+'HAB-POR EC Bs'!C236/'HAB-POR EC M$'!$B$6/$C$6</f>
        <v>0</v>
      </c>
      <c r="D237" s="22">
        <f>+'HAB-POR EC Bs'!D236/'HAB-POR EC M$'!$D$6/$C$6</f>
        <v>0</v>
      </c>
      <c r="E237" s="22">
        <f>+'HAB-POR EC Bs'!E236/'HAB-POR EC M$'!$D$6/$C$6</f>
        <v>0</v>
      </c>
      <c r="F237" s="22">
        <f>+'HAB-POR EC Bs'!F236/'HAB-POR EC M$'!$D$6/$C$6</f>
        <v>2.3196000000000002E-3</v>
      </c>
      <c r="G237" s="22">
        <f>+'HAB-POR EC Bs'!G236/'HAB-POR EC M$'!$D$6/$C$6</f>
        <v>2.3196000000000002E-3</v>
      </c>
      <c r="H237" s="22">
        <f>+'HAB-POR EC Bs'!H236/'HAB-POR EC M$'!$D$6/$C$6</f>
        <v>0</v>
      </c>
      <c r="I237" s="22">
        <f>+'HAB-POR EC Bs'!I236/'HAB-POR EC M$'!$D$6/$C$6</f>
        <v>0</v>
      </c>
      <c r="J237" s="22">
        <f>+'HAB-POR EC Bs'!J236/'HAB-POR EC M$'!$D$6/$C$6</f>
        <v>0</v>
      </c>
      <c r="K237" s="22">
        <f>+'HAB-POR EC Bs'!K236/'HAB-POR EC M$'!$D$6/$C$6</f>
        <v>0</v>
      </c>
      <c r="L237" s="22">
        <f>+'HAB-POR EC Bs'!L236/'HAB-POR EC M$'!$D$6/$C$6</f>
        <v>0</v>
      </c>
      <c r="M237" s="22">
        <f>+'HAB-POR EC Bs'!M236/'HAB-POR EC M$'!$D$6/$C$6</f>
        <v>0</v>
      </c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s="32" customFormat="1" ht="12" x14ac:dyDescent="0.2">
      <c r="A238" s="30" t="s">
        <v>98</v>
      </c>
      <c r="B238" s="31">
        <f>SUM(B233:B237)</f>
        <v>0</v>
      </c>
      <c r="C238" s="31">
        <f t="shared" ref="C238:M238" si="28">SUM(C233:C237)</f>
        <v>0</v>
      </c>
      <c r="D238" s="31">
        <f t="shared" si="28"/>
        <v>0</v>
      </c>
      <c r="E238" s="31">
        <f t="shared" si="28"/>
        <v>1.9019999999999998E-3</v>
      </c>
      <c r="F238" s="31">
        <f t="shared" si="28"/>
        <v>4.2215999999999998E-3</v>
      </c>
      <c r="G238" s="31">
        <f t="shared" si="28"/>
        <v>7.2221600000000011E-2</v>
      </c>
      <c r="H238" s="31">
        <f t="shared" si="28"/>
        <v>8.9625805000000003E-2</v>
      </c>
      <c r="I238" s="31">
        <f t="shared" si="28"/>
        <v>8.9625805000000003E-2</v>
      </c>
      <c r="J238" s="31">
        <f t="shared" si="28"/>
        <v>0.25560745299999998</v>
      </c>
      <c r="K238" s="31">
        <f t="shared" si="28"/>
        <v>0.25560745299999998</v>
      </c>
      <c r="L238" s="31">
        <f t="shared" si="28"/>
        <v>0.25560745299999998</v>
      </c>
      <c r="M238" s="31">
        <f t="shared" si="28"/>
        <v>0</v>
      </c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x14ac:dyDescent="0.2">
      <c r="A239" s="71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</row>
    <row r="240" spans="1:26" s="47" customFormat="1" x14ac:dyDescent="0.2">
      <c r="A240" s="18" t="s">
        <v>127</v>
      </c>
      <c r="B240" s="19" t="s">
        <v>82</v>
      </c>
      <c r="C240" s="19" t="s">
        <v>83</v>
      </c>
      <c r="D240" s="19" t="s">
        <v>84</v>
      </c>
      <c r="E240" s="19" t="s">
        <v>85</v>
      </c>
      <c r="F240" s="19" t="s">
        <v>86</v>
      </c>
      <c r="G240" s="19" t="s">
        <v>87</v>
      </c>
      <c r="H240" s="19" t="s">
        <v>88</v>
      </c>
      <c r="I240" s="19" t="s">
        <v>198</v>
      </c>
      <c r="J240" s="19" t="s">
        <v>89</v>
      </c>
      <c r="K240" s="19" t="s">
        <v>90</v>
      </c>
      <c r="L240" s="19" t="s">
        <v>91</v>
      </c>
      <c r="M240" s="19" t="s">
        <v>92</v>
      </c>
      <c r="N240" s="41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s="24" customFormat="1" ht="12" x14ac:dyDescent="0.2">
      <c r="A241" s="21" t="s">
        <v>93</v>
      </c>
      <c r="B241" s="22">
        <f>+'HAB-POR EC Bs'!B240/'HAB-POR EC M$'!$B$6/$C$6</f>
        <v>5.9871428571428575E-2</v>
      </c>
      <c r="C241" s="22">
        <f>+'HAB-POR EC Bs'!C240/'HAB-POR EC M$'!$B$6/$C$6</f>
        <v>0.12526190476190477</v>
      </c>
      <c r="D241" s="22">
        <f>+'HAB-POR EC Bs'!D240/'HAB-POR EC M$'!$D$6/$C$6</f>
        <v>0.18089492500000001</v>
      </c>
      <c r="E241" s="22">
        <f>+'HAB-POR EC Bs'!E240/'HAB-POR EC M$'!$D$6/$C$6</f>
        <v>0.246672582</v>
      </c>
      <c r="F241" s="22">
        <f>+'HAB-POR EC Bs'!F240/'HAB-POR EC M$'!$D$6/$C$6</f>
        <v>0.30050568099999997</v>
      </c>
      <c r="G241" s="22">
        <f>+'HAB-POR EC Bs'!G240/'HAB-POR EC M$'!$D$6/$C$6</f>
        <v>0.37428323299999999</v>
      </c>
      <c r="H241" s="22">
        <f>+'HAB-POR EC Bs'!H240/'HAB-POR EC M$'!$D$6/$C$6</f>
        <v>0.47745565999999995</v>
      </c>
      <c r="I241" s="22">
        <f>+'HAB-POR EC Bs'!I240/'HAB-POR EC M$'!$D$6/$C$6</f>
        <v>0.54848798300000001</v>
      </c>
      <c r="J241" s="22">
        <f>+'HAB-POR EC Bs'!J240/'HAB-POR EC M$'!$D$6/$C$6</f>
        <v>0.66764355399999997</v>
      </c>
      <c r="K241" s="22">
        <f>+'HAB-POR EC Bs'!K240/'HAB-POR EC M$'!$D$6/$C$6</f>
        <v>0.82258553599999995</v>
      </c>
      <c r="L241" s="22">
        <f>+'HAB-POR EC Bs'!L240/'HAB-POR EC M$'!$D$6/$C$6</f>
        <v>0.82258553599999995</v>
      </c>
      <c r="M241" s="22">
        <f>+'HAB-POR EC Bs'!M240/'HAB-POR EC M$'!$D$6/$C$6</f>
        <v>0</v>
      </c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s="24" customFormat="1" ht="12" x14ac:dyDescent="0.2">
      <c r="A242" s="21" t="s">
        <v>94</v>
      </c>
      <c r="B242" s="22">
        <f>+'HAB-POR EC Bs'!B241/'HAB-POR EC M$'!$B$6/$C$6</f>
        <v>9.1968253968253959E-3</v>
      </c>
      <c r="C242" s="22">
        <f>+'HAB-POR EC Bs'!C241/'HAB-POR EC M$'!$B$6/$C$6</f>
        <v>3.3112698412698413E-2</v>
      </c>
      <c r="D242" s="22">
        <f>+'HAB-POR EC Bs'!D241/'HAB-POR EC M$'!$D$6/$C$6</f>
        <v>3.3563032E-2</v>
      </c>
      <c r="E242" s="22">
        <f>+'HAB-POR EC Bs'!E241/'HAB-POR EC M$'!$D$6/$C$6</f>
        <v>5.2431024E-2</v>
      </c>
      <c r="F242" s="22">
        <f>+'HAB-POR EC Bs'!F241/'HAB-POR EC M$'!$D$6/$C$6</f>
        <v>8.3288512999999995E-2</v>
      </c>
      <c r="G242" s="22">
        <f>+'HAB-POR EC Bs'!G241/'HAB-POR EC M$'!$D$6/$C$6</f>
        <v>0.13997731300000002</v>
      </c>
      <c r="H242" s="22">
        <f>+'HAB-POR EC Bs'!H241/'HAB-POR EC M$'!$D$6/$C$6</f>
        <v>0.174962338</v>
      </c>
      <c r="I242" s="22">
        <f>+'HAB-POR EC Bs'!I241/'HAB-POR EC M$'!$D$6/$C$6</f>
        <v>0.22544948800000003</v>
      </c>
      <c r="J242" s="22">
        <f>+'HAB-POR EC Bs'!J241/'HAB-POR EC M$'!$D$6/$C$6</f>
        <v>1.2017273429999999</v>
      </c>
      <c r="K242" s="22">
        <f>+'HAB-POR EC Bs'!K241/'HAB-POR EC M$'!$D$6/$C$6</f>
        <v>1.2971987780000001</v>
      </c>
      <c r="L242" s="22">
        <f>+'HAB-POR EC Bs'!L241/'HAB-POR EC M$'!$D$6/$C$6</f>
        <v>1.2971987780000001</v>
      </c>
      <c r="M242" s="22">
        <f>+'HAB-POR EC Bs'!M241/'HAB-POR EC M$'!$D$6/$C$6</f>
        <v>0</v>
      </c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s="24" customFormat="1" ht="12" x14ac:dyDescent="0.2">
      <c r="A243" s="21" t="s">
        <v>95</v>
      </c>
      <c r="B243" s="22">
        <f>+'HAB-POR EC Bs'!B242/'HAB-POR EC M$'!$B$6/$C$6</f>
        <v>0</v>
      </c>
      <c r="C243" s="22">
        <f>+'HAB-POR EC Bs'!C242/'HAB-POR EC M$'!$B$6/$C$6</f>
        <v>0</v>
      </c>
      <c r="D243" s="22">
        <f>+'HAB-POR EC Bs'!D242/'HAB-POR EC M$'!$D$6/$C$6</f>
        <v>0</v>
      </c>
      <c r="E243" s="22">
        <f>+'HAB-POR EC Bs'!E242/'HAB-POR EC M$'!$D$6/$C$6</f>
        <v>0</v>
      </c>
      <c r="F243" s="22">
        <f>+'HAB-POR EC Bs'!F242/'HAB-POR EC M$'!$D$6/$C$6</f>
        <v>0</v>
      </c>
      <c r="G243" s="22">
        <f>+'HAB-POR EC Bs'!G242/'HAB-POR EC M$'!$D$6/$C$6</f>
        <v>0</v>
      </c>
      <c r="H243" s="22">
        <f>+'HAB-POR EC Bs'!H242/'HAB-POR EC M$'!$D$6/$C$6</f>
        <v>7.6999999999999999E-2</v>
      </c>
      <c r="I243" s="22">
        <f>+'HAB-POR EC Bs'!I242/'HAB-POR EC M$'!$D$6/$C$6</f>
        <v>0.175845</v>
      </c>
      <c r="J243" s="22">
        <f>+'HAB-POR EC Bs'!J242/'HAB-POR EC M$'!$D$6/$C$6</f>
        <v>0.175845</v>
      </c>
      <c r="K243" s="22">
        <f>+'HAB-POR EC Bs'!K242/'HAB-POR EC M$'!$D$6/$C$6</f>
        <v>0.37287999999999999</v>
      </c>
      <c r="L243" s="22">
        <f>+'HAB-POR EC Bs'!L242/'HAB-POR EC M$'!$D$6/$C$6</f>
        <v>0.37287999999999999</v>
      </c>
      <c r="M243" s="22">
        <f>+'HAB-POR EC Bs'!M242/'HAB-POR EC M$'!$D$6/$C$6</f>
        <v>0</v>
      </c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s="24" customFormat="1" ht="12" x14ac:dyDescent="0.2">
      <c r="A244" s="21" t="s">
        <v>96</v>
      </c>
      <c r="B244" s="22">
        <f>+'HAB-POR EC Bs'!B243/'HAB-POR EC M$'!$B$6/$C$6</f>
        <v>0</v>
      </c>
      <c r="C244" s="22">
        <f>+'HAB-POR EC Bs'!C243/'HAB-POR EC M$'!$B$6/$C$6</f>
        <v>3.8004761904761909E-2</v>
      </c>
      <c r="D244" s="22">
        <f>+'HAB-POR EC Bs'!D243/'HAB-POR EC M$'!$D$6/$C$6</f>
        <v>4.0149319000000003E-2</v>
      </c>
      <c r="E244" s="22">
        <f>+'HAB-POR EC Bs'!E243/'HAB-POR EC M$'!$D$6/$C$6</f>
        <v>4.0149319000000003E-2</v>
      </c>
      <c r="F244" s="22">
        <f>+'HAB-POR EC Bs'!F243/'HAB-POR EC M$'!$D$6/$C$6</f>
        <v>4.0837819000000004E-2</v>
      </c>
      <c r="G244" s="22">
        <f>+'HAB-POR EC Bs'!G243/'HAB-POR EC M$'!$D$6/$C$6</f>
        <v>4.7982738999999996E-2</v>
      </c>
      <c r="H244" s="22">
        <f>+'HAB-POR EC Bs'!H243/'HAB-POR EC M$'!$D$6/$C$6</f>
        <v>5.6428931999999994E-2</v>
      </c>
      <c r="I244" s="22">
        <f>+'HAB-POR EC Bs'!I243/'HAB-POR EC M$'!$D$6/$C$6</f>
        <v>9.4413580999999996E-2</v>
      </c>
      <c r="J244" s="22">
        <f>+'HAB-POR EC Bs'!J243/'HAB-POR EC M$'!$D$6/$C$6</f>
        <v>0.14016288099999999</v>
      </c>
      <c r="K244" s="22">
        <f>+'HAB-POR EC Bs'!K243/'HAB-POR EC M$'!$D$6/$C$6</f>
        <v>0.19453594700000001</v>
      </c>
      <c r="L244" s="22">
        <f>+'HAB-POR EC Bs'!L243/'HAB-POR EC M$'!$D$6/$C$6</f>
        <v>0.19453594700000001</v>
      </c>
      <c r="M244" s="22">
        <f>+'HAB-POR EC Bs'!M243/'HAB-POR EC M$'!$D$6/$C$6</f>
        <v>0</v>
      </c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s="24" customFormat="1" ht="12" x14ac:dyDescent="0.2">
      <c r="A245" s="21" t="s">
        <v>97</v>
      </c>
      <c r="B245" s="22">
        <f>+'HAB-POR EC Bs'!B244/'HAB-POR EC M$'!$B$6/$C$6</f>
        <v>0</v>
      </c>
      <c r="C245" s="22">
        <f>+'HAB-POR EC Bs'!C244/'HAB-POR EC M$'!$B$6/$C$6</f>
        <v>0</v>
      </c>
      <c r="D245" s="22">
        <f>+'HAB-POR EC Bs'!D244/'HAB-POR EC M$'!$D$6/$C$6</f>
        <v>0</v>
      </c>
      <c r="E245" s="22">
        <f>+'HAB-POR EC Bs'!E244/'HAB-POR EC M$'!$D$6/$C$6</f>
        <v>0</v>
      </c>
      <c r="F245" s="22">
        <f>+'HAB-POR EC Bs'!F244/'HAB-POR EC M$'!$D$6/$C$6</f>
        <v>0</v>
      </c>
      <c r="G245" s="22">
        <f>+'HAB-POR EC Bs'!G244/'HAB-POR EC M$'!$D$6/$C$6</f>
        <v>0</v>
      </c>
      <c r="H245" s="22">
        <f>+'HAB-POR EC Bs'!H244/'HAB-POR EC M$'!$D$6/$C$6</f>
        <v>0</v>
      </c>
      <c r="I245" s="22">
        <f>+'HAB-POR EC Bs'!I244/'HAB-POR EC M$'!$D$6/$C$6</f>
        <v>0</v>
      </c>
      <c r="J245" s="22">
        <f>+'HAB-POR EC Bs'!J244/'HAB-POR EC M$'!$D$6/$C$6</f>
        <v>0</v>
      </c>
      <c r="K245" s="22">
        <f>+'HAB-POR EC Bs'!K244/'HAB-POR EC M$'!$D$6/$C$6</f>
        <v>0</v>
      </c>
      <c r="L245" s="22">
        <f>+'HAB-POR EC Bs'!L244/'HAB-POR EC M$'!$D$6/$C$6</f>
        <v>0</v>
      </c>
      <c r="M245" s="22">
        <f>+'HAB-POR EC Bs'!M244/'HAB-POR EC M$'!$D$6/$C$6</f>
        <v>0</v>
      </c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s="32" customFormat="1" ht="12" x14ac:dyDescent="0.2">
      <c r="A246" s="30" t="s">
        <v>98</v>
      </c>
      <c r="B246" s="31">
        <f>SUM(B241:B245)</f>
        <v>6.9068253968253973E-2</v>
      </c>
      <c r="C246" s="31">
        <f t="shared" ref="C246:M246" si="29">SUM(C241:C245)</f>
        <v>0.19637936507936507</v>
      </c>
      <c r="D246" s="31">
        <f t="shared" si="29"/>
        <v>0.25460727599999999</v>
      </c>
      <c r="E246" s="31">
        <f t="shared" si="29"/>
        <v>0.33925292500000004</v>
      </c>
      <c r="F246" s="31">
        <f t="shared" si="29"/>
        <v>0.42463201299999997</v>
      </c>
      <c r="G246" s="31">
        <f t="shared" si="29"/>
        <v>0.56224328500000009</v>
      </c>
      <c r="H246" s="31">
        <f t="shared" si="29"/>
        <v>0.78584692999999994</v>
      </c>
      <c r="I246" s="31">
        <f t="shared" si="29"/>
        <v>1.044196052</v>
      </c>
      <c r="J246" s="31">
        <f t="shared" si="29"/>
        <v>2.185378778</v>
      </c>
      <c r="K246" s="31">
        <f t="shared" si="29"/>
        <v>2.6872002609999996</v>
      </c>
      <c r="L246" s="31">
        <f t="shared" si="29"/>
        <v>2.6872002609999996</v>
      </c>
      <c r="M246" s="31">
        <f t="shared" si="29"/>
        <v>0</v>
      </c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x14ac:dyDescent="0.2">
      <c r="A247" s="71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</row>
    <row r="248" spans="1:26" s="47" customFormat="1" x14ac:dyDescent="0.2">
      <c r="A248" s="18" t="s">
        <v>128</v>
      </c>
      <c r="B248" s="19" t="s">
        <v>82</v>
      </c>
      <c r="C248" s="19" t="s">
        <v>83</v>
      </c>
      <c r="D248" s="19" t="s">
        <v>84</v>
      </c>
      <c r="E248" s="19" t="s">
        <v>85</v>
      </c>
      <c r="F248" s="19" t="s">
        <v>86</v>
      </c>
      <c r="G248" s="19" t="s">
        <v>87</v>
      </c>
      <c r="H248" s="19" t="s">
        <v>88</v>
      </c>
      <c r="I248" s="19" t="s">
        <v>198</v>
      </c>
      <c r="J248" s="19" t="s">
        <v>89</v>
      </c>
      <c r="K248" s="19" t="s">
        <v>90</v>
      </c>
      <c r="L248" s="19" t="s">
        <v>91</v>
      </c>
      <c r="M248" s="19" t="s">
        <v>92</v>
      </c>
      <c r="N248" s="41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s="24" customFormat="1" ht="12" x14ac:dyDescent="0.2">
      <c r="A249" s="21" t="s">
        <v>93</v>
      </c>
      <c r="B249" s="22">
        <f>+'HAB-POR EC Bs'!B248/'HAB-POR EC M$'!$B$6/$C$6</f>
        <v>24.004558730158728</v>
      </c>
      <c r="C249" s="22">
        <f>+'HAB-POR EC Bs'!C248/'HAB-POR EC M$'!$B$6/$C$6</f>
        <v>56.833152380952377</v>
      </c>
      <c r="D249" s="22">
        <f>+'HAB-POR EC Bs'!D248/'HAB-POR EC M$'!$D$6/$C$6</f>
        <v>35.947993029999999</v>
      </c>
      <c r="E249" s="22">
        <f>+'HAB-POR EC Bs'!E248/'HAB-POR EC M$'!$D$6/$C$6</f>
        <v>72.464355592999993</v>
      </c>
      <c r="F249" s="22">
        <f>+'HAB-POR EC Bs'!F248/'HAB-POR EC M$'!$D$6/$C$6</f>
        <v>72.017649614999996</v>
      </c>
      <c r="G249" s="22">
        <f>+'HAB-POR EC Bs'!G248/'HAB-POR EC M$'!$D$6/$C$6</f>
        <v>58.194565271999991</v>
      </c>
      <c r="H249" s="22">
        <f>+'HAB-POR EC Bs'!H248/'HAB-POR EC M$'!$D$6/$C$6</f>
        <v>73.326907692000006</v>
      </c>
      <c r="I249" s="22">
        <f>+'HAB-POR EC Bs'!I248/'HAB-POR EC M$'!$D$6/$C$6</f>
        <v>90.318786986999996</v>
      </c>
      <c r="J249" s="22">
        <f>+'HAB-POR EC Bs'!J248/'HAB-POR EC M$'!$D$6/$C$6</f>
        <v>90.379386060000002</v>
      </c>
      <c r="K249" s="22">
        <f>+'HAB-POR EC Bs'!K248/'HAB-POR EC M$'!$D$6/$C$6</f>
        <v>128.24538722399998</v>
      </c>
      <c r="L249" s="22">
        <f>+'HAB-POR EC Bs'!L248/'HAB-POR EC M$'!$D$6/$C$6</f>
        <v>128.277916121</v>
      </c>
      <c r="M249" s="22">
        <f>+'HAB-POR EC Bs'!M248/'HAB-POR EC M$'!$D$6/$C$6</f>
        <v>0</v>
      </c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s="24" customFormat="1" ht="12" x14ac:dyDescent="0.2">
      <c r="A250" s="21" t="s">
        <v>94</v>
      </c>
      <c r="B250" s="22">
        <f>+'HAB-POR EC Bs'!B249/'HAB-POR EC M$'!$B$6/$C$6</f>
        <v>9.4039222222222207</v>
      </c>
      <c r="C250" s="22">
        <f>+'HAB-POR EC Bs'!C249/'HAB-POR EC M$'!$B$6/$C$6</f>
        <v>16.495509523809524</v>
      </c>
      <c r="D250" s="22">
        <f>+'HAB-POR EC Bs'!D249/'HAB-POR EC M$'!$D$6/$C$6</f>
        <v>10.434761231</v>
      </c>
      <c r="E250" s="22">
        <f>+'HAB-POR EC Bs'!E249/'HAB-POR EC M$'!$D$6/$C$6</f>
        <v>21.315051559</v>
      </c>
      <c r="F250" s="22">
        <f>+'HAB-POR EC Bs'!F249/'HAB-POR EC M$'!$D$6/$C$6</f>
        <v>21.416162961000001</v>
      </c>
      <c r="G250" s="22">
        <f>+'HAB-POR EC Bs'!G249/'HAB-POR EC M$'!$D$6/$C$6</f>
        <v>20.804794301000001</v>
      </c>
      <c r="H250" s="22">
        <f>+'HAB-POR EC Bs'!H249/'HAB-POR EC M$'!$D$6/$C$6</f>
        <v>27.344792127000002</v>
      </c>
      <c r="I250" s="22">
        <f>+'HAB-POR EC Bs'!I249/'HAB-POR EC M$'!$D$6/$C$6</f>
        <v>34.756339655999994</v>
      </c>
      <c r="J250" s="22">
        <f>+'HAB-POR EC Bs'!J249/'HAB-POR EC M$'!$D$6/$C$6</f>
        <v>205.004949205</v>
      </c>
      <c r="K250" s="22">
        <f>+'HAB-POR EC Bs'!K249/'HAB-POR EC M$'!$D$6/$C$6</f>
        <v>218.47985705100001</v>
      </c>
      <c r="L250" s="22">
        <f>+'HAB-POR EC Bs'!L249/'HAB-POR EC M$'!$D$6/$C$6</f>
        <v>218.48804076399998</v>
      </c>
      <c r="M250" s="22">
        <f>+'HAB-POR EC Bs'!M249/'HAB-POR EC M$'!$D$6/$C$6</f>
        <v>0</v>
      </c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s="24" customFormat="1" ht="12" x14ac:dyDescent="0.2">
      <c r="A251" s="21" t="s">
        <v>95</v>
      </c>
      <c r="B251" s="22">
        <f>+'HAB-POR EC Bs'!B250/'HAB-POR EC M$'!$B$6/$C$6</f>
        <v>0.58161111111111108</v>
      </c>
      <c r="C251" s="22">
        <f>+'HAB-POR EC Bs'!C250/'HAB-POR EC M$'!$B$6/$C$6</f>
        <v>0.58139365079365091</v>
      </c>
      <c r="D251" s="22">
        <f>+'HAB-POR EC Bs'!D250/'HAB-POR EC M$'!$D$6/$C$6</f>
        <v>0.67471900299999998</v>
      </c>
      <c r="E251" s="22">
        <f>+'HAB-POR EC Bs'!E250/'HAB-POR EC M$'!$D$6/$C$6</f>
        <v>1.1026028300000001</v>
      </c>
      <c r="F251" s="22">
        <f>+'HAB-POR EC Bs'!F250/'HAB-POR EC M$'!$D$6/$C$6</f>
        <v>1.253558368</v>
      </c>
      <c r="G251" s="22">
        <f>+'HAB-POR EC Bs'!G250/'HAB-POR EC M$'!$D$6/$C$6</f>
        <v>0.7330486570000001</v>
      </c>
      <c r="H251" s="22">
        <f>+'HAB-POR EC Bs'!H250/'HAB-POR EC M$'!$D$6/$C$6</f>
        <v>0.73304565700000002</v>
      </c>
      <c r="I251" s="22">
        <f>+'HAB-POR EC Bs'!I250/'HAB-POR EC M$'!$D$6/$C$6</f>
        <v>0.80271403699999999</v>
      </c>
      <c r="J251" s="22">
        <f>+'HAB-POR EC Bs'!J250/'HAB-POR EC M$'!$D$6/$C$6</f>
        <v>0.80270923700000019</v>
      </c>
      <c r="K251" s="22">
        <f>+'HAB-POR EC Bs'!K250/'HAB-POR EC M$'!$D$6/$C$6</f>
        <v>0.80265541700000176</v>
      </c>
      <c r="L251" s="22">
        <f>+'HAB-POR EC Bs'!L250/'HAB-POR EC M$'!$D$6/$C$6</f>
        <v>0.80265541700000176</v>
      </c>
      <c r="M251" s="22">
        <f>+'HAB-POR EC Bs'!M250/'HAB-POR EC M$'!$D$6/$C$6</f>
        <v>0</v>
      </c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s="24" customFormat="1" ht="12" x14ac:dyDescent="0.2">
      <c r="A252" s="21" t="s">
        <v>96</v>
      </c>
      <c r="B252" s="22">
        <f>+'HAB-POR EC Bs'!B251/'HAB-POR EC M$'!$B$6/$C$6</f>
        <v>5.8181095238095235</v>
      </c>
      <c r="C252" s="22">
        <f>+'HAB-POR EC Bs'!C251/'HAB-POR EC M$'!$B$6/$C$6</f>
        <v>11.386146031746032</v>
      </c>
      <c r="D252" s="22">
        <f>+'HAB-POR EC Bs'!D251/'HAB-POR EC M$'!$D$6/$C$6</f>
        <v>6.3828073729999995</v>
      </c>
      <c r="E252" s="22">
        <f>+'HAB-POR EC Bs'!E251/'HAB-POR EC M$'!$D$6/$C$6</f>
        <v>14.197262463000001</v>
      </c>
      <c r="F252" s="22">
        <f>+'HAB-POR EC Bs'!F251/'HAB-POR EC M$'!$D$6/$C$6</f>
        <v>20.934488878</v>
      </c>
      <c r="G252" s="22">
        <f>+'HAB-POR EC Bs'!G251/'HAB-POR EC M$'!$D$6/$C$6</f>
        <v>35.510883514</v>
      </c>
      <c r="H252" s="22">
        <f>+'HAB-POR EC Bs'!H251/'HAB-POR EC M$'!$D$6/$C$6</f>
        <v>50.430452115000008</v>
      </c>
      <c r="I252" s="22">
        <f>+'HAB-POR EC Bs'!I251/'HAB-POR EC M$'!$D$6/$C$6</f>
        <v>61.112791506000001</v>
      </c>
      <c r="J252" s="22">
        <f>+'HAB-POR EC Bs'!J251/'HAB-POR EC M$'!$D$6/$C$6</f>
        <v>70.654355630000012</v>
      </c>
      <c r="K252" s="22">
        <f>+'HAB-POR EC Bs'!K251/'HAB-POR EC M$'!$D$6/$C$6</f>
        <v>53.324965166999995</v>
      </c>
      <c r="L252" s="22">
        <f>+'HAB-POR EC Bs'!L251/'HAB-POR EC M$'!$D$6/$C$6</f>
        <v>54.533638258000003</v>
      </c>
      <c r="M252" s="22">
        <f>+'HAB-POR EC Bs'!M251/'HAB-POR EC M$'!$D$6/$C$6</f>
        <v>0</v>
      </c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s="24" customFormat="1" ht="12" x14ac:dyDescent="0.2">
      <c r="A253" s="21" t="s">
        <v>97</v>
      </c>
      <c r="B253" s="22">
        <f>+'HAB-POR EC Bs'!B252/'HAB-POR EC M$'!$B$6/$C$6</f>
        <v>0</v>
      </c>
      <c r="C253" s="22">
        <f>+'HAB-POR EC Bs'!C252/'HAB-POR EC M$'!$B$6/$C$6</f>
        <v>0</v>
      </c>
      <c r="D253" s="22">
        <f>+'HAB-POR EC Bs'!D252/'HAB-POR EC M$'!$D$6/$C$6</f>
        <v>0</v>
      </c>
      <c r="E253" s="22">
        <f>+'HAB-POR EC Bs'!E252/'HAB-POR EC M$'!$D$6/$C$6</f>
        <v>2.5837466869999997</v>
      </c>
      <c r="F253" s="22">
        <f>+'HAB-POR EC Bs'!F252/'HAB-POR EC M$'!$D$6/$C$6</f>
        <v>14.689069451</v>
      </c>
      <c r="G253" s="22">
        <f>+'HAB-POR EC Bs'!G252/'HAB-POR EC M$'!$D$6/$C$6</f>
        <v>67.348556761999987</v>
      </c>
      <c r="H253" s="22">
        <f>+'HAB-POR EC Bs'!H252/'HAB-POR EC M$'!$D$6/$C$6</f>
        <v>83.405320220000007</v>
      </c>
      <c r="I253" s="22">
        <f>+'HAB-POR EC Bs'!I252/'HAB-POR EC M$'!$D$6/$C$6</f>
        <v>111.687749873</v>
      </c>
      <c r="J253" s="22">
        <f>+'HAB-POR EC Bs'!J252/'HAB-POR EC M$'!$D$6/$C$6</f>
        <v>118.67985061699999</v>
      </c>
      <c r="K253" s="22">
        <f>+'HAB-POR EC Bs'!K252/'HAB-POR EC M$'!$D$6/$C$6</f>
        <v>173.59926312800002</v>
      </c>
      <c r="L253" s="22">
        <f>+'HAB-POR EC Bs'!L252/'HAB-POR EC M$'!$D$6/$C$6</f>
        <v>173.59926312800002</v>
      </c>
      <c r="M253" s="22">
        <f>+'HAB-POR EC Bs'!M252/'HAB-POR EC M$'!$D$6/$C$6</f>
        <v>0</v>
      </c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s="32" customFormat="1" ht="12" x14ac:dyDescent="0.2">
      <c r="A254" s="30" t="s">
        <v>98</v>
      </c>
      <c r="B254" s="31">
        <f>SUM(B249:B253)</f>
        <v>39.808201587301582</v>
      </c>
      <c r="C254" s="31">
        <f t="shared" ref="C254:M254" si="30">SUM(C249:C253)</f>
        <v>85.296201587301596</v>
      </c>
      <c r="D254" s="31">
        <f t="shared" si="30"/>
        <v>53.440280637000001</v>
      </c>
      <c r="E254" s="31">
        <f t="shared" si="30"/>
        <v>111.66301913199999</v>
      </c>
      <c r="F254" s="31">
        <f t="shared" si="30"/>
        <v>130.310929273</v>
      </c>
      <c r="G254" s="31">
        <f t="shared" si="30"/>
        <v>182.59184850599996</v>
      </c>
      <c r="H254" s="31">
        <f t="shared" si="30"/>
        <v>235.24051781100002</v>
      </c>
      <c r="I254" s="31">
        <f t="shared" si="30"/>
        <v>298.678382059</v>
      </c>
      <c r="J254" s="31">
        <f t="shared" si="30"/>
        <v>485.52125074899999</v>
      </c>
      <c r="K254" s="31">
        <f t="shared" si="30"/>
        <v>574.45212798700004</v>
      </c>
      <c r="L254" s="31">
        <f t="shared" si="30"/>
        <v>575.70151368799998</v>
      </c>
      <c r="M254" s="31">
        <f t="shared" si="30"/>
        <v>0</v>
      </c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79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s="47" customFormat="1" ht="11.25" customHeight="1" x14ac:dyDescent="0.2">
      <c r="A256" s="18" t="s">
        <v>129</v>
      </c>
      <c r="B256" s="19" t="s">
        <v>82</v>
      </c>
      <c r="C256" s="19" t="s">
        <v>83</v>
      </c>
      <c r="D256" s="19" t="s">
        <v>84</v>
      </c>
      <c r="E256" s="19" t="s">
        <v>85</v>
      </c>
      <c r="F256" s="19" t="s">
        <v>86</v>
      </c>
      <c r="G256" s="19" t="s">
        <v>87</v>
      </c>
      <c r="H256" s="19" t="s">
        <v>88</v>
      </c>
      <c r="I256" s="19" t="s">
        <v>198</v>
      </c>
      <c r="J256" s="19" t="s">
        <v>89</v>
      </c>
      <c r="K256" s="19" t="s">
        <v>90</v>
      </c>
      <c r="L256" s="19" t="s">
        <v>91</v>
      </c>
      <c r="M256" s="19" t="s">
        <v>92</v>
      </c>
      <c r="N256" s="41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s="24" customFormat="1" ht="12" x14ac:dyDescent="0.2">
      <c r="A257" s="21" t="s">
        <v>93</v>
      </c>
      <c r="B257" s="22">
        <f>+'HAB-POR EC Bs'!B256/'HAB-POR EC M$'!$B$6/$C$6</f>
        <v>6.3619373015873018E-2</v>
      </c>
      <c r="C257" s="22">
        <f>+'HAB-POR EC Bs'!C256/'HAB-POR EC M$'!$B$6/$C$6</f>
        <v>0.12505745238095239</v>
      </c>
      <c r="D257" s="22">
        <f>+'HAB-POR EC Bs'!D256/'HAB-POR EC M$'!$D$6/$C$6</f>
        <v>0.19712228900000001</v>
      </c>
      <c r="E257" s="22">
        <f>+'HAB-POR EC Bs'!E256/'HAB-POR EC M$'!$D$6/$C$6</f>
        <v>0.25814545699999997</v>
      </c>
      <c r="F257" s="22">
        <f>+'HAB-POR EC Bs'!F256/'HAB-POR EC M$'!$D$6/$C$6</f>
        <v>0.32212670100000002</v>
      </c>
      <c r="G257" s="22">
        <f>+'HAB-POR EC Bs'!G256/'HAB-POR EC M$'!$D$6/$C$6</f>
        <v>0.39939321500000002</v>
      </c>
      <c r="H257" s="22">
        <f>+'HAB-POR EC Bs'!H256/'HAB-POR EC M$'!$D$6/$C$6</f>
        <v>0.49273126899999997</v>
      </c>
      <c r="I257" s="22">
        <f>+'HAB-POR EC Bs'!I256/'HAB-POR EC M$'!$D$6/$C$6</f>
        <v>0.60564517100000004</v>
      </c>
      <c r="J257" s="22">
        <f>+'HAB-POR EC Bs'!J256/'HAB-POR EC M$'!$D$6/$C$6</f>
        <v>0.84284510499999998</v>
      </c>
      <c r="K257" s="22">
        <f>+'HAB-POR EC Bs'!K256/'HAB-POR EC M$'!$D$6/$C$6</f>
        <v>1.08207465</v>
      </c>
      <c r="L257" s="22">
        <f>+'HAB-POR EC Bs'!L256/'HAB-POR EC M$'!$D$6/$C$6</f>
        <v>1.08207465</v>
      </c>
      <c r="M257" s="22">
        <f>+'HAB-POR EC Bs'!M256/'HAB-POR EC M$'!$D$6/$C$6</f>
        <v>0</v>
      </c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s="24" customFormat="1" ht="12" x14ac:dyDescent="0.2">
      <c r="A258" s="21" t="s">
        <v>94</v>
      </c>
      <c r="B258" s="22">
        <f>+'HAB-POR EC Bs'!B257/'HAB-POR EC M$'!$B$6/$C$6</f>
        <v>1.4013304761904762E-2</v>
      </c>
      <c r="C258" s="22">
        <f>+'HAB-POR EC Bs'!C257/'HAB-POR EC M$'!$B$6/$C$6</f>
        <v>2.2560882539682539E-2</v>
      </c>
      <c r="D258" s="22">
        <f>+'HAB-POR EC Bs'!D257/'HAB-POR EC M$'!$D$6/$C$6</f>
        <v>2.9470479999999997E-2</v>
      </c>
      <c r="E258" s="22">
        <f>+'HAB-POR EC Bs'!E257/'HAB-POR EC M$'!$D$6/$C$6</f>
        <v>5.1047944999999997E-2</v>
      </c>
      <c r="F258" s="22">
        <f>+'HAB-POR EC Bs'!F257/'HAB-POR EC M$'!$D$6/$C$6</f>
        <v>0.146988486</v>
      </c>
      <c r="G258" s="22">
        <f>+'HAB-POR EC Bs'!G257/'HAB-POR EC M$'!$D$6/$C$6</f>
        <v>0.21772346699999998</v>
      </c>
      <c r="H258" s="22">
        <f>+'HAB-POR EC Bs'!H257/'HAB-POR EC M$'!$D$6/$C$6</f>
        <v>0.26903671100000004</v>
      </c>
      <c r="I258" s="22">
        <f>+'HAB-POR EC Bs'!I257/'HAB-POR EC M$'!$D$6/$C$6</f>
        <v>0.34657781599999998</v>
      </c>
      <c r="J258" s="22">
        <f>+'HAB-POR EC Bs'!J257/'HAB-POR EC M$'!$D$6/$C$6</f>
        <v>2.033263952</v>
      </c>
      <c r="K258" s="22">
        <f>+'HAB-POR EC Bs'!K257/'HAB-POR EC M$'!$D$6/$C$6</f>
        <v>2.178560407</v>
      </c>
      <c r="L258" s="22">
        <f>+'HAB-POR EC Bs'!L257/'HAB-POR EC M$'!$D$6/$C$6</f>
        <v>2.1804891070000005</v>
      </c>
      <c r="M258" s="22">
        <f>+'HAB-POR EC Bs'!M257/'HAB-POR EC M$'!$D$6/$C$6</f>
        <v>0</v>
      </c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s="24" customFormat="1" ht="12" x14ac:dyDescent="0.2">
      <c r="A259" s="21" t="s">
        <v>95</v>
      </c>
      <c r="B259" s="22">
        <f>+'HAB-POR EC Bs'!B258/'HAB-POR EC M$'!$B$6/$C$6</f>
        <v>0</v>
      </c>
      <c r="C259" s="22">
        <f>+'HAB-POR EC Bs'!C258/'HAB-POR EC M$'!$B$6/$C$6</f>
        <v>0</v>
      </c>
      <c r="D259" s="22">
        <f>+'HAB-POR EC Bs'!D258/'HAB-POR EC M$'!$D$6/$C$6</f>
        <v>0</v>
      </c>
      <c r="E259" s="22">
        <f>+'HAB-POR EC Bs'!E258/'HAB-POR EC M$'!$D$6/$C$6</f>
        <v>0</v>
      </c>
      <c r="F259" s="22">
        <f>+'HAB-POR EC Bs'!F258/'HAB-POR EC M$'!$D$6/$C$6</f>
        <v>0</v>
      </c>
      <c r="G259" s="22">
        <f>+'HAB-POR EC Bs'!G258/'HAB-POR EC M$'!$D$6/$C$6</f>
        <v>0</v>
      </c>
      <c r="H259" s="22">
        <f>+'HAB-POR EC Bs'!H258/'HAB-POR EC M$'!$D$6/$C$6</f>
        <v>1.2749999999999999</v>
      </c>
      <c r="I259" s="22">
        <f>+'HAB-POR EC Bs'!I258/'HAB-POR EC M$'!$D$6/$C$6</f>
        <v>1.6570049999999998</v>
      </c>
      <c r="J259" s="22">
        <f>+'HAB-POR EC Bs'!J258/'HAB-POR EC M$'!$D$6/$C$6</f>
        <v>1.6570049999999998</v>
      </c>
      <c r="K259" s="22">
        <f>+'HAB-POR EC Bs'!K258/'HAB-POR EC M$'!$D$6/$C$6</f>
        <v>1.8100049999999999</v>
      </c>
      <c r="L259" s="22">
        <f>+'HAB-POR EC Bs'!L258/'HAB-POR EC M$'!$D$6/$C$6</f>
        <v>1.8100049999999999</v>
      </c>
      <c r="M259" s="22">
        <f>+'HAB-POR EC Bs'!M258/'HAB-POR EC M$'!$D$6/$C$6</f>
        <v>0</v>
      </c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s="24" customFormat="1" ht="12" x14ac:dyDescent="0.2">
      <c r="A260" s="21" t="s">
        <v>96</v>
      </c>
      <c r="B260" s="22">
        <f>+'HAB-POR EC Bs'!B259/'HAB-POR EC M$'!$B$6/$C$6</f>
        <v>8.9521269841269843E-3</v>
      </c>
      <c r="C260" s="22">
        <f>+'HAB-POR EC Bs'!C259/'HAB-POR EC M$'!$B$6/$C$6</f>
        <v>-1.6642306777777778</v>
      </c>
      <c r="D260" s="22">
        <f>+'HAB-POR EC Bs'!D259/'HAB-POR EC M$'!$D$6/$C$6</f>
        <v>7.4009155999999993E-2</v>
      </c>
      <c r="E260" s="22">
        <f>+'HAB-POR EC Bs'!E259/'HAB-POR EC M$'!$D$6/$C$6</f>
        <v>9.6386290999999999E-2</v>
      </c>
      <c r="F260" s="22">
        <f>+'HAB-POR EC Bs'!F259/'HAB-POR EC M$'!$D$6/$C$6</f>
        <v>0.14204409000000001</v>
      </c>
      <c r="G260" s="22">
        <f>+'HAB-POR EC Bs'!G259/'HAB-POR EC M$'!$D$6/$C$6</f>
        <v>0.20511604699999997</v>
      </c>
      <c r="H260" s="22">
        <f>+'HAB-POR EC Bs'!H259/'HAB-POR EC M$'!$D$6/$C$6</f>
        <v>0.28896096799999998</v>
      </c>
      <c r="I260" s="22">
        <f>+'HAB-POR EC Bs'!I259/'HAB-POR EC M$'!$D$6/$C$6</f>
        <v>0.44002449100000002</v>
      </c>
      <c r="J260" s="22">
        <f>+'HAB-POR EC Bs'!J259/'HAB-POR EC M$'!$D$6/$C$6</f>
        <v>0.48896117000000006</v>
      </c>
      <c r="K260" s="22">
        <f>+'HAB-POR EC Bs'!K259/'HAB-POR EC M$'!$D$6/$C$6</f>
        <v>0.61286667699999997</v>
      </c>
      <c r="L260" s="22">
        <f>+'HAB-POR EC Bs'!L259/'HAB-POR EC M$'!$D$6/$C$6</f>
        <v>0.65953103699999993</v>
      </c>
      <c r="M260" s="22">
        <f>+'HAB-POR EC Bs'!M259/'HAB-POR EC M$'!$D$6/$C$6</f>
        <v>0</v>
      </c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s="24" customFormat="1" ht="12" x14ac:dyDescent="0.2">
      <c r="A261" s="21" t="s">
        <v>97</v>
      </c>
      <c r="B261" s="22">
        <f>+'HAB-POR EC Bs'!B260/'HAB-POR EC M$'!$B$6/$C$6</f>
        <v>0</v>
      </c>
      <c r="C261" s="22">
        <f>+'HAB-POR EC Bs'!C260/'HAB-POR EC M$'!$B$6/$C$6</f>
        <v>0</v>
      </c>
      <c r="D261" s="22">
        <f>+'HAB-POR EC Bs'!D260/'HAB-POR EC M$'!$D$6/$C$6</f>
        <v>0</v>
      </c>
      <c r="E261" s="22">
        <f>+'HAB-POR EC Bs'!E260/'HAB-POR EC M$'!$D$6/$C$6</f>
        <v>0</v>
      </c>
      <c r="F261" s="22">
        <f>+'HAB-POR EC Bs'!F260/'HAB-POR EC M$'!$D$6/$C$6</f>
        <v>0</v>
      </c>
      <c r="G261" s="22">
        <f>+'HAB-POR EC Bs'!G260/'HAB-POR EC M$'!$D$6/$C$6</f>
        <v>0</v>
      </c>
      <c r="H261" s="22">
        <f>+'HAB-POR EC Bs'!H260/'HAB-POR EC M$'!$D$6/$C$6</f>
        <v>0</v>
      </c>
      <c r="I261" s="22">
        <f>+'HAB-POR EC Bs'!I260/'HAB-POR EC M$'!$D$6/$C$6</f>
        <v>0</v>
      </c>
      <c r="J261" s="22">
        <f>+'HAB-POR EC Bs'!J260/'HAB-POR EC M$'!$D$6/$C$6</f>
        <v>0</v>
      </c>
      <c r="K261" s="22">
        <f>+'HAB-POR EC Bs'!K260/'HAB-POR EC M$'!$D$6/$C$6</f>
        <v>0</v>
      </c>
      <c r="L261" s="22">
        <f>+'HAB-POR EC Bs'!L260/'HAB-POR EC M$'!$D$6/$C$6</f>
        <v>0</v>
      </c>
      <c r="M261" s="22">
        <f>+'HAB-POR EC Bs'!M260/'HAB-POR EC M$'!$D$6/$C$6</f>
        <v>0</v>
      </c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s="32" customFormat="1" ht="12" x14ac:dyDescent="0.2">
      <c r="A262" s="30" t="s">
        <v>98</v>
      </c>
      <c r="B262" s="31">
        <f>SUM(B257:B261)</f>
        <v>8.6584804761904763E-2</v>
      </c>
      <c r="C262" s="31">
        <f t="shared" ref="C262:M262" si="31">SUM(C257:C261)</f>
        <v>-1.516612342857143</v>
      </c>
      <c r="D262" s="31">
        <f t="shared" si="31"/>
        <v>0.30060192499999999</v>
      </c>
      <c r="E262" s="31">
        <f t="shared" si="31"/>
        <v>0.40557969299999996</v>
      </c>
      <c r="F262" s="31">
        <f t="shared" si="31"/>
        <v>0.61115927700000006</v>
      </c>
      <c r="G262" s="31">
        <f t="shared" si="31"/>
        <v>0.822232729</v>
      </c>
      <c r="H262" s="31">
        <f t="shared" si="31"/>
        <v>2.3257289480000001</v>
      </c>
      <c r="I262" s="31">
        <f t="shared" si="31"/>
        <v>3.0492524779999997</v>
      </c>
      <c r="J262" s="31">
        <f t="shared" si="31"/>
        <v>5.0220752270000002</v>
      </c>
      <c r="K262" s="31">
        <f t="shared" si="31"/>
        <v>5.6835067339999998</v>
      </c>
      <c r="L262" s="31">
        <f t="shared" si="31"/>
        <v>5.7320997940000007</v>
      </c>
      <c r="M262" s="31">
        <f t="shared" si="31"/>
        <v>0</v>
      </c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83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</row>
    <row r="264" spans="1:26" s="47" customFormat="1" x14ac:dyDescent="0.2">
      <c r="A264" s="18" t="s">
        <v>130</v>
      </c>
      <c r="B264" s="19" t="s">
        <v>82</v>
      </c>
      <c r="C264" s="19" t="s">
        <v>83</v>
      </c>
      <c r="D264" s="19" t="s">
        <v>84</v>
      </c>
      <c r="E264" s="19" t="s">
        <v>85</v>
      </c>
      <c r="F264" s="19" t="s">
        <v>86</v>
      </c>
      <c r="G264" s="19" t="s">
        <v>87</v>
      </c>
      <c r="H264" s="19" t="s">
        <v>88</v>
      </c>
      <c r="I264" s="19" t="s">
        <v>198</v>
      </c>
      <c r="J264" s="19" t="s">
        <v>89</v>
      </c>
      <c r="K264" s="19" t="s">
        <v>90</v>
      </c>
      <c r="L264" s="19" t="s">
        <v>91</v>
      </c>
      <c r="M264" s="19" t="s">
        <v>92</v>
      </c>
      <c r="N264" s="41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s="24" customFormat="1" ht="12" x14ac:dyDescent="0.2">
      <c r="A265" s="21" t="s">
        <v>93</v>
      </c>
      <c r="B265" s="22">
        <f>+'HAB-POR EC Bs'!B264/'HAB-POR EC M$'!$B$6/$C$6</f>
        <v>0.47801587301587301</v>
      </c>
      <c r="C265" s="22">
        <f>+'HAB-POR EC Bs'!C264/'HAB-POR EC M$'!$B$6/$C$6</f>
        <v>1.194936507936508</v>
      </c>
      <c r="D265" s="22">
        <f>+'HAB-POR EC Bs'!D264/'HAB-POR EC M$'!$D$6/$C$6</f>
        <v>1.382332648</v>
      </c>
      <c r="E265" s="22">
        <f>+'HAB-POR EC Bs'!E264/'HAB-POR EC M$'!$D$6/$C$6</f>
        <v>1.81366793</v>
      </c>
      <c r="F265" s="22">
        <f>+'HAB-POR EC Bs'!F264/'HAB-POR EC M$'!$D$6/$C$6</f>
        <v>2.2606087120000002</v>
      </c>
      <c r="G265" s="22">
        <f>+'HAB-POR EC Bs'!G264/'HAB-POR EC M$'!$D$6/$C$6</f>
        <v>2.7916269069999999</v>
      </c>
      <c r="H265" s="22">
        <f>+'HAB-POR EC Bs'!H264/'HAB-POR EC M$'!$D$6/$C$6</f>
        <v>3.4252681849999997</v>
      </c>
      <c r="I265" s="22">
        <f>+'HAB-POR EC Bs'!I264/'HAB-POR EC M$'!$D$6/$C$6</f>
        <v>4.149819452</v>
      </c>
      <c r="J265" s="22">
        <f>+'HAB-POR EC Bs'!J264/'HAB-POR EC M$'!$D$6/$C$6</f>
        <v>5.0967333209999994</v>
      </c>
      <c r="K265" s="22">
        <f>+'HAB-POR EC Bs'!K264/'HAB-POR EC M$'!$D$6/$C$6</f>
        <v>6.2525470780000001</v>
      </c>
      <c r="L265" s="22">
        <f>+'HAB-POR EC Bs'!L264/'HAB-POR EC M$'!$D$6/$C$6</f>
        <v>6.2525470780000001</v>
      </c>
      <c r="M265" s="22">
        <f>+'HAB-POR EC Bs'!M264/'HAB-POR EC M$'!$D$6/$C$6</f>
        <v>0</v>
      </c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s="24" customFormat="1" ht="12" x14ac:dyDescent="0.2">
      <c r="A266" s="21" t="s">
        <v>94</v>
      </c>
      <c r="B266" s="22">
        <f>+'HAB-POR EC Bs'!B265/'HAB-POR EC M$'!$B$6/$C$6</f>
        <v>0.17039206349206351</v>
      </c>
      <c r="C266" s="22">
        <f>+'HAB-POR EC Bs'!C265/'HAB-POR EC M$'!$B$6/$C$6</f>
        <v>0.33118571428571425</v>
      </c>
      <c r="D266" s="22">
        <f>+'HAB-POR EC Bs'!D265/'HAB-POR EC M$'!$D$6/$C$6</f>
        <v>0.32927209600000001</v>
      </c>
      <c r="E266" s="22">
        <f>+'HAB-POR EC Bs'!E265/'HAB-POR EC M$'!$D$6/$C$6</f>
        <v>0.47239665699999994</v>
      </c>
      <c r="F266" s="22">
        <f>+'HAB-POR EC Bs'!F265/'HAB-POR EC M$'!$D$6/$C$6</f>
        <v>0.75234242900000003</v>
      </c>
      <c r="G266" s="22">
        <f>+'HAB-POR EC Bs'!G265/'HAB-POR EC M$'!$D$6/$C$6</f>
        <v>1.0896140489999999</v>
      </c>
      <c r="H266" s="22">
        <f>+'HAB-POR EC Bs'!H265/'HAB-POR EC M$'!$D$6/$C$6</f>
        <v>1.3504156539999999</v>
      </c>
      <c r="I266" s="22">
        <f>+'HAB-POR EC Bs'!I265/'HAB-POR EC M$'!$D$6/$C$6</f>
        <v>1.7282137449999997</v>
      </c>
      <c r="J266" s="22">
        <f>+'HAB-POR EC Bs'!J265/'HAB-POR EC M$'!$D$6/$C$6</f>
        <v>9.7867830740000006</v>
      </c>
      <c r="K266" s="22">
        <f>+'HAB-POR EC Bs'!K265/'HAB-POR EC M$'!$D$6/$C$6</f>
        <v>10.327949897</v>
      </c>
      <c r="L266" s="22">
        <f>+'HAB-POR EC Bs'!L265/'HAB-POR EC M$'!$D$6/$C$6</f>
        <v>10.327949897</v>
      </c>
      <c r="M266" s="22">
        <f>+'HAB-POR EC Bs'!M265/'HAB-POR EC M$'!$D$6/$C$6</f>
        <v>0</v>
      </c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s="24" customFormat="1" ht="12" x14ac:dyDescent="0.2">
      <c r="A267" s="21" t="s">
        <v>95</v>
      </c>
      <c r="B267" s="22">
        <f>+'HAB-POR EC Bs'!B266/'HAB-POR EC M$'!$B$6/$C$6</f>
        <v>9.3650793650793657E-4</v>
      </c>
      <c r="C267" s="22">
        <f>+'HAB-POR EC Bs'!C266/'HAB-POR EC M$'!$B$6/$C$6</f>
        <v>9.3650793650793657E-4</v>
      </c>
      <c r="D267" s="22">
        <f>+'HAB-POR EC Bs'!D266/'HAB-POR EC M$'!$D$6/$C$6</f>
        <v>5.9000000000000003E-4</v>
      </c>
      <c r="E267" s="22">
        <f>+'HAB-POR EC Bs'!E266/'HAB-POR EC M$'!$D$6/$C$6</f>
        <v>1.1800000000000001E-3</v>
      </c>
      <c r="F267" s="22">
        <f>+'HAB-POR EC Bs'!F266/'HAB-POR EC M$'!$D$6/$C$6</f>
        <v>0.1474743</v>
      </c>
      <c r="G267" s="22">
        <f>+'HAB-POR EC Bs'!G266/'HAB-POR EC M$'!$D$6/$C$6</f>
        <v>0.1474743</v>
      </c>
      <c r="H267" s="22">
        <f>+'HAB-POR EC Bs'!H266/'HAB-POR EC M$'!$D$6/$C$6</f>
        <v>0.72406429999999999</v>
      </c>
      <c r="I267" s="22">
        <f>+'HAB-POR EC Bs'!I266/'HAB-POR EC M$'!$D$6/$C$6</f>
        <v>4.6677013000000001</v>
      </c>
      <c r="J267" s="22">
        <f>+'HAB-POR EC Bs'!J266/'HAB-POR EC M$'!$D$6/$C$6</f>
        <v>5.6279963000000004</v>
      </c>
      <c r="K267" s="22">
        <f>+'HAB-POR EC Bs'!K266/'HAB-POR EC M$'!$D$6/$C$6</f>
        <v>5.6279963000000004</v>
      </c>
      <c r="L267" s="22">
        <f>+'HAB-POR EC Bs'!L266/'HAB-POR EC M$'!$D$6/$C$6</f>
        <v>5.6279963000000004</v>
      </c>
      <c r="M267" s="22">
        <f>+'HAB-POR EC Bs'!M266/'HAB-POR EC M$'!$D$6/$C$6</f>
        <v>0</v>
      </c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s="24" customFormat="1" ht="12" x14ac:dyDescent="0.2">
      <c r="A268" s="21" t="s">
        <v>96</v>
      </c>
      <c r="B268" s="22">
        <f>+'HAB-POR EC Bs'!B267/'HAB-POR EC M$'!$B$6/$C$6</f>
        <v>4.6385714285714294E-2</v>
      </c>
      <c r="C268" s="22">
        <f>+'HAB-POR EC Bs'!C267/'HAB-POR EC M$'!$B$6/$C$6</f>
        <v>0.25107777777777779</v>
      </c>
      <c r="D268" s="22">
        <f>+'HAB-POR EC Bs'!D267/'HAB-POR EC M$'!$D$6/$C$6</f>
        <v>0.21140096600000002</v>
      </c>
      <c r="E268" s="22">
        <f>+'HAB-POR EC Bs'!E267/'HAB-POR EC M$'!$D$6/$C$6</f>
        <v>0.34200988100000002</v>
      </c>
      <c r="F268" s="22">
        <f>+'HAB-POR EC Bs'!F267/'HAB-POR EC M$'!$D$6/$C$6</f>
        <v>0.40764357699999998</v>
      </c>
      <c r="G268" s="22">
        <f>+'HAB-POR EC Bs'!G267/'HAB-POR EC M$'!$D$6/$C$6</f>
        <v>0.66125743699999995</v>
      </c>
      <c r="H268" s="22">
        <f>+'HAB-POR EC Bs'!H267/'HAB-POR EC M$'!$D$6/$C$6</f>
        <v>0.89083785000000015</v>
      </c>
      <c r="I268" s="22">
        <f>+'HAB-POR EC Bs'!I267/'HAB-POR EC M$'!$D$6/$C$6</f>
        <v>1.171007999</v>
      </c>
      <c r="J268" s="22">
        <f>+'HAB-POR EC Bs'!J267/'HAB-POR EC M$'!$D$6/$C$6</f>
        <v>1.470959841</v>
      </c>
      <c r="K268" s="22">
        <f>+'HAB-POR EC Bs'!K267/'HAB-POR EC M$'!$D$6/$C$6</f>
        <v>1.7530524240000001</v>
      </c>
      <c r="L268" s="22">
        <f>+'HAB-POR EC Bs'!L267/'HAB-POR EC M$'!$D$6/$C$6</f>
        <v>1.890127345</v>
      </c>
      <c r="M268" s="22">
        <f>+'HAB-POR EC Bs'!M267/'HAB-POR EC M$'!$D$6/$C$6</f>
        <v>0</v>
      </c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s="24" customFormat="1" ht="12" x14ac:dyDescent="0.2">
      <c r="A269" s="21" t="s">
        <v>97</v>
      </c>
      <c r="B269" s="22">
        <f>+'HAB-POR EC Bs'!B268/'HAB-POR EC M$'!$B$6/$C$6</f>
        <v>0</v>
      </c>
      <c r="C269" s="22">
        <f>+'HAB-POR EC Bs'!C268/'HAB-POR EC M$'!$B$6/$C$6</f>
        <v>0</v>
      </c>
      <c r="D269" s="22">
        <f>+'HAB-POR EC Bs'!D268/'HAB-POR EC M$'!$D$6/$C$6</f>
        <v>0</v>
      </c>
      <c r="E269" s="22">
        <f>+'HAB-POR EC Bs'!E268/'HAB-POR EC M$'!$D$6/$C$6</f>
        <v>0</v>
      </c>
      <c r="F269" s="22">
        <f>+'HAB-POR EC Bs'!F268/'HAB-POR EC M$'!$D$6/$C$6</f>
        <v>0</v>
      </c>
      <c r="G269" s="22">
        <f>+'HAB-POR EC Bs'!G268/'HAB-POR EC M$'!$D$6/$C$6</f>
        <v>0</v>
      </c>
      <c r="H269" s="22">
        <f>+'HAB-POR EC Bs'!H268/'HAB-POR EC M$'!$D$6/$C$6</f>
        <v>0</v>
      </c>
      <c r="I269" s="22">
        <f>+'HAB-POR EC Bs'!I268/'HAB-POR EC M$'!$D$6/$C$6</f>
        <v>0</v>
      </c>
      <c r="J269" s="22">
        <f>+'HAB-POR EC Bs'!J268/'HAB-POR EC M$'!$D$6/$C$6</f>
        <v>0</v>
      </c>
      <c r="K269" s="22">
        <f>+'HAB-POR EC Bs'!K268/'HAB-POR EC M$'!$D$6/$C$6</f>
        <v>0</v>
      </c>
      <c r="L269" s="22">
        <f>+'HAB-POR EC Bs'!L268/'HAB-POR EC M$'!$D$6/$C$6</f>
        <v>0</v>
      </c>
      <c r="M269" s="22">
        <f>+'HAB-POR EC Bs'!M268/'HAB-POR EC M$'!$D$6/$C$6</f>
        <v>0</v>
      </c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s="32" customFormat="1" ht="12" x14ac:dyDescent="0.2">
      <c r="A270" s="30" t="s">
        <v>98</v>
      </c>
      <c r="B270" s="31">
        <f>SUM(B265:B269)</f>
        <v>0.69573015873015864</v>
      </c>
      <c r="C270" s="31">
        <f t="shared" ref="C270:M270" si="32">SUM(C265:C269)</f>
        <v>1.7781365079365079</v>
      </c>
      <c r="D270" s="31">
        <f t="shared" si="32"/>
        <v>1.9235957100000001</v>
      </c>
      <c r="E270" s="31">
        <f t="shared" si="32"/>
        <v>2.6292544680000001</v>
      </c>
      <c r="F270" s="31">
        <f t="shared" si="32"/>
        <v>3.5680690180000001</v>
      </c>
      <c r="G270" s="31">
        <f t="shared" si="32"/>
        <v>4.6899726929999996</v>
      </c>
      <c r="H270" s="31">
        <f t="shared" si="32"/>
        <v>6.3905859889999999</v>
      </c>
      <c r="I270" s="31">
        <f t="shared" si="32"/>
        <v>11.716742496</v>
      </c>
      <c r="J270" s="31">
        <f t="shared" si="32"/>
        <v>21.982472536</v>
      </c>
      <c r="K270" s="31">
        <f t="shared" si="32"/>
        <v>23.961545698999998</v>
      </c>
      <c r="L270" s="31">
        <f t="shared" si="32"/>
        <v>24.098620619999998</v>
      </c>
      <c r="M270" s="31">
        <f t="shared" si="32"/>
        <v>0</v>
      </c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71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</row>
    <row r="272" spans="1:26" s="47" customFormat="1" ht="11.25" customHeight="1" x14ac:dyDescent="0.2">
      <c r="A272" s="18" t="s">
        <v>131</v>
      </c>
      <c r="B272" s="19" t="s">
        <v>82</v>
      </c>
      <c r="C272" s="19" t="s">
        <v>83</v>
      </c>
      <c r="D272" s="19" t="s">
        <v>84</v>
      </c>
      <c r="E272" s="19" t="s">
        <v>85</v>
      </c>
      <c r="F272" s="19" t="s">
        <v>86</v>
      </c>
      <c r="G272" s="19" t="s">
        <v>87</v>
      </c>
      <c r="H272" s="19" t="s">
        <v>88</v>
      </c>
      <c r="I272" s="19" t="s">
        <v>198</v>
      </c>
      <c r="J272" s="19" t="s">
        <v>89</v>
      </c>
      <c r="K272" s="19" t="s">
        <v>90</v>
      </c>
      <c r="L272" s="19" t="s">
        <v>91</v>
      </c>
      <c r="M272" s="19" t="s">
        <v>92</v>
      </c>
      <c r="N272" s="41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s="24" customFormat="1" ht="12" x14ac:dyDescent="0.2">
      <c r="A273" s="21" t="s">
        <v>93</v>
      </c>
      <c r="B273" s="22">
        <f>+'HAB-POR EC Bs'!B272/'HAB-POR EC M$'!$B$6/$C$6</f>
        <v>0.31118080476190479</v>
      </c>
      <c r="C273" s="22">
        <f>+'HAB-POR EC Bs'!C272/'HAB-POR EC M$'!$B$6/$C$6</f>
        <v>0.65194326507936506</v>
      </c>
      <c r="D273" s="22">
        <f>+'HAB-POR EC Bs'!D272/'HAB-POR EC M$'!$D$6/$C$6</f>
        <v>1.024182256</v>
      </c>
      <c r="E273" s="22">
        <f>+'HAB-POR EC Bs'!E272/'HAB-POR EC M$'!$D$6/$C$6</f>
        <v>1.3447261309999998</v>
      </c>
      <c r="F273" s="22">
        <f>+'HAB-POR EC Bs'!F272/'HAB-POR EC M$'!$D$6/$C$6</f>
        <v>1.6956936650000001</v>
      </c>
      <c r="G273" s="22">
        <f>+'HAB-POR EC Bs'!G272/'HAB-POR EC M$'!$D$6/$C$6</f>
        <v>2.159933444</v>
      </c>
      <c r="H273" s="22">
        <f>+'HAB-POR EC Bs'!H272/'HAB-POR EC M$'!$D$6/$C$6</f>
        <v>2.6790871109999999</v>
      </c>
      <c r="I273" s="22">
        <f>+'HAB-POR EC Bs'!I272/'HAB-POR EC M$'!$D$6/$C$6</f>
        <v>3.1708168219999999</v>
      </c>
      <c r="J273" s="22">
        <f>+'HAB-POR EC Bs'!J272/'HAB-POR EC M$'!$D$6/$C$6</f>
        <v>3.9830942669999994</v>
      </c>
      <c r="K273" s="22">
        <f>+'HAB-POR EC Bs'!K272/'HAB-POR EC M$'!$D$6/$C$6</f>
        <v>4.7949846999999997</v>
      </c>
      <c r="L273" s="22">
        <f>+'HAB-POR EC Bs'!L272/'HAB-POR EC M$'!$D$6/$C$6</f>
        <v>4.8229581430000001</v>
      </c>
      <c r="M273" s="22">
        <f>+'HAB-POR EC Bs'!M272/'HAB-POR EC M$'!$D$6/$C$6</f>
        <v>0</v>
      </c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s="24" customFormat="1" ht="12" x14ac:dyDescent="0.2">
      <c r="A274" s="21" t="s">
        <v>94</v>
      </c>
      <c r="B274" s="22">
        <f>+'HAB-POR EC Bs'!B273/'HAB-POR EC M$'!$B$6/$C$6</f>
        <v>5.9704801587301591E-2</v>
      </c>
      <c r="C274" s="22">
        <f>+'HAB-POR EC Bs'!C273/'HAB-POR EC M$'!$B$6/$C$6</f>
        <v>0.16898715555555555</v>
      </c>
      <c r="D274" s="22">
        <f>+'HAB-POR EC Bs'!D273/'HAB-POR EC M$'!$D$6/$C$6</f>
        <v>0.203889601</v>
      </c>
      <c r="E274" s="22">
        <f>+'HAB-POR EC Bs'!E273/'HAB-POR EC M$'!$D$6/$C$6</f>
        <v>0.31231845499999999</v>
      </c>
      <c r="F274" s="22">
        <f>+'HAB-POR EC Bs'!F273/'HAB-POR EC M$'!$D$6/$C$6</f>
        <v>0.53687087700000002</v>
      </c>
      <c r="G274" s="22">
        <f>+'HAB-POR EC Bs'!G273/'HAB-POR EC M$'!$D$6/$C$6</f>
        <v>0.81286424999999995</v>
      </c>
      <c r="H274" s="22">
        <f>+'HAB-POR EC Bs'!H273/'HAB-POR EC M$'!$D$6/$C$6</f>
        <v>1.051429398</v>
      </c>
      <c r="I274" s="22">
        <f>+'HAB-POR EC Bs'!I273/'HAB-POR EC M$'!$D$6/$C$6</f>
        <v>1.3137298470000001</v>
      </c>
      <c r="J274" s="22">
        <f>+'HAB-POR EC Bs'!J273/'HAB-POR EC M$'!$D$6/$C$6</f>
        <v>7.287478922</v>
      </c>
      <c r="K274" s="22">
        <f>+'HAB-POR EC Bs'!K273/'HAB-POR EC M$'!$D$6/$C$6</f>
        <v>7.7302044750000007</v>
      </c>
      <c r="L274" s="22">
        <f>+'HAB-POR EC Bs'!L273/'HAB-POR EC M$'!$D$6/$C$6</f>
        <v>7.735224863</v>
      </c>
      <c r="M274" s="22">
        <f>+'HAB-POR EC Bs'!M273/'HAB-POR EC M$'!$D$6/$C$6</f>
        <v>0</v>
      </c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s="24" customFormat="1" ht="12" x14ac:dyDescent="0.2">
      <c r="A275" s="21" t="s">
        <v>95</v>
      </c>
      <c r="B275" s="22">
        <f>+'HAB-POR EC Bs'!B274/'HAB-POR EC M$'!$B$6/$C$6</f>
        <v>0</v>
      </c>
      <c r="C275" s="22">
        <f>+'HAB-POR EC Bs'!C274/'HAB-POR EC M$'!$B$6/$C$6</f>
        <v>0</v>
      </c>
      <c r="D275" s="22">
        <f>+'HAB-POR EC Bs'!D274/'HAB-POR EC M$'!$D$6/$C$6</f>
        <v>0</v>
      </c>
      <c r="E275" s="22">
        <f>+'HAB-POR EC Bs'!E274/'HAB-POR EC M$'!$D$6/$C$6</f>
        <v>0</v>
      </c>
      <c r="F275" s="22">
        <f>+'HAB-POR EC Bs'!F274/'HAB-POR EC M$'!$D$6/$C$6</f>
        <v>0</v>
      </c>
      <c r="G275" s="22">
        <f>+'HAB-POR EC Bs'!G274/'HAB-POR EC M$'!$D$6/$C$6</f>
        <v>0</v>
      </c>
      <c r="H275" s="22">
        <f>+'HAB-POR EC Bs'!H274/'HAB-POR EC M$'!$D$6/$C$6</f>
        <v>0</v>
      </c>
      <c r="I275" s="22">
        <f>+'HAB-POR EC Bs'!I274/'HAB-POR EC M$'!$D$6/$C$6</f>
        <v>1.9039999999999999E-4</v>
      </c>
      <c r="J275" s="22">
        <f>+'HAB-POR EC Bs'!J274/'HAB-POR EC M$'!$D$6/$C$6</f>
        <v>1.9039999999999999E-4</v>
      </c>
      <c r="K275" s="22">
        <f>+'HAB-POR EC Bs'!K274/'HAB-POR EC M$'!$D$6/$C$6</f>
        <v>1.5570400000000002E-2</v>
      </c>
      <c r="L275" s="22">
        <f>+'HAB-POR EC Bs'!L274/'HAB-POR EC M$'!$D$6/$C$6</f>
        <v>0.26546529999999996</v>
      </c>
      <c r="M275" s="22">
        <f>+'HAB-POR EC Bs'!M274/'HAB-POR EC M$'!$D$6/$C$6</f>
        <v>0</v>
      </c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s="24" customFormat="1" ht="12" x14ac:dyDescent="0.2">
      <c r="A276" s="21" t="s">
        <v>96</v>
      </c>
      <c r="B276" s="22">
        <f>+'HAB-POR EC Bs'!B275/'HAB-POR EC M$'!$B$6/$C$6</f>
        <v>0.27901105396825399</v>
      </c>
      <c r="C276" s="22">
        <f>+'HAB-POR EC Bs'!C275/'HAB-POR EC M$'!$B$6/$C$6</f>
        <v>0.85091717936507938</v>
      </c>
      <c r="D276" s="22">
        <f>+'HAB-POR EC Bs'!D275/'HAB-POR EC M$'!$D$6/$C$6</f>
        <v>0.83152163600000006</v>
      </c>
      <c r="E276" s="22">
        <f>+'HAB-POR EC Bs'!E275/'HAB-POR EC M$'!$D$6/$C$6</f>
        <v>0.95382844</v>
      </c>
      <c r="F276" s="22">
        <f>+'HAB-POR EC Bs'!F275/'HAB-POR EC M$'!$D$6/$C$6</f>
        <v>1.4814102790000001</v>
      </c>
      <c r="G276" s="22">
        <f>+'HAB-POR EC Bs'!G275/'HAB-POR EC M$'!$D$6/$C$6</f>
        <v>1.8437604650000001</v>
      </c>
      <c r="H276" s="22">
        <f>+'HAB-POR EC Bs'!H275/'HAB-POR EC M$'!$D$6/$C$6</f>
        <v>2.6450377469999999</v>
      </c>
      <c r="I276" s="22">
        <f>+'HAB-POR EC Bs'!I275/'HAB-POR EC M$'!$D$6/$C$6</f>
        <v>3.3698127200000005</v>
      </c>
      <c r="J276" s="22">
        <f>+'HAB-POR EC Bs'!J275/'HAB-POR EC M$'!$D$6/$C$6</f>
        <v>4.2509118589999995</v>
      </c>
      <c r="K276" s="22">
        <f>+'HAB-POR EC Bs'!K275/'HAB-POR EC M$'!$D$6/$C$6</f>
        <v>5.1273721869999997</v>
      </c>
      <c r="L276" s="22">
        <f>+'HAB-POR EC Bs'!L275/'HAB-POR EC M$'!$D$6/$C$6</f>
        <v>5.4470858060000005</v>
      </c>
      <c r="M276" s="22">
        <f>+'HAB-POR EC Bs'!M275/'HAB-POR EC M$'!$D$6/$C$6</f>
        <v>0</v>
      </c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s="24" customFormat="1" ht="12" x14ac:dyDescent="0.2">
      <c r="A277" s="21" t="s">
        <v>97</v>
      </c>
      <c r="B277" s="22">
        <f>+'HAB-POR EC Bs'!B276/'HAB-POR EC M$'!$B$6/$C$6</f>
        <v>0</v>
      </c>
      <c r="C277" s="22">
        <f>+'HAB-POR EC Bs'!C276/'HAB-POR EC M$'!$B$6/$C$6</f>
        <v>0</v>
      </c>
      <c r="D277" s="22">
        <f>+'HAB-POR EC Bs'!D276/'HAB-POR EC M$'!$D$6/$C$6</f>
        <v>0</v>
      </c>
      <c r="E277" s="22">
        <f>+'HAB-POR EC Bs'!E276/'HAB-POR EC M$'!$D$6/$C$6</f>
        <v>0</v>
      </c>
      <c r="F277" s="22">
        <f>+'HAB-POR EC Bs'!F276/'HAB-POR EC M$'!$D$6/$C$6</f>
        <v>0</v>
      </c>
      <c r="G277" s="22">
        <f>+'HAB-POR EC Bs'!G276/'HAB-POR EC M$'!$D$6/$C$6</f>
        <v>0</v>
      </c>
      <c r="H277" s="22">
        <f>+'HAB-POR EC Bs'!H276/'HAB-POR EC M$'!$D$6/$C$6</f>
        <v>0</v>
      </c>
      <c r="I277" s="22">
        <f>+'HAB-POR EC Bs'!I276/'HAB-POR EC M$'!$D$6/$C$6</f>
        <v>0</v>
      </c>
      <c r="J277" s="22">
        <f>+'HAB-POR EC Bs'!J276/'HAB-POR EC M$'!$D$6/$C$6</f>
        <v>0</v>
      </c>
      <c r="K277" s="22">
        <f>+'HAB-POR EC Bs'!K276/'HAB-POR EC M$'!$D$6/$C$6</f>
        <v>0</v>
      </c>
      <c r="L277" s="22">
        <f>+'HAB-POR EC Bs'!L276/'HAB-POR EC M$'!$D$6/$C$6</f>
        <v>0</v>
      </c>
      <c r="M277" s="22">
        <f>+'HAB-POR EC Bs'!M276/'HAB-POR EC M$'!$D$6/$C$6</f>
        <v>0</v>
      </c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s="32" customFormat="1" ht="12" x14ac:dyDescent="0.2">
      <c r="A278" s="30" t="s">
        <v>98</v>
      </c>
      <c r="B278" s="31">
        <f>SUM(B273:B277)</f>
        <v>0.6498966603174603</v>
      </c>
      <c r="C278" s="31">
        <f t="shared" ref="C278:M278" si="33">SUM(C273:C277)</f>
        <v>1.6718476</v>
      </c>
      <c r="D278" s="31">
        <f t="shared" si="33"/>
        <v>2.0595934929999999</v>
      </c>
      <c r="E278" s="31">
        <f t="shared" si="33"/>
        <v>2.6108730259999997</v>
      </c>
      <c r="F278" s="31">
        <f t="shared" si="33"/>
        <v>3.7139748209999999</v>
      </c>
      <c r="G278" s="31">
        <f t="shared" si="33"/>
        <v>4.8165581590000004</v>
      </c>
      <c r="H278" s="31">
        <f t="shared" si="33"/>
        <v>6.375554256</v>
      </c>
      <c r="I278" s="31">
        <f t="shared" si="33"/>
        <v>7.8545497890000009</v>
      </c>
      <c r="J278" s="31">
        <f t="shared" si="33"/>
        <v>15.521675448</v>
      </c>
      <c r="K278" s="31">
        <f t="shared" si="33"/>
        <v>17.668131762000002</v>
      </c>
      <c r="L278" s="31">
        <f t="shared" si="33"/>
        <v>18.270734112</v>
      </c>
      <c r="M278" s="31">
        <f t="shared" si="33"/>
        <v>0</v>
      </c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71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</row>
    <row r="280" spans="1:26" s="47" customFormat="1" ht="11.25" customHeight="1" x14ac:dyDescent="0.2">
      <c r="A280" s="18" t="s">
        <v>132</v>
      </c>
      <c r="B280" s="19" t="s">
        <v>82</v>
      </c>
      <c r="C280" s="19" t="s">
        <v>83</v>
      </c>
      <c r="D280" s="19" t="s">
        <v>84</v>
      </c>
      <c r="E280" s="19" t="s">
        <v>85</v>
      </c>
      <c r="F280" s="19" t="s">
        <v>86</v>
      </c>
      <c r="G280" s="19" t="s">
        <v>87</v>
      </c>
      <c r="H280" s="19" t="s">
        <v>88</v>
      </c>
      <c r="I280" s="19" t="s">
        <v>198</v>
      </c>
      <c r="J280" s="19" t="s">
        <v>89</v>
      </c>
      <c r="K280" s="19" t="s">
        <v>90</v>
      </c>
      <c r="L280" s="19" t="s">
        <v>91</v>
      </c>
      <c r="M280" s="19" t="s">
        <v>92</v>
      </c>
      <c r="N280" s="41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s="24" customFormat="1" ht="12" x14ac:dyDescent="0.2">
      <c r="A281" s="21" t="s">
        <v>93</v>
      </c>
      <c r="B281" s="22">
        <f>+'HAB-POR EC Bs'!B280/'HAB-POR EC M$'!$B$6/$C$6</f>
        <v>0</v>
      </c>
      <c r="C281" s="22">
        <f>+'HAB-POR EC Bs'!C280/'HAB-POR EC M$'!$B$6/$C$6</f>
        <v>0</v>
      </c>
      <c r="D281" s="22">
        <f>+'HAB-POR EC Bs'!D280/'HAB-POR EC M$'!$D$6/$C$6</f>
        <v>0</v>
      </c>
      <c r="E281" s="22">
        <f>+'HAB-POR EC Bs'!E280/'HAB-POR EC M$'!$D$6/$C$6</f>
        <v>0</v>
      </c>
      <c r="F281" s="22">
        <f>+'HAB-POR EC Bs'!F280/'HAB-POR EC M$'!$D$6/$C$6</f>
        <v>0</v>
      </c>
      <c r="G281" s="22">
        <f>+'HAB-POR EC Bs'!G280/'HAB-POR EC M$'!$D$6/$C$6</f>
        <v>0</v>
      </c>
      <c r="H281" s="22">
        <f>+'HAB-POR EC Bs'!H280/'HAB-POR EC M$'!$D$6/$C$6</f>
        <v>0</v>
      </c>
      <c r="I281" s="22">
        <f>+'HAB-POR EC Bs'!I280/'HAB-POR EC M$'!$D$6/$C$6</f>
        <v>0</v>
      </c>
      <c r="J281" s="22">
        <f>+'HAB-POR EC Bs'!J280/'HAB-POR EC M$'!$D$6/$C$6</f>
        <v>0</v>
      </c>
      <c r="K281" s="22">
        <f>+'HAB-POR EC Bs'!K280/'HAB-POR EC M$'!$D$6/$C$6</f>
        <v>0</v>
      </c>
      <c r="L281" s="22">
        <f>+'HAB-POR EC Bs'!L280/'HAB-POR EC M$'!$D$6/$C$6</f>
        <v>0</v>
      </c>
      <c r="M281" s="22">
        <f>+'HAB-POR EC Bs'!M280/'HAB-POR EC M$'!$D$6/$C$6</f>
        <v>0</v>
      </c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s="24" customFormat="1" ht="12" x14ac:dyDescent="0.2">
      <c r="A282" s="21" t="s">
        <v>94</v>
      </c>
      <c r="B282" s="22">
        <f>+'HAB-POR EC Bs'!B281/'HAB-POR EC M$'!$B$6/$C$6</f>
        <v>0</v>
      </c>
      <c r="C282" s="22">
        <f>+'HAB-POR EC Bs'!C281/'HAB-POR EC M$'!$B$6/$C$6</f>
        <v>0</v>
      </c>
      <c r="D282" s="22">
        <f>+'HAB-POR EC Bs'!D281/'HAB-POR EC M$'!$D$6/$C$6</f>
        <v>0</v>
      </c>
      <c r="E282" s="22">
        <f>+'HAB-POR EC Bs'!E281/'HAB-POR EC M$'!$D$6/$C$6</f>
        <v>0</v>
      </c>
      <c r="F282" s="22">
        <f>+'HAB-POR EC Bs'!F281/'HAB-POR EC M$'!$D$6/$C$6</f>
        <v>0</v>
      </c>
      <c r="G282" s="22">
        <f>+'HAB-POR EC Bs'!G281/'HAB-POR EC M$'!$D$6/$C$6</f>
        <v>0</v>
      </c>
      <c r="H282" s="22">
        <f>+'HAB-POR EC Bs'!H281/'HAB-POR EC M$'!$D$6/$C$6</f>
        <v>0</v>
      </c>
      <c r="I282" s="22">
        <f>+'HAB-POR EC Bs'!I281/'HAB-POR EC M$'!$D$6/$C$6</f>
        <v>0</v>
      </c>
      <c r="J282" s="22">
        <f>+'HAB-POR EC Bs'!J281/'HAB-POR EC M$'!$D$6/$C$6</f>
        <v>0</v>
      </c>
      <c r="K282" s="22">
        <f>+'HAB-POR EC Bs'!K281/'HAB-POR EC M$'!$D$6/$C$6</f>
        <v>0</v>
      </c>
      <c r="L282" s="22">
        <f>+'HAB-POR EC Bs'!L281/'HAB-POR EC M$'!$D$6/$C$6</f>
        <v>0</v>
      </c>
      <c r="M282" s="22">
        <f>+'HAB-POR EC Bs'!M281/'HAB-POR EC M$'!$D$6/$C$6</f>
        <v>0</v>
      </c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s="24" customFormat="1" ht="12" x14ac:dyDescent="0.2">
      <c r="A283" s="21" t="s">
        <v>95</v>
      </c>
      <c r="B283" s="22">
        <f>+'HAB-POR EC Bs'!B282/'HAB-POR EC M$'!$B$6/$C$6</f>
        <v>0</v>
      </c>
      <c r="C283" s="22">
        <f>+'HAB-POR EC Bs'!C282/'HAB-POR EC M$'!$B$6/$C$6</f>
        <v>0</v>
      </c>
      <c r="D283" s="22">
        <f>+'HAB-POR EC Bs'!D282/'HAB-POR EC M$'!$D$6/$C$6</f>
        <v>0</v>
      </c>
      <c r="E283" s="22">
        <f>+'HAB-POR EC Bs'!E282/'HAB-POR EC M$'!$D$6/$C$6</f>
        <v>0</v>
      </c>
      <c r="F283" s="22">
        <f>+'HAB-POR EC Bs'!F282/'HAB-POR EC M$'!$D$6/$C$6</f>
        <v>0</v>
      </c>
      <c r="G283" s="22">
        <f>+'HAB-POR EC Bs'!G282/'HAB-POR EC M$'!$D$6/$C$6</f>
        <v>0</v>
      </c>
      <c r="H283" s="22">
        <f>+'HAB-POR EC Bs'!H282/'HAB-POR EC M$'!$D$6/$C$6</f>
        <v>0</v>
      </c>
      <c r="I283" s="22">
        <f>+'HAB-POR EC Bs'!I282/'HAB-POR EC M$'!$D$6/$C$6</f>
        <v>0</v>
      </c>
      <c r="J283" s="22">
        <f>+'HAB-POR EC Bs'!J282/'HAB-POR EC M$'!$D$6/$C$6</f>
        <v>0</v>
      </c>
      <c r="K283" s="22">
        <f>+'HAB-POR EC Bs'!K282/'HAB-POR EC M$'!$D$6/$C$6</f>
        <v>0</v>
      </c>
      <c r="L283" s="22">
        <f>+'HAB-POR EC Bs'!L282/'HAB-POR EC M$'!$D$6/$C$6</f>
        <v>0</v>
      </c>
      <c r="M283" s="22">
        <f>+'HAB-POR EC Bs'!M282/'HAB-POR EC M$'!$D$6/$C$6</f>
        <v>0</v>
      </c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s="24" customFormat="1" ht="12" x14ac:dyDescent="0.2">
      <c r="A284" s="21" t="s">
        <v>96</v>
      </c>
      <c r="B284" s="22">
        <f>+'HAB-POR EC Bs'!B283/'HAB-POR EC M$'!$B$6/$C$6</f>
        <v>0</v>
      </c>
      <c r="C284" s="22">
        <f>+'HAB-POR EC Bs'!C283/'HAB-POR EC M$'!$B$6/$C$6</f>
        <v>0</v>
      </c>
      <c r="D284" s="22">
        <f>+'HAB-POR EC Bs'!D283/'HAB-POR EC M$'!$D$6/$C$6</f>
        <v>0</v>
      </c>
      <c r="E284" s="22">
        <f>+'HAB-POR EC Bs'!E283/'HAB-POR EC M$'!$D$6/$C$6</f>
        <v>0</v>
      </c>
      <c r="F284" s="22">
        <f>+'HAB-POR EC Bs'!F283/'HAB-POR EC M$'!$D$6/$C$6</f>
        <v>0</v>
      </c>
      <c r="G284" s="22">
        <f>+'HAB-POR EC Bs'!G283/'HAB-POR EC M$'!$D$6/$C$6</f>
        <v>0</v>
      </c>
      <c r="H284" s="22">
        <f>+'HAB-POR EC Bs'!H283/'HAB-POR EC M$'!$D$6/$C$6</f>
        <v>0</v>
      </c>
      <c r="I284" s="22">
        <f>+'HAB-POR EC Bs'!I283/'HAB-POR EC M$'!$D$6/$C$6</f>
        <v>0</v>
      </c>
      <c r="J284" s="22">
        <f>+'HAB-POR EC Bs'!J283/'HAB-POR EC M$'!$D$6/$C$6</f>
        <v>0</v>
      </c>
      <c r="K284" s="22">
        <f>+'HAB-POR EC Bs'!K283/'HAB-POR EC M$'!$D$6/$C$6</f>
        <v>0</v>
      </c>
      <c r="L284" s="22">
        <f>+'HAB-POR EC Bs'!L283/'HAB-POR EC M$'!$D$6/$C$6</f>
        <v>0</v>
      </c>
      <c r="M284" s="22">
        <f>+'HAB-POR EC Bs'!M283/'HAB-POR EC M$'!$D$6/$C$6</f>
        <v>0</v>
      </c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s="24" customFormat="1" ht="12" x14ac:dyDescent="0.2">
      <c r="A285" s="21" t="s">
        <v>97</v>
      </c>
      <c r="B285" s="22">
        <f>+'HAB-POR EC Bs'!B284/'HAB-POR EC M$'!$B$6/$C$6</f>
        <v>0</v>
      </c>
      <c r="C285" s="22">
        <f>+'HAB-POR EC Bs'!C284/'HAB-POR EC M$'!$B$6/$C$6</f>
        <v>0</v>
      </c>
      <c r="D285" s="22">
        <f>+'HAB-POR EC Bs'!D284/'HAB-POR EC M$'!$D$6/$C$6</f>
        <v>0</v>
      </c>
      <c r="E285" s="22">
        <f>+'HAB-POR EC Bs'!E284/'HAB-POR EC M$'!$D$6/$C$6</f>
        <v>0</v>
      </c>
      <c r="F285" s="22">
        <f>+'HAB-POR EC Bs'!F284/'HAB-POR EC M$'!$D$6/$C$6</f>
        <v>0</v>
      </c>
      <c r="G285" s="22">
        <f>+'HAB-POR EC Bs'!G284/'HAB-POR EC M$'!$D$6/$C$6</f>
        <v>0</v>
      </c>
      <c r="H285" s="22">
        <f>+'HAB-POR EC Bs'!H284/'HAB-POR EC M$'!$D$6/$C$6</f>
        <v>0</v>
      </c>
      <c r="I285" s="22">
        <f>+'HAB-POR EC Bs'!I284/'HAB-POR EC M$'!$D$6/$C$6</f>
        <v>0</v>
      </c>
      <c r="J285" s="22">
        <f>+'HAB-POR EC Bs'!J284/'HAB-POR EC M$'!$D$6/$C$6</f>
        <v>0</v>
      </c>
      <c r="K285" s="22">
        <f>+'HAB-POR EC Bs'!K284/'HAB-POR EC M$'!$D$6/$C$6</f>
        <v>0</v>
      </c>
      <c r="L285" s="22">
        <f>+'HAB-POR EC Bs'!L284/'HAB-POR EC M$'!$D$6/$C$6</f>
        <v>0</v>
      </c>
      <c r="M285" s="22">
        <f>+'HAB-POR EC Bs'!M284/'HAB-POR EC M$'!$D$6/$C$6</f>
        <v>0</v>
      </c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s="32" customFormat="1" ht="12" x14ac:dyDescent="0.2">
      <c r="A286" s="30" t="s">
        <v>98</v>
      </c>
      <c r="B286" s="31">
        <f>SUM(B281:B285)</f>
        <v>0</v>
      </c>
      <c r="C286" s="31">
        <f t="shared" ref="C286:M286" si="34">SUM(C281:C285)</f>
        <v>0</v>
      </c>
      <c r="D286" s="31">
        <f t="shared" si="34"/>
        <v>0</v>
      </c>
      <c r="E286" s="31">
        <f t="shared" si="34"/>
        <v>0</v>
      </c>
      <c r="F286" s="31">
        <f t="shared" si="34"/>
        <v>0</v>
      </c>
      <c r="G286" s="31">
        <f t="shared" si="34"/>
        <v>0</v>
      </c>
      <c r="H286" s="31">
        <f t="shared" si="34"/>
        <v>0</v>
      </c>
      <c r="I286" s="31">
        <f t="shared" si="34"/>
        <v>0</v>
      </c>
      <c r="J286" s="31">
        <f t="shared" si="34"/>
        <v>0</v>
      </c>
      <c r="K286" s="31">
        <f t="shared" si="34"/>
        <v>0</v>
      </c>
      <c r="L286" s="31">
        <f t="shared" si="34"/>
        <v>0</v>
      </c>
      <c r="M286" s="31">
        <f t="shared" si="34"/>
        <v>0</v>
      </c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x14ac:dyDescent="0.2">
      <c r="A287" s="79"/>
      <c r="B287" s="16"/>
      <c r="C287" s="16"/>
      <c r="D287" s="16"/>
      <c r="E287" s="16"/>
      <c r="F287" s="16"/>
      <c r="G287" s="16"/>
      <c r="H287" s="16"/>
      <c r="I287" s="16"/>
      <c r="J287" s="72"/>
      <c r="K287" s="72"/>
      <c r="L287" s="72"/>
      <c r="M287" s="72"/>
    </row>
    <row r="288" spans="1:26" x14ac:dyDescent="0.2">
      <c r="A288" s="88"/>
      <c r="B288" s="89">
        <f>+B14+B22+B30+B38+B46+B54+B62+B70+B78+B86+B94+B102+B110+B118+B126+B134+B142+B150+B158+B166+B174+B182+B190+B198+B206+B214+B222+B230+B238+B246+B254+B262+B270+B278+B286</f>
        <v>74.792081465079363</v>
      </c>
      <c r="C288" s="89">
        <f t="shared" ref="C288:L288" si="35">+C14+C22+C30+C38+C46+C54+C62+C70+C78+C86+C94+C102+C110+C118+C126+C134+C142+C150+C158+C166+C174+C182+C190+C198+C206+C214+C222+C230+C238+C246+C254+C262+C270+C278+C286</f>
        <v>189.85942890793649</v>
      </c>
      <c r="D288" s="89">
        <f t="shared" si="35"/>
        <v>154.22715215899998</v>
      </c>
      <c r="E288" s="89">
        <f t="shared" si="35"/>
        <v>238.28705838499999</v>
      </c>
      <c r="F288" s="89">
        <f t="shared" si="35"/>
        <v>285.59756260500006</v>
      </c>
      <c r="G288" s="89">
        <f t="shared" si="35"/>
        <v>415.31194459600005</v>
      </c>
      <c r="H288" s="89">
        <f t="shared" si="35"/>
        <v>559.03043178300004</v>
      </c>
      <c r="I288" s="89">
        <f t="shared" si="35"/>
        <v>755.499197804</v>
      </c>
      <c r="J288" s="89">
        <f t="shared" si="35"/>
        <v>1312.9331656709999</v>
      </c>
      <c r="K288" s="89">
        <f t="shared" si="35"/>
        <v>1534.4720944110002</v>
      </c>
      <c r="L288" s="89">
        <f t="shared" si="35"/>
        <v>1608.552060516</v>
      </c>
      <c r="M288" s="89">
        <f>+M14+M22+M30+M38+M46+M54+M62+M70+M78+M86+M94+M102+M110+M118+M126+M134+M142+M150+M158+M166+M174+M182+M190+M198+M206+M214+M222+M230+M238+M246+M254+M262+M270+M278+M286</f>
        <v>0</v>
      </c>
    </row>
    <row r="289" spans="1:13" x14ac:dyDescent="0.2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</row>
    <row r="290" spans="1:13" s="86" customFormat="1" x14ac:dyDescent="0.2">
      <c r="A290" s="71"/>
    </row>
    <row r="291" spans="1:13" s="86" customFormat="1" x14ac:dyDescent="0.2">
      <c r="A291" s="71"/>
      <c r="B291" s="85"/>
      <c r="C291" s="2"/>
    </row>
    <row r="292" spans="1:13" s="86" customFormat="1" x14ac:dyDescent="0.2">
      <c r="A292" s="71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</row>
    <row r="293" spans="1:13" s="102" customFormat="1" x14ac:dyDescent="0.2">
      <c r="A293" s="101"/>
      <c r="B293" s="86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</row>
    <row r="294" spans="1:13" s="86" customFormat="1" x14ac:dyDescent="0.2">
      <c r="A294" s="71"/>
      <c r="B294" s="85"/>
      <c r="C294" s="100"/>
    </row>
    <row r="295" spans="1:13" s="86" customFormat="1" x14ac:dyDescent="0.2">
      <c r="A295" s="71"/>
      <c r="B295" s="85"/>
      <c r="C295" s="98"/>
    </row>
    <row r="296" spans="1:13" s="86" customFormat="1" x14ac:dyDescent="0.2">
      <c r="A296" s="71"/>
      <c r="B296" s="85"/>
      <c r="C296" s="99"/>
      <c r="D296" s="2"/>
    </row>
    <row r="297" spans="1:13" s="86" customFormat="1" x14ac:dyDescent="0.2">
      <c r="A297" s="104"/>
      <c r="B297" s="85"/>
      <c r="C297" s="2"/>
    </row>
    <row r="298" spans="1:13" s="86" customFormat="1" x14ac:dyDescent="0.2">
      <c r="A298" s="104"/>
      <c r="B298" s="85"/>
      <c r="C298" s="2"/>
    </row>
    <row r="299" spans="1:13" s="86" customFormat="1" x14ac:dyDescent="0.2">
      <c r="A299" s="71"/>
      <c r="B299" s="85"/>
      <c r="C299" s="2"/>
    </row>
    <row r="300" spans="1:13" s="86" customFormat="1" x14ac:dyDescent="0.2">
      <c r="A300" s="71"/>
      <c r="B300" s="85"/>
      <c r="C300" s="2"/>
    </row>
    <row r="301" spans="1:13" s="86" customFormat="1" x14ac:dyDescent="0.2">
      <c r="A301" s="71"/>
      <c r="B301" s="85"/>
      <c r="C301" s="2"/>
    </row>
    <row r="302" spans="1:13" s="86" customFormat="1" x14ac:dyDescent="0.2">
      <c r="A302" s="71"/>
      <c r="B302" s="85"/>
      <c r="C302" s="2"/>
    </row>
    <row r="303" spans="1:13" s="86" customFormat="1" x14ac:dyDescent="0.2">
      <c r="A303" s="71"/>
      <c r="B303" s="85"/>
      <c r="C303" s="2"/>
    </row>
    <row r="304" spans="1:13" s="86" customFormat="1" x14ac:dyDescent="0.2">
      <c r="A304" s="71"/>
      <c r="B304" s="85"/>
      <c r="C304" s="2"/>
    </row>
    <row r="305" spans="1:3" s="86" customFormat="1" x14ac:dyDescent="0.2">
      <c r="A305" s="71"/>
      <c r="B305" s="85"/>
      <c r="C305" s="2"/>
    </row>
    <row r="306" spans="1:3" s="86" customFormat="1" x14ac:dyDescent="0.2">
      <c r="A306" s="71"/>
      <c r="B306" s="85"/>
      <c r="C306" s="2"/>
    </row>
    <row r="307" spans="1:3" s="86" customFormat="1" x14ac:dyDescent="0.2">
      <c r="A307" s="71"/>
      <c r="B307" s="85"/>
      <c r="C307" s="2"/>
    </row>
    <row r="308" spans="1:3" s="86" customFormat="1" x14ac:dyDescent="0.2">
      <c r="A308" s="71"/>
      <c r="B308" s="85"/>
      <c r="C308" s="2"/>
    </row>
    <row r="309" spans="1:3" s="86" customFormat="1" x14ac:dyDescent="0.2">
      <c r="A309" s="71"/>
      <c r="B309" s="85"/>
    </row>
    <row r="310" spans="1:3" s="86" customFormat="1" x14ac:dyDescent="0.2">
      <c r="A310" s="71"/>
      <c r="B310" s="85"/>
    </row>
    <row r="311" spans="1:3" s="86" customFormat="1" x14ac:dyDescent="0.2">
      <c r="A311" s="71"/>
      <c r="B311" s="85"/>
    </row>
    <row r="312" spans="1:3" s="86" customFormat="1" x14ac:dyDescent="0.2">
      <c r="A312" s="71"/>
      <c r="B312" s="85"/>
    </row>
    <row r="313" spans="1:3" s="86" customFormat="1" x14ac:dyDescent="0.2">
      <c r="A313" s="71"/>
      <c r="B313" s="85"/>
      <c r="C313" s="2"/>
    </row>
    <row r="314" spans="1:3" s="86" customFormat="1" x14ac:dyDescent="0.2">
      <c r="A314" s="71"/>
      <c r="B314" s="85"/>
      <c r="C314" s="2"/>
    </row>
    <row r="315" spans="1:3" s="86" customFormat="1" x14ac:dyDescent="0.2">
      <c r="A315" s="71"/>
      <c r="B315" s="85"/>
      <c r="C315" s="2"/>
    </row>
    <row r="316" spans="1:3" s="86" customFormat="1" x14ac:dyDescent="0.2">
      <c r="A316" s="71"/>
      <c r="B316" s="85"/>
      <c r="C316" s="2"/>
    </row>
    <row r="317" spans="1:3" s="86" customFormat="1" x14ac:dyDescent="0.2">
      <c r="A317" s="71"/>
      <c r="B317" s="85"/>
      <c r="C317" s="2"/>
    </row>
    <row r="318" spans="1:3" s="86" customFormat="1" x14ac:dyDescent="0.2">
      <c r="A318" s="71"/>
      <c r="B318" s="85"/>
    </row>
    <row r="319" spans="1:3" s="86" customFormat="1" x14ac:dyDescent="0.2">
      <c r="A319" s="71"/>
      <c r="B319" s="85"/>
    </row>
    <row r="320" spans="1:3" s="86" customFormat="1" x14ac:dyDescent="0.2">
      <c r="A320" s="71"/>
      <c r="B320" s="85"/>
    </row>
    <row r="321" spans="1:3" s="86" customFormat="1" x14ac:dyDescent="0.2">
      <c r="A321" s="71"/>
      <c r="B321" s="85"/>
    </row>
    <row r="322" spans="1:3" s="86" customFormat="1" x14ac:dyDescent="0.2">
      <c r="A322" s="71"/>
      <c r="B322" s="85"/>
    </row>
    <row r="323" spans="1:3" s="86" customFormat="1" x14ac:dyDescent="0.2">
      <c r="A323" s="71"/>
      <c r="B323" s="85"/>
    </row>
    <row r="324" spans="1:3" s="86" customFormat="1" x14ac:dyDescent="0.2">
      <c r="A324" s="71"/>
      <c r="B324" s="85"/>
    </row>
    <row r="325" spans="1:3" s="86" customFormat="1" x14ac:dyDescent="0.2">
      <c r="A325" s="71"/>
      <c r="B325" s="85"/>
      <c r="C325" s="2"/>
    </row>
    <row r="326" spans="1:3" s="86" customFormat="1" x14ac:dyDescent="0.2">
      <c r="A326" s="71"/>
      <c r="B326" s="85"/>
    </row>
    <row r="327" spans="1:3" s="86" customFormat="1" x14ac:dyDescent="0.2">
      <c r="A327" s="71"/>
      <c r="B327" s="85"/>
    </row>
    <row r="328" spans="1:3" s="86" customFormat="1" x14ac:dyDescent="0.2">
      <c r="A328" s="71"/>
      <c r="B328" s="85"/>
    </row>
    <row r="329" spans="1:3" s="86" customFormat="1" x14ac:dyDescent="0.2">
      <c r="A329" s="71"/>
      <c r="B329" s="85"/>
    </row>
    <row r="330" spans="1:3" s="86" customFormat="1" x14ac:dyDescent="0.2">
      <c r="A330" s="71"/>
      <c r="B330" s="85"/>
    </row>
    <row r="331" spans="1:3" s="86" customFormat="1" x14ac:dyDescent="0.2">
      <c r="A331" s="71"/>
      <c r="B331" s="85"/>
    </row>
    <row r="332" spans="1:3" s="86" customFormat="1" x14ac:dyDescent="0.2">
      <c r="A332" s="71"/>
      <c r="B332" s="85"/>
      <c r="C332" s="2"/>
    </row>
    <row r="333" spans="1:3" s="86" customFormat="1" x14ac:dyDescent="0.2">
      <c r="A333" s="71"/>
      <c r="B333" s="85"/>
    </row>
    <row r="334" spans="1:3" s="86" customFormat="1" x14ac:dyDescent="0.2">
      <c r="A334" s="71"/>
      <c r="B334" s="85"/>
    </row>
    <row r="335" spans="1:3" s="86" customFormat="1" x14ac:dyDescent="0.2">
      <c r="A335" s="71"/>
      <c r="B335" s="85"/>
      <c r="C335" s="2"/>
    </row>
    <row r="336" spans="1:3" s="86" customFormat="1" x14ac:dyDescent="0.2">
      <c r="A336" s="71"/>
      <c r="B336" s="85"/>
    </row>
    <row r="337" spans="1:3" s="86" customFormat="1" x14ac:dyDescent="0.2">
      <c r="A337" s="71"/>
      <c r="B337" s="85"/>
    </row>
    <row r="338" spans="1:3" s="86" customFormat="1" x14ac:dyDescent="0.2">
      <c r="A338" s="71"/>
      <c r="B338" s="85"/>
    </row>
    <row r="339" spans="1:3" s="86" customFormat="1" x14ac:dyDescent="0.2">
      <c r="A339" s="71"/>
      <c r="B339" s="85"/>
    </row>
    <row r="340" spans="1:3" s="86" customFormat="1" x14ac:dyDescent="0.2">
      <c r="A340" s="71"/>
      <c r="B340" s="85"/>
    </row>
    <row r="341" spans="1:3" s="86" customFormat="1" x14ac:dyDescent="0.2">
      <c r="A341" s="71"/>
      <c r="B341" s="85"/>
    </row>
    <row r="342" spans="1:3" s="86" customFormat="1" x14ac:dyDescent="0.2">
      <c r="A342" s="71"/>
      <c r="B342" s="85"/>
      <c r="C342" s="2"/>
    </row>
    <row r="343" spans="1:3" s="86" customFormat="1" x14ac:dyDescent="0.2">
      <c r="A343" s="71"/>
      <c r="B343" s="85"/>
      <c r="C343" s="2"/>
    </row>
    <row r="344" spans="1:3" s="86" customFormat="1" x14ac:dyDescent="0.2">
      <c r="A344" s="71"/>
      <c r="B344" s="85"/>
      <c r="C344" s="2"/>
    </row>
    <row r="345" spans="1:3" s="86" customFormat="1" x14ac:dyDescent="0.2">
      <c r="A345" s="71"/>
      <c r="B345" s="85"/>
      <c r="C345" s="2"/>
    </row>
    <row r="346" spans="1:3" s="86" customFormat="1" x14ac:dyDescent="0.2">
      <c r="A346" s="71"/>
      <c r="B346" s="85"/>
      <c r="C346" s="2"/>
    </row>
    <row r="347" spans="1:3" s="86" customFormat="1" x14ac:dyDescent="0.2">
      <c r="A347" s="71"/>
      <c r="B347" s="85"/>
      <c r="C347" s="2"/>
    </row>
    <row r="348" spans="1:3" s="86" customFormat="1" x14ac:dyDescent="0.2">
      <c r="A348" s="71"/>
      <c r="B348" s="85"/>
    </row>
    <row r="349" spans="1:3" s="86" customFormat="1" x14ac:dyDescent="0.2">
      <c r="A349" s="71"/>
      <c r="B349" s="85"/>
    </row>
    <row r="350" spans="1:3" s="86" customFormat="1" x14ac:dyDescent="0.2">
      <c r="A350" s="71"/>
      <c r="B350" s="85"/>
    </row>
    <row r="351" spans="1:3" s="86" customFormat="1" x14ac:dyDescent="0.2">
      <c r="A351" s="71"/>
      <c r="B351" s="85"/>
    </row>
    <row r="352" spans="1:3" s="86" customFormat="1" x14ac:dyDescent="0.2">
      <c r="A352" s="71"/>
      <c r="B352" s="85"/>
    </row>
    <row r="353" spans="1:3" s="86" customFormat="1" x14ac:dyDescent="0.2">
      <c r="A353" s="71"/>
      <c r="B353" s="85"/>
    </row>
    <row r="354" spans="1:3" s="86" customFormat="1" x14ac:dyDescent="0.2">
      <c r="A354" s="71"/>
      <c r="B354" s="85"/>
    </row>
    <row r="355" spans="1:3" s="86" customFormat="1" x14ac:dyDescent="0.2">
      <c r="A355" s="71"/>
      <c r="B355" s="85"/>
    </row>
    <row r="356" spans="1:3" s="86" customFormat="1" x14ac:dyDescent="0.2">
      <c r="A356" s="71"/>
      <c r="B356" s="85"/>
    </row>
    <row r="357" spans="1:3" s="86" customFormat="1" x14ac:dyDescent="0.2">
      <c r="A357" s="71"/>
      <c r="B357" s="85"/>
      <c r="C357" s="2"/>
    </row>
  </sheetData>
  <mergeCells count="4">
    <mergeCell ref="A5:M5"/>
    <mergeCell ref="N5:Z5"/>
    <mergeCell ref="A3:C3"/>
    <mergeCell ref="A2:H2"/>
  </mergeCells>
  <phoneticPr fontId="5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AF151"/>
  <sheetViews>
    <sheetView showGridLines="0" zoomScale="80" zoomScaleNormal="80" workbookViewId="0">
      <pane xSplit="8505" ySplit="1620" topLeftCell="R23" activePane="bottomLeft"/>
      <selection activeCell="Y67" sqref="Y67"/>
      <selection pane="topRight" activeCell="X1" sqref="X1:AA65536"/>
      <selection pane="bottomLeft" activeCell="C33" sqref="C33"/>
      <selection pane="bottomRight" activeCell="AC40" sqref="AC40"/>
    </sheetView>
  </sheetViews>
  <sheetFormatPr baseColWidth="10" defaultRowHeight="15" x14ac:dyDescent="0.25"/>
  <cols>
    <col min="1" max="1" width="30.28515625" style="106" bestFit="1" customWidth="1"/>
    <col min="2" max="2" width="17.140625" style="106" bestFit="1" customWidth="1"/>
    <col min="3" max="3" width="49.5703125" style="106" bestFit="1" customWidth="1"/>
    <col min="4" max="5" width="11.85546875" style="110" bestFit="1" customWidth="1"/>
    <col min="6" max="6" width="11.5703125" style="110" bestFit="1" customWidth="1"/>
    <col min="7" max="7" width="14.140625" style="110" bestFit="1" customWidth="1"/>
    <col min="8" max="8" width="11.5703125" style="110" bestFit="1" customWidth="1"/>
    <col min="9" max="9" width="14.85546875" style="110" bestFit="1" customWidth="1"/>
    <col min="10" max="10" width="11.5703125" style="110" bestFit="1" customWidth="1"/>
    <col min="11" max="11" width="14.85546875" style="110" bestFit="1" customWidth="1"/>
    <col min="12" max="12" width="14" style="110" bestFit="1" customWidth="1"/>
    <col min="13" max="13" width="14.85546875" style="110" bestFit="1" customWidth="1"/>
    <col min="14" max="14" width="14" style="110" bestFit="1" customWidth="1"/>
    <col min="15" max="15" width="15.42578125" style="110" bestFit="1" customWidth="1"/>
    <col min="16" max="16" width="14.140625" style="110" bestFit="1" customWidth="1"/>
    <col min="17" max="17" width="15.85546875" style="110" bestFit="1" customWidth="1"/>
    <col min="18" max="18" width="14.85546875" style="134" bestFit="1" customWidth="1"/>
    <col min="19" max="19" width="16.28515625" style="134" bestFit="1" customWidth="1"/>
    <col min="20" max="20" width="14.7109375" style="110" bestFit="1" customWidth="1"/>
    <col min="21" max="21" width="15.7109375" style="110" customWidth="1"/>
    <col min="22" max="22" width="16.28515625" style="110" bestFit="1" customWidth="1"/>
    <col min="23" max="23" width="15.28515625" style="110" bestFit="1" customWidth="1"/>
    <col min="24" max="24" width="16.140625" style="110" hidden="1" customWidth="1"/>
    <col min="25" max="25" width="15.28515625" style="110" hidden="1" customWidth="1"/>
    <col min="26" max="26" width="14.5703125" style="110" hidden="1" customWidth="1"/>
    <col min="27" max="27" width="15.85546875" style="110" hidden="1" customWidth="1"/>
    <col min="28" max="28" width="6.140625" style="106" customWidth="1"/>
    <col min="29" max="29" width="17.140625" style="106" customWidth="1"/>
    <col min="30" max="30" width="14.5703125" style="106" customWidth="1"/>
    <col min="31" max="16384" width="11.42578125" style="106"/>
  </cols>
  <sheetData>
    <row r="1" spans="1:32" s="123" customFormat="1" x14ac:dyDescent="0.25">
      <c r="D1" s="249"/>
      <c r="E1" s="249"/>
      <c r="F1" s="249"/>
      <c r="G1" s="249">
        <v>13910.74048</v>
      </c>
      <c r="H1" s="249"/>
      <c r="I1" s="249">
        <v>9737.5184700000009</v>
      </c>
      <c r="J1" s="249"/>
      <c r="K1" s="249">
        <v>17591.846740000001</v>
      </c>
      <c r="L1" s="249"/>
      <c r="M1" s="249"/>
      <c r="N1" s="249"/>
      <c r="O1" s="213">
        <v>0</v>
      </c>
      <c r="P1" s="213"/>
      <c r="Q1" s="213"/>
      <c r="R1" s="218"/>
      <c r="S1" s="218"/>
      <c r="T1" s="213"/>
      <c r="U1" s="213">
        <v>-41246.716189999999</v>
      </c>
      <c r="V1" s="213"/>
      <c r="W1" s="213"/>
      <c r="X1" s="213"/>
      <c r="Y1" s="213"/>
      <c r="Z1" s="213"/>
      <c r="AA1" s="174"/>
    </row>
    <row r="2" spans="1:32" s="123" customFormat="1" ht="15" customHeight="1" x14ac:dyDescent="0.25">
      <c r="A2" s="262" t="s">
        <v>289</v>
      </c>
      <c r="B2" s="262"/>
      <c r="C2" s="262"/>
      <c r="D2" s="249"/>
      <c r="E2" s="249"/>
      <c r="F2" s="249"/>
      <c r="G2" s="249"/>
      <c r="H2" s="249"/>
      <c r="I2" s="249">
        <f>+I1+G1</f>
        <v>23648.258950000003</v>
      </c>
      <c r="J2" s="250"/>
      <c r="K2" s="249">
        <f>+K1+I2</f>
        <v>41240.105690000004</v>
      </c>
      <c r="L2" s="249"/>
      <c r="M2" s="249">
        <f>+M1+K2</f>
        <v>41240.105690000004</v>
      </c>
      <c r="N2" s="250"/>
      <c r="O2" s="249">
        <f>+O1+M2</f>
        <v>41240.105690000004</v>
      </c>
      <c r="P2" s="249"/>
      <c r="Q2" s="249">
        <f>+Q1+O2</f>
        <v>41240.105690000004</v>
      </c>
      <c r="R2" s="250"/>
      <c r="S2" s="249">
        <f>+S1+Q2</f>
        <v>41240.105690000004</v>
      </c>
      <c r="T2" s="249"/>
      <c r="U2" s="249">
        <f>+U1+S2</f>
        <v>-6.610499999995227</v>
      </c>
      <c r="V2" s="250"/>
      <c r="W2" s="249">
        <f>+W1+U2</f>
        <v>-6.610499999995227</v>
      </c>
      <c r="X2" s="249"/>
      <c r="Y2" s="249">
        <f>+Y1+W2</f>
        <v>-6.610499999995227</v>
      </c>
      <c r="Z2" s="213"/>
      <c r="AA2" s="174"/>
      <c r="AD2" s="123">
        <v>1000</v>
      </c>
    </row>
    <row r="3" spans="1:32" s="119" customFormat="1" ht="15.75" thickBot="1" x14ac:dyDescent="0.3">
      <c r="A3" s="262" t="s">
        <v>277</v>
      </c>
      <c r="B3" s="262"/>
      <c r="C3" s="262"/>
      <c r="D3" s="250"/>
      <c r="E3" s="250"/>
      <c r="F3" s="250"/>
      <c r="G3" s="250"/>
      <c r="H3" s="250"/>
      <c r="I3" s="251"/>
      <c r="J3" s="250"/>
      <c r="K3" s="250"/>
      <c r="L3" s="250"/>
      <c r="M3" s="250"/>
      <c r="N3" s="250"/>
      <c r="O3" s="250"/>
      <c r="P3" s="250"/>
      <c r="Q3" s="250"/>
      <c r="R3" s="252"/>
      <c r="S3" s="252"/>
      <c r="T3" s="250"/>
      <c r="U3" s="250"/>
      <c r="V3" s="250"/>
      <c r="W3" s="250"/>
      <c r="X3" s="250"/>
      <c r="Y3" s="250"/>
      <c r="Z3" s="250"/>
      <c r="AA3" s="177"/>
    </row>
    <row r="4" spans="1:32" ht="13.5" thickBot="1" x14ac:dyDescent="0.25">
      <c r="A4" s="105"/>
      <c r="B4" s="105"/>
      <c r="C4" s="105"/>
      <c r="D4" s="274" t="s">
        <v>5</v>
      </c>
      <c r="E4" s="275"/>
      <c r="F4" s="274" t="s">
        <v>6</v>
      </c>
      <c r="G4" s="275"/>
      <c r="H4" s="274" t="s">
        <v>7</v>
      </c>
      <c r="I4" s="275"/>
      <c r="J4" s="274" t="s">
        <v>8</v>
      </c>
      <c r="K4" s="275"/>
      <c r="L4" s="274" t="s">
        <v>9</v>
      </c>
      <c r="M4" s="275"/>
      <c r="N4" s="274" t="s">
        <v>10</v>
      </c>
      <c r="O4" s="275"/>
      <c r="P4" s="274" t="s">
        <v>11</v>
      </c>
      <c r="Q4" s="275"/>
      <c r="R4" s="272" t="s">
        <v>197</v>
      </c>
      <c r="S4" s="273"/>
      <c r="T4" s="274" t="s">
        <v>199</v>
      </c>
      <c r="U4" s="275"/>
      <c r="V4" s="274" t="s">
        <v>200</v>
      </c>
      <c r="W4" s="275"/>
      <c r="X4" s="260" t="s">
        <v>201</v>
      </c>
      <c r="Y4" s="261"/>
      <c r="Z4" s="260" t="s">
        <v>202</v>
      </c>
      <c r="AA4" s="261"/>
    </row>
    <row r="5" spans="1:32" s="108" customFormat="1" ht="28.5" customHeight="1" x14ac:dyDescent="0.2">
      <c r="A5" s="103" t="s">
        <v>15</v>
      </c>
      <c r="B5" s="103" t="s">
        <v>14</v>
      </c>
      <c r="C5" s="103" t="s">
        <v>16</v>
      </c>
      <c r="D5" s="107" t="s">
        <v>167</v>
      </c>
      <c r="E5" s="107" t="s">
        <v>168</v>
      </c>
      <c r="F5" s="107" t="s">
        <v>167</v>
      </c>
      <c r="G5" s="107" t="s">
        <v>168</v>
      </c>
      <c r="H5" s="107" t="s">
        <v>167</v>
      </c>
      <c r="I5" s="107" t="s">
        <v>168</v>
      </c>
      <c r="J5" s="107" t="s">
        <v>167</v>
      </c>
      <c r="K5" s="107" t="s">
        <v>168</v>
      </c>
      <c r="L5" s="107" t="s">
        <v>167</v>
      </c>
      <c r="M5" s="107" t="s">
        <v>168</v>
      </c>
      <c r="N5" s="107" t="s">
        <v>167</v>
      </c>
      <c r="O5" s="107" t="s">
        <v>168</v>
      </c>
      <c r="P5" s="107" t="s">
        <v>167</v>
      </c>
      <c r="Q5" s="107" t="s">
        <v>168</v>
      </c>
      <c r="R5" s="132" t="s">
        <v>167</v>
      </c>
      <c r="S5" s="132" t="s">
        <v>168</v>
      </c>
      <c r="T5" s="107" t="s">
        <v>167</v>
      </c>
      <c r="U5" s="107" t="s">
        <v>168</v>
      </c>
      <c r="V5" s="107" t="s">
        <v>167</v>
      </c>
      <c r="W5" s="107" t="s">
        <v>168</v>
      </c>
      <c r="X5" s="107" t="s">
        <v>167</v>
      </c>
      <c r="Y5" s="107" t="s">
        <v>168</v>
      </c>
      <c r="Z5" s="107" t="s">
        <v>167</v>
      </c>
      <c r="AA5" s="137" t="s">
        <v>168</v>
      </c>
      <c r="AF5" s="108">
        <v>1000</v>
      </c>
    </row>
    <row r="6" spans="1:32" x14ac:dyDescent="0.25">
      <c r="A6" s="115" t="s">
        <v>17</v>
      </c>
      <c r="B6" s="115" t="s">
        <v>69</v>
      </c>
      <c r="C6" s="160" t="s">
        <v>70</v>
      </c>
      <c r="D6" s="128"/>
      <c r="E6" s="128"/>
      <c r="F6" s="128"/>
      <c r="G6" s="128"/>
      <c r="H6" s="128"/>
      <c r="I6" s="128"/>
      <c r="J6" s="128"/>
      <c r="K6" s="128"/>
      <c r="M6" s="127"/>
      <c r="N6" s="127"/>
      <c r="O6" s="127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</row>
    <row r="7" spans="1:32" ht="12.75" x14ac:dyDescent="0.2">
      <c r="A7" s="109" t="s">
        <v>142</v>
      </c>
      <c r="B7" s="109"/>
      <c r="C7" s="109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>
        <f t="shared" ref="R7:AA7" si="0">SUM(R6)</f>
        <v>0</v>
      </c>
      <c r="S7" s="130">
        <f t="shared" si="0"/>
        <v>0</v>
      </c>
      <c r="T7" s="130">
        <f t="shared" si="0"/>
        <v>0</v>
      </c>
      <c r="U7" s="130">
        <f t="shared" si="0"/>
        <v>0</v>
      </c>
      <c r="V7" s="130">
        <f t="shared" si="0"/>
        <v>0</v>
      </c>
      <c r="W7" s="130">
        <f t="shared" si="0"/>
        <v>0</v>
      </c>
      <c r="X7" s="130">
        <f t="shared" si="0"/>
        <v>0</v>
      </c>
      <c r="Y7" s="130">
        <f t="shared" si="0"/>
        <v>0</v>
      </c>
      <c r="Z7" s="130">
        <f t="shared" si="0"/>
        <v>0</v>
      </c>
      <c r="AA7" s="130">
        <f t="shared" si="0"/>
        <v>0</v>
      </c>
      <c r="AD7" s="106">
        <v>1000</v>
      </c>
    </row>
    <row r="8" spans="1:32" s="123" customFormat="1" ht="12.75" x14ac:dyDescent="0.2">
      <c r="A8" s="116" t="s">
        <v>45</v>
      </c>
      <c r="B8" s="120" t="s">
        <v>148</v>
      </c>
      <c r="C8" s="159" t="s">
        <v>149</v>
      </c>
      <c r="D8" s="127"/>
      <c r="E8" s="127">
        <v>0</v>
      </c>
      <c r="F8" s="127"/>
      <c r="G8" s="127">
        <v>1201.19</v>
      </c>
      <c r="H8" s="127"/>
      <c r="I8" s="127">
        <v>1201.19</v>
      </c>
      <c r="J8" s="127"/>
      <c r="K8" s="127">
        <v>1201.19</v>
      </c>
      <c r="L8" s="127"/>
      <c r="M8" s="127">
        <v>6640.9</v>
      </c>
      <c r="N8" s="127"/>
      <c r="O8" s="127">
        <v>0</v>
      </c>
      <c r="P8" s="127"/>
      <c r="Q8" s="127">
        <v>0</v>
      </c>
      <c r="R8" s="127"/>
      <c r="S8" s="127"/>
      <c r="T8" s="127"/>
      <c r="U8" s="127">
        <v>7.1905000000000001</v>
      </c>
      <c r="V8" s="127"/>
      <c r="W8" s="127">
        <v>-541739.12748999998</v>
      </c>
      <c r="X8" s="127"/>
      <c r="Y8" s="127">
        <v>-541596.39699000004</v>
      </c>
      <c r="Z8" s="127"/>
      <c r="AA8" s="127"/>
      <c r="AC8" s="144">
        <v>48916.702850000001</v>
      </c>
      <c r="AD8" s="147">
        <v>200020000463</v>
      </c>
      <c r="AE8" s="123" t="s">
        <v>206</v>
      </c>
    </row>
    <row r="9" spans="1:32" s="119" customFormat="1" ht="12.75" x14ac:dyDescent="0.2">
      <c r="A9" s="121"/>
      <c r="B9" s="120" t="s">
        <v>46</v>
      </c>
      <c r="C9" s="159" t="s">
        <v>150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C9" s="144">
        <v>-64785.212890000003</v>
      </c>
      <c r="AD9" s="148">
        <v>200020000464</v>
      </c>
      <c r="AE9" s="119" t="s">
        <v>207</v>
      </c>
    </row>
    <row r="10" spans="1:32" s="119" customFormat="1" ht="12.75" x14ac:dyDescent="0.2">
      <c r="A10" s="121"/>
      <c r="B10" s="120" t="s">
        <v>47</v>
      </c>
      <c r="C10" s="159" t="s">
        <v>138</v>
      </c>
      <c r="D10" s="127"/>
      <c r="E10" s="127">
        <v>0</v>
      </c>
      <c r="F10" s="127"/>
      <c r="G10" s="127">
        <v>0</v>
      </c>
      <c r="H10" s="127"/>
      <c r="I10" s="127">
        <v>0</v>
      </c>
      <c r="J10" s="127"/>
      <c r="K10" s="127">
        <v>0</v>
      </c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C10" s="144"/>
      <c r="AD10" s="148"/>
    </row>
    <row r="11" spans="1:32" s="119" customFormat="1" ht="12.75" x14ac:dyDescent="0.2">
      <c r="A11" s="121"/>
      <c r="B11" s="120" t="s">
        <v>48</v>
      </c>
      <c r="C11" s="159" t="s">
        <v>141</v>
      </c>
      <c r="D11" s="127"/>
      <c r="E11" s="127">
        <v>0</v>
      </c>
      <c r="F11" s="127"/>
      <c r="G11" s="127">
        <v>0</v>
      </c>
      <c r="H11" s="127"/>
      <c r="I11" s="127">
        <v>193.11</v>
      </c>
      <c r="J11" s="127"/>
      <c r="K11" s="127">
        <v>266.52999999999997</v>
      </c>
      <c r="L11" s="127"/>
      <c r="M11" s="127">
        <v>266.52999999999997</v>
      </c>
      <c r="N11" s="127"/>
      <c r="O11" s="127">
        <v>427.96</v>
      </c>
      <c r="P11" s="127"/>
      <c r="Q11" s="127">
        <v>411</v>
      </c>
      <c r="R11" s="127"/>
      <c r="S11" s="127">
        <v>437.27</v>
      </c>
      <c r="T11" s="127"/>
      <c r="U11" s="127">
        <v>634.10699</v>
      </c>
      <c r="V11" s="127"/>
      <c r="W11" s="127">
        <v>733.4</v>
      </c>
      <c r="X11" s="127"/>
      <c r="Y11" s="127">
        <v>733.4</v>
      </c>
      <c r="Z11" s="127"/>
      <c r="AA11" s="127"/>
      <c r="AC11" s="144"/>
      <c r="AD11" s="148"/>
    </row>
    <row r="12" spans="1:32" s="119" customFormat="1" ht="12.75" x14ac:dyDescent="0.2">
      <c r="A12" s="121"/>
      <c r="B12" s="120" t="s">
        <v>49</v>
      </c>
      <c r="C12" s="159" t="s">
        <v>50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C12" s="144"/>
      <c r="AD12" s="148"/>
    </row>
    <row r="13" spans="1:32" s="119" customFormat="1" ht="12.75" x14ac:dyDescent="0.2">
      <c r="A13" s="121"/>
      <c r="B13" s="120" t="s">
        <v>187</v>
      </c>
      <c r="C13" s="159" t="s">
        <v>188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C13" s="144"/>
      <c r="AD13" s="148"/>
    </row>
    <row r="14" spans="1:32" s="119" customFormat="1" ht="12.75" x14ac:dyDescent="0.2">
      <c r="A14" s="121"/>
      <c r="B14" s="122" t="s">
        <v>51</v>
      </c>
      <c r="C14" s="149" t="s">
        <v>52</v>
      </c>
      <c r="D14" s="127"/>
      <c r="E14" s="127">
        <v>0</v>
      </c>
      <c r="F14" s="127"/>
      <c r="G14" s="127">
        <v>0</v>
      </c>
      <c r="H14" s="127"/>
      <c r="I14" s="127">
        <v>0</v>
      </c>
      <c r="J14" s="127"/>
      <c r="K14" s="127">
        <v>0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C14" s="144">
        <v>0</v>
      </c>
      <c r="AD14" s="148">
        <v>77801.78</v>
      </c>
      <c r="AE14" s="119" t="s">
        <v>208</v>
      </c>
    </row>
    <row r="15" spans="1:32" s="119" customFormat="1" ht="12.75" x14ac:dyDescent="0.2">
      <c r="A15" s="121"/>
      <c r="B15" s="122" t="s">
        <v>53</v>
      </c>
      <c r="C15" s="149" t="s">
        <v>54</v>
      </c>
      <c r="D15" s="127"/>
      <c r="E15" s="127">
        <v>0</v>
      </c>
      <c r="F15" s="127"/>
      <c r="G15" s="127">
        <v>0</v>
      </c>
      <c r="H15" s="127"/>
      <c r="I15" s="127">
        <v>0</v>
      </c>
      <c r="J15" s="127"/>
      <c r="K15" s="127">
        <v>0</v>
      </c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C15" s="144">
        <v>-114170.35129000001</v>
      </c>
      <c r="AD15" s="148">
        <v>200020000468</v>
      </c>
      <c r="AE15" s="119" t="s">
        <v>209</v>
      </c>
    </row>
    <row r="16" spans="1:32" s="119" customFormat="1" ht="12.75" x14ac:dyDescent="0.2">
      <c r="A16" s="121"/>
      <c r="B16" s="122" t="s">
        <v>55</v>
      </c>
      <c r="C16" s="149" t="s">
        <v>151</v>
      </c>
      <c r="D16" s="127"/>
      <c r="E16" s="127"/>
      <c r="F16" s="127"/>
      <c r="G16" s="127">
        <v>13910.74048</v>
      </c>
      <c r="H16" s="127"/>
      <c r="I16" s="127">
        <v>23648.258949999999</v>
      </c>
      <c r="J16" s="127"/>
      <c r="K16" s="127">
        <v>41240.105689999997</v>
      </c>
      <c r="L16" s="127"/>
      <c r="M16" s="127">
        <v>41240.105689999997</v>
      </c>
      <c r="N16" s="127"/>
      <c r="O16" s="127">
        <v>41240.105690000004</v>
      </c>
      <c r="P16" s="127"/>
      <c r="Q16" s="127">
        <v>41240.105690000004</v>
      </c>
      <c r="R16" s="127"/>
      <c r="S16" s="127">
        <v>41240.105690000004</v>
      </c>
      <c r="T16" s="127"/>
      <c r="U16" s="127">
        <v>41240.11</v>
      </c>
      <c r="V16" s="127"/>
      <c r="W16" s="127">
        <v>41240.11</v>
      </c>
      <c r="X16" s="127"/>
      <c r="Y16" s="127">
        <v>41240.11</v>
      </c>
      <c r="Z16" s="127"/>
      <c r="AA16" s="127"/>
      <c r="AC16" s="144">
        <v>-9021.6073000000015</v>
      </c>
      <c r="AD16" s="148">
        <v>200020001373</v>
      </c>
      <c r="AE16" s="119" t="s">
        <v>210</v>
      </c>
      <c r="AF16" s="119">
        <v>3450.92</v>
      </c>
    </row>
    <row r="17" spans="1:31" s="119" customFormat="1" ht="12.75" x14ac:dyDescent="0.2">
      <c r="A17" s="121"/>
      <c r="B17" s="122" t="s">
        <v>56</v>
      </c>
      <c r="C17" s="149" t="s">
        <v>196</v>
      </c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C17" s="144">
        <v>-68391.127280000001</v>
      </c>
      <c r="AD17" s="148">
        <v>200020001374</v>
      </c>
      <c r="AE17" s="119" t="s">
        <v>211</v>
      </c>
    </row>
    <row r="18" spans="1:31" s="119" customFormat="1" ht="12.75" x14ac:dyDescent="0.2">
      <c r="A18" s="121"/>
      <c r="B18" s="122" t="s">
        <v>57</v>
      </c>
      <c r="C18" s="149" t="s">
        <v>195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C18" s="144">
        <v>316676.19631999999</v>
      </c>
      <c r="AD18" s="148">
        <v>200020021240</v>
      </c>
      <c r="AE18" s="119" t="s">
        <v>212</v>
      </c>
    </row>
    <row r="19" spans="1:31" s="119" customFormat="1" ht="12.75" x14ac:dyDescent="0.2">
      <c r="A19" s="121"/>
      <c r="B19" s="122" t="s">
        <v>154</v>
      </c>
      <c r="C19" s="149" t="s">
        <v>155</v>
      </c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C19" s="133">
        <v>0</v>
      </c>
      <c r="AD19" s="148"/>
    </row>
    <row r="20" spans="1:31" ht="12.75" x14ac:dyDescent="0.2">
      <c r="A20" s="118" t="s">
        <v>0</v>
      </c>
      <c r="B20" s="118"/>
      <c r="C20" s="118"/>
      <c r="D20" s="129">
        <f t="shared" ref="D20:AA20" si="1">SUM(D8:D19)</f>
        <v>0</v>
      </c>
      <c r="E20" s="129">
        <f t="shared" si="1"/>
        <v>0</v>
      </c>
      <c r="F20" s="129">
        <f t="shared" si="1"/>
        <v>0</v>
      </c>
      <c r="G20" s="129">
        <f>SUM(G8:G19)</f>
        <v>15111.930480000001</v>
      </c>
      <c r="H20" s="129">
        <f t="shared" si="1"/>
        <v>0</v>
      </c>
      <c r="I20" s="129">
        <f t="shared" si="1"/>
        <v>25042.558949999999</v>
      </c>
      <c r="J20" s="129">
        <f t="shared" si="1"/>
        <v>0</v>
      </c>
      <c r="K20" s="129">
        <f t="shared" si="1"/>
        <v>42707.825689999998</v>
      </c>
      <c r="L20" s="129">
        <f t="shared" si="1"/>
        <v>0</v>
      </c>
      <c r="M20" s="129">
        <f t="shared" si="1"/>
        <v>48147.535689999997</v>
      </c>
      <c r="N20" s="129">
        <f t="shared" si="1"/>
        <v>0</v>
      </c>
      <c r="O20" s="129">
        <f>SUM(O8:O19)</f>
        <v>41668.065690000003</v>
      </c>
      <c r="P20" s="129">
        <f t="shared" si="1"/>
        <v>0</v>
      </c>
      <c r="Q20" s="129">
        <f t="shared" si="1"/>
        <v>41651.105690000004</v>
      </c>
      <c r="R20" s="129">
        <f t="shared" si="1"/>
        <v>0</v>
      </c>
      <c r="S20" s="129">
        <f t="shared" si="1"/>
        <v>41677.375690000001</v>
      </c>
      <c r="T20" s="129">
        <f t="shared" si="1"/>
        <v>0</v>
      </c>
      <c r="U20" s="129">
        <f>SUM(U8:U19)</f>
        <v>41881.407489999998</v>
      </c>
      <c r="V20" s="129">
        <f t="shared" si="1"/>
        <v>0</v>
      </c>
      <c r="W20" s="129">
        <f t="shared" si="1"/>
        <v>-499765.61748999998</v>
      </c>
      <c r="X20" s="129">
        <f t="shared" si="1"/>
        <v>0</v>
      </c>
      <c r="Y20" s="129">
        <f t="shared" si="1"/>
        <v>-499622.88699000003</v>
      </c>
      <c r="Z20" s="129">
        <f t="shared" si="1"/>
        <v>0</v>
      </c>
      <c r="AA20" s="129">
        <f t="shared" si="1"/>
        <v>0</v>
      </c>
    </row>
    <row r="21" spans="1:31" x14ac:dyDescent="0.25">
      <c r="A21" s="115" t="s">
        <v>20</v>
      </c>
      <c r="B21" s="115" t="s">
        <v>21</v>
      </c>
      <c r="C21" s="160" t="s">
        <v>22</v>
      </c>
      <c r="D21" s="127">
        <v>3.24</v>
      </c>
      <c r="E21" s="127">
        <v>3.25</v>
      </c>
      <c r="F21" s="127">
        <v>3.24</v>
      </c>
      <c r="G21" s="127">
        <v>3.25</v>
      </c>
      <c r="H21" s="127">
        <v>3.24</v>
      </c>
      <c r="I21" s="127">
        <v>-7281.0300000000007</v>
      </c>
      <c r="J21" s="127">
        <v>3.24</v>
      </c>
      <c r="K21" s="127">
        <v>-7281.0300000000007</v>
      </c>
      <c r="L21" s="127">
        <v>2003.24</v>
      </c>
      <c r="M21" s="127">
        <v>-7281.0300000000007</v>
      </c>
      <c r="N21" s="127">
        <v>4003.24</v>
      </c>
      <c r="O21" s="127">
        <v>-6513.92</v>
      </c>
      <c r="P21" s="128">
        <v>4003.24</v>
      </c>
      <c r="Q21" s="128">
        <v>-5141.54</v>
      </c>
      <c r="R21" s="128">
        <v>8181.84</v>
      </c>
      <c r="S21" s="128">
        <v>-5141.54</v>
      </c>
      <c r="T21" s="128">
        <v>19978.899999999998</v>
      </c>
      <c r="U21" s="128">
        <v>-4396.43</v>
      </c>
      <c r="V21" s="128">
        <v>38518.870000000003</v>
      </c>
      <c r="W21" s="128">
        <v>-2192.1000000000004</v>
      </c>
      <c r="X21" s="128">
        <v>56451.640000000007</v>
      </c>
      <c r="Y21" s="128">
        <v>-2186.79</v>
      </c>
      <c r="Z21" s="128">
        <v>72890</v>
      </c>
      <c r="AA21" s="128"/>
    </row>
    <row r="22" spans="1:31" ht="12.75" x14ac:dyDescent="0.2">
      <c r="A22" s="109" t="s">
        <v>1</v>
      </c>
      <c r="B22" s="109"/>
      <c r="C22" s="109"/>
      <c r="D22" s="130">
        <f>SUM(D21)</f>
        <v>3.24</v>
      </c>
      <c r="E22" s="130">
        <f t="shared" ref="E22:AA22" si="2">SUM(E21)</f>
        <v>3.25</v>
      </c>
      <c r="F22" s="130">
        <f t="shared" si="2"/>
        <v>3.24</v>
      </c>
      <c r="G22" s="130">
        <f t="shared" si="2"/>
        <v>3.25</v>
      </c>
      <c r="H22" s="130">
        <f t="shared" si="2"/>
        <v>3.24</v>
      </c>
      <c r="I22" s="130">
        <f t="shared" si="2"/>
        <v>-7281.0300000000007</v>
      </c>
      <c r="J22" s="130">
        <f t="shared" si="2"/>
        <v>3.24</v>
      </c>
      <c r="K22" s="130">
        <f t="shared" si="2"/>
        <v>-7281.0300000000007</v>
      </c>
      <c r="L22" s="130">
        <f t="shared" si="2"/>
        <v>2003.24</v>
      </c>
      <c r="M22" s="130">
        <f t="shared" si="2"/>
        <v>-7281.0300000000007</v>
      </c>
      <c r="N22" s="130">
        <f t="shared" si="2"/>
        <v>4003.24</v>
      </c>
      <c r="O22" s="130">
        <f t="shared" si="2"/>
        <v>-6513.92</v>
      </c>
      <c r="P22" s="130">
        <f t="shared" si="2"/>
        <v>4003.24</v>
      </c>
      <c r="Q22" s="130">
        <f t="shared" si="2"/>
        <v>-5141.54</v>
      </c>
      <c r="R22" s="130">
        <f t="shared" si="2"/>
        <v>8181.84</v>
      </c>
      <c r="S22" s="130">
        <f t="shared" si="2"/>
        <v>-5141.54</v>
      </c>
      <c r="T22" s="130">
        <f t="shared" si="2"/>
        <v>19978.899999999998</v>
      </c>
      <c r="U22" s="130">
        <f t="shared" si="2"/>
        <v>-4396.43</v>
      </c>
      <c r="V22" s="130">
        <f t="shared" si="2"/>
        <v>38518.870000000003</v>
      </c>
      <c r="W22" s="130">
        <f t="shared" si="2"/>
        <v>-2192.1000000000004</v>
      </c>
      <c r="X22" s="130">
        <f t="shared" si="2"/>
        <v>56451.640000000007</v>
      </c>
      <c r="Y22" s="130">
        <f t="shared" si="2"/>
        <v>-2186.79</v>
      </c>
      <c r="Z22" s="130">
        <f t="shared" si="2"/>
        <v>72890</v>
      </c>
      <c r="AA22" s="130">
        <f t="shared" si="2"/>
        <v>0</v>
      </c>
      <c r="AD22" s="106">
        <v>1000</v>
      </c>
    </row>
    <row r="23" spans="1:31" x14ac:dyDescent="0.25">
      <c r="A23" s="115" t="s">
        <v>23</v>
      </c>
      <c r="B23" s="115" t="s">
        <v>24</v>
      </c>
      <c r="C23" s="160" t="s">
        <v>25</v>
      </c>
      <c r="D23" s="127">
        <v>942.68</v>
      </c>
      <c r="E23" s="127">
        <v>942.68</v>
      </c>
      <c r="F23" s="127">
        <v>946.67</v>
      </c>
      <c r="G23" s="127">
        <v>946.68</v>
      </c>
      <c r="H23" s="127">
        <v>946.67</v>
      </c>
      <c r="I23" s="127">
        <v>-652.48</v>
      </c>
      <c r="J23" s="127">
        <v>946.67</v>
      </c>
      <c r="K23" s="127">
        <v>-652.49</v>
      </c>
      <c r="L23" s="127">
        <v>1896.6699999999998</v>
      </c>
      <c r="M23" s="127">
        <v>-96.01</v>
      </c>
      <c r="N23" s="127">
        <v>2562.27</v>
      </c>
      <c r="O23" s="127">
        <v>871.15</v>
      </c>
      <c r="P23" s="128">
        <v>4662.2700000000004</v>
      </c>
      <c r="Q23" s="128">
        <v>1303.99</v>
      </c>
      <c r="R23" s="128">
        <v>4670.4799999999996</v>
      </c>
      <c r="S23" s="128">
        <v>1303.99</v>
      </c>
      <c r="T23" s="128">
        <v>6670.4800000000005</v>
      </c>
      <c r="U23" s="128">
        <v>2063.3399999999997</v>
      </c>
      <c r="V23" s="128">
        <v>16690.669999999998</v>
      </c>
      <c r="W23" s="128">
        <v>2063.3399999999997</v>
      </c>
      <c r="X23" s="128">
        <v>26404.38</v>
      </c>
      <c r="Y23" s="128">
        <v>2063.3399999999997</v>
      </c>
      <c r="Z23" s="128">
        <v>30730</v>
      </c>
      <c r="AA23" s="128"/>
    </row>
    <row r="24" spans="1:31" ht="12.75" x14ac:dyDescent="0.2">
      <c r="A24" s="109" t="s">
        <v>143</v>
      </c>
      <c r="B24" s="109"/>
      <c r="C24" s="109"/>
      <c r="D24" s="130">
        <f>SUM(D23)</f>
        <v>942.68</v>
      </c>
      <c r="E24" s="130">
        <f t="shared" ref="E24:AA24" si="3">SUM(E23)</f>
        <v>942.68</v>
      </c>
      <c r="F24" s="130">
        <f t="shared" si="3"/>
        <v>946.67</v>
      </c>
      <c r="G24" s="130">
        <f t="shared" si="3"/>
        <v>946.68</v>
      </c>
      <c r="H24" s="130">
        <f t="shared" si="3"/>
        <v>946.67</v>
      </c>
      <c r="I24" s="130">
        <f t="shared" si="3"/>
        <v>-652.48</v>
      </c>
      <c r="J24" s="130">
        <f t="shared" si="3"/>
        <v>946.67</v>
      </c>
      <c r="K24" s="130">
        <f t="shared" si="3"/>
        <v>-652.49</v>
      </c>
      <c r="L24" s="130">
        <f t="shared" si="3"/>
        <v>1896.6699999999998</v>
      </c>
      <c r="M24" s="130">
        <f t="shared" si="3"/>
        <v>-96.01</v>
      </c>
      <c r="N24" s="130">
        <f t="shared" si="3"/>
        <v>2562.27</v>
      </c>
      <c r="O24" s="130">
        <f t="shared" si="3"/>
        <v>871.15</v>
      </c>
      <c r="P24" s="130">
        <f t="shared" si="3"/>
        <v>4662.2700000000004</v>
      </c>
      <c r="Q24" s="130">
        <f t="shared" si="3"/>
        <v>1303.99</v>
      </c>
      <c r="R24" s="130">
        <f t="shared" si="3"/>
        <v>4670.4799999999996</v>
      </c>
      <c r="S24" s="130">
        <f t="shared" si="3"/>
        <v>1303.99</v>
      </c>
      <c r="T24" s="130">
        <f t="shared" si="3"/>
        <v>6670.4800000000005</v>
      </c>
      <c r="U24" s="130">
        <f t="shared" si="3"/>
        <v>2063.3399999999997</v>
      </c>
      <c r="V24" s="130">
        <f t="shared" si="3"/>
        <v>16690.669999999998</v>
      </c>
      <c r="W24" s="130">
        <f t="shared" si="3"/>
        <v>2063.3399999999997</v>
      </c>
      <c r="X24" s="130">
        <f t="shared" si="3"/>
        <v>26404.38</v>
      </c>
      <c r="Y24" s="130">
        <f t="shared" si="3"/>
        <v>2063.3399999999997</v>
      </c>
      <c r="Z24" s="130">
        <f t="shared" si="3"/>
        <v>30730</v>
      </c>
      <c r="AA24" s="130">
        <f t="shared" si="3"/>
        <v>0</v>
      </c>
    </row>
    <row r="25" spans="1:31" x14ac:dyDescent="0.25">
      <c r="A25" s="115" t="s">
        <v>58</v>
      </c>
      <c r="B25" s="115" t="s">
        <v>59</v>
      </c>
      <c r="C25" s="160" t="s">
        <v>60</v>
      </c>
      <c r="D25" s="127"/>
      <c r="E25" s="127">
        <v>0</v>
      </c>
      <c r="F25" s="127"/>
      <c r="G25" s="127">
        <v>0</v>
      </c>
      <c r="H25" s="127"/>
      <c r="I25" s="127">
        <v>-194.56494000000001</v>
      </c>
      <c r="J25" s="127"/>
      <c r="K25" s="127">
        <v>-194.56</v>
      </c>
      <c r="L25" s="127"/>
      <c r="M25" s="127">
        <v>-194.56</v>
      </c>
      <c r="N25" s="127"/>
      <c r="O25" s="127">
        <v>-194.56</v>
      </c>
      <c r="P25" s="128"/>
      <c r="Q25" s="128">
        <v>-194.56</v>
      </c>
      <c r="R25" s="128"/>
      <c r="S25" s="128">
        <v>-194.56</v>
      </c>
      <c r="T25" s="128"/>
      <c r="U25" s="128">
        <v>-194.56</v>
      </c>
      <c r="V25" s="128"/>
      <c r="W25" s="128">
        <v>-194.56</v>
      </c>
      <c r="X25" s="128"/>
      <c r="Y25" s="128">
        <v>-194.56</v>
      </c>
      <c r="Z25" s="128"/>
      <c r="AA25" s="128"/>
    </row>
    <row r="26" spans="1:31" x14ac:dyDescent="0.25">
      <c r="A26" s="115"/>
      <c r="B26" s="115" t="s">
        <v>61</v>
      </c>
      <c r="C26" s="160" t="s">
        <v>62</v>
      </c>
      <c r="D26" s="127">
        <v>0</v>
      </c>
      <c r="E26" s="127">
        <v>0</v>
      </c>
      <c r="F26" s="127">
        <v>8.23</v>
      </c>
      <c r="G26" s="127">
        <v>8.23</v>
      </c>
      <c r="H26" s="127">
        <v>8.23</v>
      </c>
      <c r="I26" s="127">
        <v>-4178.3900000000003</v>
      </c>
      <c r="J26" s="127">
        <v>8.23</v>
      </c>
      <c r="K26" s="127">
        <v>-4210.54</v>
      </c>
      <c r="L26" s="127">
        <v>8.23</v>
      </c>
      <c r="M26" s="127">
        <v>-3828.12</v>
      </c>
      <c r="N26" s="127">
        <v>8.23</v>
      </c>
      <c r="O26" s="127">
        <v>-3828.12</v>
      </c>
      <c r="P26" s="128">
        <v>3113.73</v>
      </c>
      <c r="Q26" s="128">
        <v>-20703.62</v>
      </c>
      <c r="R26" s="128">
        <v>23576.66</v>
      </c>
      <c r="S26" s="128">
        <v>-3795.96</v>
      </c>
      <c r="T26" s="128">
        <v>45427.25</v>
      </c>
      <c r="U26" s="128">
        <v>4749.3599999999997</v>
      </c>
      <c r="V26" s="128">
        <v>67277.84</v>
      </c>
      <c r="W26" s="128">
        <v>24049</v>
      </c>
      <c r="X26" s="128">
        <v>106205.04</v>
      </c>
      <c r="Y26" s="128">
        <v>24049</v>
      </c>
      <c r="Z26" s="128">
        <v>136970.27851999999</v>
      </c>
      <c r="AA26" s="128">
        <v>0</v>
      </c>
    </row>
    <row r="27" spans="1:31" x14ac:dyDescent="0.25">
      <c r="A27" s="115"/>
      <c r="B27" s="115" t="s">
        <v>63</v>
      </c>
      <c r="C27" s="160" t="s">
        <v>64</v>
      </c>
      <c r="D27" s="127"/>
      <c r="E27" s="127"/>
      <c r="F27" s="127"/>
      <c r="G27" s="127"/>
      <c r="H27" s="127"/>
      <c r="I27" s="127"/>
      <c r="J27" s="127"/>
      <c r="K27" s="127"/>
      <c r="L27" s="127"/>
      <c r="N27" s="127"/>
      <c r="O27" s="127"/>
      <c r="P27" s="128"/>
      <c r="Q27" s="128"/>
      <c r="R27" s="128"/>
      <c r="S27" s="128">
        <v>3.38</v>
      </c>
      <c r="T27" s="128"/>
      <c r="U27" s="128">
        <v>3.38</v>
      </c>
      <c r="V27" s="128"/>
      <c r="W27" s="128">
        <v>27.29</v>
      </c>
      <c r="X27" s="128"/>
      <c r="Y27" s="128">
        <v>27.29</v>
      </c>
      <c r="Z27" s="128"/>
      <c r="AA27" s="128"/>
      <c r="AC27" s="139"/>
    </row>
    <row r="28" spans="1:31" ht="12.75" x14ac:dyDescent="0.2">
      <c r="A28" s="109" t="s">
        <v>2</v>
      </c>
      <c r="B28" s="109"/>
      <c r="C28" s="109"/>
      <c r="D28" s="130">
        <f>SUM(D25:D27)</f>
        <v>0</v>
      </c>
      <c r="E28" s="130">
        <f t="shared" ref="E28:AA28" si="4">SUM(E25:E27)</f>
        <v>0</v>
      </c>
      <c r="F28" s="130">
        <f t="shared" si="4"/>
        <v>8.23</v>
      </c>
      <c r="G28" s="130">
        <f t="shared" si="4"/>
        <v>8.23</v>
      </c>
      <c r="H28" s="130">
        <f t="shared" si="4"/>
        <v>8.23</v>
      </c>
      <c r="I28" s="130">
        <f t="shared" si="4"/>
        <v>-4372.9549400000005</v>
      </c>
      <c r="J28" s="130">
        <f t="shared" si="4"/>
        <v>8.23</v>
      </c>
      <c r="K28" s="130">
        <f t="shared" si="4"/>
        <v>-4405.1000000000004</v>
      </c>
      <c r="L28" s="130">
        <f t="shared" si="4"/>
        <v>8.23</v>
      </c>
      <c r="M28" s="130">
        <f t="shared" si="4"/>
        <v>-4022.68</v>
      </c>
      <c r="N28" s="130">
        <f>SUM(N25:N27)</f>
        <v>8.23</v>
      </c>
      <c r="O28" s="130">
        <f t="shared" si="4"/>
        <v>-4022.68</v>
      </c>
      <c r="P28" s="130">
        <f t="shared" si="4"/>
        <v>3113.73</v>
      </c>
      <c r="Q28" s="130">
        <f t="shared" si="4"/>
        <v>-20898.18</v>
      </c>
      <c r="R28" s="130">
        <f t="shared" si="4"/>
        <v>23576.66</v>
      </c>
      <c r="S28" s="130">
        <f t="shared" si="4"/>
        <v>-3987.14</v>
      </c>
      <c r="T28" s="130">
        <f t="shared" si="4"/>
        <v>45427.25</v>
      </c>
      <c r="U28" s="130">
        <f t="shared" si="4"/>
        <v>4558.1799999999994</v>
      </c>
      <c r="V28" s="130">
        <f t="shared" si="4"/>
        <v>67277.84</v>
      </c>
      <c r="W28" s="130">
        <f t="shared" si="4"/>
        <v>23881.73</v>
      </c>
      <c r="X28" s="130">
        <f t="shared" si="4"/>
        <v>106205.04</v>
      </c>
      <c r="Y28" s="130">
        <f t="shared" si="4"/>
        <v>23881.73</v>
      </c>
      <c r="Z28" s="130">
        <f t="shared" si="4"/>
        <v>136970.27851999999</v>
      </c>
      <c r="AA28" s="130">
        <f t="shared" si="4"/>
        <v>0</v>
      </c>
    </row>
    <row r="29" spans="1:31" x14ac:dyDescent="0.25">
      <c r="A29" s="115" t="s">
        <v>169</v>
      </c>
      <c r="B29" s="115" t="s">
        <v>204</v>
      </c>
      <c r="C29" s="160" t="s">
        <v>205</v>
      </c>
      <c r="D29" s="127"/>
      <c r="E29" s="127">
        <v>0</v>
      </c>
      <c r="F29" s="127"/>
      <c r="G29" s="127">
        <v>0</v>
      </c>
      <c r="H29" s="127"/>
      <c r="I29" s="127">
        <v>0</v>
      </c>
      <c r="J29" s="127"/>
      <c r="K29" s="127">
        <v>0</v>
      </c>
      <c r="L29" s="127"/>
      <c r="M29" s="127"/>
      <c r="N29" s="127"/>
      <c r="O29" s="127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C29" s="139"/>
    </row>
    <row r="30" spans="1:31" ht="12.75" x14ac:dyDescent="0.2">
      <c r="A30" s="109" t="s">
        <v>172</v>
      </c>
      <c r="B30" s="109"/>
      <c r="C30" s="109"/>
      <c r="D30" s="130">
        <f>SUM(D29)</f>
        <v>0</v>
      </c>
      <c r="E30" s="130">
        <f t="shared" ref="E30:AA30" si="5">SUM(E29)</f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  <c r="J30" s="130">
        <f t="shared" si="5"/>
        <v>0</v>
      </c>
      <c r="K30" s="130">
        <f t="shared" si="5"/>
        <v>0</v>
      </c>
      <c r="L30" s="130">
        <f t="shared" si="5"/>
        <v>0</v>
      </c>
      <c r="M30" s="130">
        <f t="shared" si="5"/>
        <v>0</v>
      </c>
      <c r="N30" s="130">
        <f t="shared" si="5"/>
        <v>0</v>
      </c>
      <c r="O30" s="130">
        <f t="shared" si="5"/>
        <v>0</v>
      </c>
      <c r="P30" s="130">
        <f t="shared" si="5"/>
        <v>0</v>
      </c>
      <c r="Q30" s="130">
        <f t="shared" si="5"/>
        <v>0</v>
      </c>
      <c r="R30" s="130">
        <f t="shared" si="5"/>
        <v>0</v>
      </c>
      <c r="S30" s="130">
        <f t="shared" si="5"/>
        <v>0</v>
      </c>
      <c r="T30" s="130">
        <f t="shared" si="5"/>
        <v>0</v>
      </c>
      <c r="U30" s="130">
        <f t="shared" si="5"/>
        <v>0</v>
      </c>
      <c r="V30" s="130">
        <f t="shared" si="5"/>
        <v>0</v>
      </c>
      <c r="W30" s="130">
        <f t="shared" si="5"/>
        <v>0</v>
      </c>
      <c r="X30" s="130">
        <f t="shared" si="5"/>
        <v>0</v>
      </c>
      <c r="Y30" s="130">
        <f t="shared" si="5"/>
        <v>0</v>
      </c>
      <c r="Z30" s="130">
        <f t="shared" si="5"/>
        <v>0</v>
      </c>
      <c r="AA30" s="130">
        <f t="shared" si="5"/>
        <v>0</v>
      </c>
    </row>
    <row r="31" spans="1:31" x14ac:dyDescent="0.25">
      <c r="A31" s="115" t="s">
        <v>26</v>
      </c>
      <c r="B31" s="115" t="s">
        <v>65</v>
      </c>
      <c r="C31" s="160" t="s">
        <v>66</v>
      </c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C31" s="133"/>
      <c r="AD31" s="139"/>
    </row>
    <row r="32" spans="1:31" x14ac:dyDescent="0.25">
      <c r="A32" s="115"/>
      <c r="B32" s="115" t="s">
        <v>203</v>
      </c>
      <c r="C32" s="160" t="s">
        <v>12</v>
      </c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C32" s="133"/>
      <c r="AD32" s="139"/>
    </row>
    <row r="33" spans="1:30" x14ac:dyDescent="0.25">
      <c r="A33" s="115"/>
      <c r="B33" s="115" t="s">
        <v>71</v>
      </c>
      <c r="C33" s="258" t="s">
        <v>72</v>
      </c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C33" s="133"/>
      <c r="AD33" s="139"/>
    </row>
    <row r="34" spans="1:30" x14ac:dyDescent="0.25">
      <c r="A34" s="115"/>
      <c r="B34" s="115" t="s">
        <v>139</v>
      </c>
      <c r="C34" s="160" t="s">
        <v>140</v>
      </c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C34" s="133"/>
      <c r="AD34" s="139"/>
    </row>
    <row r="35" spans="1:30" x14ac:dyDescent="0.25">
      <c r="A35" s="115"/>
      <c r="B35" s="115" t="s">
        <v>73</v>
      </c>
      <c r="C35" s="160" t="s">
        <v>74</v>
      </c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C35" s="139"/>
      <c r="AD35" s="139"/>
    </row>
    <row r="36" spans="1:30" x14ac:dyDescent="0.25">
      <c r="A36" s="115"/>
      <c r="B36" s="115" t="s">
        <v>156</v>
      </c>
      <c r="C36" s="160" t="s">
        <v>157</v>
      </c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C36" s="139"/>
      <c r="AD36" s="139"/>
    </row>
    <row r="37" spans="1:30" x14ac:dyDescent="0.25">
      <c r="A37" s="115"/>
      <c r="B37" s="115" t="s">
        <v>214</v>
      </c>
      <c r="C37" s="160" t="s">
        <v>215</v>
      </c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C37" s="139"/>
      <c r="AD37" s="139"/>
    </row>
    <row r="38" spans="1:30" ht="12.75" x14ac:dyDescent="0.2">
      <c r="A38" s="109" t="s">
        <v>144</v>
      </c>
      <c r="B38" s="109"/>
      <c r="C38" s="109"/>
      <c r="D38" s="130">
        <f>SUM(D31:D37)</f>
        <v>0</v>
      </c>
      <c r="E38" s="130">
        <f t="shared" ref="E38:AA38" si="6">SUM(E31:E37)</f>
        <v>0</v>
      </c>
      <c r="F38" s="130">
        <f t="shared" si="6"/>
        <v>0</v>
      </c>
      <c r="G38" s="130">
        <f t="shared" si="6"/>
        <v>0</v>
      </c>
      <c r="H38" s="130">
        <f t="shared" si="6"/>
        <v>0</v>
      </c>
      <c r="I38" s="130">
        <f t="shared" si="6"/>
        <v>0</v>
      </c>
      <c r="J38" s="130">
        <f t="shared" si="6"/>
        <v>0</v>
      </c>
      <c r="K38" s="130">
        <f t="shared" si="6"/>
        <v>0</v>
      </c>
      <c r="L38" s="130">
        <f t="shared" si="6"/>
        <v>0</v>
      </c>
      <c r="M38" s="130">
        <f t="shared" si="6"/>
        <v>0</v>
      </c>
      <c r="N38" s="130">
        <f t="shared" si="6"/>
        <v>0</v>
      </c>
      <c r="O38" s="130">
        <f t="shared" si="6"/>
        <v>0</v>
      </c>
      <c r="P38" s="130">
        <f t="shared" si="6"/>
        <v>0</v>
      </c>
      <c r="Q38" s="130">
        <f t="shared" si="6"/>
        <v>0</v>
      </c>
      <c r="R38" s="130">
        <f t="shared" si="6"/>
        <v>0</v>
      </c>
      <c r="S38" s="130">
        <f t="shared" si="6"/>
        <v>0</v>
      </c>
      <c r="T38" s="130">
        <f t="shared" si="6"/>
        <v>0</v>
      </c>
      <c r="U38" s="130">
        <f t="shared" si="6"/>
        <v>0</v>
      </c>
      <c r="V38" s="130">
        <f t="shared" si="6"/>
        <v>0</v>
      </c>
      <c r="W38" s="130">
        <f t="shared" si="6"/>
        <v>0</v>
      </c>
      <c r="X38" s="130">
        <f t="shared" si="6"/>
        <v>0</v>
      </c>
      <c r="Y38" s="130">
        <f t="shared" si="6"/>
        <v>0</v>
      </c>
      <c r="Z38" s="130">
        <f t="shared" si="6"/>
        <v>0</v>
      </c>
      <c r="AA38" s="130">
        <f t="shared" si="6"/>
        <v>0</v>
      </c>
      <c r="AD38" s="139"/>
    </row>
    <row r="39" spans="1:30" x14ac:dyDescent="0.25">
      <c r="A39" s="115" t="s">
        <v>158</v>
      </c>
      <c r="B39" s="115" t="s">
        <v>159</v>
      </c>
      <c r="C39" s="160" t="s">
        <v>160</v>
      </c>
      <c r="D39" s="127"/>
      <c r="E39" s="127"/>
      <c r="F39" s="127"/>
      <c r="G39" s="127"/>
      <c r="H39" s="127"/>
      <c r="I39" s="127">
        <v>-11652.707</v>
      </c>
      <c r="J39" s="127"/>
      <c r="K39" s="127">
        <v>-11652.71</v>
      </c>
      <c r="L39" s="127"/>
      <c r="M39" s="127">
        <v>-11652.71</v>
      </c>
      <c r="N39" s="127"/>
      <c r="O39" s="127">
        <v>-11652.71</v>
      </c>
      <c r="P39" s="128"/>
      <c r="Q39" s="128">
        <v>-11652.71</v>
      </c>
      <c r="R39" s="128"/>
      <c r="S39" s="128">
        <v>-11652.71</v>
      </c>
      <c r="T39" s="128"/>
      <c r="U39" s="128">
        <v>-11652.71</v>
      </c>
      <c r="V39" s="128"/>
      <c r="W39" s="128">
        <v>-11652.71</v>
      </c>
      <c r="X39" s="128"/>
      <c r="Y39" s="128">
        <v>-11652.71</v>
      </c>
      <c r="Z39" s="128"/>
      <c r="AA39" s="128"/>
      <c r="AD39" s="139"/>
    </row>
    <row r="40" spans="1:30" x14ac:dyDescent="0.25">
      <c r="A40" s="115"/>
      <c r="B40" s="115" t="s">
        <v>161</v>
      </c>
      <c r="C40" s="160" t="s">
        <v>13</v>
      </c>
      <c r="D40" s="127"/>
      <c r="E40" s="127"/>
      <c r="F40" s="127"/>
      <c r="G40" s="127"/>
      <c r="H40" s="127"/>
      <c r="I40" s="127">
        <v>0</v>
      </c>
      <c r="J40" s="127"/>
      <c r="K40" s="127"/>
      <c r="L40" s="127"/>
      <c r="M40" s="127"/>
      <c r="N40" s="127"/>
      <c r="O40" s="127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D40" s="139"/>
    </row>
    <row r="41" spans="1:30" ht="12.75" x14ac:dyDescent="0.2">
      <c r="A41" s="109" t="s">
        <v>162</v>
      </c>
      <c r="B41" s="109"/>
      <c r="C41" s="161"/>
      <c r="D41" s="130">
        <f>SUM(D39:D40)</f>
        <v>0</v>
      </c>
      <c r="E41" s="130">
        <f t="shared" ref="E41:AA41" si="7">SUM(E39:E40)</f>
        <v>0</v>
      </c>
      <c r="F41" s="130">
        <f t="shared" si="7"/>
        <v>0</v>
      </c>
      <c r="G41" s="130">
        <f t="shared" si="7"/>
        <v>0</v>
      </c>
      <c r="H41" s="130">
        <f t="shared" si="7"/>
        <v>0</v>
      </c>
      <c r="I41" s="130">
        <f t="shared" si="7"/>
        <v>-11652.707</v>
      </c>
      <c r="J41" s="130">
        <f t="shared" si="7"/>
        <v>0</v>
      </c>
      <c r="K41" s="130">
        <f t="shared" si="7"/>
        <v>-11652.71</v>
      </c>
      <c r="L41" s="130">
        <f t="shared" si="7"/>
        <v>0</v>
      </c>
      <c r="M41" s="130">
        <f t="shared" si="7"/>
        <v>-11652.71</v>
      </c>
      <c r="N41" s="130">
        <f t="shared" si="7"/>
        <v>0</v>
      </c>
      <c r="O41" s="130">
        <f t="shared" si="7"/>
        <v>-11652.71</v>
      </c>
      <c r="P41" s="130">
        <f t="shared" si="7"/>
        <v>0</v>
      </c>
      <c r="Q41" s="130">
        <f t="shared" si="7"/>
        <v>-11652.71</v>
      </c>
      <c r="R41" s="130">
        <f t="shared" si="7"/>
        <v>0</v>
      </c>
      <c r="S41" s="130">
        <f t="shared" si="7"/>
        <v>-11652.71</v>
      </c>
      <c r="T41" s="130">
        <f t="shared" si="7"/>
        <v>0</v>
      </c>
      <c r="U41" s="130">
        <f t="shared" si="7"/>
        <v>-11652.71</v>
      </c>
      <c r="V41" s="130">
        <f t="shared" si="7"/>
        <v>0</v>
      </c>
      <c r="W41" s="130">
        <f t="shared" si="7"/>
        <v>-11652.71</v>
      </c>
      <c r="X41" s="130">
        <f t="shared" si="7"/>
        <v>0</v>
      </c>
      <c r="Y41" s="130">
        <f t="shared" si="7"/>
        <v>-11652.71</v>
      </c>
      <c r="Z41" s="130">
        <f t="shared" si="7"/>
        <v>0</v>
      </c>
      <c r="AA41" s="130">
        <f t="shared" si="7"/>
        <v>0</v>
      </c>
      <c r="AC41" s="139"/>
    </row>
    <row r="42" spans="1:30" x14ac:dyDescent="0.25">
      <c r="A42" s="115" t="s">
        <v>163</v>
      </c>
      <c r="B42" s="115" t="s">
        <v>229</v>
      </c>
      <c r="C42" s="160" t="s">
        <v>230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D42" s="139"/>
    </row>
    <row r="43" spans="1:30" x14ac:dyDescent="0.25">
      <c r="A43" s="115"/>
      <c r="B43" s="115" t="s">
        <v>164</v>
      </c>
      <c r="C43" s="160" t="s">
        <v>165</v>
      </c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D43" s="139"/>
    </row>
    <row r="44" spans="1:30" ht="12.75" x14ac:dyDescent="0.2">
      <c r="A44" s="109" t="s">
        <v>166</v>
      </c>
      <c r="B44" s="109"/>
      <c r="C44" s="109"/>
      <c r="D44" s="130">
        <f>SUM(D42:D43)</f>
        <v>0</v>
      </c>
      <c r="E44" s="130">
        <f t="shared" ref="E44:AA44" si="8">SUM(E42:E43)</f>
        <v>0</v>
      </c>
      <c r="F44" s="130">
        <f t="shared" si="8"/>
        <v>0</v>
      </c>
      <c r="G44" s="130">
        <f t="shared" si="8"/>
        <v>0</v>
      </c>
      <c r="H44" s="130">
        <f t="shared" si="8"/>
        <v>0</v>
      </c>
      <c r="I44" s="130">
        <f t="shared" si="8"/>
        <v>0</v>
      </c>
      <c r="J44" s="130">
        <f t="shared" si="8"/>
        <v>0</v>
      </c>
      <c r="K44" s="130">
        <f t="shared" si="8"/>
        <v>0</v>
      </c>
      <c r="L44" s="130">
        <f t="shared" si="8"/>
        <v>0</v>
      </c>
      <c r="M44" s="130">
        <f t="shared" si="8"/>
        <v>0</v>
      </c>
      <c r="N44" s="130">
        <f t="shared" si="8"/>
        <v>0</v>
      </c>
      <c r="O44" s="130">
        <f t="shared" si="8"/>
        <v>0</v>
      </c>
      <c r="P44" s="130">
        <f t="shared" si="8"/>
        <v>0</v>
      </c>
      <c r="Q44" s="130">
        <f t="shared" si="8"/>
        <v>0</v>
      </c>
      <c r="R44" s="130">
        <f t="shared" si="8"/>
        <v>0</v>
      </c>
      <c r="S44" s="130">
        <f t="shared" si="8"/>
        <v>0</v>
      </c>
      <c r="T44" s="130">
        <f t="shared" si="8"/>
        <v>0</v>
      </c>
      <c r="U44" s="130">
        <f t="shared" si="8"/>
        <v>0</v>
      </c>
      <c r="V44" s="130">
        <f t="shared" si="8"/>
        <v>0</v>
      </c>
      <c r="W44" s="130">
        <f t="shared" si="8"/>
        <v>0</v>
      </c>
      <c r="X44" s="130">
        <f t="shared" si="8"/>
        <v>0</v>
      </c>
      <c r="Y44" s="130">
        <f t="shared" si="8"/>
        <v>0</v>
      </c>
      <c r="Z44" s="130">
        <f t="shared" si="8"/>
        <v>0</v>
      </c>
      <c r="AA44" s="130">
        <f t="shared" si="8"/>
        <v>0</v>
      </c>
      <c r="AD44" s="139"/>
    </row>
    <row r="45" spans="1:30" x14ac:dyDescent="0.25">
      <c r="A45" s="115" t="s">
        <v>27</v>
      </c>
      <c r="B45" s="115" t="s">
        <v>191</v>
      </c>
      <c r="C45" s="160" t="s">
        <v>192</v>
      </c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8"/>
      <c r="Q45" s="127"/>
      <c r="R45" s="128"/>
      <c r="S45" s="235">
        <v>74.41</v>
      </c>
      <c r="T45" s="235"/>
      <c r="U45" s="235">
        <v>74.414640000000006</v>
      </c>
      <c r="V45" s="235">
        <v>0</v>
      </c>
      <c r="W45" s="128">
        <v>273.30180999999999</v>
      </c>
      <c r="X45" s="128"/>
      <c r="Y45" s="128">
        <v>273.30180999999999</v>
      </c>
      <c r="Z45" s="128"/>
      <c r="AA45" s="128"/>
      <c r="AD45" s="139"/>
    </row>
    <row r="46" spans="1:30" x14ac:dyDescent="0.25">
      <c r="A46" s="115"/>
      <c r="B46" s="115" t="s">
        <v>75</v>
      </c>
      <c r="C46" s="160" t="s">
        <v>76</v>
      </c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D46" s="139"/>
    </row>
    <row r="47" spans="1:30" ht="12" customHeight="1" x14ac:dyDescent="0.2">
      <c r="A47" s="109" t="s">
        <v>145</v>
      </c>
      <c r="B47" s="109"/>
      <c r="C47" s="109"/>
      <c r="D47" s="130">
        <f t="shared" ref="D47:AA47" si="9">SUM(D45:D46)</f>
        <v>0</v>
      </c>
      <c r="E47" s="130">
        <f t="shared" si="9"/>
        <v>0</v>
      </c>
      <c r="F47" s="130">
        <f t="shared" si="9"/>
        <v>0</v>
      </c>
      <c r="G47" s="130">
        <f t="shared" si="9"/>
        <v>0</v>
      </c>
      <c r="H47" s="130">
        <f t="shared" si="9"/>
        <v>0</v>
      </c>
      <c r="I47" s="130">
        <f t="shared" si="9"/>
        <v>0</v>
      </c>
      <c r="J47" s="130">
        <f t="shared" si="9"/>
        <v>0</v>
      </c>
      <c r="K47" s="130">
        <f t="shared" si="9"/>
        <v>0</v>
      </c>
      <c r="L47" s="130">
        <f t="shared" si="9"/>
        <v>0</v>
      </c>
      <c r="M47" s="130">
        <f t="shared" si="9"/>
        <v>0</v>
      </c>
      <c r="N47" s="130">
        <f t="shared" si="9"/>
        <v>0</v>
      </c>
      <c r="O47" s="130">
        <f t="shared" si="9"/>
        <v>0</v>
      </c>
      <c r="P47" s="130">
        <f t="shared" si="9"/>
        <v>0</v>
      </c>
      <c r="Q47" s="130">
        <f t="shared" si="9"/>
        <v>0</v>
      </c>
      <c r="R47" s="130">
        <f t="shared" si="9"/>
        <v>0</v>
      </c>
      <c r="S47" s="130">
        <f t="shared" si="9"/>
        <v>74.41</v>
      </c>
      <c r="T47" s="130">
        <f t="shared" si="9"/>
        <v>0</v>
      </c>
      <c r="U47" s="130">
        <f t="shared" si="9"/>
        <v>74.414640000000006</v>
      </c>
      <c r="V47" s="130">
        <f t="shared" si="9"/>
        <v>0</v>
      </c>
      <c r="W47" s="130">
        <f t="shared" si="9"/>
        <v>273.30180999999999</v>
      </c>
      <c r="X47" s="130">
        <f t="shared" si="9"/>
        <v>0</v>
      </c>
      <c r="Y47" s="130">
        <f t="shared" si="9"/>
        <v>273.30180999999999</v>
      </c>
      <c r="Z47" s="130">
        <f t="shared" si="9"/>
        <v>0</v>
      </c>
      <c r="AA47" s="130">
        <f t="shared" si="9"/>
        <v>0</v>
      </c>
      <c r="AD47" s="139"/>
    </row>
    <row r="48" spans="1:30" x14ac:dyDescent="0.25">
      <c r="A48" s="115" t="s">
        <v>28</v>
      </c>
      <c r="B48" s="115" t="s">
        <v>29</v>
      </c>
      <c r="C48" s="160" t="s">
        <v>30</v>
      </c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8"/>
      <c r="Q48" s="128"/>
      <c r="R48" s="128"/>
      <c r="S48" s="128">
        <v>15.67</v>
      </c>
      <c r="T48" s="128"/>
      <c r="U48" s="128">
        <v>24.67</v>
      </c>
      <c r="V48" s="128"/>
      <c r="W48" s="128">
        <v>24.67</v>
      </c>
      <c r="X48" s="128"/>
      <c r="Y48" s="128">
        <v>24.67</v>
      </c>
      <c r="Z48" s="128"/>
      <c r="AA48" s="128"/>
      <c r="AD48" s="139"/>
    </row>
    <row r="49" spans="1:31" ht="12" customHeight="1" x14ac:dyDescent="0.2">
      <c r="A49" s="109" t="s">
        <v>146</v>
      </c>
      <c r="B49" s="109"/>
      <c r="C49" s="109"/>
      <c r="D49" s="130">
        <f>SUM(D48)</f>
        <v>0</v>
      </c>
      <c r="E49" s="130">
        <f t="shared" ref="E49:AA49" si="10">SUM(E48)</f>
        <v>0</v>
      </c>
      <c r="F49" s="130">
        <f t="shared" si="10"/>
        <v>0</v>
      </c>
      <c r="G49" s="130">
        <f t="shared" si="10"/>
        <v>0</v>
      </c>
      <c r="H49" s="130">
        <f t="shared" si="10"/>
        <v>0</v>
      </c>
      <c r="I49" s="130">
        <f t="shared" si="10"/>
        <v>0</v>
      </c>
      <c r="J49" s="130">
        <f t="shared" si="10"/>
        <v>0</v>
      </c>
      <c r="K49" s="130">
        <f t="shared" si="10"/>
        <v>0</v>
      </c>
      <c r="L49" s="130">
        <f t="shared" si="10"/>
        <v>0</v>
      </c>
      <c r="M49" s="130">
        <f t="shared" si="10"/>
        <v>0</v>
      </c>
      <c r="N49" s="130">
        <f t="shared" si="10"/>
        <v>0</v>
      </c>
      <c r="O49" s="130">
        <f t="shared" si="10"/>
        <v>0</v>
      </c>
      <c r="P49" s="130">
        <f t="shared" si="10"/>
        <v>0</v>
      </c>
      <c r="Q49" s="130">
        <f t="shared" si="10"/>
        <v>0</v>
      </c>
      <c r="R49" s="130">
        <f t="shared" si="10"/>
        <v>0</v>
      </c>
      <c r="S49" s="130">
        <f t="shared" si="10"/>
        <v>15.67</v>
      </c>
      <c r="T49" s="130">
        <f t="shared" si="10"/>
        <v>0</v>
      </c>
      <c r="U49" s="130">
        <f t="shared" si="10"/>
        <v>24.67</v>
      </c>
      <c r="V49" s="130">
        <f t="shared" si="10"/>
        <v>0</v>
      </c>
      <c r="W49" s="130">
        <f t="shared" si="10"/>
        <v>24.67</v>
      </c>
      <c r="X49" s="130">
        <f t="shared" si="10"/>
        <v>0</v>
      </c>
      <c r="Y49" s="130">
        <f t="shared" si="10"/>
        <v>24.67</v>
      </c>
      <c r="Z49" s="130">
        <f t="shared" si="10"/>
        <v>0</v>
      </c>
      <c r="AA49" s="130">
        <f t="shared" si="10"/>
        <v>0</v>
      </c>
      <c r="AD49" s="139"/>
    </row>
    <row r="50" spans="1:31" s="117" customFormat="1" x14ac:dyDescent="0.25">
      <c r="A50" s="115" t="s">
        <v>133</v>
      </c>
      <c r="B50" s="115" t="s">
        <v>231</v>
      </c>
      <c r="C50" s="160" t="s">
        <v>232</v>
      </c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D50" s="151"/>
      <c r="AE50" s="106"/>
    </row>
    <row r="51" spans="1:31" s="117" customFormat="1" x14ac:dyDescent="0.25">
      <c r="A51" s="115"/>
      <c r="B51" s="115" t="s">
        <v>233</v>
      </c>
      <c r="C51" s="160" t="s">
        <v>234</v>
      </c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D51" s="151"/>
      <c r="AE51" s="106"/>
    </row>
    <row r="52" spans="1:31" s="117" customFormat="1" x14ac:dyDescent="0.25">
      <c r="A52" s="115"/>
      <c r="B52" s="115" t="s">
        <v>189</v>
      </c>
      <c r="C52" s="160" t="s">
        <v>190</v>
      </c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D52" s="151"/>
      <c r="AE52" s="106"/>
    </row>
    <row r="53" spans="1:31" s="117" customFormat="1" x14ac:dyDescent="0.25">
      <c r="A53" s="115"/>
      <c r="B53" s="115" t="s">
        <v>235</v>
      </c>
      <c r="C53" s="160" t="s">
        <v>236</v>
      </c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D53" s="151"/>
      <c r="AE53" s="106"/>
    </row>
    <row r="54" spans="1:31" s="117" customFormat="1" x14ac:dyDescent="0.25">
      <c r="A54" s="115"/>
      <c r="B54" s="115" t="s">
        <v>193</v>
      </c>
      <c r="C54" s="160" t="s">
        <v>194</v>
      </c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D54" s="151"/>
      <c r="AE54" s="106"/>
    </row>
    <row r="55" spans="1:31" s="117" customFormat="1" x14ac:dyDescent="0.25">
      <c r="A55" s="115"/>
      <c r="B55" s="115" t="s">
        <v>177</v>
      </c>
      <c r="C55" s="160" t="s">
        <v>178</v>
      </c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D55" s="151"/>
      <c r="AE55" s="106"/>
    </row>
    <row r="56" spans="1:31" x14ac:dyDescent="0.25">
      <c r="A56" s="116"/>
      <c r="B56" s="115" t="s">
        <v>136</v>
      </c>
      <c r="C56" s="160" t="s">
        <v>137</v>
      </c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</row>
    <row r="57" spans="1:31" ht="12.75" x14ac:dyDescent="0.2">
      <c r="A57" s="109" t="s">
        <v>147</v>
      </c>
      <c r="B57" s="109"/>
      <c r="C57" s="109"/>
      <c r="D57" s="130">
        <f t="shared" ref="D57:AA57" si="11">SUM(D50:D56)</f>
        <v>0</v>
      </c>
      <c r="E57" s="130">
        <f t="shared" si="11"/>
        <v>0</v>
      </c>
      <c r="F57" s="130">
        <f t="shared" si="11"/>
        <v>0</v>
      </c>
      <c r="G57" s="130">
        <f t="shared" si="11"/>
        <v>0</v>
      </c>
      <c r="H57" s="130">
        <f t="shared" si="11"/>
        <v>0</v>
      </c>
      <c r="I57" s="130">
        <f t="shared" si="11"/>
        <v>0</v>
      </c>
      <c r="J57" s="130">
        <f t="shared" si="11"/>
        <v>0</v>
      </c>
      <c r="K57" s="130">
        <f t="shared" si="11"/>
        <v>0</v>
      </c>
      <c r="L57" s="130">
        <f t="shared" si="11"/>
        <v>0</v>
      </c>
      <c r="M57" s="130">
        <f t="shared" si="11"/>
        <v>0</v>
      </c>
      <c r="N57" s="130">
        <f t="shared" si="11"/>
        <v>0</v>
      </c>
      <c r="O57" s="130">
        <f t="shared" si="11"/>
        <v>0</v>
      </c>
      <c r="P57" s="130">
        <f t="shared" si="11"/>
        <v>0</v>
      </c>
      <c r="Q57" s="130">
        <f t="shared" si="11"/>
        <v>0</v>
      </c>
      <c r="R57" s="130">
        <f t="shared" si="11"/>
        <v>0</v>
      </c>
      <c r="S57" s="130">
        <f t="shared" si="11"/>
        <v>0</v>
      </c>
      <c r="T57" s="130">
        <f t="shared" si="11"/>
        <v>0</v>
      </c>
      <c r="U57" s="130">
        <f t="shared" si="11"/>
        <v>0</v>
      </c>
      <c r="V57" s="130">
        <f t="shared" si="11"/>
        <v>0</v>
      </c>
      <c r="W57" s="130">
        <f t="shared" si="11"/>
        <v>0</v>
      </c>
      <c r="X57" s="130">
        <f t="shared" si="11"/>
        <v>0</v>
      </c>
      <c r="Y57" s="130">
        <f t="shared" si="11"/>
        <v>0</v>
      </c>
      <c r="Z57" s="130">
        <f t="shared" si="11"/>
        <v>0</v>
      </c>
      <c r="AA57" s="130">
        <f t="shared" si="11"/>
        <v>0</v>
      </c>
      <c r="AC57" s="139"/>
      <c r="AD57" s="139"/>
    </row>
    <row r="58" spans="1:31" x14ac:dyDescent="0.25">
      <c r="A58" s="115" t="s">
        <v>31</v>
      </c>
      <c r="B58" s="136" t="s">
        <v>32</v>
      </c>
      <c r="C58" s="136" t="s">
        <v>33</v>
      </c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D58" s="139"/>
    </row>
    <row r="59" spans="1:31" s="113" customFormat="1" ht="12.75" x14ac:dyDescent="0.2">
      <c r="A59" s="114"/>
      <c r="B59" s="136" t="s">
        <v>34</v>
      </c>
      <c r="C59" s="136" t="s">
        <v>35</v>
      </c>
      <c r="D59" s="142"/>
      <c r="E59" s="142"/>
      <c r="F59" s="142"/>
      <c r="G59" s="127">
        <v>5.47</v>
      </c>
      <c r="H59" s="142"/>
      <c r="I59" s="142">
        <v>5.47</v>
      </c>
      <c r="J59" s="142"/>
      <c r="K59" s="142">
        <v>5.47</v>
      </c>
      <c r="L59" s="142"/>
      <c r="M59" s="142">
        <v>5.47</v>
      </c>
      <c r="N59" s="131"/>
      <c r="O59" s="131">
        <v>5.4709700000000003</v>
      </c>
      <c r="P59" s="131"/>
      <c r="Q59" s="131">
        <v>5.4709700000000003</v>
      </c>
      <c r="R59" s="131"/>
      <c r="S59" s="131">
        <v>5.4709700000000003</v>
      </c>
      <c r="T59" s="131"/>
      <c r="U59" s="131">
        <v>5.4709700000000003</v>
      </c>
      <c r="V59" s="131"/>
      <c r="W59" s="131">
        <v>11.5</v>
      </c>
      <c r="X59" s="131"/>
      <c r="Y59" s="131">
        <v>11.5</v>
      </c>
      <c r="Z59" s="131"/>
      <c r="AA59" s="131"/>
      <c r="AD59" s="150"/>
    </row>
    <row r="60" spans="1:31" s="113" customFormat="1" ht="12.75" x14ac:dyDescent="0.2">
      <c r="A60" s="114"/>
      <c r="B60" s="136" t="s">
        <v>36</v>
      </c>
      <c r="C60" s="136" t="s">
        <v>37</v>
      </c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D60" s="150"/>
    </row>
    <row r="61" spans="1:31" s="113" customFormat="1" ht="12.75" x14ac:dyDescent="0.2">
      <c r="A61" s="114"/>
      <c r="B61" s="136" t="s">
        <v>38</v>
      </c>
      <c r="C61" s="136" t="s">
        <v>39</v>
      </c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D61" s="150"/>
    </row>
    <row r="62" spans="1:31" ht="12.75" x14ac:dyDescent="0.2">
      <c r="A62" s="109" t="s">
        <v>3</v>
      </c>
      <c r="B62" s="109"/>
      <c r="C62" s="109"/>
      <c r="D62" s="130">
        <f>SUM(D58:D61)</f>
        <v>0</v>
      </c>
      <c r="E62" s="130">
        <f t="shared" ref="E62:AA62" si="12">SUM(E58:E61)</f>
        <v>0</v>
      </c>
      <c r="F62" s="130">
        <f t="shared" si="12"/>
        <v>0</v>
      </c>
      <c r="G62" s="130">
        <f t="shared" si="12"/>
        <v>5.47</v>
      </c>
      <c r="H62" s="130">
        <f t="shared" si="12"/>
        <v>0</v>
      </c>
      <c r="I62" s="130">
        <f t="shared" si="12"/>
        <v>5.47</v>
      </c>
      <c r="J62" s="130">
        <f t="shared" si="12"/>
        <v>0</v>
      </c>
      <c r="K62" s="130">
        <f t="shared" si="12"/>
        <v>5.47</v>
      </c>
      <c r="L62" s="130">
        <f t="shared" si="12"/>
        <v>0</v>
      </c>
      <c r="M62" s="130">
        <f t="shared" si="12"/>
        <v>5.47</v>
      </c>
      <c r="N62" s="130">
        <f t="shared" si="12"/>
        <v>0</v>
      </c>
      <c r="O62" s="130">
        <f t="shared" si="12"/>
        <v>5.4709700000000003</v>
      </c>
      <c r="P62" s="130">
        <f t="shared" si="12"/>
        <v>0</v>
      </c>
      <c r="Q62" s="130">
        <f t="shared" si="12"/>
        <v>5.4709700000000003</v>
      </c>
      <c r="R62" s="130">
        <f t="shared" si="12"/>
        <v>0</v>
      </c>
      <c r="S62" s="130">
        <f t="shared" si="12"/>
        <v>5.4709700000000003</v>
      </c>
      <c r="T62" s="130">
        <f t="shared" si="12"/>
        <v>0</v>
      </c>
      <c r="U62" s="130">
        <f t="shared" si="12"/>
        <v>5.4709700000000003</v>
      </c>
      <c r="V62" s="130">
        <f t="shared" si="12"/>
        <v>0</v>
      </c>
      <c r="W62" s="130">
        <f t="shared" si="12"/>
        <v>11.5</v>
      </c>
      <c r="X62" s="130">
        <f t="shared" si="12"/>
        <v>0</v>
      </c>
      <c r="Y62" s="130">
        <f t="shared" si="12"/>
        <v>11.5</v>
      </c>
      <c r="Z62" s="130">
        <f t="shared" si="12"/>
        <v>0</v>
      </c>
      <c r="AA62" s="130">
        <f t="shared" si="12"/>
        <v>0</v>
      </c>
      <c r="AD62" s="139"/>
    </row>
    <row r="63" spans="1:31" x14ac:dyDescent="0.25">
      <c r="A63" s="115" t="s">
        <v>40</v>
      </c>
      <c r="B63" s="115" t="s">
        <v>41</v>
      </c>
      <c r="C63" s="160" t="s">
        <v>42</v>
      </c>
      <c r="D63" s="127"/>
      <c r="E63" s="127">
        <v>0</v>
      </c>
      <c r="F63" s="127"/>
      <c r="G63" s="127">
        <v>0</v>
      </c>
      <c r="H63" s="127"/>
      <c r="I63" s="127">
        <v>0</v>
      </c>
      <c r="J63" s="127"/>
      <c r="K63" s="127">
        <v>0</v>
      </c>
      <c r="L63" s="127"/>
      <c r="M63" s="127">
        <v>1201.19</v>
      </c>
      <c r="N63" s="127"/>
      <c r="O63" s="127">
        <v>2842.79</v>
      </c>
      <c r="P63" s="127"/>
      <c r="Q63" s="128">
        <v>9051.6891299999988</v>
      </c>
      <c r="R63" s="128"/>
      <c r="S63" s="128">
        <v>11908.968229999999</v>
      </c>
      <c r="T63" s="128"/>
      <c r="U63" s="128">
        <v>15763.968229999999</v>
      </c>
      <c r="V63" s="128"/>
      <c r="W63" s="128">
        <v>4948.2642799999994</v>
      </c>
      <c r="X63" s="128"/>
      <c r="Y63" s="128">
        <v>4948.2642799999994</v>
      </c>
      <c r="Z63" s="128"/>
      <c r="AA63" s="128"/>
    </row>
    <row r="64" spans="1:31" x14ac:dyDescent="0.25">
      <c r="A64" s="115"/>
      <c r="B64" s="115" t="s">
        <v>67</v>
      </c>
      <c r="C64" s="160" t="s">
        <v>68</v>
      </c>
      <c r="D64" s="127"/>
      <c r="E64" s="127"/>
      <c r="F64" s="127"/>
      <c r="G64" s="127"/>
      <c r="H64" s="127"/>
      <c r="I64" s="127"/>
      <c r="J64" s="127"/>
      <c r="K64" s="127">
        <v>-996.74</v>
      </c>
      <c r="L64" s="127"/>
      <c r="M64" s="127">
        <v>-996.74</v>
      </c>
      <c r="N64" s="127"/>
      <c r="O64" s="127">
        <v>5137.1615099999999</v>
      </c>
      <c r="P64" s="128"/>
      <c r="Q64" s="128">
        <v>5137.1615099999999</v>
      </c>
      <c r="R64" s="128"/>
      <c r="S64" s="128">
        <v>8228.04061</v>
      </c>
      <c r="T64" s="128"/>
      <c r="U64" s="128">
        <v>11941.25072</v>
      </c>
      <c r="V64" s="128"/>
      <c r="W64" s="128">
        <v>11941.25072</v>
      </c>
      <c r="X64" s="128"/>
      <c r="Y64" s="128">
        <v>11941.25072</v>
      </c>
      <c r="Z64" s="128"/>
      <c r="AA64" s="128"/>
    </row>
    <row r="65" spans="1:28" s="113" customFormat="1" ht="12.75" x14ac:dyDescent="0.2">
      <c r="A65" s="114"/>
      <c r="B65" s="114" t="s">
        <v>77</v>
      </c>
      <c r="C65" s="162" t="s">
        <v>78</v>
      </c>
      <c r="D65" s="127"/>
      <c r="E65" s="127"/>
      <c r="F65" s="127"/>
      <c r="G65" s="127">
        <v>1.2804800000000001</v>
      </c>
      <c r="H65" s="127"/>
      <c r="I65" s="127">
        <v>1.2804800000000001</v>
      </c>
      <c r="J65" s="127"/>
      <c r="K65" s="127">
        <v>6.7929400000000006</v>
      </c>
      <c r="L65" s="127">
        <v>366.75</v>
      </c>
      <c r="M65" s="127">
        <v>8.0503999999999998</v>
      </c>
      <c r="N65" s="127">
        <v>366.75</v>
      </c>
      <c r="O65" s="127">
        <v>12.659269999999999</v>
      </c>
      <c r="P65" s="131">
        <v>366.75</v>
      </c>
      <c r="Q65" s="131">
        <v>20.07255</v>
      </c>
      <c r="R65" s="131">
        <v>733.5</v>
      </c>
      <c r="S65" s="131">
        <v>28.80087</v>
      </c>
      <c r="T65" s="131">
        <v>733.5</v>
      </c>
      <c r="U65" s="131">
        <v>33.649729999999998</v>
      </c>
      <c r="V65" s="131">
        <v>733.5</v>
      </c>
      <c r="W65" s="131">
        <v>38.270000000000003</v>
      </c>
      <c r="X65" s="131">
        <f>366.5+733.5</f>
        <v>1100</v>
      </c>
      <c r="Y65" s="131">
        <v>38.270000000000003</v>
      </c>
      <c r="Z65" s="131">
        <v>1100</v>
      </c>
      <c r="AA65" s="131"/>
    </row>
    <row r="66" spans="1:28" ht="13.5" thickBot="1" x14ac:dyDescent="0.25">
      <c r="A66" s="109" t="s">
        <v>4</v>
      </c>
      <c r="B66" s="109"/>
      <c r="C66" s="109"/>
      <c r="D66" s="130">
        <f>SUM(D63:D65)</f>
        <v>0</v>
      </c>
      <c r="E66" s="130">
        <f t="shared" ref="E66:AA66" si="13">SUM(E63:E65)</f>
        <v>0</v>
      </c>
      <c r="F66" s="130">
        <f t="shared" si="13"/>
        <v>0</v>
      </c>
      <c r="G66" s="130">
        <f t="shared" si="13"/>
        <v>1.2804800000000001</v>
      </c>
      <c r="H66" s="130">
        <f t="shared" si="13"/>
        <v>0</v>
      </c>
      <c r="I66" s="130">
        <f t="shared" si="13"/>
        <v>1.2804800000000001</v>
      </c>
      <c r="J66" s="130">
        <f t="shared" si="13"/>
        <v>0</v>
      </c>
      <c r="K66" s="130">
        <f t="shared" si="13"/>
        <v>-989.94705999999996</v>
      </c>
      <c r="L66" s="130">
        <f t="shared" si="13"/>
        <v>366.75</v>
      </c>
      <c r="M66" s="130">
        <f t="shared" si="13"/>
        <v>212.50040000000004</v>
      </c>
      <c r="N66" s="130">
        <f t="shared" si="13"/>
        <v>366.75</v>
      </c>
      <c r="O66" s="130">
        <f t="shared" si="13"/>
        <v>7992.61078</v>
      </c>
      <c r="P66" s="130">
        <f t="shared" si="13"/>
        <v>366.75</v>
      </c>
      <c r="Q66" s="130">
        <f t="shared" si="13"/>
        <v>14208.92319</v>
      </c>
      <c r="R66" s="130">
        <f t="shared" si="13"/>
        <v>733.5</v>
      </c>
      <c r="S66" s="130">
        <f t="shared" si="13"/>
        <v>20165.809709999998</v>
      </c>
      <c r="T66" s="130">
        <f t="shared" si="13"/>
        <v>733.5</v>
      </c>
      <c r="U66" s="130">
        <f>SUM(U63:U65)</f>
        <v>27738.86868</v>
      </c>
      <c r="V66" s="130">
        <f t="shared" si="13"/>
        <v>733.5</v>
      </c>
      <c r="W66" s="130">
        <f t="shared" si="13"/>
        <v>16927.785</v>
      </c>
      <c r="X66" s="130">
        <f t="shared" si="13"/>
        <v>1100</v>
      </c>
      <c r="Y66" s="130">
        <f t="shared" si="13"/>
        <v>16927.785</v>
      </c>
      <c r="Z66" s="130">
        <f t="shared" si="13"/>
        <v>1100</v>
      </c>
      <c r="AA66" s="130">
        <f t="shared" si="13"/>
        <v>0</v>
      </c>
    </row>
    <row r="67" spans="1:28" ht="12.75" x14ac:dyDescent="0.2">
      <c r="A67" s="103" t="s">
        <v>79</v>
      </c>
      <c r="B67" s="103"/>
      <c r="C67" s="103"/>
      <c r="D67" s="132">
        <f t="shared" ref="D67:AA67" si="14">D7+D20+D22+D24+D28+D30+D66+D38+D41+D44+D47+D49+D57+D62</f>
        <v>945.92</v>
      </c>
      <c r="E67" s="132">
        <f t="shared" si="14"/>
        <v>945.93</v>
      </c>
      <c r="F67" s="132">
        <f t="shared" si="14"/>
        <v>958.14</v>
      </c>
      <c r="G67" s="132">
        <f t="shared" si="14"/>
        <v>16076.84096</v>
      </c>
      <c r="H67" s="132">
        <f t="shared" si="14"/>
        <v>958.14</v>
      </c>
      <c r="I67" s="132">
        <f t="shared" si="14"/>
        <v>1090.1374899999998</v>
      </c>
      <c r="J67" s="132">
        <f t="shared" si="14"/>
        <v>958.14</v>
      </c>
      <c r="K67" s="132">
        <f t="shared" si="14"/>
        <v>17732.018630000006</v>
      </c>
      <c r="L67" s="132">
        <f t="shared" si="14"/>
        <v>4274.8899999999994</v>
      </c>
      <c r="M67" s="132">
        <f t="shared" si="14"/>
        <v>25313.076089999995</v>
      </c>
      <c r="N67" s="132">
        <f t="shared" si="14"/>
        <v>6940.49</v>
      </c>
      <c r="O67" s="132">
        <f t="shared" si="14"/>
        <v>28347.987440000008</v>
      </c>
      <c r="P67" s="132">
        <f t="shared" si="14"/>
        <v>12145.99</v>
      </c>
      <c r="Q67" s="132">
        <f t="shared" si="14"/>
        <v>19477.059850000001</v>
      </c>
      <c r="R67" s="132">
        <f t="shared" si="14"/>
        <v>37162.479999999996</v>
      </c>
      <c r="S67" s="132">
        <f t="shared" si="14"/>
        <v>42461.336370000005</v>
      </c>
      <c r="T67" s="132">
        <f t="shared" si="14"/>
        <v>72810.13</v>
      </c>
      <c r="U67" s="132">
        <f t="shared" si="14"/>
        <v>60297.211779999998</v>
      </c>
      <c r="V67" s="132">
        <f t="shared" si="14"/>
        <v>123220.88</v>
      </c>
      <c r="W67" s="132">
        <f t="shared" si="14"/>
        <v>-470428.10068000003</v>
      </c>
      <c r="X67" s="132">
        <f t="shared" si="14"/>
        <v>190161.06</v>
      </c>
      <c r="Y67" s="132">
        <f t="shared" si="14"/>
        <v>-470280.06018000009</v>
      </c>
      <c r="Z67" s="132">
        <f t="shared" si="14"/>
        <v>241690.27851999999</v>
      </c>
      <c r="AA67" s="132">
        <f t="shared" si="14"/>
        <v>0</v>
      </c>
    </row>
    <row r="68" spans="1:28" s="212" customFormat="1" ht="21.75" customHeight="1" x14ac:dyDescent="0.25">
      <c r="B68" s="213"/>
      <c r="C68" s="214"/>
      <c r="D68" s="215">
        <v>945.92</v>
      </c>
      <c r="E68" s="215">
        <v>945.92</v>
      </c>
      <c r="F68" s="215">
        <v>958.14</v>
      </c>
      <c r="G68" s="215">
        <v>2159.67</v>
      </c>
      <c r="H68" s="215">
        <v>958.14</v>
      </c>
      <c r="I68" s="215">
        <v>-22564.539999999997</v>
      </c>
      <c r="J68" s="215">
        <v>958.14</v>
      </c>
      <c r="K68" s="215">
        <v>-23514.510000000002</v>
      </c>
      <c r="L68" s="215">
        <v>3908.14</v>
      </c>
      <c r="M68" s="215">
        <v>-15934.71</v>
      </c>
      <c r="N68" s="215">
        <v>6573.74</v>
      </c>
      <c r="O68" s="215">
        <v>-19033.72</v>
      </c>
      <c r="P68" s="216">
        <v>11779.24</v>
      </c>
      <c r="Q68" s="216">
        <v>-27905.050000000007</v>
      </c>
      <c r="R68" s="216">
        <v>36428.979999999996</v>
      </c>
      <c r="S68" s="216">
        <v>-27896.050000000007</v>
      </c>
      <c r="T68" s="216"/>
      <c r="U68" s="216"/>
      <c r="V68" s="216"/>
      <c r="W68" s="216"/>
      <c r="X68" s="216"/>
      <c r="Y68" s="216"/>
      <c r="Z68" s="216"/>
      <c r="AA68" s="216"/>
      <c r="AB68" s="216"/>
    </row>
    <row r="69" spans="1:28" s="212" customFormat="1" x14ac:dyDescent="0.25">
      <c r="D69" s="217">
        <f>+D68-D67</f>
        <v>0</v>
      </c>
      <c r="E69" s="217">
        <f t="shared" ref="E69:O69" si="15">+E68-E67</f>
        <v>-9.9999999999909051E-3</v>
      </c>
      <c r="F69" s="217">
        <f t="shared" si="15"/>
        <v>0</v>
      </c>
      <c r="G69" s="217">
        <f t="shared" si="15"/>
        <v>-13917.170959999999</v>
      </c>
      <c r="H69" s="217">
        <f t="shared" si="15"/>
        <v>0</v>
      </c>
      <c r="I69" s="217">
        <f t="shared" si="15"/>
        <v>-23654.677489999998</v>
      </c>
      <c r="J69" s="217">
        <f t="shared" si="15"/>
        <v>0</v>
      </c>
      <c r="K69" s="217">
        <f t="shared" si="15"/>
        <v>-41246.528630000008</v>
      </c>
      <c r="L69" s="217">
        <f t="shared" si="15"/>
        <v>-366.74999999999955</v>
      </c>
      <c r="M69" s="217">
        <f t="shared" si="15"/>
        <v>-41247.786089999994</v>
      </c>
      <c r="N69" s="217">
        <f t="shared" si="15"/>
        <v>-366.75</v>
      </c>
      <c r="O69" s="217">
        <f t="shared" si="15"/>
        <v>-47381.707440000013</v>
      </c>
      <c r="P69" s="217">
        <f>+P68-P67</f>
        <v>-366.75</v>
      </c>
      <c r="Q69" s="217">
        <f>+Q68-Q67</f>
        <v>-47382.109850000008</v>
      </c>
      <c r="R69" s="218"/>
      <c r="S69" s="218"/>
      <c r="T69" s="213"/>
      <c r="U69" s="213"/>
      <c r="V69" s="213"/>
      <c r="W69" s="213"/>
      <c r="X69" s="213"/>
      <c r="Y69" s="213"/>
      <c r="Z69" s="213"/>
      <c r="AA69" s="213"/>
    </row>
    <row r="70" spans="1:28" s="176" customFormat="1" x14ac:dyDescent="0.25"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</row>
    <row r="71" spans="1:28" s="176" customFormat="1" x14ac:dyDescent="0.25"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</row>
    <row r="72" spans="1:28" s="176" customFormat="1" x14ac:dyDescent="0.25">
      <c r="D72" s="177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80"/>
      <c r="U72" s="179"/>
      <c r="V72" s="177"/>
      <c r="W72" s="179"/>
      <c r="X72" s="177"/>
      <c r="Y72" s="177"/>
      <c r="Z72" s="177"/>
      <c r="AA72" s="177"/>
    </row>
    <row r="73" spans="1:28" s="176" customFormat="1" x14ac:dyDescent="0.25">
      <c r="A73" s="181"/>
      <c r="B73" s="182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8"/>
      <c r="Q73" s="177"/>
      <c r="R73" s="178"/>
      <c r="S73" s="178"/>
      <c r="T73" s="177"/>
      <c r="U73" s="177"/>
      <c r="V73" s="177"/>
      <c r="W73" s="177"/>
      <c r="X73" s="177"/>
      <c r="Y73" s="177"/>
      <c r="Z73" s="177"/>
      <c r="AA73" s="177"/>
    </row>
    <row r="74" spans="1:28" s="176" customFormat="1" x14ac:dyDescent="0.25">
      <c r="A74" s="181"/>
      <c r="B74" s="183"/>
      <c r="D74" s="177"/>
      <c r="E74" s="177"/>
      <c r="F74" s="177"/>
      <c r="G74" s="182"/>
      <c r="H74" s="177"/>
      <c r="I74" s="177"/>
      <c r="J74" s="177"/>
      <c r="K74" s="177"/>
      <c r="L74" s="177"/>
      <c r="M74" s="177"/>
      <c r="N74" s="177"/>
      <c r="O74" s="177"/>
      <c r="P74" s="178"/>
      <c r="Q74" s="177"/>
      <c r="R74" s="178"/>
      <c r="S74" s="178"/>
      <c r="T74" s="177"/>
      <c r="U74" s="177"/>
      <c r="V74" s="177"/>
      <c r="W74" s="177"/>
      <c r="X74" s="177"/>
      <c r="Y74" s="177"/>
      <c r="Z74" s="177"/>
      <c r="AA74" s="177"/>
    </row>
    <row r="75" spans="1:28" s="176" customFormat="1" x14ac:dyDescent="0.25">
      <c r="A75" s="181"/>
      <c r="B75" s="183"/>
      <c r="D75" s="177"/>
      <c r="E75" s="177"/>
      <c r="F75" s="177"/>
      <c r="G75" s="184"/>
      <c r="H75" s="177"/>
      <c r="I75" s="177"/>
      <c r="J75" s="177"/>
      <c r="K75" s="177"/>
      <c r="L75" s="177"/>
      <c r="M75" s="177"/>
      <c r="N75" s="177"/>
      <c r="O75" s="177"/>
      <c r="P75" s="178"/>
      <c r="Q75" s="177"/>
      <c r="R75" s="178"/>
      <c r="S75" s="178"/>
      <c r="T75" s="177"/>
      <c r="U75" s="177"/>
      <c r="V75" s="177"/>
      <c r="W75" s="177"/>
      <c r="X75" s="177"/>
      <c r="Y75" s="177"/>
      <c r="Z75" s="177"/>
      <c r="AA75" s="177"/>
    </row>
    <row r="76" spans="1:28" s="176" customFormat="1" x14ac:dyDescent="0.25">
      <c r="A76" s="181"/>
      <c r="B76" s="183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8"/>
      <c r="Q76" s="177"/>
      <c r="R76" s="178"/>
      <c r="S76" s="178"/>
      <c r="T76" s="177"/>
      <c r="U76" s="177"/>
      <c r="V76" s="177"/>
      <c r="W76" s="177"/>
      <c r="X76" s="177"/>
      <c r="Y76" s="177"/>
      <c r="Z76" s="177"/>
      <c r="AA76" s="177"/>
    </row>
    <row r="77" spans="1:28" s="176" customFormat="1" x14ac:dyDescent="0.25">
      <c r="A77" s="181"/>
      <c r="B77" s="183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8"/>
      <c r="Q77" s="177"/>
      <c r="R77" s="178"/>
      <c r="S77" s="178"/>
      <c r="T77" s="177"/>
      <c r="U77" s="177"/>
      <c r="V77" s="177"/>
      <c r="W77" s="177"/>
      <c r="X77" s="177"/>
      <c r="Y77" s="177"/>
      <c r="Z77" s="177"/>
      <c r="AA77" s="177"/>
    </row>
    <row r="78" spans="1:28" s="176" customFormat="1" x14ac:dyDescent="0.25">
      <c r="A78" s="181"/>
      <c r="B78" s="183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8"/>
      <c r="Q78" s="177"/>
      <c r="R78" s="178"/>
      <c r="S78" s="178"/>
      <c r="T78" s="177"/>
      <c r="U78" s="177"/>
      <c r="V78" s="177"/>
      <c r="W78" s="177"/>
      <c r="X78" s="177"/>
      <c r="Y78" s="177"/>
      <c r="Z78" s="177"/>
      <c r="AA78" s="177"/>
    </row>
    <row r="79" spans="1:28" s="176" customFormat="1" x14ac:dyDescent="0.25">
      <c r="A79" s="181"/>
      <c r="B79" s="183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8"/>
      <c r="Q79" s="177"/>
      <c r="R79" s="178"/>
      <c r="S79" s="178"/>
      <c r="T79" s="177"/>
      <c r="U79" s="177"/>
      <c r="V79" s="177"/>
      <c r="W79" s="177"/>
      <c r="X79" s="177"/>
      <c r="Y79" s="177"/>
      <c r="Z79" s="177"/>
      <c r="AA79" s="177"/>
    </row>
    <row r="80" spans="1:28" s="176" customFormat="1" x14ac:dyDescent="0.25">
      <c r="A80" s="181"/>
      <c r="B80" s="183"/>
      <c r="D80" s="177"/>
      <c r="E80" s="177"/>
      <c r="F80" s="177"/>
      <c r="G80" s="177"/>
      <c r="H80" s="177"/>
      <c r="I80" s="184"/>
      <c r="J80" s="177"/>
      <c r="K80" s="184"/>
      <c r="L80" s="177"/>
      <c r="M80" s="184"/>
      <c r="N80" s="177"/>
      <c r="O80" s="184"/>
      <c r="P80" s="178"/>
      <c r="Q80" s="184"/>
      <c r="R80" s="178"/>
      <c r="S80" s="178"/>
      <c r="T80" s="177"/>
      <c r="U80" s="177"/>
      <c r="V80" s="177"/>
      <c r="W80" s="177"/>
      <c r="X80" s="177"/>
      <c r="Y80" s="177"/>
      <c r="Z80" s="177"/>
      <c r="AA80" s="177"/>
    </row>
    <row r="81" spans="1:27" s="176" customFormat="1" x14ac:dyDescent="0.25">
      <c r="A81" s="181"/>
      <c r="B81" s="183"/>
      <c r="D81" s="177"/>
      <c r="E81" s="177"/>
      <c r="F81" s="177"/>
      <c r="G81" s="177"/>
      <c r="H81" s="177"/>
      <c r="I81" s="184"/>
      <c r="J81" s="177"/>
      <c r="K81" s="184"/>
      <c r="L81" s="177"/>
      <c r="M81" s="184"/>
      <c r="N81" s="177"/>
      <c r="O81" s="184"/>
      <c r="P81" s="178"/>
      <c r="Q81" s="184"/>
      <c r="R81" s="178"/>
      <c r="S81" s="178"/>
      <c r="T81" s="177"/>
      <c r="U81" s="177"/>
      <c r="V81" s="177"/>
      <c r="W81" s="177"/>
      <c r="X81" s="177"/>
      <c r="Y81" s="177"/>
      <c r="Z81" s="177"/>
      <c r="AA81" s="177"/>
    </row>
    <row r="82" spans="1:27" s="176" customFormat="1" x14ac:dyDescent="0.25">
      <c r="A82" s="181"/>
      <c r="B82" s="185"/>
      <c r="C82" s="186"/>
      <c r="D82" s="177"/>
      <c r="E82" s="177"/>
      <c r="F82" s="177"/>
      <c r="G82" s="177"/>
      <c r="H82" s="177"/>
      <c r="I82" s="184"/>
      <c r="J82" s="177"/>
      <c r="K82" s="184"/>
      <c r="L82" s="177"/>
      <c r="M82" s="184"/>
      <c r="N82" s="184"/>
      <c r="O82" s="184"/>
      <c r="P82" s="187"/>
      <c r="Q82" s="184"/>
      <c r="R82" s="178"/>
      <c r="S82" s="184"/>
      <c r="T82" s="177"/>
      <c r="U82" s="184"/>
      <c r="V82" s="177"/>
      <c r="W82" s="184"/>
      <c r="X82" s="177"/>
      <c r="Y82" s="177"/>
      <c r="Z82" s="177"/>
      <c r="AA82" s="177"/>
    </row>
    <row r="83" spans="1:27" s="176" customFormat="1" x14ac:dyDescent="0.25">
      <c r="A83" s="181"/>
      <c r="B83" s="182"/>
      <c r="C83" s="188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89"/>
      <c r="Q83" s="177"/>
      <c r="R83" s="182"/>
      <c r="S83" s="187"/>
      <c r="T83" s="177"/>
      <c r="U83" s="184"/>
      <c r="V83" s="177"/>
      <c r="W83" s="184"/>
      <c r="X83" s="177"/>
      <c r="Y83" s="177"/>
      <c r="Z83" s="177"/>
      <c r="AA83" s="177"/>
    </row>
    <row r="84" spans="1:27" s="176" customFormat="1" x14ac:dyDescent="0.25">
      <c r="A84" s="181"/>
      <c r="B84" s="190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89"/>
      <c r="Q84" s="177"/>
      <c r="R84" s="178"/>
      <c r="S84" s="178"/>
      <c r="T84" s="177"/>
      <c r="U84" s="177"/>
      <c r="V84" s="177"/>
      <c r="W84" s="177"/>
      <c r="X84" s="177"/>
      <c r="Y84" s="177"/>
      <c r="Z84" s="177"/>
      <c r="AA84" s="177"/>
    </row>
    <row r="85" spans="1:27" s="176" customFormat="1" x14ac:dyDescent="0.25">
      <c r="A85" s="181"/>
      <c r="B85" s="183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8"/>
      <c r="S85" s="178"/>
      <c r="T85" s="177"/>
      <c r="U85" s="177"/>
      <c r="V85" s="177"/>
      <c r="W85" s="177"/>
      <c r="X85" s="177"/>
      <c r="Y85" s="177"/>
      <c r="Z85" s="177"/>
      <c r="AA85" s="177"/>
    </row>
    <row r="86" spans="1:27" s="176" customFormat="1" x14ac:dyDescent="0.25">
      <c r="A86" s="181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8"/>
      <c r="S86" s="178"/>
      <c r="T86" s="177"/>
      <c r="U86" s="177"/>
      <c r="V86" s="177"/>
      <c r="W86" s="177"/>
      <c r="X86" s="177"/>
      <c r="Y86" s="177"/>
      <c r="Z86" s="177"/>
      <c r="AA86" s="177"/>
    </row>
    <row r="87" spans="1:27" s="176" customFormat="1" x14ac:dyDescent="0.25">
      <c r="A87" s="181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8"/>
      <c r="S87" s="178"/>
      <c r="T87" s="177"/>
      <c r="U87" s="177"/>
      <c r="V87" s="177"/>
      <c r="W87" s="177"/>
      <c r="X87" s="177"/>
      <c r="Y87" s="177"/>
      <c r="Z87" s="177"/>
      <c r="AA87" s="177"/>
    </row>
    <row r="88" spans="1:27" s="176" customFormat="1" x14ac:dyDescent="0.25">
      <c r="A88" s="181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8"/>
      <c r="S88" s="178"/>
      <c r="T88" s="177"/>
      <c r="U88" s="177"/>
      <c r="V88" s="177"/>
      <c r="W88" s="177"/>
      <c r="X88" s="177"/>
      <c r="Y88" s="177"/>
      <c r="Z88" s="177"/>
      <c r="AA88" s="177"/>
    </row>
    <row r="89" spans="1:27" s="176" customFormat="1" x14ac:dyDescent="0.25">
      <c r="A89" s="181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8"/>
      <c r="S89" s="178"/>
      <c r="T89" s="177"/>
      <c r="U89" s="177"/>
      <c r="V89" s="177"/>
      <c r="W89" s="177"/>
      <c r="X89" s="177"/>
      <c r="Y89" s="177"/>
      <c r="Z89" s="177"/>
      <c r="AA89" s="177"/>
    </row>
    <row r="90" spans="1:27" s="176" customFormat="1" x14ac:dyDescent="0.25">
      <c r="A90" s="181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8"/>
      <c r="S90" s="178"/>
      <c r="T90" s="177"/>
      <c r="U90" s="177"/>
      <c r="V90" s="177"/>
      <c r="W90" s="177"/>
      <c r="X90" s="177"/>
      <c r="Y90" s="177"/>
      <c r="Z90" s="177"/>
      <c r="AA90" s="177"/>
    </row>
    <row r="91" spans="1:27" s="176" customFormat="1" x14ac:dyDescent="0.25">
      <c r="A91" s="181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8"/>
      <c r="S91" s="178"/>
      <c r="T91" s="177"/>
      <c r="U91" s="177"/>
      <c r="V91" s="177"/>
      <c r="W91" s="177"/>
      <c r="X91" s="177"/>
      <c r="Y91" s="177"/>
      <c r="Z91" s="177"/>
      <c r="AA91" s="177"/>
    </row>
    <row r="92" spans="1:27" s="176" customFormat="1" x14ac:dyDescent="0.25">
      <c r="A92" s="181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8"/>
      <c r="S92" s="178"/>
      <c r="T92" s="177"/>
      <c r="U92" s="177"/>
      <c r="V92" s="177"/>
      <c r="W92" s="177"/>
      <c r="X92" s="177"/>
      <c r="Y92" s="177"/>
      <c r="Z92" s="177"/>
      <c r="AA92" s="177"/>
    </row>
    <row r="93" spans="1:27" s="176" customFormat="1" x14ac:dyDescent="0.25">
      <c r="A93" s="181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8"/>
      <c r="S93" s="178"/>
      <c r="T93" s="177"/>
      <c r="U93" s="177"/>
      <c r="V93" s="177"/>
      <c r="W93" s="177"/>
      <c r="X93" s="177"/>
      <c r="Y93" s="177"/>
      <c r="Z93" s="177"/>
      <c r="AA93" s="177"/>
    </row>
    <row r="94" spans="1:27" s="176" customFormat="1" x14ac:dyDescent="0.25"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8"/>
      <c r="S94" s="178"/>
      <c r="T94" s="177"/>
      <c r="U94" s="177"/>
      <c r="V94" s="177"/>
      <c r="W94" s="177"/>
      <c r="X94" s="177"/>
      <c r="Y94" s="177"/>
      <c r="Z94" s="177"/>
      <c r="AA94" s="177"/>
    </row>
    <row r="95" spans="1:27" s="176" customFormat="1" x14ac:dyDescent="0.25">
      <c r="C95" s="181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</row>
    <row r="96" spans="1:27" s="176" customFormat="1" x14ac:dyDescent="0.25">
      <c r="C96" s="181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8"/>
      <c r="S96" s="178"/>
      <c r="T96" s="177"/>
      <c r="U96" s="177"/>
      <c r="V96" s="177"/>
      <c r="W96" s="177"/>
      <c r="X96" s="177"/>
      <c r="Y96" s="177"/>
      <c r="Z96" s="177"/>
      <c r="AA96" s="177"/>
    </row>
    <row r="97" spans="3:27" s="123" customFormat="1" x14ac:dyDescent="0.25">
      <c r="C97" s="147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5"/>
      <c r="S97" s="175"/>
      <c r="T97" s="174"/>
      <c r="U97" s="174"/>
      <c r="V97" s="174"/>
      <c r="W97" s="174"/>
      <c r="X97" s="174"/>
      <c r="Y97" s="174"/>
      <c r="Z97" s="174"/>
      <c r="AA97" s="174"/>
    </row>
    <row r="98" spans="3:27" s="123" customFormat="1" x14ac:dyDescent="0.25">
      <c r="C98" s="147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5"/>
      <c r="S98" s="175"/>
      <c r="T98" s="174"/>
      <c r="U98" s="174"/>
      <c r="V98" s="174"/>
      <c r="W98" s="174"/>
      <c r="X98" s="174"/>
      <c r="Y98" s="174"/>
      <c r="Z98" s="174"/>
      <c r="AA98" s="174"/>
    </row>
    <row r="99" spans="3:27" x14ac:dyDescent="0.25">
      <c r="C99" s="111"/>
    </row>
    <row r="100" spans="3:27" x14ac:dyDescent="0.25">
      <c r="C100" s="111"/>
    </row>
    <row r="101" spans="3:27" x14ac:dyDescent="0.25">
      <c r="C101" s="111"/>
    </row>
    <row r="102" spans="3:27" x14ac:dyDescent="0.25">
      <c r="D102" s="112"/>
    </row>
    <row r="103" spans="3:27" x14ac:dyDescent="0.25">
      <c r="C103" s="108"/>
      <c r="D103" s="169"/>
    </row>
    <row r="106" spans="3:27" x14ac:dyDescent="0.25">
      <c r="C106" s="111"/>
    </row>
    <row r="107" spans="3:27" x14ac:dyDescent="0.25">
      <c r="C107" s="111"/>
    </row>
    <row r="108" spans="3:27" x14ac:dyDescent="0.25">
      <c r="D108" s="112"/>
    </row>
    <row r="109" spans="3:27" x14ac:dyDescent="0.25">
      <c r="C109" s="111"/>
    </row>
    <row r="110" spans="3:27" x14ac:dyDescent="0.25">
      <c r="C110" s="111"/>
    </row>
    <row r="111" spans="3:27" x14ac:dyDescent="0.25">
      <c r="C111" s="111"/>
    </row>
    <row r="112" spans="3:27" x14ac:dyDescent="0.25">
      <c r="C112" s="111"/>
    </row>
    <row r="113" spans="3:4" x14ac:dyDescent="0.25">
      <c r="C113" s="111"/>
    </row>
    <row r="114" spans="3:4" x14ac:dyDescent="0.25">
      <c r="C114" s="111"/>
    </row>
    <row r="115" spans="3:4" x14ac:dyDescent="0.25">
      <c r="C115" s="111"/>
    </row>
    <row r="116" spans="3:4" x14ac:dyDescent="0.25">
      <c r="C116" s="111"/>
    </row>
    <row r="117" spans="3:4" x14ac:dyDescent="0.25">
      <c r="D117" s="112"/>
    </row>
    <row r="118" spans="3:4" x14ac:dyDescent="0.25">
      <c r="C118" s="111"/>
    </row>
    <row r="119" spans="3:4" x14ac:dyDescent="0.25">
      <c r="C119" s="111"/>
    </row>
    <row r="120" spans="3:4" x14ac:dyDescent="0.25">
      <c r="C120" s="111"/>
    </row>
    <row r="121" spans="3:4" x14ac:dyDescent="0.25">
      <c r="C121" s="111"/>
    </row>
    <row r="122" spans="3:4" x14ac:dyDescent="0.25">
      <c r="C122" s="111"/>
    </row>
    <row r="123" spans="3:4" x14ac:dyDescent="0.25">
      <c r="C123" s="111"/>
    </row>
    <row r="124" spans="3:4" x14ac:dyDescent="0.25">
      <c r="C124" s="111"/>
    </row>
    <row r="125" spans="3:4" x14ac:dyDescent="0.25">
      <c r="D125" s="112"/>
    </row>
    <row r="126" spans="3:4" x14ac:dyDescent="0.25">
      <c r="C126" s="108"/>
      <c r="D126" s="169"/>
    </row>
    <row r="127" spans="3:4" x14ac:dyDescent="0.25">
      <c r="C127" s="111"/>
    </row>
    <row r="128" spans="3:4" x14ac:dyDescent="0.25">
      <c r="C128" s="111"/>
    </row>
    <row r="129" spans="3:4" x14ac:dyDescent="0.25">
      <c r="C129" s="111"/>
    </row>
    <row r="130" spans="3:4" x14ac:dyDescent="0.25">
      <c r="D130" s="112"/>
    </row>
    <row r="131" spans="3:4" x14ac:dyDescent="0.25">
      <c r="C131" s="111"/>
    </row>
    <row r="132" spans="3:4" x14ac:dyDescent="0.25">
      <c r="C132" s="111"/>
    </row>
    <row r="133" spans="3:4" x14ac:dyDescent="0.25">
      <c r="C133" s="111"/>
    </row>
    <row r="134" spans="3:4" x14ac:dyDescent="0.25">
      <c r="C134" s="111"/>
    </row>
    <row r="135" spans="3:4" x14ac:dyDescent="0.25">
      <c r="C135" s="111"/>
    </row>
    <row r="136" spans="3:4" x14ac:dyDescent="0.25">
      <c r="C136" s="111"/>
    </row>
    <row r="137" spans="3:4" x14ac:dyDescent="0.25">
      <c r="C137" s="111"/>
    </row>
    <row r="138" spans="3:4" x14ac:dyDescent="0.25">
      <c r="C138" s="111"/>
    </row>
    <row r="139" spans="3:4" x14ac:dyDescent="0.25">
      <c r="D139" s="112"/>
    </row>
    <row r="140" spans="3:4" x14ac:dyDescent="0.25">
      <c r="C140" s="111"/>
    </row>
    <row r="141" spans="3:4" x14ac:dyDescent="0.25">
      <c r="C141" s="111"/>
    </row>
    <row r="142" spans="3:4" x14ac:dyDescent="0.25">
      <c r="C142" s="111"/>
    </row>
    <row r="143" spans="3:4" x14ac:dyDescent="0.25">
      <c r="C143" s="111"/>
    </row>
    <row r="144" spans="3:4" x14ac:dyDescent="0.25">
      <c r="C144" s="111"/>
    </row>
    <row r="145" spans="3:4" x14ac:dyDescent="0.25">
      <c r="C145" s="111"/>
    </row>
    <row r="146" spans="3:4" x14ac:dyDescent="0.25">
      <c r="C146" s="111"/>
    </row>
    <row r="147" spans="3:4" x14ac:dyDescent="0.25">
      <c r="C147" s="111"/>
    </row>
    <row r="148" spans="3:4" x14ac:dyDescent="0.25">
      <c r="C148" s="111"/>
    </row>
    <row r="149" spans="3:4" x14ac:dyDescent="0.25">
      <c r="C149" s="111"/>
    </row>
    <row r="150" spans="3:4" x14ac:dyDescent="0.25">
      <c r="C150" s="111"/>
      <c r="D150" s="112"/>
    </row>
    <row r="151" spans="3:4" x14ac:dyDescent="0.25">
      <c r="D151" s="169"/>
    </row>
  </sheetData>
  <mergeCells count="14">
    <mergeCell ref="Z4:AA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2:C2"/>
    <mergeCell ref="X4:Y4"/>
    <mergeCell ref="A3:C3"/>
  </mergeCells>
  <phoneticPr fontId="1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356"/>
  <sheetViews>
    <sheetView showGridLines="0" topLeftCell="A61" zoomScale="90" workbookViewId="0">
      <pane ySplit="7845" topLeftCell="A287"/>
      <selection activeCell="A7" sqref="A7"/>
      <selection pane="bottomLeft" activeCell="A288" sqref="A288:IV288"/>
    </sheetView>
  </sheetViews>
  <sheetFormatPr baseColWidth="10" defaultRowHeight="12.75" x14ac:dyDescent="0.2"/>
  <cols>
    <col min="1" max="1" width="19" style="87" customWidth="1"/>
    <col min="2" max="9" width="11.7109375" style="15" customWidth="1"/>
    <col min="10" max="12" width="11.7109375" style="14" customWidth="1"/>
    <col min="13" max="13" width="10.28515625" style="14" hidden="1" customWidth="1"/>
    <col min="14" max="14" width="17.5703125" style="202" bestFit="1" customWidth="1"/>
    <col min="15" max="15" width="13.85546875" style="202" customWidth="1"/>
    <col min="16" max="18" width="11.42578125" style="202"/>
    <col min="19" max="19" width="11.42578125" style="168"/>
    <col min="20" max="16384" width="11.42578125" style="16"/>
  </cols>
  <sheetData>
    <row r="1" spans="1:19" s="7" customFormat="1" x14ac:dyDescent="0.2">
      <c r="A1" s="3" t="s">
        <v>80</v>
      </c>
      <c r="B1" s="4"/>
      <c r="C1" s="4"/>
      <c r="D1" s="5"/>
      <c r="E1" s="5"/>
      <c r="F1" s="6"/>
      <c r="G1" s="6"/>
      <c r="H1" s="6"/>
      <c r="I1" s="6"/>
      <c r="J1" s="6"/>
      <c r="K1" s="6"/>
      <c r="L1" s="6"/>
      <c r="M1" s="6"/>
      <c r="N1" s="202"/>
      <c r="O1" s="202"/>
      <c r="P1" s="202"/>
      <c r="Q1" s="202"/>
      <c r="R1" s="202"/>
      <c r="S1" s="168"/>
    </row>
    <row r="2" spans="1:19" s="7" customFormat="1" x14ac:dyDescent="0.2">
      <c r="A2" s="3" t="s">
        <v>287</v>
      </c>
      <c r="B2" s="4"/>
      <c r="C2" s="4"/>
      <c r="D2" s="6"/>
      <c r="E2" s="8"/>
      <c r="F2" s="6"/>
      <c r="G2" s="6"/>
      <c r="H2" s="6"/>
      <c r="I2" s="6"/>
      <c r="J2" s="6"/>
      <c r="K2" s="6"/>
      <c r="L2" s="6"/>
      <c r="M2" s="6"/>
      <c r="N2" s="202"/>
      <c r="O2" s="202"/>
      <c r="P2" s="202"/>
      <c r="Q2" s="202"/>
      <c r="R2" s="202"/>
      <c r="S2" s="168"/>
    </row>
    <row r="3" spans="1:19" s="7" customFormat="1" x14ac:dyDescent="0.2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02"/>
      <c r="O3" s="202"/>
      <c r="P3" s="202"/>
      <c r="Q3" s="202"/>
      <c r="R3" s="202"/>
      <c r="S3" s="168"/>
    </row>
    <row r="4" spans="1:19" s="10" customFormat="1" x14ac:dyDescent="0.2">
      <c r="A4" s="267" t="s">
        <v>275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02"/>
      <c r="O4" s="202"/>
      <c r="P4" s="202"/>
      <c r="Q4" s="202"/>
      <c r="R4" s="202"/>
      <c r="S4" s="168"/>
    </row>
    <row r="5" spans="1:19" x14ac:dyDescent="0.2">
      <c r="A5" s="11"/>
      <c r="B5" s="12"/>
      <c r="C5" s="12"/>
      <c r="D5" s="12"/>
      <c r="E5" s="12"/>
      <c r="F5" s="12"/>
      <c r="G5" s="12"/>
      <c r="H5" s="12"/>
      <c r="I5" s="12"/>
      <c r="J5" s="13"/>
      <c r="L5" s="13"/>
      <c r="M5" s="13"/>
    </row>
    <row r="6" spans="1:19" x14ac:dyDescent="0.2">
      <c r="A6" s="17"/>
      <c r="B6" s="12"/>
      <c r="C6" s="12"/>
      <c r="D6" s="12"/>
      <c r="E6" s="12"/>
      <c r="F6" s="12"/>
      <c r="G6" s="12"/>
      <c r="H6" s="12"/>
      <c r="I6" s="12"/>
      <c r="J6" s="13"/>
      <c r="L6" s="13"/>
      <c r="M6" s="13"/>
    </row>
    <row r="7" spans="1:19" s="10" customFormat="1" x14ac:dyDescent="0.2">
      <c r="A7" s="18" t="s">
        <v>81</v>
      </c>
      <c r="B7" s="62" t="s">
        <v>82</v>
      </c>
      <c r="C7" s="62" t="s">
        <v>83</v>
      </c>
      <c r="D7" s="62" t="s">
        <v>84</v>
      </c>
      <c r="E7" s="62" t="s">
        <v>85</v>
      </c>
      <c r="F7" s="62" t="s">
        <v>86</v>
      </c>
      <c r="G7" s="62" t="s">
        <v>87</v>
      </c>
      <c r="H7" s="62" t="s">
        <v>88</v>
      </c>
      <c r="I7" s="62" t="s">
        <v>198</v>
      </c>
      <c r="J7" s="62" t="s">
        <v>89</v>
      </c>
      <c r="K7" s="62" t="s">
        <v>90</v>
      </c>
      <c r="L7" s="62" t="s">
        <v>91</v>
      </c>
      <c r="M7" s="62" t="s">
        <v>92</v>
      </c>
      <c r="N7" s="203" t="s">
        <v>213</v>
      </c>
      <c r="O7" s="202"/>
      <c r="P7" s="202"/>
      <c r="Q7" s="202"/>
      <c r="R7" s="202"/>
      <c r="S7" s="168"/>
    </row>
    <row r="8" spans="1:19" s="24" customFormat="1" x14ac:dyDescent="0.2">
      <c r="A8" s="21" t="s">
        <v>93</v>
      </c>
      <c r="B8" s="219"/>
      <c r="C8" s="219"/>
      <c r="D8" s="219"/>
      <c r="E8" s="219"/>
      <c r="F8" s="219"/>
      <c r="G8" s="219"/>
      <c r="H8" s="219"/>
      <c r="I8" s="27"/>
      <c r="J8" s="27"/>
      <c r="K8" s="27"/>
      <c r="L8" s="27"/>
      <c r="M8" s="27"/>
      <c r="N8" s="204"/>
      <c r="O8" s="202"/>
      <c r="P8" s="204"/>
      <c r="Q8" s="204"/>
      <c r="R8" s="204"/>
      <c r="S8" s="50"/>
    </row>
    <row r="9" spans="1:19" s="24" customFormat="1" x14ac:dyDescent="0.2">
      <c r="A9" s="21" t="s">
        <v>94</v>
      </c>
      <c r="B9" s="219"/>
      <c r="C9" s="219"/>
      <c r="D9" s="219"/>
      <c r="E9" s="219"/>
      <c r="F9" s="219"/>
      <c r="G9" s="219"/>
      <c r="H9" s="219"/>
      <c r="I9" s="27"/>
      <c r="J9" s="27"/>
      <c r="K9" s="27"/>
      <c r="L9" s="27"/>
      <c r="M9" s="27"/>
      <c r="N9" s="204"/>
      <c r="O9" s="202"/>
      <c r="P9" s="204"/>
      <c r="Q9" s="204"/>
      <c r="R9" s="204"/>
      <c r="S9" s="50"/>
    </row>
    <row r="10" spans="1:19" s="24" customFormat="1" x14ac:dyDescent="0.2">
      <c r="A10" s="21" t="s">
        <v>95</v>
      </c>
      <c r="B10" s="219"/>
      <c r="C10" s="219"/>
      <c r="D10" s="219"/>
      <c r="E10" s="219"/>
      <c r="F10" s="219"/>
      <c r="G10" s="219"/>
      <c r="H10" s="219"/>
      <c r="I10" s="27"/>
      <c r="J10" s="27"/>
      <c r="K10" s="27"/>
      <c r="L10" s="27"/>
      <c r="M10" s="27"/>
      <c r="N10" s="204"/>
      <c r="O10" s="202"/>
      <c r="P10" s="204"/>
      <c r="Q10" s="204"/>
      <c r="R10" s="204"/>
      <c r="S10" s="50"/>
    </row>
    <row r="11" spans="1:19" s="24" customFormat="1" x14ac:dyDescent="0.2">
      <c r="A11" s="21" t="s">
        <v>96</v>
      </c>
      <c r="B11" s="219"/>
      <c r="C11" s="219"/>
      <c r="D11" s="219"/>
      <c r="E11" s="219"/>
      <c r="F11" s="219"/>
      <c r="G11" s="219"/>
      <c r="H11" s="219"/>
      <c r="I11" s="27"/>
      <c r="J11" s="27"/>
      <c r="K11" s="27"/>
      <c r="L11" s="27"/>
      <c r="M11" s="27"/>
      <c r="N11" s="204"/>
      <c r="O11" s="202"/>
      <c r="P11" s="204"/>
      <c r="Q11" s="204"/>
      <c r="R11" s="204"/>
      <c r="S11" s="50"/>
    </row>
    <row r="12" spans="1:19" s="24" customFormat="1" x14ac:dyDescent="0.2">
      <c r="A12" s="21" t="s">
        <v>97</v>
      </c>
      <c r="B12" s="220"/>
      <c r="C12" s="220"/>
      <c r="D12" s="220"/>
      <c r="E12" s="221"/>
      <c r="F12" s="221"/>
      <c r="G12" s="220"/>
      <c r="H12" s="220"/>
      <c r="I12" s="22"/>
      <c r="J12" s="95"/>
      <c r="K12" s="95"/>
      <c r="L12" s="95"/>
      <c r="M12" s="95"/>
      <c r="N12" s="204"/>
      <c r="O12" s="202"/>
      <c r="P12" s="204"/>
      <c r="Q12" s="204"/>
      <c r="R12" s="204"/>
      <c r="S12" s="50"/>
    </row>
    <row r="13" spans="1:19" s="32" customFormat="1" x14ac:dyDescent="0.2">
      <c r="A13" s="30" t="s">
        <v>98</v>
      </c>
      <c r="B13" s="31">
        <f>SUM(B8:B12)</f>
        <v>0</v>
      </c>
      <c r="C13" s="31">
        <f t="shared" ref="C13:M13" si="0">SUM(C8:C12)</f>
        <v>0</v>
      </c>
      <c r="D13" s="31">
        <f t="shared" si="0"/>
        <v>0</v>
      </c>
      <c r="E13" s="31">
        <f t="shared" si="0"/>
        <v>0</v>
      </c>
      <c r="F13" s="31">
        <f t="shared" si="0"/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  <c r="N13" s="205"/>
      <c r="O13" s="202"/>
      <c r="P13" s="205"/>
      <c r="Q13" s="205"/>
      <c r="R13" s="205"/>
      <c r="S13" s="194"/>
    </row>
    <row r="14" spans="1:19" s="24" customFormat="1" x14ac:dyDescent="0.2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206"/>
      <c r="O14" s="202"/>
      <c r="P14" s="206"/>
      <c r="Q14" s="206"/>
      <c r="R14" s="206"/>
      <c r="S14" s="195"/>
    </row>
    <row r="15" spans="1:19" s="10" customFormat="1" x14ac:dyDescent="0.2">
      <c r="A15" s="18" t="s">
        <v>99</v>
      </c>
      <c r="B15" s="62" t="s">
        <v>82</v>
      </c>
      <c r="C15" s="62" t="s">
        <v>83</v>
      </c>
      <c r="D15" s="62" t="s">
        <v>84</v>
      </c>
      <c r="E15" s="62" t="s">
        <v>85</v>
      </c>
      <c r="F15" s="62" t="s">
        <v>86</v>
      </c>
      <c r="G15" s="62" t="s">
        <v>87</v>
      </c>
      <c r="H15" s="62" t="s">
        <v>88</v>
      </c>
      <c r="I15" s="62" t="s">
        <v>198</v>
      </c>
      <c r="J15" s="62" t="s">
        <v>89</v>
      </c>
      <c r="K15" s="62" t="s">
        <v>90</v>
      </c>
      <c r="L15" s="62" t="s">
        <v>91</v>
      </c>
      <c r="M15" s="62" t="s">
        <v>92</v>
      </c>
      <c r="N15" s="207"/>
      <c r="O15" s="202"/>
      <c r="P15" s="207"/>
      <c r="Q15" s="207"/>
      <c r="R15" s="207"/>
      <c r="S15" s="196"/>
    </row>
    <row r="16" spans="1:19" s="24" customFormat="1" x14ac:dyDescent="0.2">
      <c r="A16" s="21" t="s">
        <v>93</v>
      </c>
      <c r="B16" s="219"/>
      <c r="C16" s="219"/>
      <c r="D16" s="219"/>
      <c r="E16" s="219"/>
      <c r="F16" s="219"/>
      <c r="G16" s="219"/>
      <c r="H16" s="219"/>
      <c r="I16" s="27"/>
      <c r="J16" s="27"/>
      <c r="K16" s="27"/>
      <c r="L16" s="27"/>
      <c r="M16" s="27"/>
      <c r="N16" s="206"/>
      <c r="O16" s="202"/>
      <c r="P16" s="206"/>
      <c r="Q16" s="206"/>
      <c r="R16" s="206"/>
      <c r="S16" s="195"/>
    </row>
    <row r="17" spans="1:19" s="24" customFormat="1" ht="12" x14ac:dyDescent="0.2">
      <c r="A17" s="21" t="s">
        <v>94</v>
      </c>
      <c r="B17" s="219"/>
      <c r="C17" s="219"/>
      <c r="D17" s="219"/>
      <c r="E17" s="219"/>
      <c r="F17" s="219"/>
      <c r="G17" s="219"/>
      <c r="H17" s="219"/>
      <c r="I17" s="27"/>
      <c r="J17" s="27"/>
      <c r="K17" s="27"/>
      <c r="L17" s="27"/>
      <c r="M17" s="27"/>
      <c r="N17" s="206"/>
      <c r="O17" s="206"/>
      <c r="P17" s="206"/>
      <c r="Q17" s="206"/>
      <c r="R17" s="206"/>
      <c r="S17" s="195"/>
    </row>
    <row r="18" spans="1:19" s="24" customFormat="1" ht="12" x14ac:dyDescent="0.2">
      <c r="A18" s="21" t="s">
        <v>95</v>
      </c>
      <c r="B18" s="219"/>
      <c r="C18" s="219"/>
      <c r="D18" s="219"/>
      <c r="E18" s="219"/>
      <c r="F18" s="219"/>
      <c r="G18" s="219"/>
      <c r="H18" s="219"/>
      <c r="I18" s="27"/>
      <c r="J18" s="27"/>
      <c r="K18" s="27"/>
      <c r="L18" s="27"/>
      <c r="M18" s="27"/>
      <c r="N18" s="206"/>
      <c r="O18" s="206"/>
      <c r="P18" s="206"/>
      <c r="Q18" s="206"/>
      <c r="R18" s="206"/>
      <c r="S18" s="195"/>
    </row>
    <row r="19" spans="1:19" s="24" customFormat="1" ht="12" x14ac:dyDescent="0.2">
      <c r="A19" s="21" t="s">
        <v>96</v>
      </c>
      <c r="B19" s="219"/>
      <c r="C19" s="219"/>
      <c r="D19" s="219"/>
      <c r="E19" s="219"/>
      <c r="F19" s="219"/>
      <c r="G19" s="219"/>
      <c r="H19" s="219"/>
      <c r="I19" s="27"/>
      <c r="J19" s="27"/>
      <c r="K19" s="27"/>
      <c r="L19" s="27"/>
      <c r="M19" s="27"/>
      <c r="N19" s="206"/>
      <c r="O19" s="206"/>
      <c r="P19" s="206"/>
      <c r="Q19" s="206"/>
      <c r="R19" s="206"/>
      <c r="S19" s="195"/>
    </row>
    <row r="20" spans="1:19" s="24" customFormat="1" ht="12" x14ac:dyDescent="0.2">
      <c r="A20" s="21" t="s">
        <v>97</v>
      </c>
      <c r="B20" s="219"/>
      <c r="C20" s="219"/>
      <c r="D20" s="219"/>
      <c r="E20" s="219"/>
      <c r="F20" s="221"/>
      <c r="G20" s="220"/>
      <c r="H20" s="219"/>
      <c r="I20" s="26"/>
      <c r="J20" s="91"/>
      <c r="K20" s="91"/>
      <c r="L20" s="91"/>
      <c r="M20" s="91"/>
      <c r="N20" s="206"/>
      <c r="O20" s="206"/>
      <c r="P20" s="206"/>
      <c r="Q20" s="206"/>
      <c r="R20" s="206"/>
      <c r="S20" s="195"/>
    </row>
    <row r="21" spans="1:19" s="32" customFormat="1" ht="12" x14ac:dyDescent="0.2">
      <c r="A21" s="30" t="s">
        <v>98</v>
      </c>
      <c r="B21" s="64">
        <f>SUM(B16:B20)</f>
        <v>0</v>
      </c>
      <c r="C21" s="64">
        <f t="shared" ref="C21:M21" si="1">SUM(C16:C20)</f>
        <v>0</v>
      </c>
      <c r="D21" s="64">
        <f t="shared" si="1"/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206"/>
      <c r="O21" s="206"/>
      <c r="P21" s="206"/>
      <c r="Q21" s="206"/>
      <c r="R21" s="206"/>
      <c r="S21" s="195"/>
    </row>
    <row r="22" spans="1:19" s="24" customFormat="1" x14ac:dyDescent="0.2">
      <c r="A22" s="44"/>
      <c r="B22" s="45"/>
      <c r="C22" s="45"/>
      <c r="D22" s="45"/>
      <c r="E22" s="45"/>
      <c r="F22" s="45"/>
      <c r="G22" s="45"/>
      <c r="H22" s="45"/>
      <c r="I22" s="46"/>
      <c r="J22" s="46"/>
      <c r="K22" s="46"/>
      <c r="L22" s="46"/>
      <c r="M22" s="46"/>
      <c r="N22" s="204"/>
      <c r="O22" s="204"/>
      <c r="P22" s="204"/>
      <c r="Q22" s="204"/>
      <c r="R22" s="204"/>
      <c r="S22" s="50"/>
    </row>
    <row r="23" spans="1:19" s="47" customFormat="1" x14ac:dyDescent="0.2">
      <c r="A23" s="18" t="s">
        <v>100</v>
      </c>
      <c r="B23" s="62" t="s">
        <v>82</v>
      </c>
      <c r="C23" s="62" t="s">
        <v>83</v>
      </c>
      <c r="D23" s="62" t="s">
        <v>84</v>
      </c>
      <c r="E23" s="62" t="s">
        <v>85</v>
      </c>
      <c r="F23" s="62" t="s">
        <v>86</v>
      </c>
      <c r="G23" s="62" t="s">
        <v>87</v>
      </c>
      <c r="H23" s="62" t="s">
        <v>88</v>
      </c>
      <c r="I23" s="62" t="s">
        <v>198</v>
      </c>
      <c r="J23" s="62" t="s">
        <v>89</v>
      </c>
      <c r="K23" s="62" t="s">
        <v>90</v>
      </c>
      <c r="L23" s="62" t="s">
        <v>91</v>
      </c>
      <c r="M23" s="62" t="s">
        <v>92</v>
      </c>
      <c r="N23" s="208"/>
      <c r="O23" s="208"/>
      <c r="P23" s="208"/>
      <c r="Q23" s="208"/>
      <c r="R23" s="208"/>
      <c r="S23" s="197"/>
    </row>
    <row r="24" spans="1:19" s="24" customFormat="1" ht="12" x14ac:dyDescent="0.2">
      <c r="A24" s="21" t="s">
        <v>93</v>
      </c>
      <c r="B24" s="219"/>
      <c r="C24" s="219"/>
      <c r="D24" s="219"/>
      <c r="E24" s="219"/>
      <c r="F24" s="219"/>
      <c r="G24" s="219"/>
      <c r="H24" s="219"/>
      <c r="I24" s="49"/>
      <c r="J24" s="49"/>
      <c r="K24" s="49"/>
      <c r="L24" s="27"/>
      <c r="M24" s="49"/>
      <c r="N24" s="206"/>
      <c r="O24" s="206"/>
      <c r="P24" s="206"/>
      <c r="Q24" s="206"/>
      <c r="R24" s="206"/>
      <c r="S24" s="195"/>
    </row>
    <row r="25" spans="1:19" s="24" customFormat="1" ht="12" x14ac:dyDescent="0.2">
      <c r="A25" s="21" t="s">
        <v>94</v>
      </c>
      <c r="B25" s="219"/>
      <c r="C25" s="219"/>
      <c r="D25" s="219"/>
      <c r="E25" s="219"/>
      <c r="F25" s="219"/>
      <c r="G25" s="219"/>
      <c r="H25" s="219"/>
      <c r="I25" s="49"/>
      <c r="J25" s="49"/>
      <c r="K25" s="49"/>
      <c r="L25" s="27"/>
      <c r="M25" s="49"/>
      <c r="N25" s="206"/>
      <c r="O25" s="206"/>
      <c r="P25" s="206"/>
      <c r="Q25" s="206"/>
      <c r="R25" s="206"/>
      <c r="S25" s="195"/>
    </row>
    <row r="26" spans="1:19" s="24" customFormat="1" ht="12" x14ac:dyDescent="0.2">
      <c r="A26" s="21" t="s">
        <v>95</v>
      </c>
      <c r="B26" s="219"/>
      <c r="C26" s="219"/>
      <c r="D26" s="219"/>
      <c r="E26" s="219"/>
      <c r="F26" s="219"/>
      <c r="G26" s="219"/>
      <c r="H26" s="219"/>
      <c r="I26" s="49"/>
      <c r="J26" s="49"/>
      <c r="K26" s="49"/>
      <c r="L26" s="27"/>
      <c r="M26" s="49"/>
      <c r="N26" s="206"/>
      <c r="O26" s="206"/>
      <c r="P26" s="206"/>
      <c r="Q26" s="206"/>
      <c r="R26" s="206"/>
      <c r="S26" s="195"/>
    </row>
    <row r="27" spans="1:19" s="24" customFormat="1" ht="12" x14ac:dyDescent="0.2">
      <c r="A27" s="21" t="s">
        <v>96</v>
      </c>
      <c r="B27" s="219"/>
      <c r="C27" s="219"/>
      <c r="D27" s="219"/>
      <c r="E27" s="219"/>
      <c r="F27" s="219"/>
      <c r="G27" s="219"/>
      <c r="H27" s="219"/>
      <c r="I27" s="49"/>
      <c r="J27" s="49"/>
      <c r="K27" s="49"/>
      <c r="L27" s="27"/>
      <c r="M27" s="49"/>
      <c r="N27" s="206"/>
      <c r="O27" s="206"/>
      <c r="P27" s="206"/>
      <c r="Q27" s="206"/>
      <c r="R27" s="206"/>
      <c r="S27" s="195"/>
    </row>
    <row r="28" spans="1:19" s="24" customFormat="1" ht="12" x14ac:dyDescent="0.2">
      <c r="A28" s="21" t="s">
        <v>97</v>
      </c>
      <c r="B28" s="219"/>
      <c r="C28" s="219"/>
      <c r="D28" s="219"/>
      <c r="E28" s="219"/>
      <c r="F28" s="221"/>
      <c r="G28" s="220"/>
      <c r="H28" s="219"/>
      <c r="I28" s="49"/>
      <c r="J28" s="92"/>
      <c r="K28" s="92"/>
      <c r="L28" s="91"/>
      <c r="M28" s="92"/>
      <c r="N28" s="206"/>
      <c r="O28" s="206"/>
      <c r="P28" s="206"/>
      <c r="Q28" s="206"/>
      <c r="R28" s="206"/>
      <c r="S28" s="195"/>
    </row>
    <row r="29" spans="1:19" s="32" customFormat="1" ht="12" x14ac:dyDescent="0.2">
      <c r="A29" s="30" t="s">
        <v>98</v>
      </c>
      <c r="B29" s="64">
        <f>SUM(B24:B28)</f>
        <v>0</v>
      </c>
      <c r="C29" s="64">
        <f t="shared" ref="C29:M29" si="2">SUM(C24:C28)</f>
        <v>0</v>
      </c>
      <c r="D29" s="64">
        <f t="shared" si="2"/>
        <v>0</v>
      </c>
      <c r="E29" s="64">
        <f t="shared" si="2"/>
        <v>0</v>
      </c>
      <c r="F29" s="64">
        <f t="shared" si="2"/>
        <v>0</v>
      </c>
      <c r="G29" s="64">
        <f t="shared" si="2"/>
        <v>0</v>
      </c>
      <c r="H29" s="64">
        <f t="shared" si="2"/>
        <v>0</v>
      </c>
      <c r="I29" s="64">
        <f t="shared" si="2"/>
        <v>0</v>
      </c>
      <c r="J29" s="64">
        <f t="shared" si="2"/>
        <v>0</v>
      </c>
      <c r="K29" s="64">
        <f t="shared" si="2"/>
        <v>0</v>
      </c>
      <c r="L29" s="64">
        <f t="shared" si="2"/>
        <v>0</v>
      </c>
      <c r="M29" s="64">
        <f t="shared" si="2"/>
        <v>0</v>
      </c>
      <c r="N29" s="206"/>
      <c r="O29" s="206"/>
      <c r="P29" s="206"/>
      <c r="Q29" s="206"/>
      <c r="R29" s="206"/>
      <c r="S29" s="195"/>
    </row>
    <row r="30" spans="1:19" s="24" customFormat="1" ht="12" x14ac:dyDescent="0.2">
      <c r="A30" s="51"/>
      <c r="B30" s="52"/>
      <c r="C30" s="45"/>
      <c r="D30" s="45"/>
      <c r="E30" s="45"/>
      <c r="F30" s="45"/>
      <c r="G30" s="45"/>
      <c r="H30" s="45"/>
      <c r="I30" s="46"/>
      <c r="J30" s="46"/>
      <c r="K30" s="46"/>
      <c r="L30" s="46"/>
      <c r="M30" s="46"/>
      <c r="N30" s="204"/>
      <c r="O30" s="204"/>
      <c r="P30" s="204"/>
      <c r="Q30" s="204"/>
      <c r="R30" s="204"/>
      <c r="S30" s="50"/>
    </row>
    <row r="31" spans="1:19" s="47" customFormat="1" x14ac:dyDescent="0.2">
      <c r="A31" s="18" t="s">
        <v>101</v>
      </c>
      <c r="B31" s="62" t="s">
        <v>82</v>
      </c>
      <c r="C31" s="62" t="s">
        <v>83</v>
      </c>
      <c r="D31" s="62" t="s">
        <v>84</v>
      </c>
      <c r="E31" s="62" t="s">
        <v>85</v>
      </c>
      <c r="F31" s="62" t="s">
        <v>86</v>
      </c>
      <c r="G31" s="62" t="s">
        <v>87</v>
      </c>
      <c r="H31" s="62" t="s">
        <v>88</v>
      </c>
      <c r="I31" s="62" t="s">
        <v>198</v>
      </c>
      <c r="J31" s="62" t="s">
        <v>89</v>
      </c>
      <c r="K31" s="62" t="s">
        <v>90</v>
      </c>
      <c r="L31" s="62" t="s">
        <v>91</v>
      </c>
      <c r="M31" s="62" t="s">
        <v>92</v>
      </c>
      <c r="N31" s="208"/>
      <c r="O31" s="208"/>
      <c r="P31" s="208"/>
      <c r="Q31" s="208"/>
      <c r="R31" s="208"/>
      <c r="S31" s="197"/>
    </row>
    <row r="32" spans="1:19" s="24" customFormat="1" ht="12" x14ac:dyDescent="0.2">
      <c r="A32" s="21" t="s">
        <v>93</v>
      </c>
      <c r="B32" s="219"/>
      <c r="C32" s="219"/>
      <c r="D32" s="219"/>
      <c r="E32" s="219"/>
      <c r="F32" s="219"/>
      <c r="G32" s="219"/>
      <c r="H32" s="219"/>
      <c r="I32" s="27"/>
      <c r="J32" s="27"/>
      <c r="K32" s="27"/>
      <c r="L32" s="27"/>
      <c r="M32" s="27"/>
      <c r="N32" s="206"/>
      <c r="O32" s="206"/>
      <c r="P32" s="206"/>
      <c r="Q32" s="206"/>
      <c r="R32" s="206"/>
      <c r="S32" s="195"/>
    </row>
    <row r="33" spans="1:19" s="24" customFormat="1" ht="12" x14ac:dyDescent="0.2">
      <c r="A33" s="21" t="s">
        <v>94</v>
      </c>
      <c r="B33" s="219"/>
      <c r="C33" s="219"/>
      <c r="D33" s="219"/>
      <c r="E33" s="219"/>
      <c r="F33" s="219"/>
      <c r="G33" s="219"/>
      <c r="H33" s="219"/>
      <c r="I33" s="27"/>
      <c r="J33" s="27"/>
      <c r="K33" s="27"/>
      <c r="L33" s="27"/>
      <c r="M33" s="27"/>
      <c r="N33" s="206"/>
      <c r="O33" s="206"/>
      <c r="P33" s="206"/>
      <c r="Q33" s="206"/>
      <c r="R33" s="206"/>
      <c r="S33" s="195"/>
    </row>
    <row r="34" spans="1:19" s="24" customFormat="1" ht="12" x14ac:dyDescent="0.2">
      <c r="A34" s="21" t="s">
        <v>95</v>
      </c>
      <c r="B34" s="219"/>
      <c r="C34" s="219"/>
      <c r="D34" s="219"/>
      <c r="E34" s="219"/>
      <c r="F34" s="219"/>
      <c r="G34" s="219"/>
      <c r="H34" s="219"/>
      <c r="I34" s="27"/>
      <c r="J34" s="27"/>
      <c r="K34" s="27"/>
      <c r="L34" s="27"/>
      <c r="M34" s="27"/>
      <c r="N34" s="206"/>
      <c r="O34" s="206"/>
      <c r="P34" s="206"/>
      <c r="Q34" s="206"/>
      <c r="R34" s="206"/>
      <c r="S34" s="195"/>
    </row>
    <row r="35" spans="1:19" s="24" customFormat="1" ht="12" x14ac:dyDescent="0.2">
      <c r="A35" s="21" t="s">
        <v>96</v>
      </c>
      <c r="B35" s="219"/>
      <c r="C35" s="219"/>
      <c r="D35" s="219"/>
      <c r="E35" s="219"/>
      <c r="F35" s="219"/>
      <c r="G35" s="219"/>
      <c r="H35" s="219"/>
      <c r="I35" s="27"/>
      <c r="J35" s="27"/>
      <c r="K35" s="27"/>
      <c r="L35" s="27"/>
      <c r="M35" s="27"/>
      <c r="N35" s="206"/>
      <c r="O35" s="206"/>
      <c r="P35" s="206"/>
      <c r="Q35" s="206"/>
      <c r="R35" s="206"/>
      <c r="S35" s="195"/>
    </row>
    <row r="36" spans="1:19" s="24" customFormat="1" ht="12" x14ac:dyDescent="0.2">
      <c r="A36" s="21" t="s">
        <v>97</v>
      </c>
      <c r="B36" s="26"/>
      <c r="C36" s="26"/>
      <c r="D36" s="26"/>
      <c r="E36" s="26"/>
      <c r="F36" s="155"/>
      <c r="G36" s="22"/>
      <c r="H36" s="26"/>
      <c r="I36" s="26"/>
      <c r="J36" s="91"/>
      <c r="K36" s="91"/>
      <c r="L36" s="91"/>
      <c r="M36" s="97"/>
      <c r="N36" s="206"/>
      <c r="O36" s="206"/>
      <c r="P36" s="206"/>
      <c r="Q36" s="206"/>
      <c r="R36" s="206"/>
      <c r="S36" s="195"/>
    </row>
    <row r="37" spans="1:19" s="32" customFormat="1" ht="12" x14ac:dyDescent="0.2">
      <c r="A37" s="152" t="s">
        <v>98</v>
      </c>
      <c r="B37" s="64">
        <f>SUM(B32:B36)</f>
        <v>0</v>
      </c>
      <c r="C37" s="64">
        <f t="shared" ref="C37:M37" si="3">SUM(C32:C36)</f>
        <v>0</v>
      </c>
      <c r="D37" s="64">
        <f t="shared" si="3"/>
        <v>0</v>
      </c>
      <c r="E37" s="64">
        <f t="shared" si="3"/>
        <v>0</v>
      </c>
      <c r="F37" s="64">
        <f t="shared" si="3"/>
        <v>0</v>
      </c>
      <c r="G37" s="64">
        <f t="shared" si="3"/>
        <v>0</v>
      </c>
      <c r="H37" s="64">
        <f t="shared" si="3"/>
        <v>0</v>
      </c>
      <c r="I37" s="64">
        <f t="shared" si="3"/>
        <v>0</v>
      </c>
      <c r="J37" s="64">
        <f t="shared" si="3"/>
        <v>0</v>
      </c>
      <c r="K37" s="64">
        <f t="shared" si="3"/>
        <v>0</v>
      </c>
      <c r="L37" s="64">
        <f t="shared" si="3"/>
        <v>0</v>
      </c>
      <c r="M37" s="64">
        <f t="shared" si="3"/>
        <v>0</v>
      </c>
      <c r="N37" s="206"/>
      <c r="O37" s="206"/>
      <c r="P37" s="206"/>
      <c r="Q37" s="206"/>
      <c r="R37" s="206"/>
      <c r="S37" s="195"/>
    </row>
    <row r="38" spans="1:19" s="24" customFormat="1" ht="12" x14ac:dyDescent="0.2">
      <c r="A38" s="51"/>
      <c r="B38" s="45"/>
      <c r="C38" s="45"/>
      <c r="D38" s="45"/>
      <c r="E38" s="45"/>
      <c r="F38" s="45"/>
      <c r="G38" s="45"/>
      <c r="H38" s="45"/>
      <c r="I38" s="46"/>
      <c r="J38" s="46"/>
      <c r="K38" s="46"/>
      <c r="L38" s="46"/>
      <c r="M38" s="46"/>
      <c r="N38" s="204"/>
      <c r="O38" s="204"/>
      <c r="P38" s="204"/>
      <c r="Q38" s="204"/>
      <c r="R38" s="204"/>
      <c r="S38" s="50"/>
    </row>
    <row r="39" spans="1:19" s="47" customFormat="1" x14ac:dyDescent="0.2">
      <c r="A39" s="18" t="s">
        <v>102</v>
      </c>
      <c r="B39" s="62" t="s">
        <v>82</v>
      </c>
      <c r="C39" s="62" t="s">
        <v>83</v>
      </c>
      <c r="D39" s="62" t="s">
        <v>84</v>
      </c>
      <c r="E39" s="62" t="s">
        <v>85</v>
      </c>
      <c r="F39" s="62" t="s">
        <v>86</v>
      </c>
      <c r="G39" s="62" t="s">
        <v>87</v>
      </c>
      <c r="H39" s="62" t="s">
        <v>88</v>
      </c>
      <c r="I39" s="62" t="s">
        <v>198</v>
      </c>
      <c r="J39" s="62" t="s">
        <v>89</v>
      </c>
      <c r="K39" s="62" t="s">
        <v>90</v>
      </c>
      <c r="L39" s="62" t="s">
        <v>91</v>
      </c>
      <c r="M39" s="62" t="s">
        <v>92</v>
      </c>
      <c r="N39" s="208"/>
      <c r="O39" s="208"/>
      <c r="P39" s="208"/>
      <c r="Q39" s="208"/>
      <c r="R39" s="208"/>
      <c r="S39" s="197"/>
    </row>
    <row r="40" spans="1:19" s="24" customFormat="1" ht="12" x14ac:dyDescent="0.2">
      <c r="A40" s="21" t="s">
        <v>93</v>
      </c>
      <c r="B40" s="219"/>
      <c r="C40" s="219"/>
      <c r="D40" s="219"/>
      <c r="E40" s="219"/>
      <c r="F40" s="219"/>
      <c r="G40" s="219"/>
      <c r="H40" s="219"/>
      <c r="I40" s="27"/>
      <c r="J40" s="27"/>
      <c r="K40" s="27"/>
      <c r="L40" s="27"/>
      <c r="M40" s="27"/>
      <c r="N40" s="206"/>
      <c r="O40" s="206"/>
      <c r="P40" s="206"/>
      <c r="Q40" s="206"/>
      <c r="R40" s="206"/>
      <c r="S40" s="195"/>
    </row>
    <row r="41" spans="1:19" s="24" customFormat="1" ht="12" x14ac:dyDescent="0.2">
      <c r="A41" s="21" t="s">
        <v>94</v>
      </c>
      <c r="B41" s="219"/>
      <c r="C41" s="219"/>
      <c r="D41" s="219"/>
      <c r="E41" s="219"/>
      <c r="F41" s="219"/>
      <c r="G41" s="219"/>
      <c r="H41" s="219"/>
      <c r="I41" s="27"/>
      <c r="J41" s="27"/>
      <c r="K41" s="27"/>
      <c r="L41" s="27"/>
      <c r="M41" s="27"/>
      <c r="N41" s="206"/>
      <c r="O41" s="206"/>
      <c r="P41" s="206"/>
      <c r="Q41" s="206"/>
      <c r="R41" s="206"/>
      <c r="S41" s="195"/>
    </row>
    <row r="42" spans="1:19" s="24" customFormat="1" ht="12" x14ac:dyDescent="0.2">
      <c r="A42" s="21" t="s">
        <v>95</v>
      </c>
      <c r="B42" s="219"/>
      <c r="C42" s="219"/>
      <c r="D42" s="219"/>
      <c r="E42" s="219"/>
      <c r="F42" s="219"/>
      <c r="G42" s="219"/>
      <c r="H42" s="219"/>
      <c r="I42" s="27"/>
      <c r="J42" s="27"/>
      <c r="K42" s="27"/>
      <c r="L42" s="27"/>
      <c r="M42" s="27"/>
      <c r="N42" s="206"/>
      <c r="O42" s="206"/>
      <c r="P42" s="206"/>
      <c r="Q42" s="206"/>
      <c r="R42" s="206"/>
      <c r="S42" s="195"/>
    </row>
    <row r="43" spans="1:19" s="24" customFormat="1" ht="12" x14ac:dyDescent="0.2">
      <c r="A43" s="21" t="s">
        <v>96</v>
      </c>
      <c r="B43" s="219"/>
      <c r="C43" s="219"/>
      <c r="D43" s="219"/>
      <c r="E43" s="219"/>
      <c r="F43" s="219"/>
      <c r="G43" s="219"/>
      <c r="H43" s="219"/>
      <c r="I43" s="27"/>
      <c r="J43" s="27"/>
      <c r="K43" s="27"/>
      <c r="L43" s="27"/>
      <c r="M43" s="27"/>
      <c r="N43" s="206"/>
      <c r="O43" s="206"/>
      <c r="P43" s="206"/>
      <c r="Q43" s="206"/>
      <c r="R43" s="206"/>
      <c r="S43" s="195"/>
    </row>
    <row r="44" spans="1:19" s="24" customFormat="1" ht="12" x14ac:dyDescent="0.2">
      <c r="A44" s="21" t="s">
        <v>97</v>
      </c>
      <c r="B44" s="219"/>
      <c r="C44" s="219"/>
      <c r="D44" s="219"/>
      <c r="E44" s="219"/>
      <c r="F44" s="221"/>
      <c r="G44" s="220"/>
      <c r="H44" s="219"/>
      <c r="I44" s="27"/>
      <c r="J44" s="27"/>
      <c r="K44" s="27"/>
      <c r="L44" s="27"/>
      <c r="M44" s="27"/>
      <c r="N44" s="206"/>
      <c r="O44" s="206"/>
      <c r="P44" s="206"/>
      <c r="Q44" s="206"/>
      <c r="R44" s="206"/>
      <c r="S44" s="195"/>
    </row>
    <row r="45" spans="1:19" s="32" customFormat="1" ht="12" x14ac:dyDescent="0.2">
      <c r="A45" s="30" t="s">
        <v>98</v>
      </c>
      <c r="B45" s="64">
        <f>SUM(B40:B44)</f>
        <v>0</v>
      </c>
      <c r="C45" s="64">
        <f t="shared" ref="C45:M45" si="4">SUM(C40:C44)</f>
        <v>0</v>
      </c>
      <c r="D45" s="64">
        <f t="shared" si="4"/>
        <v>0</v>
      </c>
      <c r="E45" s="64">
        <f t="shared" si="4"/>
        <v>0</v>
      </c>
      <c r="F45" s="64">
        <f t="shared" si="4"/>
        <v>0</v>
      </c>
      <c r="G45" s="64">
        <f t="shared" si="4"/>
        <v>0</v>
      </c>
      <c r="H45" s="64">
        <f t="shared" si="4"/>
        <v>0</v>
      </c>
      <c r="I45" s="64">
        <f t="shared" si="4"/>
        <v>0</v>
      </c>
      <c r="J45" s="64">
        <f t="shared" si="4"/>
        <v>0</v>
      </c>
      <c r="K45" s="64">
        <f t="shared" si="4"/>
        <v>0</v>
      </c>
      <c r="L45" s="64">
        <f t="shared" si="4"/>
        <v>0</v>
      </c>
      <c r="M45" s="64">
        <f t="shared" si="4"/>
        <v>0</v>
      </c>
      <c r="N45" s="206"/>
      <c r="O45" s="206"/>
      <c r="P45" s="206"/>
      <c r="Q45" s="206"/>
      <c r="R45" s="206"/>
      <c r="S45" s="195"/>
    </row>
    <row r="46" spans="1:19" s="24" customFormat="1" ht="12" x14ac:dyDescent="0.2">
      <c r="A46" s="51"/>
      <c r="B46" s="45"/>
      <c r="C46" s="45"/>
      <c r="D46" s="45"/>
      <c r="E46" s="45"/>
      <c r="F46" s="45"/>
      <c r="G46" s="45"/>
      <c r="H46" s="45"/>
      <c r="I46" s="46"/>
      <c r="J46" s="46"/>
      <c r="K46" s="46"/>
      <c r="L46" s="46"/>
      <c r="M46" s="46"/>
      <c r="N46" s="206"/>
      <c r="O46" s="204"/>
      <c r="P46" s="204"/>
      <c r="Q46" s="204"/>
      <c r="R46" s="204"/>
      <c r="S46" s="50"/>
    </row>
    <row r="47" spans="1:19" s="47" customFormat="1" x14ac:dyDescent="0.2">
      <c r="A47" s="18" t="s">
        <v>103</v>
      </c>
      <c r="B47" s="62" t="s">
        <v>82</v>
      </c>
      <c r="C47" s="62" t="s">
        <v>83</v>
      </c>
      <c r="D47" s="62" t="s">
        <v>84</v>
      </c>
      <c r="E47" s="62" t="s">
        <v>85</v>
      </c>
      <c r="F47" s="62" t="s">
        <v>86</v>
      </c>
      <c r="G47" s="62" t="s">
        <v>87</v>
      </c>
      <c r="H47" s="62" t="s">
        <v>88</v>
      </c>
      <c r="I47" s="62" t="s">
        <v>198</v>
      </c>
      <c r="J47" s="62" t="s">
        <v>89</v>
      </c>
      <c r="K47" s="62" t="s">
        <v>90</v>
      </c>
      <c r="L47" s="62" t="s">
        <v>91</v>
      </c>
      <c r="M47" s="62" t="s">
        <v>92</v>
      </c>
      <c r="N47" s="206"/>
      <c r="O47" s="208"/>
      <c r="P47" s="208"/>
      <c r="Q47" s="208"/>
      <c r="R47" s="208"/>
      <c r="S47" s="197"/>
    </row>
    <row r="48" spans="1:19" s="24" customFormat="1" ht="12" x14ac:dyDescent="0.2">
      <c r="A48" s="21" t="s">
        <v>93</v>
      </c>
      <c r="B48" s="219"/>
      <c r="C48" s="219"/>
      <c r="D48" s="219"/>
      <c r="E48" s="219"/>
      <c r="F48" s="219"/>
      <c r="G48" s="219"/>
      <c r="H48" s="219"/>
      <c r="I48" s="26"/>
      <c r="J48" s="26"/>
      <c r="K48" s="26"/>
      <c r="L48" s="27"/>
      <c r="M48" s="27"/>
      <c r="N48" s="206"/>
      <c r="O48" s="206"/>
      <c r="P48" s="206"/>
      <c r="Q48" s="206"/>
      <c r="R48" s="206"/>
      <c r="S48" s="195"/>
    </row>
    <row r="49" spans="1:19" s="24" customFormat="1" ht="12" x14ac:dyDescent="0.2">
      <c r="A49" s="21" t="s">
        <v>94</v>
      </c>
      <c r="B49" s="219"/>
      <c r="C49" s="219"/>
      <c r="D49" s="219"/>
      <c r="E49" s="219"/>
      <c r="F49" s="219"/>
      <c r="G49" s="219"/>
      <c r="H49" s="219"/>
      <c r="I49" s="26"/>
      <c r="J49" s="26"/>
      <c r="K49" s="26"/>
      <c r="L49" s="27"/>
      <c r="M49" s="27"/>
      <c r="N49" s="206"/>
      <c r="O49" s="206"/>
      <c r="P49" s="206"/>
      <c r="Q49" s="206"/>
      <c r="R49" s="206"/>
      <c r="S49" s="195"/>
    </row>
    <row r="50" spans="1:19" s="24" customFormat="1" ht="12" x14ac:dyDescent="0.2">
      <c r="A50" s="21" t="s">
        <v>95</v>
      </c>
      <c r="B50" s="219"/>
      <c r="C50" s="219"/>
      <c r="D50" s="219"/>
      <c r="E50" s="219"/>
      <c r="F50" s="219"/>
      <c r="G50" s="219"/>
      <c r="H50" s="219"/>
      <c r="I50" s="26"/>
      <c r="J50" s="26"/>
      <c r="K50" s="26"/>
      <c r="L50" s="27"/>
      <c r="M50" s="27"/>
      <c r="N50" s="206"/>
      <c r="O50" s="206"/>
      <c r="P50" s="206"/>
      <c r="Q50" s="206"/>
      <c r="R50" s="206"/>
      <c r="S50" s="195"/>
    </row>
    <row r="51" spans="1:19" s="24" customFormat="1" ht="12" x14ac:dyDescent="0.2">
      <c r="A51" s="21" t="s">
        <v>96</v>
      </c>
      <c r="B51" s="219"/>
      <c r="C51" s="219"/>
      <c r="D51" s="219"/>
      <c r="E51" s="219"/>
      <c r="F51" s="219"/>
      <c r="G51" s="219"/>
      <c r="H51" s="219"/>
      <c r="I51" s="26"/>
      <c r="J51" s="26"/>
      <c r="K51" s="26"/>
      <c r="L51" s="27"/>
      <c r="M51" s="27"/>
      <c r="N51" s="206"/>
      <c r="O51" s="206"/>
      <c r="P51" s="206"/>
      <c r="Q51" s="206"/>
      <c r="R51" s="206"/>
      <c r="S51" s="195"/>
    </row>
    <row r="52" spans="1:19" s="24" customFormat="1" ht="12" x14ac:dyDescent="0.2">
      <c r="A52" s="21" t="s">
        <v>97</v>
      </c>
      <c r="B52" s="26"/>
      <c r="C52" s="26"/>
      <c r="D52" s="26"/>
      <c r="E52" s="26"/>
      <c r="F52" s="155"/>
      <c r="G52" s="22"/>
      <c r="H52" s="26"/>
      <c r="I52" s="26"/>
      <c r="J52" s="91"/>
      <c r="K52" s="91"/>
      <c r="L52" s="91"/>
      <c r="M52" s="91"/>
      <c r="N52" s="206"/>
      <c r="O52" s="206"/>
      <c r="P52" s="206"/>
      <c r="Q52" s="206"/>
      <c r="R52" s="206"/>
      <c r="S52" s="195"/>
    </row>
    <row r="53" spans="1:19" s="32" customFormat="1" ht="12" x14ac:dyDescent="0.2">
      <c r="A53" s="30" t="s">
        <v>98</v>
      </c>
      <c r="B53" s="64">
        <f>SUM(B48:B52)</f>
        <v>0</v>
      </c>
      <c r="C53" s="64">
        <f t="shared" ref="C53:M53" si="5">SUM(C48:C52)</f>
        <v>0</v>
      </c>
      <c r="D53" s="64">
        <f t="shared" si="5"/>
        <v>0</v>
      </c>
      <c r="E53" s="64">
        <f t="shared" si="5"/>
        <v>0</v>
      </c>
      <c r="F53" s="64">
        <f t="shared" si="5"/>
        <v>0</v>
      </c>
      <c r="G53" s="64">
        <f t="shared" si="5"/>
        <v>0</v>
      </c>
      <c r="H53" s="64">
        <f t="shared" si="5"/>
        <v>0</v>
      </c>
      <c r="I53" s="64">
        <f t="shared" si="5"/>
        <v>0</v>
      </c>
      <c r="J53" s="64">
        <f t="shared" si="5"/>
        <v>0</v>
      </c>
      <c r="K53" s="64">
        <f t="shared" si="5"/>
        <v>0</v>
      </c>
      <c r="L53" s="64">
        <f t="shared" si="5"/>
        <v>0</v>
      </c>
      <c r="M53" s="64">
        <f t="shared" si="5"/>
        <v>0</v>
      </c>
      <c r="N53" s="206"/>
      <c r="O53" s="206"/>
      <c r="P53" s="206"/>
      <c r="Q53" s="206"/>
      <c r="R53" s="206"/>
      <c r="S53" s="195"/>
    </row>
    <row r="54" spans="1:19" s="24" customFormat="1" ht="12" x14ac:dyDescent="0.2">
      <c r="A54" s="35"/>
      <c r="B54" s="55"/>
      <c r="C54" s="55"/>
      <c r="D54" s="55"/>
      <c r="E54" s="55"/>
      <c r="F54" s="55"/>
      <c r="G54" s="55"/>
      <c r="H54" s="55"/>
      <c r="I54" s="56"/>
      <c r="J54" s="56"/>
      <c r="K54" s="56"/>
      <c r="L54" s="56"/>
      <c r="M54" s="56"/>
      <c r="N54" s="206"/>
      <c r="O54" s="206"/>
      <c r="P54" s="206"/>
      <c r="Q54" s="206"/>
      <c r="R54" s="206"/>
      <c r="S54" s="195"/>
    </row>
    <row r="55" spans="1:19" s="47" customFormat="1" x14ac:dyDescent="0.2">
      <c r="A55" s="18" t="s">
        <v>104</v>
      </c>
      <c r="B55" s="62" t="s">
        <v>82</v>
      </c>
      <c r="C55" s="62" t="s">
        <v>83</v>
      </c>
      <c r="D55" s="62" t="s">
        <v>84</v>
      </c>
      <c r="E55" s="62" t="s">
        <v>85</v>
      </c>
      <c r="F55" s="62" t="s">
        <v>86</v>
      </c>
      <c r="G55" s="62" t="s">
        <v>87</v>
      </c>
      <c r="H55" s="62" t="s">
        <v>88</v>
      </c>
      <c r="I55" s="62" t="s">
        <v>198</v>
      </c>
      <c r="J55" s="62" t="s">
        <v>89</v>
      </c>
      <c r="K55" s="62" t="s">
        <v>90</v>
      </c>
      <c r="L55" s="62" t="s">
        <v>91</v>
      </c>
      <c r="M55" s="62" t="s">
        <v>92</v>
      </c>
      <c r="N55" s="206"/>
      <c r="O55" s="208"/>
      <c r="P55" s="208"/>
      <c r="Q55" s="208"/>
      <c r="R55" s="208"/>
      <c r="S55" s="197"/>
    </row>
    <row r="56" spans="1:19" s="24" customFormat="1" ht="12" x14ac:dyDescent="0.2">
      <c r="A56" s="21" t="s">
        <v>93</v>
      </c>
      <c r="B56" s="219"/>
      <c r="C56" s="219"/>
      <c r="D56" s="219"/>
      <c r="E56" s="219"/>
      <c r="F56" s="219"/>
      <c r="G56" s="219"/>
      <c r="H56" s="219"/>
      <c r="I56" s="26"/>
      <c r="J56" s="26"/>
      <c r="K56" s="26"/>
      <c r="L56" s="27"/>
      <c r="M56" s="27"/>
      <c r="N56" s="206">
        <v>45435.691740000002</v>
      </c>
      <c r="O56" s="206"/>
      <c r="P56" s="206"/>
      <c r="Q56" s="206">
        <f>+N56-O56-P56</f>
        <v>45435.691740000002</v>
      </c>
      <c r="R56" s="206"/>
      <c r="S56" s="195"/>
    </row>
    <row r="57" spans="1:19" s="24" customFormat="1" ht="12" x14ac:dyDescent="0.2">
      <c r="A57" s="21" t="s">
        <v>94</v>
      </c>
      <c r="B57" s="219"/>
      <c r="C57" s="219"/>
      <c r="D57" s="219"/>
      <c r="E57" s="219"/>
      <c r="F57" s="219"/>
      <c r="G57" s="219"/>
      <c r="H57" s="219"/>
      <c r="I57" s="26"/>
      <c r="J57" s="26"/>
      <c r="K57" s="26"/>
      <c r="L57" s="27"/>
      <c r="M57" s="27"/>
      <c r="N57" s="206">
        <v>17194.83107</v>
      </c>
      <c r="O57" s="206"/>
      <c r="P57" s="206">
        <v>8.4443699999999993</v>
      </c>
      <c r="Q57" s="206">
        <f>+N57-O57-P57</f>
        <v>17186.386699999999</v>
      </c>
      <c r="R57" s="206"/>
      <c r="S57" s="195"/>
    </row>
    <row r="58" spans="1:19" s="24" customFormat="1" ht="12" x14ac:dyDescent="0.2">
      <c r="A58" s="21" t="s">
        <v>95</v>
      </c>
      <c r="B58" s="219"/>
      <c r="C58" s="219"/>
      <c r="D58" s="219"/>
      <c r="E58" s="219"/>
      <c r="F58" s="219"/>
      <c r="G58" s="219"/>
      <c r="H58" s="219"/>
      <c r="I58" s="26"/>
      <c r="J58" s="26"/>
      <c r="K58" s="26"/>
      <c r="L58" s="27"/>
      <c r="M58" s="27"/>
      <c r="N58" s="206">
        <v>3010.24638</v>
      </c>
      <c r="O58" s="206"/>
      <c r="P58" s="206"/>
      <c r="Q58" s="206">
        <f>+N58-O58-P58</f>
        <v>3010.24638</v>
      </c>
      <c r="R58" s="206"/>
      <c r="S58" s="195"/>
    </row>
    <row r="59" spans="1:19" s="24" customFormat="1" ht="12" x14ac:dyDescent="0.2">
      <c r="A59" s="21" t="s">
        <v>96</v>
      </c>
      <c r="B59" s="219"/>
      <c r="C59" s="219"/>
      <c r="D59" s="219"/>
      <c r="E59" s="219"/>
      <c r="F59" s="219"/>
      <c r="G59" s="219"/>
      <c r="H59" s="219"/>
      <c r="I59" s="26"/>
      <c r="J59" s="26"/>
      <c r="K59" s="26"/>
      <c r="L59" s="27"/>
      <c r="M59" s="27"/>
      <c r="N59" s="206">
        <v>80021.181809999995</v>
      </c>
      <c r="O59" s="206">
        <v>511.16050000000001</v>
      </c>
      <c r="P59" s="206">
        <v>1426.0966100000001</v>
      </c>
      <c r="Q59" s="206">
        <f>+N59-O59-P59</f>
        <v>78083.924700000003</v>
      </c>
      <c r="R59" s="206"/>
      <c r="S59" s="195"/>
    </row>
    <row r="60" spans="1:19" s="24" customFormat="1" ht="12" x14ac:dyDescent="0.2">
      <c r="A60" s="21" t="s">
        <v>97</v>
      </c>
      <c r="B60" s="219"/>
      <c r="C60" s="219"/>
      <c r="D60" s="219"/>
      <c r="E60" s="219"/>
      <c r="F60" s="221"/>
      <c r="G60" s="220"/>
      <c r="H60" s="219"/>
      <c r="I60" s="26"/>
      <c r="J60" s="91"/>
      <c r="K60" s="91"/>
      <c r="L60" s="91"/>
      <c r="M60" s="91"/>
      <c r="N60" s="206">
        <v>56977.995320000002</v>
      </c>
      <c r="O60" s="206"/>
      <c r="P60" s="206"/>
      <c r="Q60" s="206">
        <f>+N60-O60-P60</f>
        <v>56977.995320000002</v>
      </c>
      <c r="R60" s="206"/>
      <c r="S60" s="195"/>
    </row>
    <row r="61" spans="1:19" s="32" customFormat="1" ht="12" x14ac:dyDescent="0.2">
      <c r="A61" s="30" t="s">
        <v>98</v>
      </c>
      <c r="B61" s="64">
        <f>SUM(B56:B60)</f>
        <v>0</v>
      </c>
      <c r="C61" s="64">
        <f t="shared" ref="C61:M61" si="6">SUM(C56:C60)</f>
        <v>0</v>
      </c>
      <c r="D61" s="64">
        <f t="shared" si="6"/>
        <v>0</v>
      </c>
      <c r="E61" s="64">
        <f t="shared" si="6"/>
        <v>0</v>
      </c>
      <c r="F61" s="64">
        <f t="shared" si="6"/>
        <v>0</v>
      </c>
      <c r="G61" s="64">
        <f t="shared" si="6"/>
        <v>0</v>
      </c>
      <c r="H61" s="64">
        <f t="shared" si="6"/>
        <v>0</v>
      </c>
      <c r="I61" s="64">
        <f t="shared" si="6"/>
        <v>0</v>
      </c>
      <c r="J61" s="64">
        <f t="shared" si="6"/>
        <v>0</v>
      </c>
      <c r="K61" s="64">
        <f t="shared" si="6"/>
        <v>0</v>
      </c>
      <c r="L61" s="64">
        <f t="shared" si="6"/>
        <v>0</v>
      </c>
      <c r="M61" s="64">
        <f t="shared" si="6"/>
        <v>0</v>
      </c>
      <c r="N61" s="209">
        <f>SUM(N56:N60)</f>
        <v>202639.94631999999</v>
      </c>
      <c r="O61" s="209">
        <f>SUM(O56:O60)</f>
        <v>511.16050000000001</v>
      </c>
      <c r="P61" s="209">
        <f>SUM(P56:P60)</f>
        <v>1434.54098</v>
      </c>
      <c r="Q61" s="209">
        <f>SUM(Q56:Q60)</f>
        <v>200694.24484</v>
      </c>
      <c r="R61" s="209"/>
      <c r="S61" s="195"/>
    </row>
    <row r="62" spans="1:19" s="24" customFormat="1" ht="12" x14ac:dyDescent="0.2">
      <c r="A62" s="35"/>
      <c r="B62" s="57"/>
      <c r="C62" s="57"/>
      <c r="D62" s="57"/>
      <c r="E62" s="57"/>
      <c r="F62" s="57"/>
      <c r="G62" s="57"/>
      <c r="H62" s="57"/>
      <c r="I62" s="58"/>
      <c r="J62" s="58"/>
      <c r="K62" s="58"/>
      <c r="L62" s="58"/>
      <c r="M62" s="58"/>
      <c r="N62" s="206"/>
      <c r="O62" s="206"/>
      <c r="P62" s="206"/>
      <c r="Q62" s="206"/>
      <c r="R62" s="206"/>
      <c r="S62" s="195"/>
    </row>
    <row r="63" spans="1:19" s="10" customFormat="1" x14ac:dyDescent="0.2">
      <c r="A63" s="18" t="s">
        <v>105</v>
      </c>
      <c r="B63" s="62" t="s">
        <v>82</v>
      </c>
      <c r="C63" s="62" t="s">
        <v>83</v>
      </c>
      <c r="D63" s="62" t="s">
        <v>84</v>
      </c>
      <c r="E63" s="62" t="s">
        <v>85</v>
      </c>
      <c r="F63" s="62" t="s">
        <v>86</v>
      </c>
      <c r="G63" s="62" t="s">
        <v>87</v>
      </c>
      <c r="H63" s="62" t="s">
        <v>88</v>
      </c>
      <c r="I63" s="62" t="s">
        <v>198</v>
      </c>
      <c r="J63" s="62" t="s">
        <v>89</v>
      </c>
      <c r="K63" s="62" t="s">
        <v>90</v>
      </c>
      <c r="L63" s="62" t="s">
        <v>91</v>
      </c>
      <c r="M63" s="62" t="s">
        <v>92</v>
      </c>
      <c r="N63" s="208"/>
      <c r="O63" s="208"/>
      <c r="P63" s="208"/>
      <c r="Q63" s="208"/>
      <c r="R63" s="208"/>
      <c r="S63" s="197"/>
    </row>
    <row r="64" spans="1:19" s="24" customFormat="1" ht="12" x14ac:dyDescent="0.2">
      <c r="A64" s="21" t="s">
        <v>93</v>
      </c>
      <c r="B64" s="219"/>
      <c r="C64" s="219"/>
      <c r="D64" s="219"/>
      <c r="E64" s="219"/>
      <c r="F64" s="219"/>
      <c r="G64" s="219"/>
      <c r="H64" s="219"/>
      <c r="I64" s="26"/>
      <c r="J64" s="26"/>
      <c r="K64" s="26"/>
      <c r="L64" s="27"/>
      <c r="M64" s="26"/>
      <c r="N64" s="206"/>
      <c r="O64" s="206"/>
      <c r="P64" s="206"/>
      <c r="Q64" s="206"/>
      <c r="R64" s="206"/>
      <c r="S64" s="195"/>
    </row>
    <row r="65" spans="1:19" s="24" customFormat="1" ht="12" x14ac:dyDescent="0.2">
      <c r="A65" s="21" t="s">
        <v>94</v>
      </c>
      <c r="B65" s="219"/>
      <c r="C65" s="219"/>
      <c r="D65" s="219"/>
      <c r="E65" s="219"/>
      <c r="F65" s="219"/>
      <c r="G65" s="219"/>
      <c r="H65" s="219"/>
      <c r="I65" s="26"/>
      <c r="J65" s="26"/>
      <c r="K65" s="26"/>
      <c r="L65" s="27"/>
      <c r="M65" s="26"/>
      <c r="N65" s="206"/>
      <c r="O65" s="206"/>
      <c r="P65" s="206"/>
      <c r="Q65" s="206"/>
      <c r="R65" s="206"/>
      <c r="S65" s="195"/>
    </row>
    <row r="66" spans="1:19" s="24" customFormat="1" ht="12" x14ac:dyDescent="0.2">
      <c r="A66" s="21" t="s">
        <v>95</v>
      </c>
      <c r="B66" s="219"/>
      <c r="C66" s="219"/>
      <c r="D66" s="219"/>
      <c r="E66" s="219"/>
      <c r="F66" s="219"/>
      <c r="G66" s="219"/>
      <c r="H66" s="219"/>
      <c r="I66" s="26"/>
      <c r="J66" s="26"/>
      <c r="K66" s="26"/>
      <c r="L66" s="27"/>
      <c r="M66" s="26"/>
      <c r="N66" s="206"/>
      <c r="O66" s="206"/>
      <c r="P66" s="206"/>
      <c r="Q66" s="206"/>
      <c r="R66" s="206"/>
      <c r="S66" s="195"/>
    </row>
    <row r="67" spans="1:19" s="24" customFormat="1" ht="12" x14ac:dyDescent="0.2">
      <c r="A67" s="21" t="s">
        <v>96</v>
      </c>
      <c r="B67" s="219"/>
      <c r="C67" s="219"/>
      <c r="D67" s="219"/>
      <c r="E67" s="219"/>
      <c r="F67" s="219"/>
      <c r="G67" s="219"/>
      <c r="H67" s="219"/>
      <c r="I67" s="26"/>
      <c r="J67" s="26"/>
      <c r="K67" s="26"/>
      <c r="L67" s="27"/>
      <c r="M67" s="26"/>
      <c r="N67" s="206"/>
      <c r="O67" s="206"/>
      <c r="P67" s="206"/>
      <c r="Q67" s="206"/>
      <c r="R67" s="206"/>
      <c r="S67" s="195"/>
    </row>
    <row r="68" spans="1:19" s="24" customFormat="1" ht="12" x14ac:dyDescent="0.2">
      <c r="A68" s="21" t="s">
        <v>97</v>
      </c>
      <c r="B68" s="26"/>
      <c r="C68" s="26"/>
      <c r="D68" s="26"/>
      <c r="E68" s="26"/>
      <c r="F68" s="155"/>
      <c r="G68" s="22"/>
      <c r="H68" s="26"/>
      <c r="I68" s="26"/>
      <c r="J68" s="26"/>
      <c r="K68" s="26"/>
      <c r="L68" s="27"/>
      <c r="M68" s="26"/>
      <c r="N68" s="206"/>
      <c r="O68" s="206"/>
      <c r="P68" s="206"/>
      <c r="Q68" s="206"/>
      <c r="R68" s="206"/>
      <c r="S68" s="195"/>
    </row>
    <row r="69" spans="1:19" s="32" customFormat="1" ht="12" x14ac:dyDescent="0.2">
      <c r="A69" s="30" t="s">
        <v>98</v>
      </c>
      <c r="B69" s="64">
        <f>SUM(B64:B68)</f>
        <v>0</v>
      </c>
      <c r="C69" s="64">
        <f t="shared" ref="C69:M69" si="7">SUM(C64:C68)</f>
        <v>0</v>
      </c>
      <c r="D69" s="64">
        <f t="shared" si="7"/>
        <v>0</v>
      </c>
      <c r="E69" s="64">
        <f t="shared" si="7"/>
        <v>0</v>
      </c>
      <c r="F69" s="64">
        <f t="shared" si="7"/>
        <v>0</v>
      </c>
      <c r="G69" s="64">
        <f t="shared" si="7"/>
        <v>0</v>
      </c>
      <c r="H69" s="64">
        <f t="shared" si="7"/>
        <v>0</v>
      </c>
      <c r="I69" s="64">
        <f t="shared" si="7"/>
        <v>0</v>
      </c>
      <c r="J69" s="64">
        <f t="shared" si="7"/>
        <v>0</v>
      </c>
      <c r="K69" s="64">
        <f t="shared" si="7"/>
        <v>0</v>
      </c>
      <c r="L69" s="64">
        <f t="shared" si="7"/>
        <v>0</v>
      </c>
      <c r="M69" s="64">
        <f t="shared" si="7"/>
        <v>0</v>
      </c>
      <c r="N69" s="206"/>
      <c r="O69" s="206"/>
      <c r="P69" s="206"/>
      <c r="Q69" s="206"/>
      <c r="R69" s="206"/>
      <c r="S69" s="195"/>
    </row>
    <row r="70" spans="1:19" s="24" customFormat="1" ht="12" x14ac:dyDescent="0.2">
      <c r="A70" s="51"/>
      <c r="B70" s="45"/>
      <c r="C70" s="45"/>
      <c r="D70" s="45"/>
      <c r="E70" s="45"/>
      <c r="F70" s="45"/>
      <c r="G70" s="45"/>
      <c r="H70" s="45"/>
      <c r="I70" s="46"/>
      <c r="J70" s="46"/>
      <c r="K70" s="46"/>
      <c r="L70" s="46"/>
      <c r="M70" s="46"/>
      <c r="N70" s="204"/>
      <c r="O70" s="204"/>
      <c r="P70" s="204"/>
      <c r="Q70" s="204"/>
      <c r="R70" s="204"/>
      <c r="S70" s="50"/>
    </row>
    <row r="71" spans="1:19" s="10" customFormat="1" x14ac:dyDescent="0.2">
      <c r="A71" s="18" t="s">
        <v>106</v>
      </c>
      <c r="B71" s="62" t="s">
        <v>82</v>
      </c>
      <c r="C71" s="19" t="s">
        <v>83</v>
      </c>
      <c r="D71" s="19" t="s">
        <v>84</v>
      </c>
      <c r="E71" s="19" t="s">
        <v>85</v>
      </c>
      <c r="F71" s="19" t="s">
        <v>86</v>
      </c>
      <c r="G71" s="19" t="s">
        <v>87</v>
      </c>
      <c r="H71" s="19" t="s">
        <v>88</v>
      </c>
      <c r="I71" s="19" t="s">
        <v>198</v>
      </c>
      <c r="J71" s="19" t="s">
        <v>89</v>
      </c>
      <c r="K71" s="19" t="s">
        <v>90</v>
      </c>
      <c r="L71" s="19" t="s">
        <v>91</v>
      </c>
      <c r="M71" s="19" t="s">
        <v>92</v>
      </c>
      <c r="N71" s="208"/>
      <c r="O71" s="208"/>
      <c r="P71" s="208"/>
      <c r="Q71" s="208"/>
      <c r="R71" s="208"/>
      <c r="S71" s="197"/>
    </row>
    <row r="72" spans="1:19" s="24" customFormat="1" ht="12" x14ac:dyDescent="0.2">
      <c r="A72" s="21" t="s">
        <v>93</v>
      </c>
      <c r="B72" s="219"/>
      <c r="C72" s="222"/>
      <c r="D72" s="220"/>
      <c r="E72" s="220"/>
      <c r="F72" s="219"/>
      <c r="G72" s="219"/>
      <c r="H72" s="220"/>
      <c r="I72" s="23"/>
      <c r="J72" s="23"/>
      <c r="K72" s="23"/>
      <c r="L72" s="23"/>
      <c r="M72" s="23"/>
      <c r="N72" s="206"/>
      <c r="O72" s="206"/>
      <c r="P72" s="206"/>
      <c r="Q72" s="206"/>
      <c r="R72" s="206"/>
      <c r="S72" s="195"/>
    </row>
    <row r="73" spans="1:19" s="24" customFormat="1" ht="12" x14ac:dyDescent="0.2">
      <c r="A73" s="21" t="s">
        <v>94</v>
      </c>
      <c r="B73" s="219"/>
      <c r="C73" s="223"/>
      <c r="D73" s="224"/>
      <c r="E73" s="224"/>
      <c r="F73" s="219"/>
      <c r="G73" s="219"/>
      <c r="H73" s="224"/>
      <c r="I73" s="153"/>
      <c r="J73" s="153"/>
      <c r="K73" s="153"/>
      <c r="L73" s="154"/>
      <c r="M73" s="153"/>
      <c r="N73" s="206"/>
      <c r="O73" s="206"/>
      <c r="P73" s="206"/>
      <c r="Q73" s="206"/>
      <c r="R73" s="206"/>
      <c r="S73" s="195"/>
    </row>
    <row r="74" spans="1:19" s="24" customFormat="1" ht="12" x14ac:dyDescent="0.2">
      <c r="A74" s="21" t="s">
        <v>95</v>
      </c>
      <c r="B74" s="219"/>
      <c r="C74" s="219"/>
      <c r="D74" s="219"/>
      <c r="E74" s="219"/>
      <c r="F74" s="219"/>
      <c r="G74" s="219"/>
      <c r="H74" s="219"/>
      <c r="I74" s="27"/>
      <c r="J74" s="27"/>
      <c r="K74" s="27"/>
      <c r="L74" s="27"/>
      <c r="M74" s="27"/>
      <c r="N74" s="206"/>
      <c r="O74" s="206"/>
      <c r="P74" s="206"/>
      <c r="Q74" s="206"/>
      <c r="R74" s="206"/>
      <c r="S74" s="195"/>
    </row>
    <row r="75" spans="1:19" s="24" customFormat="1" ht="12" x14ac:dyDescent="0.2">
      <c r="A75" s="21" t="s">
        <v>96</v>
      </c>
      <c r="B75" s="219"/>
      <c r="C75" s="219"/>
      <c r="D75" s="219"/>
      <c r="E75" s="219"/>
      <c r="F75" s="219"/>
      <c r="G75" s="219"/>
      <c r="H75" s="219"/>
      <c r="I75" s="27"/>
      <c r="J75" s="27"/>
      <c r="K75" s="27"/>
      <c r="L75" s="27"/>
      <c r="M75" s="27"/>
      <c r="N75" s="206"/>
      <c r="O75" s="206"/>
      <c r="P75" s="206"/>
      <c r="Q75" s="206"/>
      <c r="R75" s="206"/>
      <c r="S75" s="195"/>
    </row>
    <row r="76" spans="1:19" s="24" customFormat="1" ht="12" x14ac:dyDescent="0.2">
      <c r="A76" s="21" t="s">
        <v>97</v>
      </c>
      <c r="B76" s="219"/>
      <c r="C76" s="219"/>
      <c r="D76" s="219"/>
      <c r="E76" s="219"/>
      <c r="F76" s="221"/>
      <c r="G76" s="220"/>
      <c r="H76" s="219"/>
      <c r="I76" s="26"/>
      <c r="J76" s="91"/>
      <c r="K76" s="91"/>
      <c r="L76" s="91"/>
      <c r="M76" s="91"/>
      <c r="N76" s="206"/>
      <c r="O76" s="206"/>
      <c r="P76" s="206"/>
      <c r="Q76" s="206"/>
      <c r="R76" s="206"/>
      <c r="S76" s="195"/>
    </row>
    <row r="77" spans="1:19" s="32" customFormat="1" ht="12" x14ac:dyDescent="0.2">
      <c r="A77" s="30" t="s">
        <v>98</v>
      </c>
      <c r="B77" s="64">
        <f>SUM(B72:B76)</f>
        <v>0</v>
      </c>
      <c r="C77" s="64">
        <f t="shared" ref="C77:M77" si="8">SUM(C72:C76)</f>
        <v>0</v>
      </c>
      <c r="D77" s="64">
        <f t="shared" si="8"/>
        <v>0</v>
      </c>
      <c r="E77" s="64">
        <f t="shared" si="8"/>
        <v>0</v>
      </c>
      <c r="F77" s="64">
        <f t="shared" si="8"/>
        <v>0</v>
      </c>
      <c r="G77" s="64">
        <f t="shared" si="8"/>
        <v>0</v>
      </c>
      <c r="H77" s="64">
        <f t="shared" si="8"/>
        <v>0</v>
      </c>
      <c r="I77" s="64">
        <f t="shared" si="8"/>
        <v>0</v>
      </c>
      <c r="J77" s="64">
        <f t="shared" si="8"/>
        <v>0</v>
      </c>
      <c r="K77" s="64">
        <f t="shared" si="8"/>
        <v>0</v>
      </c>
      <c r="L77" s="64">
        <f t="shared" si="8"/>
        <v>0</v>
      </c>
      <c r="M77" s="64">
        <f t="shared" si="8"/>
        <v>0</v>
      </c>
      <c r="N77" s="206"/>
      <c r="O77" s="206"/>
      <c r="P77" s="206"/>
      <c r="Q77" s="206"/>
      <c r="R77" s="206"/>
      <c r="S77" s="195"/>
    </row>
    <row r="78" spans="1:19" s="24" customFormat="1" ht="12" x14ac:dyDescent="0.2">
      <c r="A78" s="51"/>
      <c r="B78" s="45"/>
      <c r="C78" s="45"/>
      <c r="D78" s="45"/>
      <c r="E78" s="45"/>
      <c r="F78" s="45"/>
      <c r="G78" s="45"/>
      <c r="H78" s="45"/>
      <c r="I78" s="46"/>
      <c r="J78" s="46"/>
      <c r="K78" s="46"/>
      <c r="L78" s="46"/>
      <c r="M78" s="46"/>
      <c r="N78" s="204"/>
      <c r="O78" s="204"/>
      <c r="P78" s="204"/>
      <c r="Q78" s="204"/>
      <c r="R78" s="204"/>
      <c r="S78" s="50"/>
    </row>
    <row r="79" spans="1:19" s="47" customFormat="1" x14ac:dyDescent="0.2">
      <c r="A79" s="18" t="s">
        <v>107</v>
      </c>
      <c r="B79" s="62" t="s">
        <v>82</v>
      </c>
      <c r="C79" s="62" t="s">
        <v>83</v>
      </c>
      <c r="D79" s="62" t="s">
        <v>84</v>
      </c>
      <c r="E79" s="62" t="s">
        <v>85</v>
      </c>
      <c r="F79" s="62" t="s">
        <v>86</v>
      </c>
      <c r="G79" s="62" t="s">
        <v>87</v>
      </c>
      <c r="H79" s="62" t="s">
        <v>88</v>
      </c>
      <c r="I79" s="62" t="s">
        <v>198</v>
      </c>
      <c r="J79" s="62" t="s">
        <v>89</v>
      </c>
      <c r="K79" s="62" t="s">
        <v>90</v>
      </c>
      <c r="L79" s="62" t="s">
        <v>91</v>
      </c>
      <c r="M79" s="62" t="s">
        <v>92</v>
      </c>
      <c r="N79" s="208"/>
      <c r="O79" s="208"/>
      <c r="P79" s="208"/>
      <c r="Q79" s="208"/>
      <c r="R79" s="208"/>
      <c r="S79" s="197"/>
    </row>
    <row r="80" spans="1:19" s="24" customFormat="1" ht="12" x14ac:dyDescent="0.2">
      <c r="A80" s="21" t="s">
        <v>93</v>
      </c>
      <c r="B80" s="219"/>
      <c r="C80" s="219"/>
      <c r="D80" s="219"/>
      <c r="E80" s="219"/>
      <c r="F80" s="219"/>
      <c r="G80" s="219"/>
      <c r="H80" s="219"/>
      <c r="I80" s="27"/>
      <c r="J80" s="27"/>
      <c r="K80" s="27"/>
      <c r="L80" s="27"/>
      <c r="M80" s="27"/>
      <c r="N80" s="206">
        <v>5148.92479</v>
      </c>
      <c r="O80" s="206"/>
      <c r="P80" s="206"/>
      <c r="Q80" s="206">
        <f>+N80-O80-P80</f>
        <v>5148.92479</v>
      </c>
      <c r="R80" s="206"/>
      <c r="S80" s="195"/>
    </row>
    <row r="81" spans="1:19" s="24" customFormat="1" ht="12" x14ac:dyDescent="0.2">
      <c r="A81" s="21" t="s">
        <v>94</v>
      </c>
      <c r="B81" s="219"/>
      <c r="C81" s="219"/>
      <c r="D81" s="219"/>
      <c r="E81" s="219"/>
      <c r="F81" s="219"/>
      <c r="G81" s="219"/>
      <c r="H81" s="219"/>
      <c r="I81" s="27"/>
      <c r="J81" s="27"/>
      <c r="K81" s="27"/>
      <c r="L81" s="27"/>
      <c r="M81" s="27"/>
      <c r="N81" s="206">
        <v>3127.7905799999999</v>
      </c>
      <c r="O81" s="206">
        <v>1004.021</v>
      </c>
      <c r="P81" s="206"/>
      <c r="Q81" s="206">
        <f>+N81-O81-P81</f>
        <v>2123.7695800000001</v>
      </c>
      <c r="R81" s="206"/>
      <c r="S81" s="50"/>
    </row>
    <row r="82" spans="1:19" s="24" customFormat="1" ht="12" x14ac:dyDescent="0.2">
      <c r="A82" s="21" t="s">
        <v>95</v>
      </c>
      <c r="B82" s="219"/>
      <c r="C82" s="219"/>
      <c r="D82" s="219"/>
      <c r="E82" s="219"/>
      <c r="F82" s="219"/>
      <c r="G82" s="219"/>
      <c r="H82" s="219"/>
      <c r="I82" s="27"/>
      <c r="J82" s="27"/>
      <c r="K82" s="27"/>
      <c r="L82" s="27"/>
      <c r="M82" s="27"/>
      <c r="N82" s="206"/>
      <c r="O82" s="206"/>
      <c r="P82" s="206"/>
      <c r="Q82" s="206">
        <f>+N82-O82-P82</f>
        <v>0</v>
      </c>
      <c r="R82" s="206"/>
      <c r="S82" s="195"/>
    </row>
    <row r="83" spans="1:19" s="24" customFormat="1" ht="12" x14ac:dyDescent="0.2">
      <c r="A83" s="21" t="s">
        <v>96</v>
      </c>
      <c r="B83" s="219"/>
      <c r="C83" s="219"/>
      <c r="D83" s="219"/>
      <c r="E83" s="219">
        <v>5.5124599999999999</v>
      </c>
      <c r="F83" s="219">
        <v>5.5124599999999999</v>
      </c>
      <c r="G83" s="219">
        <v>10.12133</v>
      </c>
      <c r="H83" s="219">
        <v>16.660609999999998</v>
      </c>
      <c r="I83" s="27">
        <v>22.266829999999999</v>
      </c>
      <c r="J83" s="27">
        <v>24.749690000000001</v>
      </c>
      <c r="K83" s="27">
        <v>27.945860000000003</v>
      </c>
      <c r="L83" s="27">
        <v>27.945860000000003</v>
      </c>
      <c r="M83" s="27"/>
      <c r="N83" s="206">
        <v>4816.6973900000003</v>
      </c>
      <c r="O83" s="206">
        <v>1536.2625800000001</v>
      </c>
      <c r="P83" s="206"/>
      <c r="Q83" s="206">
        <f>+N83-O83-P83</f>
        <v>3280.4348100000002</v>
      </c>
      <c r="R83" s="206"/>
      <c r="S83" s="195"/>
    </row>
    <row r="84" spans="1:19" s="24" customFormat="1" ht="12" x14ac:dyDescent="0.2">
      <c r="A84" s="21" t="s">
        <v>97</v>
      </c>
      <c r="B84" s="219"/>
      <c r="C84" s="219"/>
      <c r="D84" s="219"/>
      <c r="E84" s="219"/>
      <c r="F84" s="221"/>
      <c r="G84" s="220"/>
      <c r="H84" s="219"/>
      <c r="I84" s="26"/>
      <c r="J84" s="26"/>
      <c r="K84" s="26"/>
      <c r="L84" s="26"/>
      <c r="M84" s="26"/>
      <c r="N84" s="206">
        <v>2774.58358</v>
      </c>
      <c r="O84" s="206"/>
      <c r="P84" s="206"/>
      <c r="Q84" s="206">
        <f>+N84-O84-P84</f>
        <v>2774.58358</v>
      </c>
      <c r="R84" s="206"/>
      <c r="S84" s="195"/>
    </row>
    <row r="85" spans="1:19" s="60" customFormat="1" ht="12" x14ac:dyDescent="0.2">
      <c r="A85" s="30" t="s">
        <v>98</v>
      </c>
      <c r="B85" s="64">
        <f>SUM(B80:B84)</f>
        <v>0</v>
      </c>
      <c r="C85" s="64">
        <f t="shared" ref="C85:M85" si="9">SUM(C80:C84)</f>
        <v>0</v>
      </c>
      <c r="D85" s="64">
        <f t="shared" si="9"/>
        <v>0</v>
      </c>
      <c r="E85" s="64">
        <f t="shared" si="9"/>
        <v>5.5124599999999999</v>
      </c>
      <c r="F85" s="64">
        <f t="shared" si="9"/>
        <v>5.5124599999999999</v>
      </c>
      <c r="G85" s="64">
        <f t="shared" si="9"/>
        <v>10.12133</v>
      </c>
      <c r="H85" s="64">
        <f t="shared" si="9"/>
        <v>16.660609999999998</v>
      </c>
      <c r="I85" s="64">
        <f t="shared" si="9"/>
        <v>22.266829999999999</v>
      </c>
      <c r="J85" s="64">
        <f t="shared" si="9"/>
        <v>24.749690000000001</v>
      </c>
      <c r="K85" s="64">
        <f t="shared" si="9"/>
        <v>27.945860000000003</v>
      </c>
      <c r="L85" s="64">
        <f t="shared" si="9"/>
        <v>27.945860000000003</v>
      </c>
      <c r="M85" s="64">
        <f t="shared" si="9"/>
        <v>0</v>
      </c>
      <c r="N85" s="209">
        <f>SUM(N80:N84)</f>
        <v>15867.99634</v>
      </c>
      <c r="O85" s="209">
        <f>SUM(O80:O84)</f>
        <v>2540.2835800000003</v>
      </c>
      <c r="P85" s="209">
        <f>SUM(P80:P84)</f>
        <v>0</v>
      </c>
      <c r="Q85" s="209">
        <f>SUM(Q80:Q84)</f>
        <v>13327.71276</v>
      </c>
      <c r="R85" s="209"/>
      <c r="S85" s="194"/>
    </row>
    <row r="86" spans="1:19" s="24" customFormat="1" ht="12" x14ac:dyDescent="0.2">
      <c r="A86" s="61"/>
      <c r="B86" s="45"/>
      <c r="C86" s="45"/>
      <c r="D86" s="45"/>
      <c r="E86" s="45"/>
      <c r="F86" s="45"/>
      <c r="G86" s="45"/>
      <c r="H86" s="45"/>
      <c r="I86" s="46"/>
      <c r="J86" s="46"/>
      <c r="K86" s="46"/>
      <c r="L86" s="46"/>
      <c r="M86" s="46"/>
      <c r="N86" s="206"/>
      <c r="O86" s="204"/>
      <c r="P86" s="204"/>
      <c r="Q86" s="204"/>
      <c r="R86" s="204"/>
      <c r="S86" s="50"/>
    </row>
    <row r="87" spans="1:19" s="10" customFormat="1" x14ac:dyDescent="0.2">
      <c r="A87" s="18" t="s">
        <v>108</v>
      </c>
      <c r="B87" s="62" t="s">
        <v>82</v>
      </c>
      <c r="C87" s="62" t="s">
        <v>83</v>
      </c>
      <c r="D87" s="62" t="s">
        <v>84</v>
      </c>
      <c r="E87" s="62" t="s">
        <v>85</v>
      </c>
      <c r="F87" s="62" t="s">
        <v>86</v>
      </c>
      <c r="G87" s="62" t="s">
        <v>87</v>
      </c>
      <c r="H87" s="62" t="s">
        <v>88</v>
      </c>
      <c r="I87" s="62" t="s">
        <v>198</v>
      </c>
      <c r="J87" s="62" t="s">
        <v>89</v>
      </c>
      <c r="K87" s="62" t="s">
        <v>90</v>
      </c>
      <c r="L87" s="62" t="s">
        <v>91</v>
      </c>
      <c r="M87" s="62" t="s">
        <v>92</v>
      </c>
      <c r="N87" s="206"/>
      <c r="O87" s="208"/>
      <c r="P87" s="208"/>
      <c r="Q87" s="208"/>
      <c r="R87" s="208"/>
      <c r="S87" s="197"/>
    </row>
    <row r="88" spans="1:19" s="24" customFormat="1" ht="12" x14ac:dyDescent="0.2">
      <c r="A88" s="21" t="s">
        <v>93</v>
      </c>
      <c r="B88" s="219"/>
      <c r="C88" s="219"/>
      <c r="D88" s="219"/>
      <c r="E88" s="219"/>
      <c r="F88" s="219"/>
      <c r="G88" s="219"/>
      <c r="H88" s="219"/>
      <c r="I88" s="27"/>
      <c r="J88" s="27"/>
      <c r="K88" s="27"/>
      <c r="L88" s="27"/>
      <c r="M88" s="27"/>
      <c r="N88" s="206"/>
      <c r="O88" s="206"/>
      <c r="P88" s="206"/>
      <c r="Q88" s="206"/>
      <c r="R88" s="206"/>
      <c r="S88" s="195"/>
    </row>
    <row r="89" spans="1:19" s="24" customFormat="1" ht="12" x14ac:dyDescent="0.2">
      <c r="A89" s="21" t="s">
        <v>94</v>
      </c>
      <c r="B89" s="219"/>
      <c r="C89" s="219"/>
      <c r="D89" s="219"/>
      <c r="E89" s="219"/>
      <c r="F89" s="219"/>
      <c r="G89" s="219"/>
      <c r="H89" s="219"/>
      <c r="I89" s="27"/>
      <c r="J89" s="27"/>
      <c r="K89" s="27"/>
      <c r="L89" s="27"/>
      <c r="M89" s="27"/>
      <c r="N89" s="206"/>
      <c r="O89" s="206"/>
      <c r="P89" s="206"/>
      <c r="Q89" s="206"/>
      <c r="R89" s="206"/>
      <c r="S89" s="195"/>
    </row>
    <row r="90" spans="1:19" s="24" customFormat="1" ht="12" x14ac:dyDescent="0.2">
      <c r="A90" s="21" t="s">
        <v>95</v>
      </c>
      <c r="B90" s="219"/>
      <c r="C90" s="219"/>
      <c r="D90" s="219"/>
      <c r="E90" s="219"/>
      <c r="F90" s="219"/>
      <c r="G90" s="219"/>
      <c r="H90" s="219"/>
      <c r="I90" s="27"/>
      <c r="J90" s="27"/>
      <c r="K90" s="27"/>
      <c r="L90" s="27"/>
      <c r="M90" s="27"/>
      <c r="N90" s="206"/>
      <c r="O90" s="206"/>
      <c r="P90" s="206"/>
      <c r="Q90" s="206"/>
      <c r="R90" s="206"/>
      <c r="S90" s="195"/>
    </row>
    <row r="91" spans="1:19" s="24" customFormat="1" ht="12" x14ac:dyDescent="0.2">
      <c r="A91" s="21" t="s">
        <v>96</v>
      </c>
      <c r="B91" s="219"/>
      <c r="C91" s="219"/>
      <c r="D91" s="219"/>
      <c r="E91" s="219"/>
      <c r="F91" s="219"/>
      <c r="G91" s="219"/>
      <c r="H91" s="219"/>
      <c r="I91" s="27"/>
      <c r="J91" s="27"/>
      <c r="K91" s="27"/>
      <c r="L91" s="27"/>
      <c r="M91" s="27"/>
      <c r="N91" s="206"/>
      <c r="O91" s="206"/>
      <c r="P91" s="206"/>
      <c r="Q91" s="206"/>
      <c r="R91" s="206"/>
      <c r="S91" s="195"/>
    </row>
    <row r="92" spans="1:19" s="24" customFormat="1" ht="12" x14ac:dyDescent="0.2">
      <c r="A92" s="21" t="s">
        <v>97</v>
      </c>
      <c r="B92" s="26"/>
      <c r="C92" s="26"/>
      <c r="D92" s="26"/>
      <c r="E92" s="26"/>
      <c r="F92" s="155"/>
      <c r="G92" s="22"/>
      <c r="H92" s="26"/>
      <c r="I92" s="26"/>
      <c r="J92" s="91"/>
      <c r="K92" s="91"/>
      <c r="L92" s="91"/>
      <c r="M92" s="91"/>
      <c r="N92" s="210"/>
      <c r="O92" s="206"/>
      <c r="P92" s="206"/>
      <c r="Q92" s="206"/>
      <c r="R92" s="206"/>
      <c r="S92" s="195"/>
    </row>
    <row r="93" spans="1:19" s="32" customFormat="1" ht="12" x14ac:dyDescent="0.2">
      <c r="A93" s="30" t="s">
        <v>98</v>
      </c>
      <c r="B93" s="64">
        <f>SUM(B88:B92)</f>
        <v>0</v>
      </c>
      <c r="C93" s="64">
        <f t="shared" ref="C93:M93" si="10">SUM(C88:C92)</f>
        <v>0</v>
      </c>
      <c r="D93" s="64">
        <f t="shared" si="10"/>
        <v>0</v>
      </c>
      <c r="E93" s="64">
        <f t="shared" si="10"/>
        <v>0</v>
      </c>
      <c r="F93" s="64">
        <f t="shared" si="10"/>
        <v>0</v>
      </c>
      <c r="G93" s="64">
        <f t="shared" si="10"/>
        <v>0</v>
      </c>
      <c r="H93" s="64">
        <f t="shared" si="10"/>
        <v>0</v>
      </c>
      <c r="I93" s="64">
        <f t="shared" si="10"/>
        <v>0</v>
      </c>
      <c r="J93" s="64">
        <f t="shared" si="10"/>
        <v>0</v>
      </c>
      <c r="K93" s="64">
        <f t="shared" si="10"/>
        <v>0</v>
      </c>
      <c r="L93" s="64">
        <f t="shared" si="10"/>
        <v>0</v>
      </c>
      <c r="M93" s="64">
        <f t="shared" si="10"/>
        <v>0</v>
      </c>
      <c r="N93" s="206"/>
      <c r="O93" s="206"/>
      <c r="P93" s="206"/>
      <c r="Q93" s="206"/>
      <c r="R93" s="206"/>
      <c r="S93" s="195"/>
    </row>
    <row r="94" spans="1:19" s="24" customFormat="1" ht="12" x14ac:dyDescent="0.2">
      <c r="A94" s="35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210"/>
      <c r="O94" s="206"/>
      <c r="P94" s="204"/>
      <c r="Q94" s="204"/>
      <c r="R94" s="204"/>
      <c r="S94" s="50"/>
    </row>
    <row r="95" spans="1:19" s="47" customFormat="1" x14ac:dyDescent="0.2">
      <c r="A95" s="18" t="s">
        <v>109</v>
      </c>
      <c r="B95" s="62" t="s">
        <v>82</v>
      </c>
      <c r="C95" s="62" t="s">
        <v>83</v>
      </c>
      <c r="D95" s="62" t="s">
        <v>84</v>
      </c>
      <c r="E95" s="62" t="s">
        <v>85</v>
      </c>
      <c r="F95" s="62" t="s">
        <v>86</v>
      </c>
      <c r="G95" s="62" t="s">
        <v>87</v>
      </c>
      <c r="H95" s="62" t="s">
        <v>88</v>
      </c>
      <c r="I95" s="62" t="s">
        <v>198</v>
      </c>
      <c r="J95" s="62" t="s">
        <v>89</v>
      </c>
      <c r="K95" s="62" t="s">
        <v>90</v>
      </c>
      <c r="L95" s="62" t="s">
        <v>91</v>
      </c>
      <c r="M95" s="62" t="s">
        <v>92</v>
      </c>
      <c r="N95" s="206"/>
      <c r="O95" s="206"/>
      <c r="P95" s="208"/>
      <c r="Q95" s="208"/>
      <c r="R95" s="208"/>
      <c r="S95" s="197"/>
    </row>
    <row r="96" spans="1:19" s="24" customFormat="1" ht="12" x14ac:dyDescent="0.2">
      <c r="A96" s="63" t="s">
        <v>93</v>
      </c>
      <c r="B96" s="219"/>
      <c r="C96" s="219"/>
      <c r="D96" s="219"/>
      <c r="E96" s="219"/>
      <c r="F96" s="219"/>
      <c r="G96" s="219"/>
      <c r="H96" s="219"/>
      <c r="I96" s="48"/>
      <c r="J96" s="48"/>
      <c r="K96" s="48"/>
      <c r="L96" s="27"/>
      <c r="M96" s="48"/>
      <c r="N96" s="210">
        <v>28033.84635</v>
      </c>
      <c r="O96" s="206">
        <v>414.80770999999999</v>
      </c>
      <c r="P96" s="206"/>
      <c r="Q96" s="206">
        <f>+N96-O96-P96</f>
        <v>27619.038639999999</v>
      </c>
      <c r="R96" s="206"/>
      <c r="S96" s="195"/>
    </row>
    <row r="97" spans="1:19" s="24" customFormat="1" ht="12" x14ac:dyDescent="0.2">
      <c r="A97" s="63" t="s">
        <v>94</v>
      </c>
      <c r="B97" s="219"/>
      <c r="C97" s="219"/>
      <c r="D97" s="219"/>
      <c r="E97" s="219"/>
      <c r="F97" s="219"/>
      <c r="G97" s="219"/>
      <c r="H97" s="219"/>
      <c r="I97" s="48"/>
      <c r="J97" s="48"/>
      <c r="K97" s="48"/>
      <c r="L97" s="27"/>
      <c r="M97" s="48"/>
      <c r="N97" s="206">
        <v>9948.6882600000008</v>
      </c>
      <c r="O97" s="206">
        <v>67.134429999999995</v>
      </c>
      <c r="P97" s="206">
        <v>304</v>
      </c>
      <c r="Q97" s="206">
        <f>+N97-O97-P97</f>
        <v>9577.5538300000007</v>
      </c>
      <c r="R97" s="206"/>
      <c r="S97" s="195"/>
    </row>
    <row r="98" spans="1:19" s="24" customFormat="1" ht="12" x14ac:dyDescent="0.2">
      <c r="A98" s="63" t="s">
        <v>95</v>
      </c>
      <c r="B98" s="219"/>
      <c r="C98" s="36"/>
      <c r="D98" s="219"/>
      <c r="E98" s="36"/>
      <c r="F98" s="219"/>
      <c r="G98" s="36"/>
      <c r="H98" s="219"/>
      <c r="I98" s="48"/>
      <c r="J98" s="48"/>
      <c r="K98" s="48"/>
      <c r="L98" s="27"/>
      <c r="M98" s="48"/>
      <c r="N98" s="210">
        <v>373.29248999999999</v>
      </c>
      <c r="O98" s="206"/>
      <c r="P98" s="206">
        <v>209.05770999999999</v>
      </c>
      <c r="Q98" s="206">
        <f>+N98-O98-P98</f>
        <v>164.23478</v>
      </c>
      <c r="R98" s="206"/>
      <c r="S98" s="195"/>
    </row>
    <row r="99" spans="1:19" s="24" customFormat="1" ht="12" x14ac:dyDescent="0.2">
      <c r="A99" s="63" t="s">
        <v>96</v>
      </c>
      <c r="B99" s="219"/>
      <c r="C99" s="219">
        <v>1.2804800000000001</v>
      </c>
      <c r="D99" s="219">
        <v>1.2804800000000001</v>
      </c>
      <c r="E99" s="219">
        <v>1.2804800000000001</v>
      </c>
      <c r="F99" s="219">
        <v>2.5379399999999999</v>
      </c>
      <c r="G99" s="219">
        <v>2.5379399999999999</v>
      </c>
      <c r="H99" s="219">
        <v>3.41194</v>
      </c>
      <c r="I99" s="48">
        <v>6.5340400000000001</v>
      </c>
      <c r="J99" s="48">
        <v>8.9000400000000006</v>
      </c>
      <c r="K99" s="48">
        <v>8.9000400000000006</v>
      </c>
      <c r="L99" s="27">
        <v>8.9000400000000006</v>
      </c>
      <c r="M99" s="48"/>
      <c r="N99" s="206">
        <v>29421.42035</v>
      </c>
      <c r="O99" s="206">
        <v>3244.8425900000002</v>
      </c>
      <c r="P99" s="206">
        <v>18259.332829999999</v>
      </c>
      <c r="Q99" s="206">
        <f>+N99-O99-P99</f>
        <v>7917.2449300000007</v>
      </c>
      <c r="R99" s="206"/>
      <c r="S99" s="195"/>
    </row>
    <row r="100" spans="1:19" s="24" customFormat="1" ht="12" x14ac:dyDescent="0.2">
      <c r="A100" s="63" t="s">
        <v>97</v>
      </c>
      <c r="B100" s="219"/>
      <c r="C100" s="219"/>
      <c r="D100" s="219"/>
      <c r="E100" s="219"/>
      <c r="F100" s="221"/>
      <c r="G100" s="220"/>
      <c r="H100" s="219"/>
      <c r="I100" s="48"/>
      <c r="J100" s="48"/>
      <c r="K100" s="48"/>
      <c r="L100" s="27"/>
      <c r="M100" s="48"/>
      <c r="N100" s="210">
        <v>22499.17527</v>
      </c>
      <c r="O100" s="206"/>
      <c r="P100" s="206"/>
      <c r="Q100" s="206">
        <f>+N100-O100-P100</f>
        <v>22499.17527</v>
      </c>
      <c r="R100" s="206"/>
      <c r="S100" s="195"/>
    </row>
    <row r="101" spans="1:19" s="32" customFormat="1" ht="12" x14ac:dyDescent="0.2">
      <c r="A101" s="30" t="s">
        <v>98</v>
      </c>
      <c r="B101" s="64">
        <f>SUM(B96:B100)</f>
        <v>0</v>
      </c>
      <c r="C101" s="64">
        <f t="shared" ref="C101:M101" si="11">SUM(C96:C100)</f>
        <v>1.2804800000000001</v>
      </c>
      <c r="D101" s="64">
        <f t="shared" si="11"/>
        <v>1.2804800000000001</v>
      </c>
      <c r="E101" s="64">
        <f t="shared" si="11"/>
        <v>1.2804800000000001</v>
      </c>
      <c r="F101" s="64">
        <f t="shared" si="11"/>
        <v>2.5379399999999999</v>
      </c>
      <c r="G101" s="64">
        <f t="shared" si="11"/>
        <v>2.5379399999999999</v>
      </c>
      <c r="H101" s="64">
        <f t="shared" si="11"/>
        <v>3.41194</v>
      </c>
      <c r="I101" s="64">
        <f t="shared" si="11"/>
        <v>6.5340400000000001</v>
      </c>
      <c r="J101" s="64">
        <f t="shared" si="11"/>
        <v>8.9000400000000006</v>
      </c>
      <c r="K101" s="64">
        <f t="shared" si="11"/>
        <v>8.9000400000000006</v>
      </c>
      <c r="L101" s="64">
        <f t="shared" si="11"/>
        <v>8.9000400000000006</v>
      </c>
      <c r="M101" s="64">
        <f t="shared" si="11"/>
        <v>0</v>
      </c>
      <c r="N101" s="209">
        <f>SUM(N96:N100)</f>
        <v>90276.422720000002</v>
      </c>
      <c r="O101" s="209">
        <f>SUM(O96:O100)</f>
        <v>3726.7847300000003</v>
      </c>
      <c r="P101" s="209">
        <f>SUM(P96:P100)</f>
        <v>18772.39054</v>
      </c>
      <c r="Q101" s="209">
        <f>SUM(Q96:Q100)</f>
        <v>67777.247449999995</v>
      </c>
      <c r="R101" s="209"/>
      <c r="S101" s="195"/>
    </row>
    <row r="102" spans="1:19" s="24" customFormat="1" ht="12" x14ac:dyDescent="0.2">
      <c r="A102" s="65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210"/>
      <c r="O102" s="206"/>
      <c r="P102" s="206"/>
      <c r="Q102" s="206"/>
      <c r="R102" s="206"/>
      <c r="S102" s="195"/>
    </row>
    <row r="103" spans="1:19" s="47" customFormat="1" x14ac:dyDescent="0.2">
      <c r="A103" s="18" t="s">
        <v>110</v>
      </c>
      <c r="B103" s="62" t="s">
        <v>82</v>
      </c>
      <c r="C103" s="62" t="s">
        <v>83</v>
      </c>
      <c r="D103" s="62" t="s">
        <v>84</v>
      </c>
      <c r="E103" s="62" t="s">
        <v>85</v>
      </c>
      <c r="F103" s="62" t="s">
        <v>86</v>
      </c>
      <c r="G103" s="62" t="s">
        <v>87</v>
      </c>
      <c r="H103" s="62" t="s">
        <v>88</v>
      </c>
      <c r="I103" s="62" t="s">
        <v>198</v>
      </c>
      <c r="J103" s="62" t="s">
        <v>89</v>
      </c>
      <c r="K103" s="62" t="s">
        <v>90</v>
      </c>
      <c r="L103" s="62" t="s">
        <v>91</v>
      </c>
      <c r="M103" s="62" t="s">
        <v>92</v>
      </c>
      <c r="N103" s="206"/>
      <c r="O103" s="206"/>
      <c r="P103" s="208"/>
      <c r="Q103" s="208"/>
      <c r="R103" s="208"/>
      <c r="S103" s="197"/>
    </row>
    <row r="104" spans="1:19" s="24" customFormat="1" ht="12" x14ac:dyDescent="0.2">
      <c r="A104" s="63" t="s">
        <v>93</v>
      </c>
      <c r="B104" s="219"/>
      <c r="C104" s="219"/>
      <c r="D104" s="219"/>
      <c r="E104" s="219"/>
      <c r="F104" s="219"/>
      <c r="G104" s="219"/>
      <c r="H104" s="219"/>
      <c r="I104" s="48"/>
      <c r="J104" s="48"/>
      <c r="K104" s="48"/>
      <c r="L104" s="27"/>
      <c r="M104" s="48"/>
      <c r="N104" s="210"/>
      <c r="O104" s="206"/>
      <c r="P104" s="206"/>
      <c r="Q104" s="206"/>
      <c r="R104" s="206"/>
      <c r="S104" s="195"/>
    </row>
    <row r="105" spans="1:19" s="24" customFormat="1" ht="12" x14ac:dyDescent="0.2">
      <c r="A105" s="63" t="s">
        <v>94</v>
      </c>
      <c r="B105" s="219"/>
      <c r="C105" s="219"/>
      <c r="D105" s="219"/>
      <c r="E105" s="219"/>
      <c r="F105" s="219"/>
      <c r="G105" s="219"/>
      <c r="H105" s="219"/>
      <c r="I105" s="48"/>
      <c r="J105" s="48"/>
      <c r="K105" s="48"/>
      <c r="L105" s="27"/>
      <c r="M105" s="48"/>
      <c r="N105" s="206"/>
      <c r="O105" s="206"/>
      <c r="P105" s="206"/>
      <c r="Q105" s="206"/>
      <c r="R105" s="206"/>
      <c r="S105" s="195"/>
    </row>
    <row r="106" spans="1:19" s="24" customFormat="1" ht="12" x14ac:dyDescent="0.2">
      <c r="A106" s="63" t="s">
        <v>95</v>
      </c>
      <c r="B106" s="219"/>
      <c r="C106" s="219"/>
      <c r="D106" s="219"/>
      <c r="E106" s="219"/>
      <c r="F106" s="219"/>
      <c r="G106" s="219"/>
      <c r="H106" s="219"/>
      <c r="I106" s="48"/>
      <c r="J106" s="48"/>
      <c r="K106" s="48"/>
      <c r="L106" s="27"/>
      <c r="M106" s="48"/>
      <c r="N106" s="210"/>
      <c r="O106" s="206"/>
      <c r="P106" s="206"/>
      <c r="Q106" s="206"/>
      <c r="R106" s="206"/>
      <c r="S106" s="195"/>
    </row>
    <row r="107" spans="1:19" s="24" customFormat="1" ht="12" x14ac:dyDescent="0.2">
      <c r="A107" s="63" t="s">
        <v>96</v>
      </c>
      <c r="B107" s="219"/>
      <c r="C107" s="219"/>
      <c r="D107" s="219"/>
      <c r="E107" s="219"/>
      <c r="F107" s="219"/>
      <c r="G107" s="219"/>
      <c r="H107" s="219"/>
      <c r="I107" s="48"/>
      <c r="J107" s="48"/>
      <c r="K107" s="48"/>
      <c r="L107" s="27"/>
      <c r="M107" s="48"/>
      <c r="N107" s="206"/>
      <c r="O107" s="206"/>
      <c r="P107" s="206"/>
      <c r="Q107" s="206"/>
      <c r="R107" s="206"/>
      <c r="S107" s="195"/>
    </row>
    <row r="108" spans="1:19" s="24" customFormat="1" ht="12" x14ac:dyDescent="0.2">
      <c r="A108" s="63" t="s">
        <v>97</v>
      </c>
      <c r="B108" s="219"/>
      <c r="C108" s="219"/>
      <c r="D108" s="219"/>
      <c r="E108" s="219"/>
      <c r="F108" s="221"/>
      <c r="G108" s="220"/>
      <c r="H108" s="219"/>
      <c r="I108" s="26"/>
      <c r="J108" s="91"/>
      <c r="K108" s="91"/>
      <c r="L108" s="91"/>
      <c r="M108" s="91"/>
      <c r="N108" s="210"/>
      <c r="O108" s="206"/>
      <c r="P108" s="206"/>
      <c r="Q108" s="206"/>
      <c r="R108" s="206"/>
      <c r="S108" s="195"/>
    </row>
    <row r="109" spans="1:19" s="32" customFormat="1" ht="12" x14ac:dyDescent="0.2">
      <c r="A109" s="30" t="s">
        <v>98</v>
      </c>
      <c r="B109" s="64">
        <f>SUM(B104:B108)</f>
        <v>0</v>
      </c>
      <c r="C109" s="64">
        <f t="shared" ref="C109:M109" si="12">SUM(C104:C108)</f>
        <v>0</v>
      </c>
      <c r="D109" s="64">
        <f t="shared" si="12"/>
        <v>0</v>
      </c>
      <c r="E109" s="64">
        <f t="shared" si="12"/>
        <v>0</v>
      </c>
      <c r="F109" s="64">
        <f t="shared" si="12"/>
        <v>0</v>
      </c>
      <c r="G109" s="64">
        <f t="shared" si="12"/>
        <v>0</v>
      </c>
      <c r="H109" s="64">
        <f t="shared" si="12"/>
        <v>0</v>
      </c>
      <c r="I109" s="64">
        <f t="shared" si="12"/>
        <v>0</v>
      </c>
      <c r="J109" s="64">
        <f t="shared" si="12"/>
        <v>0</v>
      </c>
      <c r="K109" s="64">
        <f t="shared" si="12"/>
        <v>0</v>
      </c>
      <c r="L109" s="64">
        <f t="shared" si="12"/>
        <v>0</v>
      </c>
      <c r="M109" s="64">
        <f t="shared" si="12"/>
        <v>0</v>
      </c>
      <c r="N109" s="206"/>
      <c r="O109" s="206"/>
      <c r="P109" s="206"/>
      <c r="Q109" s="206"/>
      <c r="R109" s="206"/>
      <c r="S109" s="195"/>
    </row>
    <row r="110" spans="1:19" s="24" customFormat="1" ht="12" x14ac:dyDescent="0.2">
      <c r="A110" s="67"/>
      <c r="B110" s="45"/>
      <c r="C110" s="45"/>
      <c r="D110" s="45"/>
      <c r="E110" s="45"/>
      <c r="F110" s="45"/>
      <c r="G110" s="45"/>
      <c r="H110" s="45"/>
      <c r="I110" s="45"/>
      <c r="J110" s="94"/>
      <c r="K110" s="94"/>
      <c r="L110" s="94"/>
      <c r="M110" s="46"/>
      <c r="N110" s="210"/>
      <c r="O110" s="206"/>
      <c r="P110" s="204"/>
      <c r="Q110" s="204"/>
      <c r="R110" s="204"/>
      <c r="S110" s="50"/>
    </row>
    <row r="111" spans="1:19" s="47" customFormat="1" x14ac:dyDescent="0.2">
      <c r="A111" s="18" t="s">
        <v>111</v>
      </c>
      <c r="B111" s="62" t="s">
        <v>82</v>
      </c>
      <c r="C111" s="62" t="s">
        <v>83</v>
      </c>
      <c r="D111" s="62" t="s">
        <v>84</v>
      </c>
      <c r="E111" s="62" t="s">
        <v>85</v>
      </c>
      <c r="F111" s="62" t="s">
        <v>86</v>
      </c>
      <c r="G111" s="62" t="s">
        <v>87</v>
      </c>
      <c r="H111" s="62" t="s">
        <v>88</v>
      </c>
      <c r="I111" s="62" t="s">
        <v>198</v>
      </c>
      <c r="J111" s="62" t="s">
        <v>89</v>
      </c>
      <c r="K111" s="62" t="s">
        <v>90</v>
      </c>
      <c r="L111" s="62" t="s">
        <v>91</v>
      </c>
      <c r="M111" s="62" t="s">
        <v>92</v>
      </c>
      <c r="N111" s="206"/>
      <c r="O111" s="206"/>
      <c r="P111" s="208"/>
      <c r="Q111" s="208"/>
      <c r="R111" s="208"/>
      <c r="S111" s="197"/>
    </row>
    <row r="112" spans="1:19" s="24" customFormat="1" ht="12" x14ac:dyDescent="0.2">
      <c r="A112" s="21" t="s">
        <v>93</v>
      </c>
      <c r="B112" s="219"/>
      <c r="C112" s="219"/>
      <c r="D112" s="219"/>
      <c r="E112" s="219"/>
      <c r="F112" s="219"/>
      <c r="G112" s="219"/>
      <c r="H112" s="219"/>
      <c r="I112" s="27"/>
      <c r="J112" s="27"/>
      <c r="K112" s="27"/>
      <c r="L112" s="27"/>
      <c r="M112" s="27"/>
      <c r="N112" s="210"/>
      <c r="O112" s="206"/>
      <c r="P112" s="206"/>
      <c r="Q112" s="206"/>
      <c r="R112" s="206"/>
      <c r="S112" s="195"/>
    </row>
    <row r="113" spans="1:19" s="24" customFormat="1" ht="12" x14ac:dyDescent="0.2">
      <c r="A113" s="21" t="s">
        <v>94</v>
      </c>
      <c r="B113" s="219"/>
      <c r="C113" s="219"/>
      <c r="D113" s="219"/>
      <c r="E113" s="219"/>
      <c r="F113" s="219"/>
      <c r="G113" s="219"/>
      <c r="H113" s="219"/>
      <c r="I113" s="27"/>
      <c r="J113" s="27"/>
      <c r="K113" s="27"/>
      <c r="L113" s="27"/>
      <c r="M113" s="27"/>
      <c r="N113" s="206"/>
      <c r="O113" s="206"/>
      <c r="P113" s="206"/>
      <c r="Q113" s="206"/>
      <c r="R113" s="206"/>
      <c r="S113" s="195"/>
    </row>
    <row r="114" spans="1:19" s="24" customFormat="1" ht="12" x14ac:dyDescent="0.2">
      <c r="A114" s="21" t="s">
        <v>95</v>
      </c>
      <c r="B114" s="219"/>
      <c r="C114" s="219"/>
      <c r="D114" s="219"/>
      <c r="E114" s="219"/>
      <c r="F114" s="219"/>
      <c r="G114" s="219"/>
      <c r="H114" s="219"/>
      <c r="I114" s="27"/>
      <c r="J114" s="27"/>
      <c r="K114" s="27"/>
      <c r="L114" s="27"/>
      <c r="M114" s="27"/>
      <c r="N114" s="210"/>
      <c r="O114" s="206"/>
      <c r="P114" s="206"/>
      <c r="Q114" s="206"/>
      <c r="R114" s="206"/>
      <c r="S114" s="195"/>
    </row>
    <row r="115" spans="1:19" s="24" customFormat="1" ht="12" x14ac:dyDescent="0.2">
      <c r="A115" s="21" t="s">
        <v>96</v>
      </c>
      <c r="B115" s="219"/>
      <c r="C115" s="219"/>
      <c r="D115" s="219"/>
      <c r="E115" s="219"/>
      <c r="F115" s="219"/>
      <c r="G115" s="219"/>
      <c r="H115" s="219"/>
      <c r="I115" s="27"/>
      <c r="J115" s="27"/>
      <c r="K115" s="27"/>
      <c r="L115" s="27"/>
      <c r="M115" s="27"/>
      <c r="N115" s="206"/>
      <c r="O115" s="206"/>
      <c r="P115" s="206"/>
      <c r="Q115" s="206"/>
      <c r="R115" s="206"/>
      <c r="S115" s="195"/>
    </row>
    <row r="116" spans="1:19" s="24" customFormat="1" ht="12" x14ac:dyDescent="0.2">
      <c r="A116" s="21" t="s">
        <v>97</v>
      </c>
      <c r="B116" s="219"/>
      <c r="C116" s="219"/>
      <c r="D116" s="219"/>
      <c r="E116" s="219"/>
      <c r="F116" s="221"/>
      <c r="G116" s="220"/>
      <c r="H116" s="219"/>
      <c r="I116" s="26"/>
      <c r="J116" s="91"/>
      <c r="K116" s="91"/>
      <c r="L116" s="91"/>
      <c r="M116" s="91"/>
      <c r="N116" s="210"/>
      <c r="O116" s="206"/>
      <c r="P116" s="206"/>
      <c r="Q116" s="206"/>
      <c r="R116" s="206"/>
      <c r="S116" s="195"/>
    </row>
    <row r="117" spans="1:19" s="32" customFormat="1" ht="12" x14ac:dyDescent="0.2">
      <c r="A117" s="30" t="s">
        <v>98</v>
      </c>
      <c r="B117" s="64">
        <f>SUM(B112:B116)</f>
        <v>0</v>
      </c>
      <c r="C117" s="64">
        <f t="shared" ref="C117:M117" si="13">SUM(C112:C116)</f>
        <v>0</v>
      </c>
      <c r="D117" s="64">
        <f t="shared" si="13"/>
        <v>0</v>
      </c>
      <c r="E117" s="64">
        <f t="shared" si="13"/>
        <v>0</v>
      </c>
      <c r="F117" s="64">
        <f t="shared" si="13"/>
        <v>0</v>
      </c>
      <c r="G117" s="64">
        <f t="shared" si="13"/>
        <v>0</v>
      </c>
      <c r="H117" s="64">
        <f t="shared" si="13"/>
        <v>0</v>
      </c>
      <c r="I117" s="64">
        <f t="shared" si="13"/>
        <v>0</v>
      </c>
      <c r="J117" s="64">
        <f t="shared" si="13"/>
        <v>0</v>
      </c>
      <c r="K117" s="64">
        <f t="shared" si="13"/>
        <v>0</v>
      </c>
      <c r="L117" s="64">
        <f t="shared" si="13"/>
        <v>0</v>
      </c>
      <c r="M117" s="64">
        <f t="shared" si="13"/>
        <v>0</v>
      </c>
      <c r="N117" s="206"/>
      <c r="O117" s="206"/>
      <c r="P117" s="206"/>
      <c r="Q117" s="206"/>
      <c r="R117" s="206"/>
      <c r="S117" s="195"/>
    </row>
    <row r="118" spans="1:19" s="24" customFormat="1" ht="12" x14ac:dyDescent="0.2">
      <c r="A118" s="65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210"/>
      <c r="O118" s="206"/>
      <c r="P118" s="206"/>
      <c r="Q118" s="206"/>
      <c r="R118" s="206"/>
      <c r="S118" s="195"/>
    </row>
    <row r="119" spans="1:19" s="47" customFormat="1" x14ac:dyDescent="0.2">
      <c r="A119" s="18" t="s">
        <v>112</v>
      </c>
      <c r="B119" s="62" t="s">
        <v>82</v>
      </c>
      <c r="C119" s="62" t="s">
        <v>83</v>
      </c>
      <c r="D119" s="62" t="s">
        <v>84</v>
      </c>
      <c r="E119" s="62" t="s">
        <v>85</v>
      </c>
      <c r="F119" s="62" t="s">
        <v>86</v>
      </c>
      <c r="G119" s="62" t="s">
        <v>87</v>
      </c>
      <c r="H119" s="62" t="s">
        <v>88</v>
      </c>
      <c r="I119" s="62" t="s">
        <v>198</v>
      </c>
      <c r="J119" s="62" t="s">
        <v>89</v>
      </c>
      <c r="K119" s="62" t="s">
        <v>90</v>
      </c>
      <c r="L119" s="62" t="s">
        <v>91</v>
      </c>
      <c r="M119" s="62" t="s">
        <v>92</v>
      </c>
      <c r="N119" s="206"/>
      <c r="O119" s="206"/>
      <c r="P119" s="208"/>
      <c r="Q119" s="208"/>
      <c r="R119" s="208"/>
      <c r="S119" s="197"/>
    </row>
    <row r="120" spans="1:19" s="24" customFormat="1" ht="12" x14ac:dyDescent="0.2">
      <c r="A120" s="63" t="s">
        <v>93</v>
      </c>
      <c r="B120" s="219"/>
      <c r="C120" s="219"/>
      <c r="D120" s="219"/>
      <c r="E120" s="219"/>
      <c r="F120" s="219"/>
      <c r="G120" s="219"/>
      <c r="H120" s="219"/>
      <c r="I120" s="48"/>
      <c r="J120" s="48"/>
      <c r="K120" s="48"/>
      <c r="L120" s="27"/>
      <c r="M120" s="48"/>
      <c r="N120" s="210">
        <v>63254.172610000001</v>
      </c>
      <c r="O120" s="206"/>
      <c r="P120" s="206"/>
      <c r="Q120" s="206"/>
      <c r="R120" s="206">
        <f>+N120-O120-P120-Q120</f>
        <v>63254.172610000001</v>
      </c>
      <c r="S120" s="195"/>
    </row>
    <row r="121" spans="1:19" s="24" customFormat="1" ht="12" x14ac:dyDescent="0.2">
      <c r="A121" s="63" t="s">
        <v>94</v>
      </c>
      <c r="B121" s="219"/>
      <c r="C121" s="219"/>
      <c r="D121" s="219"/>
      <c r="E121" s="219"/>
      <c r="F121" s="219"/>
      <c r="G121" s="219"/>
      <c r="H121" s="219"/>
      <c r="I121" s="48"/>
      <c r="J121" s="48"/>
      <c r="K121" s="48"/>
      <c r="L121" s="27"/>
      <c r="M121" s="48"/>
      <c r="N121" s="206">
        <v>24778.178800000002</v>
      </c>
      <c r="O121" s="206">
        <v>110.105</v>
      </c>
      <c r="P121" s="206">
        <v>25.995000000000001</v>
      </c>
      <c r="Q121" s="206">
        <v>147.32141999999999</v>
      </c>
      <c r="R121" s="206">
        <f>+N121-O121-P121-Q121</f>
        <v>24494.757380000003</v>
      </c>
      <c r="S121" s="195"/>
    </row>
    <row r="122" spans="1:19" s="24" customFormat="1" ht="12" x14ac:dyDescent="0.2">
      <c r="A122" s="63" t="s">
        <v>95</v>
      </c>
      <c r="B122" s="219"/>
      <c r="C122" s="219"/>
      <c r="D122" s="219"/>
      <c r="E122" s="219"/>
      <c r="F122" s="219"/>
      <c r="G122" s="219"/>
      <c r="H122" s="219"/>
      <c r="I122" s="48"/>
      <c r="J122" s="48"/>
      <c r="K122" s="48"/>
      <c r="L122" s="27"/>
      <c r="M122" s="48"/>
      <c r="N122" s="210">
        <v>2209.8947899999998</v>
      </c>
      <c r="O122" s="206"/>
      <c r="P122" s="206">
        <v>161</v>
      </c>
      <c r="Q122" s="206"/>
      <c r="R122" s="206">
        <f>+N122-O122-P122-Q122</f>
        <v>2048.8947899999998</v>
      </c>
      <c r="S122" s="195"/>
    </row>
    <row r="123" spans="1:19" s="24" customFormat="1" ht="12" x14ac:dyDescent="0.2">
      <c r="A123" s="63" t="s">
        <v>96</v>
      </c>
      <c r="B123" s="219"/>
      <c r="C123" s="219"/>
      <c r="D123" s="219"/>
      <c r="E123" s="219"/>
      <c r="F123" s="219"/>
      <c r="G123" s="219"/>
      <c r="H123" s="219"/>
      <c r="I123" s="48"/>
      <c r="J123" s="48"/>
      <c r="K123" s="48"/>
      <c r="L123" s="27"/>
      <c r="M123" s="48"/>
      <c r="N123" s="206">
        <v>22144.661670000001</v>
      </c>
      <c r="O123" s="206">
        <v>328.23043999999999</v>
      </c>
      <c r="P123" s="206">
        <v>5867.6264099999999</v>
      </c>
      <c r="Q123" s="206">
        <v>2460.6605500000001</v>
      </c>
      <c r="R123" s="206">
        <f>+N123-O123-P123-Q123</f>
        <v>13488.144270000001</v>
      </c>
      <c r="S123" s="195"/>
    </row>
    <row r="124" spans="1:19" s="24" customFormat="1" ht="12" x14ac:dyDescent="0.2">
      <c r="A124" s="63" t="s">
        <v>97</v>
      </c>
      <c r="B124" s="219"/>
      <c r="C124" s="219"/>
      <c r="D124" s="219"/>
      <c r="E124" s="219"/>
      <c r="F124" s="221"/>
      <c r="G124" s="220"/>
      <c r="H124" s="219"/>
      <c r="I124" s="48"/>
      <c r="J124" s="48"/>
      <c r="K124" s="48"/>
      <c r="L124" s="27"/>
      <c r="M124" s="48"/>
      <c r="N124" s="210">
        <v>5692.4468299999999</v>
      </c>
      <c r="O124" s="206"/>
      <c r="P124" s="206"/>
      <c r="Q124" s="206"/>
      <c r="R124" s="206">
        <f>+N124-O124-P124-Q124</f>
        <v>5692.4468299999999</v>
      </c>
      <c r="S124" s="195"/>
    </row>
    <row r="125" spans="1:19" s="32" customFormat="1" ht="12" x14ac:dyDescent="0.2">
      <c r="A125" s="30" t="s">
        <v>98</v>
      </c>
      <c r="B125" s="64">
        <f>SUM(B120:B124)</f>
        <v>0</v>
      </c>
      <c r="C125" s="64">
        <f t="shared" ref="C125:M125" si="14">SUM(C120:C124)</f>
        <v>0</v>
      </c>
      <c r="D125" s="64">
        <f t="shared" si="14"/>
        <v>0</v>
      </c>
      <c r="E125" s="64">
        <f t="shared" si="14"/>
        <v>0</v>
      </c>
      <c r="F125" s="64">
        <f t="shared" si="14"/>
        <v>0</v>
      </c>
      <c r="G125" s="64">
        <f t="shared" si="14"/>
        <v>0</v>
      </c>
      <c r="H125" s="64">
        <f t="shared" si="14"/>
        <v>0</v>
      </c>
      <c r="I125" s="64">
        <f t="shared" si="14"/>
        <v>0</v>
      </c>
      <c r="J125" s="64">
        <f t="shared" si="14"/>
        <v>0</v>
      </c>
      <c r="K125" s="64">
        <f t="shared" si="14"/>
        <v>0</v>
      </c>
      <c r="L125" s="64">
        <f t="shared" si="14"/>
        <v>0</v>
      </c>
      <c r="M125" s="64">
        <f t="shared" si="14"/>
        <v>0</v>
      </c>
      <c r="N125" s="209">
        <f>SUM(N120:N124)</f>
        <v>118079.35470000001</v>
      </c>
      <c r="O125" s="209">
        <f>SUM(O120:O124)</f>
        <v>438.33544000000001</v>
      </c>
      <c r="P125" s="209">
        <f>SUM(P120:P124)</f>
        <v>6054.6214099999997</v>
      </c>
      <c r="Q125" s="209">
        <f>SUM(Q120:Q124)</f>
        <v>2607.9819699999998</v>
      </c>
      <c r="R125" s="209">
        <f>SUM(R120:R124)</f>
        <v>108978.41588000002</v>
      </c>
      <c r="S125" s="195"/>
    </row>
    <row r="126" spans="1:19" s="24" customFormat="1" ht="12" x14ac:dyDescent="0.2">
      <c r="A126" s="65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210"/>
      <c r="O126" s="206"/>
      <c r="P126" s="206"/>
      <c r="Q126" s="206"/>
      <c r="R126" s="206"/>
      <c r="S126" s="195"/>
    </row>
    <row r="127" spans="1:19" s="47" customFormat="1" x14ac:dyDescent="0.2">
      <c r="A127" s="18" t="s">
        <v>113</v>
      </c>
      <c r="B127" s="62" t="s">
        <v>82</v>
      </c>
      <c r="C127" s="62" t="s">
        <v>83</v>
      </c>
      <c r="D127" s="62" t="s">
        <v>84</v>
      </c>
      <c r="E127" s="62" t="s">
        <v>85</v>
      </c>
      <c r="F127" s="62" t="s">
        <v>86</v>
      </c>
      <c r="G127" s="62" t="s">
        <v>87</v>
      </c>
      <c r="H127" s="62" t="s">
        <v>88</v>
      </c>
      <c r="I127" s="62" t="s">
        <v>198</v>
      </c>
      <c r="J127" s="62" t="s">
        <v>89</v>
      </c>
      <c r="K127" s="62" t="s">
        <v>90</v>
      </c>
      <c r="L127" s="62" t="s">
        <v>91</v>
      </c>
      <c r="M127" s="62" t="s">
        <v>92</v>
      </c>
      <c r="N127" s="206"/>
      <c r="O127" s="206"/>
      <c r="P127" s="208"/>
      <c r="Q127" s="208"/>
      <c r="R127" s="208"/>
      <c r="S127" s="197"/>
    </row>
    <row r="128" spans="1:19" s="24" customFormat="1" ht="12" x14ac:dyDescent="0.2">
      <c r="A128" s="63" t="s">
        <v>93</v>
      </c>
      <c r="B128" s="219"/>
      <c r="C128" s="219"/>
      <c r="D128" s="219"/>
      <c r="E128" s="219"/>
      <c r="F128" s="219"/>
      <c r="G128" s="219"/>
      <c r="H128" s="219"/>
      <c r="I128" s="48"/>
      <c r="J128" s="48"/>
      <c r="K128" s="48"/>
      <c r="L128" s="27"/>
      <c r="M128" s="48"/>
      <c r="N128" s="210">
        <v>10382.19636</v>
      </c>
      <c r="O128" s="206"/>
      <c r="P128" s="206"/>
      <c r="Q128" s="206">
        <f>+N128-O128-P128</f>
        <v>10382.19636</v>
      </c>
      <c r="R128" s="206"/>
      <c r="S128" s="195"/>
    </row>
    <row r="129" spans="1:19" s="24" customFormat="1" ht="12" x14ac:dyDescent="0.2">
      <c r="A129" s="63" t="s">
        <v>94</v>
      </c>
      <c r="B129" s="219"/>
      <c r="C129" s="219"/>
      <c r="D129" s="219"/>
      <c r="E129" s="219"/>
      <c r="F129" s="219"/>
      <c r="G129" s="219"/>
      <c r="H129" s="219"/>
      <c r="I129" s="48"/>
      <c r="J129" s="48"/>
      <c r="K129" s="48"/>
      <c r="L129" s="27"/>
      <c r="M129" s="48"/>
      <c r="N129" s="206">
        <v>4161.9895200000001</v>
      </c>
      <c r="O129" s="206">
        <v>83.387460000000004</v>
      </c>
      <c r="P129" s="206">
        <v>134.06399999999999</v>
      </c>
      <c r="Q129" s="206">
        <f>+N129-O129-P129</f>
        <v>3944.5380600000003</v>
      </c>
      <c r="R129" s="206"/>
      <c r="S129" s="195"/>
    </row>
    <row r="130" spans="1:19" s="24" customFormat="1" ht="12" x14ac:dyDescent="0.2">
      <c r="A130" s="63" t="s">
        <v>95</v>
      </c>
      <c r="B130" s="219"/>
      <c r="C130" s="219"/>
      <c r="D130" s="219"/>
      <c r="E130" s="219"/>
      <c r="F130" s="219"/>
      <c r="G130" s="219"/>
      <c r="H130" s="219"/>
      <c r="I130" s="48"/>
      <c r="J130" s="48"/>
      <c r="K130" s="48"/>
      <c r="L130" s="27"/>
      <c r="M130" s="48"/>
      <c r="N130" s="210">
        <v>7.0979599999999996</v>
      </c>
      <c r="O130" s="206"/>
      <c r="P130" s="206"/>
      <c r="Q130" s="206">
        <f>+N130-O130-P130</f>
        <v>7.0979599999999996</v>
      </c>
      <c r="R130" s="206"/>
      <c r="S130" s="195"/>
    </row>
    <row r="131" spans="1:19" s="24" customFormat="1" ht="12" x14ac:dyDescent="0.2">
      <c r="A131" s="63" t="s">
        <v>96</v>
      </c>
      <c r="B131" s="219"/>
      <c r="C131" s="225"/>
      <c r="D131" s="219"/>
      <c r="E131" s="219"/>
      <c r="F131" s="219"/>
      <c r="G131" s="219"/>
      <c r="H131" s="219"/>
      <c r="I131" s="48"/>
      <c r="J131" s="48"/>
      <c r="K131" s="48"/>
      <c r="L131" s="27"/>
      <c r="M131" s="48"/>
      <c r="N131" s="206">
        <v>35183.602059999997</v>
      </c>
      <c r="O131" s="206">
        <v>12562.320390000001</v>
      </c>
      <c r="P131" s="206">
        <v>8199.3081500000008</v>
      </c>
      <c r="Q131" s="206">
        <f>+N131-O131-P131</f>
        <v>14421.973519999996</v>
      </c>
      <c r="R131" s="206"/>
      <c r="S131" s="195"/>
    </row>
    <row r="132" spans="1:19" s="24" customFormat="1" ht="12" x14ac:dyDescent="0.2">
      <c r="A132" s="63" t="s">
        <v>97</v>
      </c>
      <c r="B132" s="219"/>
      <c r="C132" s="219"/>
      <c r="D132" s="219"/>
      <c r="E132" s="226"/>
      <c r="F132" s="221"/>
      <c r="G132" s="220"/>
      <c r="H132" s="219"/>
      <c r="I132" s="26"/>
      <c r="J132" s="26"/>
      <c r="K132" s="26"/>
      <c r="L132" s="26"/>
      <c r="M132" s="26"/>
      <c r="N132" s="210">
        <v>20978.260419999999</v>
      </c>
      <c r="O132" s="206"/>
      <c r="P132" s="206"/>
      <c r="Q132" s="206">
        <f>+N132-O132-P132</f>
        <v>20978.260419999999</v>
      </c>
      <c r="R132" s="206"/>
      <c r="S132" s="195"/>
    </row>
    <row r="133" spans="1:19" s="32" customFormat="1" ht="12" x14ac:dyDescent="0.2">
      <c r="A133" s="30" t="s">
        <v>98</v>
      </c>
      <c r="B133" s="64">
        <f>SUM(B128:B132)</f>
        <v>0</v>
      </c>
      <c r="C133" s="64">
        <f t="shared" ref="C133:M133" si="15">SUM(C128:C132)</f>
        <v>0</v>
      </c>
      <c r="D133" s="64">
        <f t="shared" si="15"/>
        <v>0</v>
      </c>
      <c r="E133" s="64">
        <f t="shared" si="15"/>
        <v>0</v>
      </c>
      <c r="F133" s="64">
        <f t="shared" si="15"/>
        <v>0</v>
      </c>
      <c r="G133" s="64">
        <f t="shared" si="15"/>
        <v>0</v>
      </c>
      <c r="H133" s="64">
        <f t="shared" si="15"/>
        <v>0</v>
      </c>
      <c r="I133" s="64">
        <f t="shared" si="15"/>
        <v>0</v>
      </c>
      <c r="J133" s="64">
        <f t="shared" si="15"/>
        <v>0</v>
      </c>
      <c r="K133" s="64">
        <f t="shared" si="15"/>
        <v>0</v>
      </c>
      <c r="L133" s="64">
        <f t="shared" si="15"/>
        <v>0</v>
      </c>
      <c r="M133" s="64">
        <f t="shared" si="15"/>
        <v>0</v>
      </c>
      <c r="N133" s="209">
        <f>SUM(N128:N132)</f>
        <v>70713.14632</v>
      </c>
      <c r="O133" s="209">
        <f>SUM(O128:O132)</f>
        <v>12645.707850000001</v>
      </c>
      <c r="P133" s="209">
        <f>SUM(P128:P132)</f>
        <v>8333.3721500000011</v>
      </c>
      <c r="Q133" s="209">
        <f>SUM(Q128:Q132)</f>
        <v>49734.066319999998</v>
      </c>
      <c r="R133" s="209"/>
      <c r="S133" s="195"/>
    </row>
    <row r="134" spans="1:19" s="24" customFormat="1" ht="12" x14ac:dyDescent="0.2">
      <c r="A134" s="65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210"/>
      <c r="O134" s="206"/>
      <c r="P134" s="206"/>
      <c r="Q134" s="206"/>
      <c r="R134" s="206"/>
      <c r="S134" s="195"/>
    </row>
    <row r="135" spans="1:19" s="47" customFormat="1" x14ac:dyDescent="0.2">
      <c r="A135" s="18" t="s">
        <v>114</v>
      </c>
      <c r="B135" s="62" t="s">
        <v>82</v>
      </c>
      <c r="C135" s="62" t="s">
        <v>83</v>
      </c>
      <c r="D135" s="62" t="s">
        <v>84</v>
      </c>
      <c r="E135" s="62" t="s">
        <v>85</v>
      </c>
      <c r="F135" s="62" t="s">
        <v>86</v>
      </c>
      <c r="G135" s="62" t="s">
        <v>87</v>
      </c>
      <c r="H135" s="62" t="s">
        <v>88</v>
      </c>
      <c r="I135" s="62" t="s">
        <v>198</v>
      </c>
      <c r="J135" s="62" t="s">
        <v>89</v>
      </c>
      <c r="K135" s="62" t="s">
        <v>90</v>
      </c>
      <c r="L135" s="62" t="s">
        <v>91</v>
      </c>
      <c r="M135" s="62" t="s">
        <v>92</v>
      </c>
      <c r="N135" s="206"/>
      <c r="O135" s="206"/>
      <c r="P135" s="208"/>
      <c r="Q135" s="208"/>
      <c r="R135" s="208"/>
      <c r="S135" s="197"/>
    </row>
    <row r="136" spans="1:19" s="24" customFormat="1" ht="12" x14ac:dyDescent="0.2">
      <c r="A136" s="21" t="s">
        <v>93</v>
      </c>
      <c r="B136" s="219"/>
      <c r="C136" s="219"/>
      <c r="D136" s="219"/>
      <c r="E136" s="219"/>
      <c r="F136" s="219"/>
      <c r="G136" s="219"/>
      <c r="H136" s="219"/>
      <c r="I136" s="48"/>
      <c r="J136" s="48"/>
      <c r="K136" s="48"/>
      <c r="L136" s="27"/>
      <c r="M136" s="27"/>
      <c r="N136" s="210"/>
      <c r="O136" s="206"/>
      <c r="P136" s="206"/>
      <c r="Q136" s="206"/>
      <c r="R136" s="206"/>
      <c r="S136" s="195"/>
    </row>
    <row r="137" spans="1:19" s="24" customFormat="1" ht="12" x14ac:dyDescent="0.2">
      <c r="A137" s="21" t="s">
        <v>94</v>
      </c>
      <c r="B137" s="219"/>
      <c r="C137" s="219"/>
      <c r="D137" s="219"/>
      <c r="E137" s="219"/>
      <c r="F137" s="219"/>
      <c r="G137" s="219"/>
      <c r="H137" s="219"/>
      <c r="I137" s="27"/>
      <c r="J137" s="27"/>
      <c r="K137" s="27"/>
      <c r="L137" s="27"/>
      <c r="M137" s="27"/>
      <c r="N137" s="206"/>
      <c r="O137" s="206"/>
      <c r="P137" s="206"/>
      <c r="Q137" s="206"/>
      <c r="R137" s="206"/>
      <c r="S137" s="195"/>
    </row>
    <row r="138" spans="1:19" s="24" customFormat="1" ht="12" x14ac:dyDescent="0.2">
      <c r="A138" s="21" t="s">
        <v>95</v>
      </c>
      <c r="B138" s="219"/>
      <c r="C138" s="219"/>
      <c r="D138" s="219"/>
      <c r="E138" s="219"/>
      <c r="F138" s="219"/>
      <c r="G138" s="219"/>
      <c r="H138" s="219"/>
      <c r="I138" s="27"/>
      <c r="J138" s="27"/>
      <c r="K138" s="27"/>
      <c r="L138" s="27"/>
      <c r="M138" s="27"/>
      <c r="N138" s="210"/>
      <c r="O138" s="206"/>
      <c r="P138" s="206"/>
      <c r="Q138" s="206"/>
      <c r="R138" s="206"/>
      <c r="S138" s="195"/>
    </row>
    <row r="139" spans="1:19" s="24" customFormat="1" ht="12" x14ac:dyDescent="0.2">
      <c r="A139" s="21" t="s">
        <v>96</v>
      </c>
      <c r="B139" s="219"/>
      <c r="C139" s="219"/>
      <c r="D139" s="219"/>
      <c r="E139" s="219"/>
      <c r="F139" s="219"/>
      <c r="G139" s="219"/>
      <c r="H139" s="219"/>
      <c r="I139" s="27"/>
      <c r="J139" s="27"/>
      <c r="K139" s="27"/>
      <c r="L139" s="27"/>
      <c r="M139" s="27"/>
      <c r="N139" s="206"/>
      <c r="O139" s="206"/>
      <c r="P139" s="206"/>
      <c r="Q139" s="206"/>
      <c r="R139" s="206"/>
      <c r="S139" s="195"/>
    </row>
    <row r="140" spans="1:19" s="24" customFormat="1" ht="12" x14ac:dyDescent="0.2">
      <c r="A140" s="21" t="s">
        <v>97</v>
      </c>
      <c r="B140" s="219"/>
      <c r="C140" s="219"/>
      <c r="D140" s="219"/>
      <c r="E140" s="219"/>
      <c r="F140" s="221"/>
      <c r="G140" s="220"/>
      <c r="H140" s="219"/>
      <c r="I140" s="27"/>
      <c r="J140" s="27"/>
      <c r="K140" s="27"/>
      <c r="L140" s="27"/>
      <c r="M140" s="27"/>
      <c r="N140" s="206"/>
      <c r="O140" s="206"/>
      <c r="P140" s="206"/>
      <c r="Q140" s="206"/>
      <c r="R140" s="206"/>
      <c r="S140" s="195"/>
    </row>
    <row r="141" spans="1:19" s="32" customFormat="1" ht="12" x14ac:dyDescent="0.2">
      <c r="A141" s="30" t="s">
        <v>98</v>
      </c>
      <c r="B141" s="64">
        <f>SUM(B136:B140)</f>
        <v>0</v>
      </c>
      <c r="C141" s="64">
        <f t="shared" ref="C141:M141" si="16">SUM(C136:C140)</f>
        <v>0</v>
      </c>
      <c r="D141" s="64">
        <f t="shared" si="16"/>
        <v>0</v>
      </c>
      <c r="E141" s="64">
        <f t="shared" si="16"/>
        <v>0</v>
      </c>
      <c r="F141" s="64">
        <f t="shared" si="16"/>
        <v>0</v>
      </c>
      <c r="G141" s="64">
        <f t="shared" si="16"/>
        <v>0</v>
      </c>
      <c r="H141" s="64">
        <f t="shared" si="16"/>
        <v>0</v>
      </c>
      <c r="I141" s="64">
        <f t="shared" si="16"/>
        <v>0</v>
      </c>
      <c r="J141" s="64">
        <f t="shared" si="16"/>
        <v>0</v>
      </c>
      <c r="K141" s="64">
        <f t="shared" si="16"/>
        <v>0</v>
      </c>
      <c r="L141" s="64">
        <f t="shared" si="16"/>
        <v>0</v>
      </c>
      <c r="M141" s="64">
        <f t="shared" si="16"/>
        <v>0</v>
      </c>
      <c r="N141" s="206"/>
      <c r="O141" s="206"/>
      <c r="P141" s="206"/>
      <c r="Q141" s="206"/>
      <c r="R141" s="206"/>
      <c r="S141" s="195"/>
    </row>
    <row r="142" spans="1:19" s="24" customFormat="1" ht="12" x14ac:dyDescent="0.2">
      <c r="A142" s="65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206"/>
      <c r="O142" s="206"/>
      <c r="P142" s="206"/>
      <c r="Q142" s="206"/>
      <c r="R142" s="206"/>
      <c r="S142" s="195"/>
    </row>
    <row r="143" spans="1:19" s="47" customFormat="1" x14ac:dyDescent="0.2">
      <c r="A143" s="18" t="s">
        <v>115</v>
      </c>
      <c r="B143" s="62" t="s">
        <v>82</v>
      </c>
      <c r="C143" s="62" t="s">
        <v>83</v>
      </c>
      <c r="D143" s="62" t="s">
        <v>84</v>
      </c>
      <c r="E143" s="62" t="s">
        <v>85</v>
      </c>
      <c r="F143" s="62" t="s">
        <v>86</v>
      </c>
      <c r="G143" s="62" t="s">
        <v>87</v>
      </c>
      <c r="H143" s="62" t="s">
        <v>88</v>
      </c>
      <c r="I143" s="62" t="s">
        <v>198</v>
      </c>
      <c r="J143" s="62" t="s">
        <v>89</v>
      </c>
      <c r="K143" s="62" t="s">
        <v>90</v>
      </c>
      <c r="L143" s="62" t="s">
        <v>91</v>
      </c>
      <c r="M143" s="62" t="s">
        <v>92</v>
      </c>
      <c r="N143" s="206"/>
      <c r="O143" s="206"/>
      <c r="P143" s="208"/>
      <c r="Q143" s="208"/>
      <c r="R143" s="208"/>
      <c r="S143" s="197"/>
    </row>
    <row r="144" spans="1:19" s="24" customFormat="1" ht="12" x14ac:dyDescent="0.2">
      <c r="A144" s="21" t="s">
        <v>93</v>
      </c>
      <c r="B144" s="219"/>
      <c r="C144" s="219"/>
      <c r="D144" s="219"/>
      <c r="E144" s="219"/>
      <c r="F144" s="219"/>
      <c r="G144" s="219"/>
      <c r="H144" s="219"/>
      <c r="I144" s="26"/>
      <c r="J144" s="26"/>
      <c r="K144" s="26"/>
      <c r="L144" s="27"/>
      <c r="M144" s="27"/>
      <c r="N144" s="206"/>
      <c r="O144" s="206"/>
      <c r="P144" s="206"/>
      <c r="Q144" s="206"/>
      <c r="R144" s="206"/>
      <c r="S144" s="195"/>
    </row>
    <row r="145" spans="1:19" s="24" customFormat="1" ht="12" x14ac:dyDescent="0.2">
      <c r="A145" s="21" t="s">
        <v>94</v>
      </c>
      <c r="B145" s="219"/>
      <c r="C145" s="219"/>
      <c r="D145" s="219"/>
      <c r="E145" s="219"/>
      <c r="F145" s="219"/>
      <c r="G145" s="219"/>
      <c r="H145" s="219"/>
      <c r="I145" s="26"/>
      <c r="J145" s="26"/>
      <c r="K145" s="26"/>
      <c r="L145" s="27"/>
      <c r="M145" s="27"/>
      <c r="N145" s="206"/>
      <c r="O145" s="206"/>
      <c r="P145" s="206"/>
      <c r="Q145" s="206"/>
      <c r="R145" s="206"/>
      <c r="S145" s="195"/>
    </row>
    <row r="146" spans="1:19" s="24" customFormat="1" ht="12" x14ac:dyDescent="0.2">
      <c r="A146" s="21" t="s">
        <v>95</v>
      </c>
      <c r="B146" s="219"/>
      <c r="C146" s="219"/>
      <c r="D146" s="219"/>
      <c r="E146" s="219"/>
      <c r="F146" s="219"/>
      <c r="G146" s="219"/>
      <c r="H146" s="219"/>
      <c r="I146" s="26"/>
      <c r="J146" s="26"/>
      <c r="K146" s="26"/>
      <c r="L146" s="27"/>
      <c r="M146" s="27"/>
      <c r="N146" s="206"/>
      <c r="O146" s="206"/>
      <c r="P146" s="206"/>
      <c r="Q146" s="206"/>
      <c r="R146" s="206"/>
      <c r="S146" s="195"/>
    </row>
    <row r="147" spans="1:19" s="24" customFormat="1" ht="12" x14ac:dyDescent="0.2">
      <c r="A147" s="21" t="s">
        <v>96</v>
      </c>
      <c r="B147" s="219"/>
      <c r="C147" s="219"/>
      <c r="D147" s="219"/>
      <c r="E147" s="219"/>
      <c r="F147" s="219"/>
      <c r="G147" s="219"/>
      <c r="H147" s="219"/>
      <c r="I147" s="26"/>
      <c r="J147" s="26"/>
      <c r="K147" s="26"/>
      <c r="L147" s="27"/>
      <c r="M147" s="27"/>
      <c r="N147" s="206"/>
      <c r="O147" s="206"/>
      <c r="P147" s="206"/>
      <c r="Q147" s="206"/>
      <c r="R147" s="206"/>
      <c r="S147" s="195"/>
    </row>
    <row r="148" spans="1:19" s="24" customFormat="1" ht="12" x14ac:dyDescent="0.2">
      <c r="A148" s="21" t="s">
        <v>97</v>
      </c>
      <c r="B148" s="26"/>
      <c r="C148" s="26"/>
      <c r="D148" s="26"/>
      <c r="E148" s="26"/>
      <c r="F148" s="155"/>
      <c r="G148" s="22"/>
      <c r="H148" s="26"/>
      <c r="I148" s="26"/>
      <c r="J148" s="91"/>
      <c r="K148" s="91"/>
      <c r="L148" s="91"/>
      <c r="M148" s="91"/>
      <c r="N148" s="206"/>
      <c r="O148" s="206"/>
      <c r="P148" s="206"/>
      <c r="Q148" s="206"/>
      <c r="R148" s="206"/>
      <c r="S148" s="195"/>
    </row>
    <row r="149" spans="1:19" s="32" customFormat="1" ht="12" x14ac:dyDescent="0.2">
      <c r="A149" s="30" t="s">
        <v>98</v>
      </c>
      <c r="B149" s="64">
        <f>SUM(B144:B148)</f>
        <v>0</v>
      </c>
      <c r="C149" s="64">
        <f t="shared" ref="C149:M149" si="17">SUM(C144:C148)</f>
        <v>0</v>
      </c>
      <c r="D149" s="64">
        <f t="shared" si="17"/>
        <v>0</v>
      </c>
      <c r="E149" s="64">
        <f t="shared" si="17"/>
        <v>0</v>
      </c>
      <c r="F149" s="64">
        <f t="shared" si="17"/>
        <v>0</v>
      </c>
      <c r="G149" s="64">
        <f t="shared" si="17"/>
        <v>0</v>
      </c>
      <c r="H149" s="64">
        <f t="shared" si="17"/>
        <v>0</v>
      </c>
      <c r="I149" s="64">
        <f t="shared" si="17"/>
        <v>0</v>
      </c>
      <c r="J149" s="64">
        <f t="shared" si="17"/>
        <v>0</v>
      </c>
      <c r="K149" s="64">
        <f t="shared" si="17"/>
        <v>0</v>
      </c>
      <c r="L149" s="64">
        <f t="shared" si="17"/>
        <v>0</v>
      </c>
      <c r="M149" s="64">
        <f t="shared" si="17"/>
        <v>0</v>
      </c>
      <c r="N149" s="206"/>
      <c r="O149" s="206"/>
      <c r="P149" s="206"/>
      <c r="Q149" s="206"/>
      <c r="R149" s="206"/>
      <c r="S149" s="195"/>
    </row>
    <row r="150" spans="1:19" s="24" customFormat="1" ht="12" x14ac:dyDescent="0.2">
      <c r="A150" s="65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206"/>
      <c r="O150" s="206"/>
      <c r="P150" s="206"/>
      <c r="Q150" s="206"/>
      <c r="R150" s="206"/>
      <c r="S150" s="195"/>
    </row>
    <row r="151" spans="1:19" s="47" customFormat="1" x14ac:dyDescent="0.2">
      <c r="A151" s="18" t="s">
        <v>116</v>
      </c>
      <c r="B151" s="62" t="s">
        <v>82</v>
      </c>
      <c r="C151" s="62" t="s">
        <v>83</v>
      </c>
      <c r="D151" s="62" t="s">
        <v>84</v>
      </c>
      <c r="E151" s="62" t="s">
        <v>85</v>
      </c>
      <c r="F151" s="62" t="s">
        <v>86</v>
      </c>
      <c r="G151" s="62" t="s">
        <v>87</v>
      </c>
      <c r="H151" s="62" t="s">
        <v>88</v>
      </c>
      <c r="I151" s="62" t="s">
        <v>198</v>
      </c>
      <c r="J151" s="62" t="s">
        <v>89</v>
      </c>
      <c r="K151" s="62" t="s">
        <v>90</v>
      </c>
      <c r="L151" s="62" t="s">
        <v>91</v>
      </c>
      <c r="M151" s="62" t="s">
        <v>92</v>
      </c>
      <c r="N151" s="206"/>
      <c r="O151" s="206"/>
      <c r="P151" s="208"/>
      <c r="Q151" s="208"/>
      <c r="R151" s="208"/>
      <c r="S151" s="197"/>
    </row>
    <row r="152" spans="1:19" s="24" customFormat="1" ht="12" x14ac:dyDescent="0.2">
      <c r="A152" s="21" t="s">
        <v>93</v>
      </c>
      <c r="B152" s="219"/>
      <c r="C152" s="219"/>
      <c r="D152" s="219"/>
      <c r="E152" s="219"/>
      <c r="F152" s="219"/>
      <c r="G152" s="219"/>
      <c r="H152" s="219"/>
      <c r="I152" s="26"/>
      <c r="J152" s="26"/>
      <c r="K152" s="26"/>
      <c r="L152" s="27"/>
      <c r="M152" s="27"/>
      <c r="N152" s="206"/>
      <c r="O152" s="206"/>
      <c r="P152" s="206"/>
      <c r="Q152" s="206"/>
      <c r="R152" s="206"/>
      <c r="S152" s="195"/>
    </row>
    <row r="153" spans="1:19" s="24" customFormat="1" ht="12" x14ac:dyDescent="0.2">
      <c r="A153" s="21" t="s">
        <v>94</v>
      </c>
      <c r="B153" s="219"/>
      <c r="C153" s="219"/>
      <c r="D153" s="219"/>
      <c r="E153" s="219"/>
      <c r="F153" s="219"/>
      <c r="G153" s="219"/>
      <c r="H153" s="219"/>
      <c r="I153" s="26"/>
      <c r="J153" s="26"/>
      <c r="K153" s="26"/>
      <c r="L153" s="27"/>
      <c r="M153" s="27"/>
      <c r="N153" s="206"/>
      <c r="O153" s="206"/>
      <c r="P153" s="206"/>
      <c r="Q153" s="206"/>
      <c r="R153" s="206"/>
      <c r="S153" s="195"/>
    </row>
    <row r="154" spans="1:19" s="24" customFormat="1" ht="12" x14ac:dyDescent="0.2">
      <c r="A154" s="21" t="s">
        <v>95</v>
      </c>
      <c r="B154" s="219"/>
      <c r="C154" s="219"/>
      <c r="D154" s="219"/>
      <c r="E154" s="219"/>
      <c r="F154" s="219"/>
      <c r="G154" s="219"/>
      <c r="H154" s="219"/>
      <c r="I154" s="26"/>
      <c r="J154" s="26"/>
      <c r="K154" s="26"/>
      <c r="L154" s="27"/>
      <c r="M154" s="96"/>
      <c r="N154" s="206"/>
      <c r="O154" s="206"/>
      <c r="P154" s="206"/>
      <c r="Q154" s="206"/>
      <c r="R154" s="206"/>
      <c r="S154" s="195"/>
    </row>
    <row r="155" spans="1:19" s="24" customFormat="1" ht="12" x14ac:dyDescent="0.2">
      <c r="A155" s="21" t="s">
        <v>96</v>
      </c>
      <c r="B155" s="219"/>
      <c r="C155" s="219"/>
      <c r="D155" s="219"/>
      <c r="E155" s="219"/>
      <c r="F155" s="219"/>
      <c r="G155" s="219"/>
      <c r="H155" s="219"/>
      <c r="I155" s="26"/>
      <c r="J155" s="26"/>
      <c r="K155" s="26"/>
      <c r="L155" s="27"/>
      <c r="M155" s="27"/>
      <c r="N155" s="206"/>
      <c r="O155" s="206"/>
      <c r="P155" s="206"/>
      <c r="Q155" s="206"/>
      <c r="R155" s="206"/>
      <c r="S155" s="195"/>
    </row>
    <row r="156" spans="1:19" s="24" customFormat="1" ht="12" x14ac:dyDescent="0.2">
      <c r="A156" s="21" t="s">
        <v>97</v>
      </c>
      <c r="B156" s="26"/>
      <c r="C156" s="26"/>
      <c r="D156" s="26"/>
      <c r="E156" s="26"/>
      <c r="F156" s="26"/>
      <c r="G156" s="26"/>
      <c r="H156" s="26"/>
      <c r="I156" s="26"/>
      <c r="J156" s="91"/>
      <c r="K156" s="91"/>
      <c r="L156" s="91"/>
      <c r="M156" s="91"/>
      <c r="N156" s="206"/>
      <c r="O156" s="206"/>
      <c r="P156" s="206"/>
      <c r="Q156" s="206"/>
      <c r="R156" s="206"/>
      <c r="S156" s="195"/>
    </row>
    <row r="157" spans="1:19" s="32" customFormat="1" ht="12" x14ac:dyDescent="0.2">
      <c r="A157" s="30" t="s">
        <v>98</v>
      </c>
      <c r="B157" s="64">
        <f>SUM(B152:B156)</f>
        <v>0</v>
      </c>
      <c r="C157" s="64">
        <f t="shared" ref="C157:M157" si="18">SUM(C152:C156)</f>
        <v>0</v>
      </c>
      <c r="D157" s="64">
        <f t="shared" si="18"/>
        <v>0</v>
      </c>
      <c r="E157" s="64">
        <f t="shared" si="18"/>
        <v>0</v>
      </c>
      <c r="F157" s="64">
        <f t="shared" si="18"/>
        <v>0</v>
      </c>
      <c r="G157" s="64">
        <f t="shared" si="18"/>
        <v>0</v>
      </c>
      <c r="H157" s="64">
        <f t="shared" si="18"/>
        <v>0</v>
      </c>
      <c r="I157" s="64">
        <f t="shared" si="18"/>
        <v>0</v>
      </c>
      <c r="J157" s="64">
        <f t="shared" si="18"/>
        <v>0</v>
      </c>
      <c r="K157" s="64">
        <f t="shared" si="18"/>
        <v>0</v>
      </c>
      <c r="L157" s="64">
        <f t="shared" si="18"/>
        <v>0</v>
      </c>
      <c r="M157" s="64">
        <f t="shared" si="18"/>
        <v>0</v>
      </c>
      <c r="N157" s="206"/>
      <c r="O157" s="206"/>
      <c r="P157" s="206"/>
      <c r="Q157" s="206"/>
      <c r="R157" s="206"/>
      <c r="S157" s="195"/>
    </row>
    <row r="158" spans="1:19" s="24" customFormat="1" ht="12" x14ac:dyDescent="0.2">
      <c r="A158" s="35"/>
      <c r="B158" s="55"/>
      <c r="C158" s="55"/>
      <c r="D158" s="55"/>
      <c r="E158" s="55"/>
      <c r="F158" s="55"/>
      <c r="G158" s="55"/>
      <c r="H158" s="55"/>
      <c r="I158" s="56"/>
      <c r="J158" s="56"/>
      <c r="K158" s="56"/>
      <c r="L158" s="56"/>
      <c r="M158" s="56"/>
      <c r="N158" s="206"/>
      <c r="O158" s="206"/>
      <c r="P158" s="206"/>
      <c r="Q158" s="206"/>
      <c r="R158" s="206"/>
      <c r="S158" s="195"/>
    </row>
    <row r="159" spans="1:19" s="10" customFormat="1" x14ac:dyDescent="0.2">
      <c r="A159" s="18" t="s">
        <v>117</v>
      </c>
      <c r="B159" s="62" t="s">
        <v>82</v>
      </c>
      <c r="C159" s="62" t="s">
        <v>83</v>
      </c>
      <c r="D159" s="62" t="s">
        <v>84</v>
      </c>
      <c r="E159" s="62" t="s">
        <v>85</v>
      </c>
      <c r="F159" s="62" t="s">
        <v>86</v>
      </c>
      <c r="G159" s="62" t="s">
        <v>87</v>
      </c>
      <c r="H159" s="62" t="s">
        <v>88</v>
      </c>
      <c r="I159" s="62" t="s">
        <v>198</v>
      </c>
      <c r="J159" s="62" t="s">
        <v>89</v>
      </c>
      <c r="K159" s="62" t="s">
        <v>90</v>
      </c>
      <c r="L159" s="62" t="s">
        <v>91</v>
      </c>
      <c r="M159" s="62" t="s">
        <v>92</v>
      </c>
      <c r="N159" s="206"/>
      <c r="O159" s="206"/>
      <c r="P159" s="208"/>
      <c r="Q159" s="208"/>
      <c r="R159" s="208"/>
      <c r="S159" s="197"/>
    </row>
    <row r="160" spans="1:19" s="24" customFormat="1" ht="12" x14ac:dyDescent="0.2">
      <c r="A160" s="21" t="s">
        <v>93</v>
      </c>
      <c r="B160" s="219"/>
      <c r="C160" s="219"/>
      <c r="D160" s="219"/>
      <c r="E160" s="219"/>
      <c r="F160" s="219"/>
      <c r="G160" s="219"/>
      <c r="H160" s="219"/>
      <c r="I160" s="26"/>
      <c r="J160" s="26"/>
      <c r="K160" s="26"/>
      <c r="L160" s="27"/>
      <c r="M160" s="27"/>
      <c r="N160" s="206"/>
      <c r="O160" s="206"/>
      <c r="P160" s="206"/>
      <c r="Q160" s="206"/>
      <c r="R160" s="206"/>
      <c r="S160" s="195"/>
    </row>
    <row r="161" spans="1:19" s="24" customFormat="1" ht="12" x14ac:dyDescent="0.2">
      <c r="A161" s="21" t="s">
        <v>94</v>
      </c>
      <c r="B161" s="219"/>
      <c r="C161" s="219"/>
      <c r="D161" s="219"/>
      <c r="E161" s="219"/>
      <c r="F161" s="219"/>
      <c r="G161" s="219"/>
      <c r="H161" s="219"/>
      <c r="I161" s="26"/>
      <c r="J161" s="26"/>
      <c r="K161" s="26"/>
      <c r="L161" s="27"/>
      <c r="M161" s="27"/>
      <c r="N161" s="206"/>
      <c r="O161" s="206"/>
      <c r="P161" s="206"/>
      <c r="Q161" s="206"/>
      <c r="R161" s="206"/>
      <c r="S161" s="195"/>
    </row>
    <row r="162" spans="1:19" s="24" customFormat="1" ht="12" x14ac:dyDescent="0.2">
      <c r="A162" s="21" t="s">
        <v>95</v>
      </c>
      <c r="B162" s="219"/>
      <c r="C162" s="219"/>
      <c r="D162" s="219"/>
      <c r="E162" s="219"/>
      <c r="F162" s="219"/>
      <c r="G162" s="219"/>
      <c r="H162" s="219"/>
      <c r="I162" s="26"/>
      <c r="J162" s="26"/>
      <c r="K162" s="26">
        <v>1.4218199999999999</v>
      </c>
      <c r="L162" s="27">
        <v>1.4218199999999999</v>
      </c>
      <c r="M162" s="27"/>
      <c r="N162" s="206"/>
      <c r="O162" s="206"/>
      <c r="P162" s="206"/>
      <c r="Q162" s="206"/>
      <c r="R162" s="206"/>
      <c r="S162" s="195"/>
    </row>
    <row r="163" spans="1:19" s="24" customFormat="1" ht="12" x14ac:dyDescent="0.2">
      <c r="A163" s="21" t="s">
        <v>96</v>
      </c>
      <c r="B163" s="219"/>
      <c r="C163" s="219"/>
      <c r="D163" s="219"/>
      <c r="E163" s="219"/>
      <c r="F163" s="219"/>
      <c r="G163" s="219"/>
      <c r="H163" s="219"/>
      <c r="I163" s="26"/>
      <c r="J163" s="26"/>
      <c r="K163" s="26"/>
      <c r="L163" s="27"/>
      <c r="M163" s="27"/>
      <c r="N163" s="206"/>
      <c r="O163" s="206"/>
      <c r="P163" s="206"/>
      <c r="Q163" s="206"/>
      <c r="R163" s="206"/>
      <c r="S163" s="195"/>
    </row>
    <row r="164" spans="1:19" s="24" customFormat="1" ht="12" x14ac:dyDescent="0.2">
      <c r="A164" s="21" t="s">
        <v>97</v>
      </c>
      <c r="B164" s="219"/>
      <c r="C164" s="219"/>
      <c r="D164" s="219"/>
      <c r="E164" s="219"/>
      <c r="F164" s="221"/>
      <c r="G164" s="220"/>
      <c r="H164" s="219"/>
      <c r="I164" s="26"/>
      <c r="J164" s="91"/>
      <c r="K164" s="91"/>
      <c r="L164" s="91"/>
      <c r="M164" s="91"/>
      <c r="N164" s="206"/>
      <c r="O164" s="206"/>
      <c r="P164" s="206"/>
      <c r="Q164" s="206"/>
      <c r="R164" s="206"/>
      <c r="S164" s="195"/>
    </row>
    <row r="165" spans="1:19" s="32" customFormat="1" ht="12" x14ac:dyDescent="0.2">
      <c r="A165" s="30" t="s">
        <v>98</v>
      </c>
      <c r="B165" s="64">
        <f>SUM(B160:B164)</f>
        <v>0</v>
      </c>
      <c r="C165" s="64">
        <f t="shared" ref="C165:M165" si="19">SUM(C160:C164)</f>
        <v>0</v>
      </c>
      <c r="D165" s="64">
        <f t="shared" si="19"/>
        <v>0</v>
      </c>
      <c r="E165" s="64">
        <f t="shared" si="19"/>
        <v>0</v>
      </c>
      <c r="F165" s="64">
        <f t="shared" si="19"/>
        <v>0</v>
      </c>
      <c r="G165" s="64">
        <f t="shared" si="19"/>
        <v>0</v>
      </c>
      <c r="H165" s="64">
        <f t="shared" si="19"/>
        <v>0</v>
      </c>
      <c r="I165" s="64">
        <f t="shared" si="19"/>
        <v>0</v>
      </c>
      <c r="J165" s="64">
        <f t="shared" si="19"/>
        <v>0</v>
      </c>
      <c r="K165" s="64">
        <f t="shared" si="19"/>
        <v>1.4218199999999999</v>
      </c>
      <c r="L165" s="64">
        <f t="shared" si="19"/>
        <v>1.4218199999999999</v>
      </c>
      <c r="M165" s="64">
        <f t="shared" si="19"/>
        <v>0</v>
      </c>
      <c r="N165" s="206"/>
      <c r="O165" s="206"/>
      <c r="P165" s="206"/>
      <c r="Q165" s="206"/>
      <c r="R165" s="206"/>
      <c r="S165" s="195"/>
    </row>
    <row r="166" spans="1:19" s="24" customFormat="1" ht="12" x14ac:dyDescent="0.2">
      <c r="A166" s="35"/>
      <c r="B166" s="55"/>
      <c r="C166" s="55"/>
      <c r="D166" s="55"/>
      <c r="E166" s="55"/>
      <c r="F166" s="55"/>
      <c r="G166" s="55"/>
      <c r="H166" s="55"/>
      <c r="I166" s="56"/>
      <c r="J166" s="56"/>
      <c r="K166" s="56"/>
      <c r="L166" s="56"/>
      <c r="M166" s="56"/>
      <c r="N166" s="206"/>
      <c r="O166" s="206"/>
      <c r="P166" s="206"/>
      <c r="Q166" s="206"/>
      <c r="R166" s="206"/>
      <c r="S166" s="195"/>
    </row>
    <row r="167" spans="1:19" s="47" customFormat="1" x14ac:dyDescent="0.2">
      <c r="A167" s="18" t="s">
        <v>118</v>
      </c>
      <c r="B167" s="62" t="s">
        <v>82</v>
      </c>
      <c r="C167" s="62" t="s">
        <v>83</v>
      </c>
      <c r="D167" s="62" t="s">
        <v>84</v>
      </c>
      <c r="E167" s="62" t="s">
        <v>85</v>
      </c>
      <c r="F167" s="62" t="s">
        <v>86</v>
      </c>
      <c r="G167" s="62" t="s">
        <v>87</v>
      </c>
      <c r="H167" s="62" t="s">
        <v>88</v>
      </c>
      <c r="I167" s="62" t="s">
        <v>198</v>
      </c>
      <c r="J167" s="62" t="s">
        <v>89</v>
      </c>
      <c r="K167" s="62" t="s">
        <v>90</v>
      </c>
      <c r="L167" s="62" t="s">
        <v>91</v>
      </c>
      <c r="M167" s="62" t="s">
        <v>92</v>
      </c>
      <c r="N167" s="206"/>
      <c r="O167" s="206"/>
      <c r="P167" s="208"/>
      <c r="Q167" s="208"/>
      <c r="R167" s="208"/>
      <c r="S167" s="197"/>
    </row>
    <row r="168" spans="1:19" s="24" customFormat="1" ht="12" x14ac:dyDescent="0.2">
      <c r="A168" s="21" t="s">
        <v>93</v>
      </c>
      <c r="B168" s="219"/>
      <c r="C168" s="219"/>
      <c r="D168" s="219"/>
      <c r="E168" s="219"/>
      <c r="F168" s="219"/>
      <c r="G168" s="219"/>
      <c r="H168" s="219"/>
      <c r="I168" s="26"/>
      <c r="J168" s="26"/>
      <c r="K168" s="26"/>
      <c r="L168" s="27"/>
      <c r="M168" s="27"/>
      <c r="N168" s="206"/>
      <c r="O168" s="206"/>
      <c r="P168" s="206"/>
      <c r="Q168" s="206"/>
      <c r="R168" s="206"/>
      <c r="S168" s="195"/>
    </row>
    <row r="169" spans="1:19" s="24" customFormat="1" ht="12" x14ac:dyDescent="0.2">
      <c r="A169" s="21" t="s">
        <v>94</v>
      </c>
      <c r="B169" s="219"/>
      <c r="C169" s="219"/>
      <c r="D169" s="219"/>
      <c r="E169" s="219"/>
      <c r="F169" s="219"/>
      <c r="G169" s="219"/>
      <c r="H169" s="219"/>
      <c r="I169" s="26"/>
      <c r="J169" s="26"/>
      <c r="K169" s="26"/>
      <c r="L169" s="27"/>
      <c r="M169" s="27"/>
      <c r="N169" s="206"/>
      <c r="O169" s="206"/>
      <c r="P169" s="206"/>
      <c r="Q169" s="206"/>
      <c r="R169" s="206"/>
      <c r="S169" s="195"/>
    </row>
    <row r="170" spans="1:19" s="24" customFormat="1" ht="12" x14ac:dyDescent="0.2">
      <c r="A170" s="21" t="s">
        <v>95</v>
      </c>
      <c r="B170" s="219"/>
      <c r="C170" s="219"/>
      <c r="D170" s="219"/>
      <c r="E170" s="219"/>
      <c r="F170" s="219"/>
      <c r="G170" s="219"/>
      <c r="H170" s="219"/>
      <c r="I170" s="26"/>
      <c r="J170" s="26"/>
      <c r="K170" s="26"/>
      <c r="L170" s="27"/>
      <c r="M170" s="27"/>
      <c r="N170" s="206"/>
      <c r="O170" s="206"/>
      <c r="P170" s="206"/>
      <c r="Q170" s="206"/>
      <c r="R170" s="206"/>
      <c r="S170" s="195"/>
    </row>
    <row r="171" spans="1:19" s="24" customFormat="1" ht="12" x14ac:dyDescent="0.2">
      <c r="A171" s="21" t="s">
        <v>96</v>
      </c>
      <c r="B171" s="219"/>
      <c r="C171" s="219"/>
      <c r="D171" s="219"/>
      <c r="E171" s="219"/>
      <c r="F171" s="219"/>
      <c r="G171" s="219"/>
      <c r="H171" s="219"/>
      <c r="I171" s="26"/>
      <c r="J171" s="26"/>
      <c r="K171" s="26"/>
      <c r="L171" s="27"/>
      <c r="M171" s="27"/>
      <c r="N171" s="206"/>
      <c r="O171" s="206"/>
      <c r="P171" s="206"/>
      <c r="Q171" s="206"/>
      <c r="R171" s="206"/>
      <c r="S171" s="195"/>
    </row>
    <row r="172" spans="1:19" s="24" customFormat="1" ht="12" x14ac:dyDescent="0.2">
      <c r="A172" s="21" t="s">
        <v>97</v>
      </c>
      <c r="B172" s="219"/>
      <c r="C172" s="219"/>
      <c r="D172" s="219"/>
      <c r="E172" s="219"/>
      <c r="F172" s="221"/>
      <c r="G172" s="220"/>
      <c r="H172" s="219"/>
      <c r="I172" s="26"/>
      <c r="J172" s="91"/>
      <c r="K172" s="91"/>
      <c r="L172" s="91"/>
      <c r="M172" s="91"/>
      <c r="N172" s="206"/>
      <c r="O172" s="206"/>
      <c r="P172" s="206"/>
      <c r="Q172" s="206"/>
      <c r="R172" s="206"/>
      <c r="S172" s="195"/>
    </row>
    <row r="173" spans="1:19" s="32" customFormat="1" ht="12" x14ac:dyDescent="0.2">
      <c r="A173" s="30" t="s">
        <v>98</v>
      </c>
      <c r="B173" s="64">
        <f>SUM(B168:B172)</f>
        <v>0</v>
      </c>
      <c r="C173" s="64">
        <f t="shared" ref="C173:M173" si="20">SUM(C168:C172)</f>
        <v>0</v>
      </c>
      <c r="D173" s="64">
        <f t="shared" si="20"/>
        <v>0</v>
      </c>
      <c r="E173" s="64">
        <f t="shared" si="20"/>
        <v>0</v>
      </c>
      <c r="F173" s="64">
        <f t="shared" si="20"/>
        <v>0</v>
      </c>
      <c r="G173" s="64">
        <f t="shared" si="20"/>
        <v>0</v>
      </c>
      <c r="H173" s="64">
        <f t="shared" si="20"/>
        <v>0</v>
      </c>
      <c r="I173" s="64">
        <f t="shared" si="20"/>
        <v>0</v>
      </c>
      <c r="J173" s="64">
        <f t="shared" si="20"/>
        <v>0</v>
      </c>
      <c r="K173" s="64">
        <f t="shared" si="20"/>
        <v>0</v>
      </c>
      <c r="L173" s="64">
        <f t="shared" si="20"/>
        <v>0</v>
      </c>
      <c r="M173" s="64">
        <f t="shared" si="20"/>
        <v>0</v>
      </c>
      <c r="N173" s="206"/>
      <c r="O173" s="206"/>
      <c r="P173" s="206"/>
      <c r="Q173" s="206"/>
      <c r="R173" s="206"/>
      <c r="S173" s="195"/>
    </row>
    <row r="174" spans="1:19" s="24" customFormat="1" ht="12" x14ac:dyDescent="0.2">
      <c r="A174" s="35"/>
      <c r="B174" s="55"/>
      <c r="C174" s="55"/>
      <c r="D174" s="55"/>
      <c r="E174" s="55"/>
      <c r="F174" s="55"/>
      <c r="G174" s="55"/>
      <c r="H174" s="55"/>
      <c r="I174" s="56"/>
      <c r="J174" s="56"/>
      <c r="K174" s="56"/>
      <c r="L174" s="56"/>
      <c r="M174" s="56"/>
      <c r="N174" s="206"/>
      <c r="O174" s="206"/>
      <c r="P174" s="206"/>
      <c r="Q174" s="206"/>
      <c r="R174" s="206"/>
      <c r="S174" s="195"/>
    </row>
    <row r="175" spans="1:19" s="47" customFormat="1" x14ac:dyDescent="0.2">
      <c r="A175" s="18" t="s">
        <v>119</v>
      </c>
      <c r="B175" s="62" t="s">
        <v>82</v>
      </c>
      <c r="C175" s="62" t="s">
        <v>83</v>
      </c>
      <c r="D175" s="62" t="s">
        <v>84</v>
      </c>
      <c r="E175" s="62" t="s">
        <v>85</v>
      </c>
      <c r="F175" s="62" t="s">
        <v>86</v>
      </c>
      <c r="G175" s="62" t="s">
        <v>87</v>
      </c>
      <c r="H175" s="62" t="s">
        <v>88</v>
      </c>
      <c r="I175" s="62" t="s">
        <v>198</v>
      </c>
      <c r="J175" s="62" t="s">
        <v>89</v>
      </c>
      <c r="K175" s="62" t="s">
        <v>90</v>
      </c>
      <c r="L175" s="62" t="s">
        <v>91</v>
      </c>
      <c r="M175" s="62" t="s">
        <v>92</v>
      </c>
      <c r="N175" s="208"/>
      <c r="O175" s="208"/>
      <c r="P175" s="208"/>
      <c r="Q175" s="208"/>
      <c r="R175" s="208"/>
      <c r="S175" s="197"/>
    </row>
    <row r="176" spans="1:19" s="24" customFormat="1" ht="12" x14ac:dyDescent="0.2">
      <c r="A176" s="63" t="s">
        <v>93</v>
      </c>
      <c r="B176" s="219"/>
      <c r="C176" s="219"/>
      <c r="D176" s="219"/>
      <c r="E176" s="219"/>
      <c r="F176" s="219"/>
      <c r="G176" s="219"/>
      <c r="H176" s="219"/>
      <c r="I176" s="48"/>
      <c r="J176" s="48"/>
      <c r="K176" s="48"/>
      <c r="L176" s="27"/>
      <c r="M176" s="48"/>
      <c r="N176" s="206"/>
      <c r="O176" s="206"/>
      <c r="P176" s="206"/>
      <c r="Q176" s="206"/>
      <c r="R176" s="206"/>
      <c r="S176" s="195"/>
    </row>
    <row r="177" spans="1:19" s="24" customFormat="1" ht="12" x14ac:dyDescent="0.2">
      <c r="A177" s="63" t="s">
        <v>94</v>
      </c>
      <c r="B177" s="219"/>
      <c r="C177" s="219"/>
      <c r="D177" s="219"/>
      <c r="E177" s="219"/>
      <c r="F177" s="219"/>
      <c r="G177" s="219"/>
      <c r="H177" s="219"/>
      <c r="I177" s="48"/>
      <c r="J177" s="48"/>
      <c r="K177" s="48"/>
      <c r="L177" s="27"/>
      <c r="M177" s="48"/>
      <c r="N177" s="206"/>
      <c r="O177" s="206"/>
      <c r="P177" s="206"/>
      <c r="Q177" s="206"/>
      <c r="R177" s="206"/>
      <c r="S177" s="195"/>
    </row>
    <row r="178" spans="1:19" s="24" customFormat="1" ht="12" x14ac:dyDescent="0.2">
      <c r="A178" s="63" t="s">
        <v>95</v>
      </c>
      <c r="B178" s="219"/>
      <c r="C178" s="219"/>
      <c r="D178" s="219"/>
      <c r="E178" s="219"/>
      <c r="F178" s="219"/>
      <c r="G178" s="219"/>
      <c r="H178" s="219"/>
      <c r="I178" s="48"/>
      <c r="J178" s="48"/>
      <c r="K178" s="48"/>
      <c r="L178" s="27"/>
      <c r="M178" s="48"/>
      <c r="N178" s="206"/>
      <c r="O178" s="206"/>
      <c r="P178" s="206"/>
      <c r="Q178" s="206"/>
      <c r="R178" s="206"/>
      <c r="S178" s="195"/>
    </row>
    <row r="179" spans="1:19" s="24" customFormat="1" ht="12" x14ac:dyDescent="0.2">
      <c r="A179" s="63" t="s">
        <v>96</v>
      </c>
      <c r="B179" s="219"/>
      <c r="C179" s="219"/>
      <c r="D179" s="219"/>
      <c r="E179" s="219"/>
      <c r="F179" s="219"/>
      <c r="G179" s="219"/>
      <c r="H179" s="219"/>
      <c r="I179" s="48"/>
      <c r="J179" s="48"/>
      <c r="K179" s="48"/>
      <c r="L179" s="27"/>
      <c r="M179" s="48"/>
      <c r="N179" s="206"/>
      <c r="O179" s="206"/>
      <c r="P179" s="206"/>
      <c r="Q179" s="206"/>
      <c r="R179" s="206"/>
      <c r="S179" s="195"/>
    </row>
    <row r="180" spans="1:19" s="24" customFormat="1" ht="12" x14ac:dyDescent="0.2">
      <c r="A180" s="63" t="s">
        <v>97</v>
      </c>
      <c r="B180" s="227"/>
      <c r="C180" s="227"/>
      <c r="D180" s="227"/>
      <c r="E180" s="227"/>
      <c r="F180" s="221"/>
      <c r="G180" s="220"/>
      <c r="H180" s="220"/>
      <c r="I180" s="138"/>
      <c r="J180" s="93"/>
      <c r="K180" s="93"/>
      <c r="L180" s="95"/>
      <c r="M180" s="156"/>
      <c r="N180" s="206"/>
      <c r="O180" s="206"/>
      <c r="P180" s="206"/>
      <c r="Q180" s="206"/>
      <c r="R180" s="206"/>
      <c r="S180" s="195"/>
    </row>
    <row r="181" spans="1:19" s="32" customFormat="1" ht="12" x14ac:dyDescent="0.2">
      <c r="A181" s="30" t="s">
        <v>98</v>
      </c>
      <c r="B181" s="31">
        <f>SUM(B176:B180)</f>
        <v>0</v>
      </c>
      <c r="C181" s="31">
        <f t="shared" ref="C181:M181" si="21">SUM(C176:C180)</f>
        <v>0</v>
      </c>
      <c r="D181" s="31">
        <f t="shared" si="21"/>
        <v>0</v>
      </c>
      <c r="E181" s="31">
        <f t="shared" si="21"/>
        <v>0</v>
      </c>
      <c r="F181" s="31">
        <f t="shared" si="21"/>
        <v>0</v>
      </c>
      <c r="G181" s="31">
        <f t="shared" si="21"/>
        <v>0</v>
      </c>
      <c r="H181" s="31">
        <f t="shared" si="21"/>
        <v>0</v>
      </c>
      <c r="I181" s="31">
        <f t="shared" si="21"/>
        <v>0</v>
      </c>
      <c r="J181" s="31">
        <f t="shared" si="21"/>
        <v>0</v>
      </c>
      <c r="K181" s="31">
        <f t="shared" si="21"/>
        <v>0</v>
      </c>
      <c r="L181" s="31">
        <f t="shared" si="21"/>
        <v>0</v>
      </c>
      <c r="M181" s="31">
        <f t="shared" si="21"/>
        <v>0</v>
      </c>
      <c r="N181" s="206"/>
      <c r="O181" s="206"/>
      <c r="P181" s="206"/>
      <c r="Q181" s="206"/>
      <c r="R181" s="206"/>
      <c r="S181" s="195"/>
    </row>
    <row r="182" spans="1:19" s="24" customFormat="1" ht="12" x14ac:dyDescent="0.2">
      <c r="A182" s="61"/>
      <c r="B182" s="45"/>
      <c r="C182" s="45"/>
      <c r="D182" s="45"/>
      <c r="E182" s="45"/>
      <c r="F182" s="45"/>
      <c r="G182" s="45"/>
      <c r="H182" s="45"/>
      <c r="I182" s="46"/>
      <c r="J182" s="46"/>
      <c r="K182" s="46"/>
      <c r="L182" s="46"/>
      <c r="M182" s="46"/>
      <c r="N182" s="206"/>
      <c r="O182" s="204"/>
      <c r="P182" s="204"/>
      <c r="Q182" s="204"/>
      <c r="R182" s="204"/>
      <c r="S182" s="50"/>
    </row>
    <row r="183" spans="1:19" s="47" customFormat="1" x14ac:dyDescent="0.2">
      <c r="A183" s="18" t="s">
        <v>120</v>
      </c>
      <c r="B183" s="62" t="s">
        <v>82</v>
      </c>
      <c r="C183" s="62" t="s">
        <v>83</v>
      </c>
      <c r="D183" s="62" t="s">
        <v>84</v>
      </c>
      <c r="E183" s="62" t="s">
        <v>85</v>
      </c>
      <c r="F183" s="62" t="s">
        <v>86</v>
      </c>
      <c r="G183" s="62" t="s">
        <v>87</v>
      </c>
      <c r="H183" s="62" t="s">
        <v>88</v>
      </c>
      <c r="I183" s="62" t="s">
        <v>198</v>
      </c>
      <c r="J183" s="62" t="s">
        <v>89</v>
      </c>
      <c r="K183" s="62" t="s">
        <v>90</v>
      </c>
      <c r="L183" s="62" t="s">
        <v>91</v>
      </c>
      <c r="M183" s="62" t="s">
        <v>92</v>
      </c>
      <c r="N183" s="206"/>
      <c r="O183" s="208"/>
      <c r="P183" s="208"/>
      <c r="Q183" s="208"/>
      <c r="R183" s="208"/>
      <c r="S183" s="197"/>
    </row>
    <row r="184" spans="1:19" s="24" customFormat="1" ht="12" x14ac:dyDescent="0.2">
      <c r="A184" s="21" t="s">
        <v>93</v>
      </c>
      <c r="B184" s="219"/>
      <c r="C184" s="219"/>
      <c r="D184" s="219"/>
      <c r="E184" s="219"/>
      <c r="F184" s="219"/>
      <c r="G184" s="219"/>
      <c r="H184" s="219"/>
      <c r="I184" s="26"/>
      <c r="J184" s="26"/>
      <c r="K184" s="26"/>
      <c r="L184" s="27"/>
      <c r="M184" s="26"/>
      <c r="N184" s="206"/>
      <c r="O184" s="206"/>
      <c r="P184" s="206"/>
      <c r="Q184" s="206"/>
      <c r="R184" s="206"/>
      <c r="S184" s="195"/>
    </row>
    <row r="185" spans="1:19" s="24" customFormat="1" ht="12" x14ac:dyDescent="0.2">
      <c r="A185" s="21" t="s">
        <v>94</v>
      </c>
      <c r="B185" s="219"/>
      <c r="C185" s="219"/>
      <c r="D185" s="219"/>
      <c r="E185" s="219"/>
      <c r="F185" s="219"/>
      <c r="G185" s="219"/>
      <c r="H185" s="219"/>
      <c r="I185" s="26"/>
      <c r="J185" s="26"/>
      <c r="K185" s="26"/>
      <c r="L185" s="27"/>
      <c r="M185" s="26"/>
      <c r="N185" s="206"/>
      <c r="O185" s="206"/>
      <c r="P185" s="206"/>
      <c r="Q185" s="206"/>
      <c r="R185" s="206"/>
      <c r="S185" s="195"/>
    </row>
    <row r="186" spans="1:19" s="24" customFormat="1" ht="12" x14ac:dyDescent="0.2">
      <c r="A186" s="21" t="s">
        <v>95</v>
      </c>
      <c r="B186" s="219"/>
      <c r="C186" s="219"/>
      <c r="D186" s="219"/>
      <c r="E186" s="219"/>
      <c r="F186" s="219"/>
      <c r="G186" s="219"/>
      <c r="H186" s="219"/>
      <c r="I186" s="26"/>
      <c r="J186" s="26"/>
      <c r="K186" s="26"/>
      <c r="L186" s="27"/>
      <c r="M186" s="26"/>
      <c r="N186" s="206"/>
      <c r="O186" s="206"/>
      <c r="P186" s="206"/>
      <c r="Q186" s="206"/>
      <c r="R186" s="206"/>
      <c r="S186" s="195"/>
    </row>
    <row r="187" spans="1:19" s="24" customFormat="1" ht="12" x14ac:dyDescent="0.2">
      <c r="A187" s="21" t="s">
        <v>96</v>
      </c>
      <c r="B187" s="219"/>
      <c r="C187" s="219"/>
      <c r="D187" s="219"/>
      <c r="E187" s="219"/>
      <c r="F187" s="219"/>
      <c r="G187" s="219"/>
      <c r="H187" s="219"/>
      <c r="I187" s="26"/>
      <c r="J187" s="26"/>
      <c r="K187" s="26"/>
      <c r="L187" s="27"/>
      <c r="M187" s="26"/>
      <c r="N187" s="206"/>
      <c r="O187" s="206"/>
      <c r="P187" s="206"/>
      <c r="Q187" s="206"/>
      <c r="R187" s="206"/>
      <c r="S187" s="195"/>
    </row>
    <row r="188" spans="1:19" s="24" customFormat="1" ht="12" x14ac:dyDescent="0.2">
      <c r="A188" s="21" t="s">
        <v>97</v>
      </c>
      <c r="B188" s="26"/>
      <c r="C188" s="26"/>
      <c r="D188" s="26"/>
      <c r="E188" s="26"/>
      <c r="F188" s="155"/>
      <c r="G188" s="22"/>
      <c r="H188" s="26"/>
      <c r="I188" s="26"/>
      <c r="J188" s="26"/>
      <c r="K188" s="26"/>
      <c r="L188" s="26"/>
      <c r="M188" s="26"/>
      <c r="N188" s="206"/>
      <c r="O188" s="206"/>
      <c r="P188" s="206"/>
      <c r="Q188" s="206"/>
      <c r="R188" s="206"/>
      <c r="S188" s="195"/>
    </row>
    <row r="189" spans="1:19" s="32" customFormat="1" ht="12" x14ac:dyDescent="0.2">
      <c r="A189" s="30" t="s">
        <v>98</v>
      </c>
      <c r="B189" s="64">
        <f>SUM(B184:B188)</f>
        <v>0</v>
      </c>
      <c r="C189" s="64">
        <f t="shared" ref="C189:M189" si="22">SUM(C184:C188)</f>
        <v>0</v>
      </c>
      <c r="D189" s="64">
        <f t="shared" si="22"/>
        <v>0</v>
      </c>
      <c r="E189" s="64">
        <f t="shared" si="22"/>
        <v>0</v>
      </c>
      <c r="F189" s="64">
        <f t="shared" si="22"/>
        <v>0</v>
      </c>
      <c r="G189" s="64">
        <f t="shared" si="22"/>
        <v>0</v>
      </c>
      <c r="H189" s="64">
        <f t="shared" si="22"/>
        <v>0</v>
      </c>
      <c r="I189" s="64">
        <f t="shared" si="22"/>
        <v>0</v>
      </c>
      <c r="J189" s="64">
        <f t="shared" si="22"/>
        <v>0</v>
      </c>
      <c r="K189" s="64">
        <f t="shared" si="22"/>
        <v>0</v>
      </c>
      <c r="L189" s="64">
        <f t="shared" si="22"/>
        <v>0</v>
      </c>
      <c r="M189" s="64">
        <f t="shared" si="22"/>
        <v>0</v>
      </c>
      <c r="N189" s="206"/>
      <c r="O189" s="206"/>
      <c r="P189" s="206"/>
      <c r="Q189" s="206"/>
      <c r="R189" s="206"/>
      <c r="S189" s="195"/>
    </row>
    <row r="190" spans="1:19" s="24" customFormat="1" ht="12" x14ac:dyDescent="0.2">
      <c r="A190" s="70"/>
      <c r="B190" s="55"/>
      <c r="C190" s="55"/>
      <c r="D190" s="55"/>
      <c r="E190" s="55"/>
      <c r="F190" s="55"/>
      <c r="G190" s="55"/>
      <c r="H190" s="55"/>
      <c r="I190" s="56"/>
      <c r="J190" s="56"/>
      <c r="K190" s="56"/>
      <c r="L190" s="56"/>
      <c r="M190" s="56"/>
      <c r="N190" s="206"/>
      <c r="O190" s="206"/>
      <c r="P190" s="206"/>
      <c r="Q190" s="206"/>
      <c r="R190" s="206"/>
      <c r="S190" s="195"/>
    </row>
    <row r="191" spans="1:19" s="47" customFormat="1" x14ac:dyDescent="0.2">
      <c r="A191" s="18" t="s">
        <v>121</v>
      </c>
      <c r="B191" s="62" t="s">
        <v>82</v>
      </c>
      <c r="C191" s="62" t="s">
        <v>83</v>
      </c>
      <c r="D191" s="62" t="s">
        <v>84</v>
      </c>
      <c r="E191" s="62" t="s">
        <v>85</v>
      </c>
      <c r="F191" s="62" t="s">
        <v>86</v>
      </c>
      <c r="G191" s="62" t="s">
        <v>87</v>
      </c>
      <c r="H191" s="62" t="s">
        <v>88</v>
      </c>
      <c r="I191" s="62" t="s">
        <v>198</v>
      </c>
      <c r="J191" s="62" t="s">
        <v>89</v>
      </c>
      <c r="K191" s="62" t="s">
        <v>90</v>
      </c>
      <c r="L191" s="62" t="s">
        <v>91</v>
      </c>
      <c r="M191" s="62" t="s">
        <v>92</v>
      </c>
      <c r="N191" s="206"/>
      <c r="O191" s="208"/>
      <c r="P191" s="208"/>
      <c r="Q191" s="208"/>
      <c r="R191" s="208"/>
      <c r="S191" s="197"/>
    </row>
    <row r="192" spans="1:19" s="24" customFormat="1" ht="12" x14ac:dyDescent="0.2">
      <c r="A192" s="21" t="s">
        <v>93</v>
      </c>
      <c r="B192" s="219"/>
      <c r="C192" s="219"/>
      <c r="D192" s="219"/>
      <c r="E192" s="219"/>
      <c r="F192" s="219"/>
      <c r="G192" s="219"/>
      <c r="H192" s="219"/>
      <c r="I192" s="26"/>
      <c r="J192" s="26"/>
      <c r="K192" s="26"/>
      <c r="L192" s="27"/>
      <c r="M192" s="26"/>
      <c r="N192" s="206"/>
      <c r="O192" s="206"/>
      <c r="P192" s="206"/>
      <c r="Q192" s="206"/>
      <c r="R192" s="206"/>
      <c r="S192" s="195"/>
    </row>
    <row r="193" spans="1:19" s="24" customFormat="1" ht="12" x14ac:dyDescent="0.2">
      <c r="A193" s="21" t="s">
        <v>94</v>
      </c>
      <c r="B193" s="219"/>
      <c r="C193" s="219"/>
      <c r="D193" s="219"/>
      <c r="E193" s="219"/>
      <c r="F193" s="219"/>
      <c r="G193" s="219"/>
      <c r="H193" s="219"/>
      <c r="I193" s="26"/>
      <c r="J193" s="26"/>
      <c r="K193" s="26"/>
      <c r="L193" s="27"/>
      <c r="M193" s="26"/>
      <c r="N193" s="206"/>
      <c r="O193" s="206"/>
      <c r="P193" s="206"/>
      <c r="Q193" s="206"/>
      <c r="R193" s="206"/>
      <c r="S193" s="195"/>
    </row>
    <row r="194" spans="1:19" s="24" customFormat="1" ht="12" x14ac:dyDescent="0.2">
      <c r="A194" s="21" t="s">
        <v>95</v>
      </c>
      <c r="B194" s="219"/>
      <c r="C194" s="219"/>
      <c r="D194" s="219"/>
      <c r="E194" s="219"/>
      <c r="F194" s="219"/>
      <c r="G194" s="219"/>
      <c r="H194" s="219"/>
      <c r="I194" s="26"/>
      <c r="J194" s="26"/>
      <c r="K194" s="26"/>
      <c r="L194" s="27"/>
      <c r="M194" s="26"/>
      <c r="N194" s="206"/>
      <c r="O194" s="206"/>
      <c r="P194" s="206"/>
      <c r="Q194" s="206"/>
      <c r="R194" s="206"/>
      <c r="S194" s="195"/>
    </row>
    <row r="195" spans="1:19" s="24" customFormat="1" ht="12" x14ac:dyDescent="0.2">
      <c r="A195" s="21" t="s">
        <v>96</v>
      </c>
      <c r="B195" s="219"/>
      <c r="C195" s="219"/>
      <c r="D195" s="219"/>
      <c r="E195" s="219"/>
      <c r="F195" s="219"/>
      <c r="G195" s="219"/>
      <c r="H195" s="219"/>
      <c r="I195" s="26"/>
      <c r="J195" s="26"/>
      <c r="K195" s="26"/>
      <c r="L195" s="27"/>
      <c r="M195" s="26"/>
      <c r="N195" s="206"/>
      <c r="O195" s="206"/>
      <c r="P195" s="206"/>
      <c r="Q195" s="206"/>
      <c r="R195" s="206"/>
      <c r="S195" s="195"/>
    </row>
    <row r="196" spans="1:19" s="24" customFormat="1" ht="12" x14ac:dyDescent="0.2">
      <c r="A196" s="21" t="s">
        <v>97</v>
      </c>
      <c r="B196" s="220"/>
      <c r="C196" s="220"/>
      <c r="D196" s="220"/>
      <c r="E196" s="220"/>
      <c r="F196" s="221"/>
      <c r="G196" s="220"/>
      <c r="H196" s="220"/>
      <c r="I196" s="22"/>
      <c r="J196" s="22"/>
      <c r="K196" s="22"/>
      <c r="L196" s="23"/>
      <c r="M196" s="22"/>
      <c r="N196" s="206"/>
      <c r="O196" s="206"/>
      <c r="P196" s="206"/>
      <c r="Q196" s="206"/>
      <c r="R196" s="206"/>
      <c r="S196" s="195"/>
    </row>
    <row r="197" spans="1:19" s="32" customFormat="1" ht="12" x14ac:dyDescent="0.2">
      <c r="A197" s="30" t="s">
        <v>98</v>
      </c>
      <c r="B197" s="31">
        <f>SUM(B192:B196)</f>
        <v>0</v>
      </c>
      <c r="C197" s="31">
        <f>SUM(C192:C196)</f>
        <v>0</v>
      </c>
      <c r="D197" s="31">
        <f t="shared" ref="D197:M197" si="23">SUM(D192:D196)</f>
        <v>0</v>
      </c>
      <c r="E197" s="31">
        <f t="shared" si="23"/>
        <v>0</v>
      </c>
      <c r="F197" s="31">
        <f t="shared" si="23"/>
        <v>0</v>
      </c>
      <c r="G197" s="31">
        <f t="shared" si="23"/>
        <v>0</v>
      </c>
      <c r="H197" s="31">
        <f t="shared" si="23"/>
        <v>0</v>
      </c>
      <c r="I197" s="31">
        <f t="shared" si="23"/>
        <v>0</v>
      </c>
      <c r="J197" s="31">
        <f t="shared" si="23"/>
        <v>0</v>
      </c>
      <c r="K197" s="31">
        <f t="shared" si="23"/>
        <v>0</v>
      </c>
      <c r="L197" s="31">
        <f t="shared" si="23"/>
        <v>0</v>
      </c>
      <c r="M197" s="31">
        <f t="shared" si="23"/>
        <v>0</v>
      </c>
      <c r="N197" s="206"/>
      <c r="O197" s="206"/>
      <c r="P197" s="206"/>
      <c r="Q197" s="206"/>
      <c r="R197" s="206"/>
      <c r="S197" s="195"/>
    </row>
    <row r="198" spans="1:19" x14ac:dyDescent="0.2">
      <c r="A198" s="71"/>
      <c r="B198" s="16"/>
      <c r="C198" s="16"/>
      <c r="D198" s="16"/>
      <c r="E198" s="16"/>
      <c r="F198" s="16"/>
      <c r="G198" s="16"/>
      <c r="H198" s="16"/>
      <c r="I198" s="72"/>
      <c r="J198" s="72"/>
      <c r="K198" s="72"/>
      <c r="L198" s="72"/>
      <c r="M198" s="72"/>
      <c r="N198" s="206"/>
    </row>
    <row r="199" spans="1:19" s="47" customFormat="1" x14ac:dyDescent="0.2">
      <c r="A199" s="18" t="s">
        <v>122</v>
      </c>
      <c r="B199" s="62" t="s">
        <v>82</v>
      </c>
      <c r="C199" s="62" t="s">
        <v>83</v>
      </c>
      <c r="D199" s="62" t="s">
        <v>84</v>
      </c>
      <c r="E199" s="62" t="s">
        <v>85</v>
      </c>
      <c r="F199" s="62" t="s">
        <v>86</v>
      </c>
      <c r="G199" s="62" t="s">
        <v>87</v>
      </c>
      <c r="H199" s="62" t="s">
        <v>88</v>
      </c>
      <c r="I199" s="62" t="s">
        <v>198</v>
      </c>
      <c r="J199" s="62" t="s">
        <v>89</v>
      </c>
      <c r="K199" s="62" t="s">
        <v>90</v>
      </c>
      <c r="L199" s="62" t="s">
        <v>91</v>
      </c>
      <c r="M199" s="62" t="s">
        <v>92</v>
      </c>
      <c r="N199" s="206"/>
      <c r="O199" s="208"/>
      <c r="P199" s="208"/>
      <c r="Q199" s="208"/>
      <c r="R199" s="208"/>
      <c r="S199" s="197"/>
    </row>
    <row r="200" spans="1:19" s="24" customFormat="1" ht="12" x14ac:dyDescent="0.2">
      <c r="A200" s="21" t="s">
        <v>93</v>
      </c>
      <c r="B200" s="219"/>
      <c r="C200" s="219"/>
      <c r="D200" s="219"/>
      <c r="E200" s="219"/>
      <c r="F200" s="219"/>
      <c r="G200" s="219"/>
      <c r="H200" s="219"/>
      <c r="I200" s="26"/>
      <c r="J200" s="26"/>
      <c r="K200" s="26"/>
      <c r="L200" s="27"/>
      <c r="M200" s="26"/>
      <c r="N200" s="206"/>
      <c r="O200" s="206"/>
      <c r="P200" s="206"/>
      <c r="Q200" s="206"/>
      <c r="R200" s="206"/>
      <c r="S200" s="195"/>
    </row>
    <row r="201" spans="1:19" s="24" customFormat="1" ht="12" x14ac:dyDescent="0.2">
      <c r="A201" s="21" t="s">
        <v>94</v>
      </c>
      <c r="B201" s="219"/>
      <c r="C201" s="219"/>
      <c r="D201" s="219"/>
      <c r="E201" s="228"/>
      <c r="F201" s="219"/>
      <c r="G201" s="219"/>
      <c r="H201" s="219"/>
      <c r="I201" s="26"/>
      <c r="J201" s="26"/>
      <c r="K201" s="26"/>
      <c r="L201" s="27"/>
      <c r="M201" s="26"/>
      <c r="N201" s="206"/>
      <c r="O201" s="206"/>
      <c r="P201" s="206"/>
      <c r="Q201" s="206"/>
      <c r="R201" s="206"/>
      <c r="S201" s="195"/>
    </row>
    <row r="202" spans="1:19" s="24" customFormat="1" ht="12" x14ac:dyDescent="0.2">
      <c r="A202" s="21" t="s">
        <v>95</v>
      </c>
      <c r="B202" s="219"/>
      <c r="C202" s="219"/>
      <c r="D202" s="219"/>
      <c r="E202" s="219"/>
      <c r="F202" s="219"/>
      <c r="G202" s="219"/>
      <c r="H202" s="219"/>
      <c r="I202" s="26"/>
      <c r="J202" s="26"/>
      <c r="K202" s="26"/>
      <c r="L202" s="96"/>
      <c r="M202" s="26"/>
      <c r="N202" s="206"/>
      <c r="O202" s="206"/>
      <c r="P202" s="206"/>
      <c r="Q202" s="206"/>
      <c r="R202" s="206"/>
      <c r="S202" s="195"/>
    </row>
    <row r="203" spans="1:19" s="24" customFormat="1" ht="12" x14ac:dyDescent="0.2">
      <c r="A203" s="21" t="s">
        <v>96</v>
      </c>
      <c r="B203" s="219"/>
      <c r="C203" s="219"/>
      <c r="D203" s="219"/>
      <c r="E203" s="219"/>
      <c r="F203" s="219"/>
      <c r="G203" s="219"/>
      <c r="H203" s="219"/>
      <c r="I203" s="26"/>
      <c r="J203" s="26"/>
      <c r="K203" s="26"/>
      <c r="L203" s="27"/>
      <c r="M203" s="26"/>
      <c r="N203" s="206"/>
      <c r="O203" s="206"/>
      <c r="P203" s="206"/>
      <c r="Q203" s="206"/>
      <c r="R203" s="206"/>
      <c r="S203" s="195"/>
    </row>
    <row r="204" spans="1:19" s="24" customFormat="1" ht="12" x14ac:dyDescent="0.2">
      <c r="A204" s="21" t="s">
        <v>97</v>
      </c>
      <c r="B204" s="219"/>
      <c r="C204" s="219"/>
      <c r="D204" s="219"/>
      <c r="E204" s="219"/>
      <c r="F204" s="219"/>
      <c r="G204" s="219"/>
      <c r="H204" s="219"/>
      <c r="I204" s="26"/>
      <c r="J204" s="26"/>
      <c r="K204" s="26"/>
      <c r="L204" s="27"/>
      <c r="M204" s="26"/>
      <c r="N204" s="206"/>
      <c r="O204" s="206"/>
      <c r="P204" s="206"/>
      <c r="Q204" s="206"/>
      <c r="R204" s="206"/>
      <c r="S204" s="195"/>
    </row>
    <row r="205" spans="1:19" s="32" customFormat="1" ht="12" x14ac:dyDescent="0.2">
      <c r="A205" s="30" t="s">
        <v>98</v>
      </c>
      <c r="B205" s="64">
        <f>SUM(B200:B204)</f>
        <v>0</v>
      </c>
      <c r="C205" s="64">
        <f t="shared" ref="C205:M205" si="24">SUM(C200:C204)</f>
        <v>0</v>
      </c>
      <c r="D205" s="64">
        <f t="shared" si="24"/>
        <v>0</v>
      </c>
      <c r="E205" s="64">
        <f t="shared" si="24"/>
        <v>0</v>
      </c>
      <c r="F205" s="64">
        <f t="shared" si="24"/>
        <v>0</v>
      </c>
      <c r="G205" s="64">
        <f t="shared" si="24"/>
        <v>0</v>
      </c>
      <c r="H205" s="64">
        <f t="shared" si="24"/>
        <v>0</v>
      </c>
      <c r="I205" s="64">
        <f t="shared" si="24"/>
        <v>0</v>
      </c>
      <c r="J205" s="64">
        <f t="shared" si="24"/>
        <v>0</v>
      </c>
      <c r="K205" s="64">
        <f t="shared" si="24"/>
        <v>0</v>
      </c>
      <c r="L205" s="64">
        <f t="shared" si="24"/>
        <v>0</v>
      </c>
      <c r="M205" s="64">
        <f t="shared" si="24"/>
        <v>0</v>
      </c>
      <c r="N205" s="206"/>
      <c r="O205" s="206"/>
      <c r="P205" s="206"/>
      <c r="Q205" s="206"/>
      <c r="R205" s="206"/>
      <c r="S205" s="195"/>
    </row>
    <row r="206" spans="1:19" x14ac:dyDescent="0.2">
      <c r="A206" s="71"/>
      <c r="B206" s="73"/>
      <c r="C206" s="73"/>
      <c r="D206" s="73"/>
      <c r="E206" s="73"/>
      <c r="F206" s="73"/>
      <c r="G206" s="73"/>
      <c r="H206" s="73"/>
      <c r="I206" s="72"/>
      <c r="J206" s="72"/>
      <c r="K206" s="72"/>
      <c r="L206" s="72"/>
      <c r="M206" s="72"/>
      <c r="N206" s="206"/>
      <c r="O206" s="207"/>
      <c r="P206" s="207"/>
      <c r="Q206" s="207"/>
      <c r="R206" s="207"/>
      <c r="S206" s="196"/>
    </row>
    <row r="207" spans="1:19" s="47" customFormat="1" x14ac:dyDescent="0.2">
      <c r="A207" s="18" t="s">
        <v>123</v>
      </c>
      <c r="B207" s="62" t="s">
        <v>82</v>
      </c>
      <c r="C207" s="62" t="s">
        <v>83</v>
      </c>
      <c r="D207" s="62" t="s">
        <v>84</v>
      </c>
      <c r="E207" s="62" t="s">
        <v>85</v>
      </c>
      <c r="F207" s="62" t="s">
        <v>86</v>
      </c>
      <c r="G207" s="62" t="s">
        <v>87</v>
      </c>
      <c r="H207" s="62" t="s">
        <v>88</v>
      </c>
      <c r="I207" s="62" t="s">
        <v>198</v>
      </c>
      <c r="J207" s="62" t="s">
        <v>89</v>
      </c>
      <c r="K207" s="62" t="s">
        <v>90</v>
      </c>
      <c r="L207" s="62" t="s">
        <v>91</v>
      </c>
      <c r="M207" s="62" t="s">
        <v>92</v>
      </c>
      <c r="N207" s="206"/>
      <c r="O207" s="208"/>
      <c r="P207" s="208"/>
      <c r="Q207" s="208"/>
      <c r="R207" s="208"/>
      <c r="S207" s="197"/>
    </row>
    <row r="208" spans="1:19" s="24" customFormat="1" ht="12" x14ac:dyDescent="0.2">
      <c r="A208" s="21" t="s">
        <v>93</v>
      </c>
      <c r="B208" s="219"/>
      <c r="C208" s="219"/>
      <c r="D208" s="219"/>
      <c r="E208" s="219"/>
      <c r="F208" s="219"/>
      <c r="G208" s="219"/>
      <c r="H208" s="219"/>
      <c r="I208" s="26"/>
      <c r="J208" s="26"/>
      <c r="K208" s="26"/>
      <c r="L208" s="27"/>
      <c r="M208" s="26"/>
      <c r="N208" s="206"/>
      <c r="O208" s="206"/>
      <c r="P208" s="206"/>
      <c r="Q208" s="206"/>
      <c r="R208" s="206"/>
      <c r="S208" s="195"/>
    </row>
    <row r="209" spans="1:19" s="24" customFormat="1" ht="12" x14ac:dyDescent="0.2">
      <c r="A209" s="21" t="s">
        <v>94</v>
      </c>
      <c r="B209" s="219"/>
      <c r="C209" s="219"/>
      <c r="D209" s="219"/>
      <c r="E209" s="219"/>
      <c r="F209" s="219"/>
      <c r="G209" s="219"/>
      <c r="H209" s="219"/>
      <c r="I209" s="26"/>
      <c r="J209" s="26"/>
      <c r="K209" s="26"/>
      <c r="L209" s="27"/>
      <c r="M209" s="26"/>
      <c r="N209" s="206"/>
      <c r="O209" s="206"/>
      <c r="P209" s="206"/>
      <c r="Q209" s="206"/>
      <c r="R209" s="206"/>
      <c r="S209" s="195"/>
    </row>
    <row r="210" spans="1:19" s="24" customFormat="1" ht="12" x14ac:dyDescent="0.2">
      <c r="A210" s="21" t="s">
        <v>95</v>
      </c>
      <c r="B210" s="219"/>
      <c r="C210" s="219"/>
      <c r="D210" s="219"/>
      <c r="E210" s="219"/>
      <c r="F210" s="219"/>
      <c r="G210" s="219"/>
      <c r="H210" s="219"/>
      <c r="I210" s="26"/>
      <c r="J210" s="26"/>
      <c r="K210" s="26"/>
      <c r="L210" s="96"/>
      <c r="M210" s="26"/>
      <c r="N210" s="206"/>
      <c r="O210" s="206"/>
      <c r="P210" s="206"/>
      <c r="Q210" s="206"/>
      <c r="R210" s="206"/>
      <c r="S210" s="195"/>
    </row>
    <row r="211" spans="1:19" s="24" customFormat="1" ht="12" x14ac:dyDescent="0.2">
      <c r="A211" s="21" t="s">
        <v>96</v>
      </c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7"/>
      <c r="M211" s="26"/>
      <c r="N211" s="206"/>
      <c r="O211" s="206"/>
      <c r="P211" s="206"/>
      <c r="Q211" s="206"/>
      <c r="R211" s="206"/>
      <c r="S211" s="195"/>
    </row>
    <row r="212" spans="1:19" s="24" customFormat="1" ht="12" x14ac:dyDescent="0.2">
      <c r="A212" s="21" t="s">
        <v>97</v>
      </c>
      <c r="B212" s="26"/>
      <c r="C212" s="26"/>
      <c r="D212" s="26"/>
      <c r="E212" s="26"/>
      <c r="F212" s="155"/>
      <c r="G212" s="22"/>
      <c r="H212" s="26"/>
      <c r="I212" s="26"/>
      <c r="J212" s="26"/>
      <c r="K212" s="26"/>
      <c r="L212" s="96"/>
      <c r="M212" s="26"/>
      <c r="N212" s="206"/>
      <c r="O212" s="206"/>
      <c r="P212" s="206"/>
      <c r="Q212" s="206"/>
      <c r="R212" s="206"/>
      <c r="S212" s="195"/>
    </row>
    <row r="213" spans="1:19" s="32" customFormat="1" ht="12" x14ac:dyDescent="0.2">
      <c r="A213" s="30" t="s">
        <v>98</v>
      </c>
      <c r="B213" s="64">
        <f>SUM(B208:B212)</f>
        <v>0</v>
      </c>
      <c r="C213" s="64">
        <f t="shared" ref="C213:M213" si="25">SUM(C208:C212)</f>
        <v>0</v>
      </c>
      <c r="D213" s="64">
        <f t="shared" si="25"/>
        <v>0</v>
      </c>
      <c r="E213" s="64">
        <f t="shared" si="25"/>
        <v>0</v>
      </c>
      <c r="F213" s="64">
        <f t="shared" si="25"/>
        <v>0</v>
      </c>
      <c r="G213" s="64">
        <f t="shared" si="25"/>
        <v>0</v>
      </c>
      <c r="H213" s="64">
        <f t="shared" si="25"/>
        <v>0</v>
      </c>
      <c r="I213" s="64">
        <f t="shared" si="25"/>
        <v>0</v>
      </c>
      <c r="J213" s="64">
        <f t="shared" si="25"/>
        <v>0</v>
      </c>
      <c r="K213" s="64">
        <f t="shared" si="25"/>
        <v>0</v>
      </c>
      <c r="L213" s="64">
        <f t="shared" si="25"/>
        <v>0</v>
      </c>
      <c r="M213" s="64">
        <f t="shared" si="25"/>
        <v>0</v>
      </c>
      <c r="N213" s="206"/>
      <c r="O213" s="206"/>
      <c r="P213" s="206"/>
      <c r="Q213" s="206"/>
      <c r="R213" s="206"/>
      <c r="S213" s="195"/>
    </row>
    <row r="214" spans="1:19" x14ac:dyDescent="0.2">
      <c r="A214" s="71"/>
      <c r="B214" s="73"/>
      <c r="C214" s="73"/>
      <c r="D214" s="73"/>
      <c r="E214" s="73"/>
      <c r="F214" s="73"/>
      <c r="G214" s="73"/>
      <c r="H214" s="73"/>
      <c r="I214" s="72"/>
      <c r="J214" s="72"/>
      <c r="K214" s="72"/>
      <c r="L214" s="72"/>
      <c r="M214" s="72"/>
      <c r="N214" s="206"/>
      <c r="O214" s="207"/>
      <c r="P214" s="207"/>
      <c r="Q214" s="207"/>
      <c r="R214" s="207"/>
      <c r="S214" s="196"/>
    </row>
    <row r="215" spans="1:19" s="47" customFormat="1" x14ac:dyDescent="0.2">
      <c r="A215" s="18" t="s">
        <v>124</v>
      </c>
      <c r="B215" s="62" t="s">
        <v>82</v>
      </c>
      <c r="C215" s="62" t="s">
        <v>83</v>
      </c>
      <c r="D215" s="62" t="s">
        <v>84</v>
      </c>
      <c r="E215" s="62" t="s">
        <v>85</v>
      </c>
      <c r="F215" s="62" t="s">
        <v>86</v>
      </c>
      <c r="G215" s="62" t="s">
        <v>87</v>
      </c>
      <c r="H215" s="62" t="s">
        <v>88</v>
      </c>
      <c r="I215" s="62" t="s">
        <v>198</v>
      </c>
      <c r="J215" s="62" t="s">
        <v>89</v>
      </c>
      <c r="K215" s="62" t="s">
        <v>90</v>
      </c>
      <c r="L215" s="62" t="s">
        <v>91</v>
      </c>
      <c r="M215" s="62" t="s">
        <v>92</v>
      </c>
      <c r="N215" s="206"/>
      <c r="O215" s="208"/>
      <c r="P215" s="208"/>
      <c r="Q215" s="208"/>
      <c r="R215" s="208"/>
      <c r="S215" s="197"/>
    </row>
    <row r="216" spans="1:19" s="24" customFormat="1" ht="12" x14ac:dyDescent="0.2">
      <c r="A216" s="21" t="s">
        <v>93</v>
      </c>
      <c r="B216" s="219"/>
      <c r="C216" s="219"/>
      <c r="D216" s="219"/>
      <c r="E216" s="219"/>
      <c r="F216" s="219"/>
      <c r="G216" s="219"/>
      <c r="H216" s="219"/>
      <c r="I216" s="26"/>
      <c r="J216" s="26"/>
      <c r="K216" s="26"/>
      <c r="L216" s="27"/>
      <c r="M216" s="26"/>
      <c r="N216" s="206"/>
      <c r="O216" s="206"/>
      <c r="P216" s="206"/>
      <c r="Q216" s="206"/>
      <c r="R216" s="206"/>
      <c r="S216" s="195"/>
    </row>
    <row r="217" spans="1:19" s="24" customFormat="1" ht="12" x14ac:dyDescent="0.2">
      <c r="A217" s="21" t="s">
        <v>94</v>
      </c>
      <c r="B217" s="219"/>
      <c r="C217" s="219"/>
      <c r="D217" s="219"/>
      <c r="E217" s="219"/>
      <c r="F217" s="219"/>
      <c r="G217" s="219"/>
      <c r="H217" s="219"/>
      <c r="I217" s="26"/>
      <c r="J217" s="26"/>
      <c r="K217" s="26"/>
      <c r="L217" s="27"/>
      <c r="M217" s="26"/>
      <c r="N217" s="206"/>
      <c r="O217" s="206"/>
      <c r="P217" s="206"/>
      <c r="Q217" s="206"/>
      <c r="R217" s="206"/>
      <c r="S217" s="195"/>
    </row>
    <row r="218" spans="1:19" s="24" customFormat="1" ht="12" x14ac:dyDescent="0.2">
      <c r="A218" s="21" t="s">
        <v>95</v>
      </c>
      <c r="B218" s="219"/>
      <c r="C218" s="219"/>
      <c r="D218" s="219"/>
      <c r="E218" s="219"/>
      <c r="F218" s="219"/>
      <c r="G218" s="219"/>
      <c r="H218" s="219"/>
      <c r="I218" s="26">
        <v>255.87910000000002</v>
      </c>
      <c r="J218" s="26">
        <v>3969.0892100000005</v>
      </c>
      <c r="K218" s="26">
        <v>3969.0892100000005</v>
      </c>
      <c r="L218" s="27">
        <v>3969.0892100000005</v>
      </c>
      <c r="M218" s="26"/>
      <c r="N218" s="206"/>
      <c r="O218" s="206"/>
      <c r="P218" s="206"/>
      <c r="Q218" s="206"/>
      <c r="R218" s="206"/>
      <c r="S218" s="195"/>
    </row>
    <row r="219" spans="1:19" s="24" customFormat="1" ht="12" x14ac:dyDescent="0.2">
      <c r="A219" s="21" t="s">
        <v>96</v>
      </c>
      <c r="B219" s="219"/>
      <c r="C219" s="219"/>
      <c r="D219" s="219"/>
      <c r="E219" s="219"/>
      <c r="F219" s="219"/>
      <c r="G219" s="219"/>
      <c r="H219" s="219"/>
      <c r="I219" s="26"/>
      <c r="J219" s="26"/>
      <c r="K219" s="26"/>
      <c r="L219" s="27"/>
      <c r="M219" s="26"/>
      <c r="N219" s="206"/>
      <c r="O219" s="206"/>
      <c r="P219" s="206"/>
      <c r="Q219" s="206"/>
      <c r="R219" s="206"/>
      <c r="S219" s="195"/>
    </row>
    <row r="220" spans="1:19" s="24" customFormat="1" ht="12" x14ac:dyDescent="0.2">
      <c r="A220" s="21" t="s">
        <v>97</v>
      </c>
      <c r="B220" s="219"/>
      <c r="C220" s="219"/>
      <c r="D220" s="219"/>
      <c r="E220" s="219"/>
      <c r="F220" s="221"/>
      <c r="G220" s="220"/>
      <c r="H220" s="219"/>
      <c r="I220" s="26"/>
      <c r="J220" s="26"/>
      <c r="K220" s="26"/>
      <c r="L220" s="27"/>
      <c r="M220" s="26"/>
      <c r="N220" s="206"/>
      <c r="O220" s="206"/>
      <c r="P220" s="206"/>
      <c r="Q220" s="206"/>
      <c r="R220" s="206"/>
      <c r="S220" s="195"/>
    </row>
    <row r="221" spans="1:19" s="32" customFormat="1" ht="12" x14ac:dyDescent="0.2">
      <c r="A221" s="30" t="s">
        <v>98</v>
      </c>
      <c r="B221" s="64">
        <f>SUM(B216:B220)</f>
        <v>0</v>
      </c>
      <c r="C221" s="64">
        <f t="shared" ref="C221:M221" si="26">SUM(C216:C220)</f>
        <v>0</v>
      </c>
      <c r="D221" s="64">
        <f t="shared" si="26"/>
        <v>0</v>
      </c>
      <c r="E221" s="64">
        <f t="shared" si="26"/>
        <v>0</v>
      </c>
      <c r="F221" s="64">
        <f t="shared" si="26"/>
        <v>0</v>
      </c>
      <c r="G221" s="64">
        <f t="shared" si="26"/>
        <v>0</v>
      </c>
      <c r="H221" s="64">
        <f t="shared" si="26"/>
        <v>0</v>
      </c>
      <c r="I221" s="64">
        <f t="shared" si="26"/>
        <v>255.87910000000002</v>
      </c>
      <c r="J221" s="64">
        <f t="shared" si="26"/>
        <v>3969.0892100000005</v>
      </c>
      <c r="K221" s="64">
        <f t="shared" si="26"/>
        <v>3969.0892100000005</v>
      </c>
      <c r="L221" s="64">
        <f t="shared" si="26"/>
        <v>3969.0892100000005</v>
      </c>
      <c r="M221" s="64">
        <f t="shared" si="26"/>
        <v>0</v>
      </c>
      <c r="N221" s="206"/>
      <c r="O221" s="206"/>
      <c r="P221" s="206"/>
      <c r="Q221" s="206"/>
      <c r="R221" s="206"/>
      <c r="S221" s="195"/>
    </row>
    <row r="222" spans="1:19" s="10" customFormat="1" x14ac:dyDescent="0.2">
      <c r="A222" s="75"/>
      <c r="B222" s="76"/>
      <c r="C222" s="76"/>
      <c r="D222" s="76"/>
      <c r="E222" s="76"/>
      <c r="F222" s="76"/>
      <c r="G222" s="76"/>
      <c r="H222" s="76"/>
      <c r="I222" s="77"/>
      <c r="J222" s="77"/>
      <c r="K222" s="77"/>
      <c r="L222" s="77"/>
      <c r="M222" s="77"/>
      <c r="N222" s="206"/>
      <c r="O222" s="207"/>
      <c r="P222" s="207"/>
      <c r="Q222" s="207"/>
      <c r="R222" s="207"/>
      <c r="S222" s="196"/>
    </row>
    <row r="223" spans="1:19" s="47" customFormat="1" x14ac:dyDescent="0.2">
      <c r="A223" s="18" t="s">
        <v>125</v>
      </c>
      <c r="B223" s="62" t="s">
        <v>82</v>
      </c>
      <c r="C223" s="62" t="s">
        <v>83</v>
      </c>
      <c r="D223" s="62" t="s">
        <v>84</v>
      </c>
      <c r="E223" s="62" t="s">
        <v>85</v>
      </c>
      <c r="F223" s="62" t="s">
        <v>86</v>
      </c>
      <c r="G223" s="62" t="s">
        <v>87</v>
      </c>
      <c r="H223" s="62" t="s">
        <v>88</v>
      </c>
      <c r="I223" s="62" t="s">
        <v>198</v>
      </c>
      <c r="J223" s="62" t="s">
        <v>89</v>
      </c>
      <c r="K223" s="62" t="s">
        <v>90</v>
      </c>
      <c r="L223" s="62" t="s">
        <v>91</v>
      </c>
      <c r="M223" s="62" t="s">
        <v>92</v>
      </c>
      <c r="N223" s="206"/>
      <c r="O223" s="208"/>
      <c r="P223" s="208"/>
      <c r="Q223" s="208"/>
      <c r="R223" s="208"/>
      <c r="S223" s="197"/>
    </row>
    <row r="224" spans="1:19" s="24" customFormat="1" ht="12" x14ac:dyDescent="0.2">
      <c r="A224" s="21" t="s">
        <v>93</v>
      </c>
      <c r="B224" s="219"/>
      <c r="C224" s="219"/>
      <c r="D224" s="219"/>
      <c r="E224" s="219"/>
      <c r="F224" s="219"/>
      <c r="G224" s="219"/>
      <c r="H224" s="219"/>
      <c r="I224" s="26"/>
      <c r="J224" s="26"/>
      <c r="K224" s="26"/>
      <c r="L224" s="27"/>
      <c r="M224" s="26"/>
      <c r="N224" s="206"/>
      <c r="O224" s="206"/>
      <c r="P224" s="206"/>
      <c r="Q224" s="206"/>
      <c r="R224" s="206"/>
      <c r="S224" s="195"/>
    </row>
    <row r="225" spans="1:19" s="24" customFormat="1" ht="12" x14ac:dyDescent="0.2">
      <c r="A225" s="21" t="s">
        <v>94</v>
      </c>
      <c r="B225" s="219"/>
      <c r="C225" s="219"/>
      <c r="D225" s="219"/>
      <c r="E225" s="219"/>
      <c r="F225" s="219"/>
      <c r="G225" s="219"/>
      <c r="H225" s="219"/>
      <c r="I225" s="26"/>
      <c r="J225" s="26"/>
      <c r="K225" s="26"/>
      <c r="L225" s="27"/>
      <c r="M225" s="26"/>
      <c r="N225" s="206"/>
      <c r="O225" s="206"/>
      <c r="P225" s="206"/>
      <c r="Q225" s="206"/>
      <c r="R225" s="206"/>
      <c r="S225" s="195"/>
    </row>
    <row r="226" spans="1:19" s="24" customFormat="1" ht="12" x14ac:dyDescent="0.2">
      <c r="A226" s="21" t="s">
        <v>95</v>
      </c>
      <c r="B226" s="219"/>
      <c r="C226" s="219"/>
      <c r="D226" s="219"/>
      <c r="E226" s="219"/>
      <c r="F226" s="219"/>
      <c r="G226" s="219"/>
      <c r="H226" s="219"/>
      <c r="I226" s="26"/>
      <c r="J226" s="26"/>
      <c r="K226" s="26"/>
      <c r="L226" s="27"/>
      <c r="M226" s="26"/>
      <c r="N226" s="206"/>
      <c r="O226" s="206"/>
      <c r="P226" s="206"/>
      <c r="Q226" s="206"/>
      <c r="R226" s="206"/>
      <c r="S226" s="195"/>
    </row>
    <row r="227" spans="1:19" s="24" customFormat="1" ht="12" x14ac:dyDescent="0.2">
      <c r="A227" s="21" t="s">
        <v>96</v>
      </c>
      <c r="B227" s="219"/>
      <c r="C227" s="219"/>
      <c r="D227" s="219"/>
      <c r="E227" s="219"/>
      <c r="F227" s="219"/>
      <c r="G227" s="219"/>
      <c r="H227" s="219"/>
      <c r="I227" s="26"/>
      <c r="J227" s="26"/>
      <c r="K227" s="26"/>
      <c r="L227" s="27"/>
      <c r="M227" s="26"/>
      <c r="N227" s="206"/>
      <c r="O227" s="206"/>
      <c r="P227" s="206"/>
      <c r="Q227" s="206"/>
      <c r="R227" s="206"/>
      <c r="S227" s="195"/>
    </row>
    <row r="228" spans="1:19" s="24" customFormat="1" ht="12" x14ac:dyDescent="0.2">
      <c r="A228" s="21" t="s">
        <v>97</v>
      </c>
      <c r="B228" s="26"/>
      <c r="C228" s="26"/>
      <c r="D228" s="26"/>
      <c r="E228" s="26"/>
      <c r="F228" s="155"/>
      <c r="G228" s="22"/>
      <c r="H228" s="26"/>
      <c r="I228" s="26"/>
      <c r="J228" s="26"/>
      <c r="K228" s="26"/>
      <c r="L228" s="27"/>
      <c r="M228" s="26"/>
      <c r="N228" s="206"/>
      <c r="O228" s="206"/>
      <c r="P228" s="206"/>
      <c r="Q228" s="206"/>
      <c r="R228" s="206"/>
      <c r="S228" s="195"/>
    </row>
    <row r="229" spans="1:19" s="32" customFormat="1" ht="12" x14ac:dyDescent="0.2">
      <c r="A229" s="30" t="s">
        <v>98</v>
      </c>
      <c r="B229" s="64">
        <f>SUM(B224:B228)</f>
        <v>0</v>
      </c>
      <c r="C229" s="64">
        <f t="shared" ref="C229:M229" si="27">SUM(C224:C228)</f>
        <v>0</v>
      </c>
      <c r="D229" s="64">
        <f t="shared" si="27"/>
        <v>0</v>
      </c>
      <c r="E229" s="64">
        <f t="shared" si="27"/>
        <v>0</v>
      </c>
      <c r="F229" s="64">
        <f t="shared" si="27"/>
        <v>0</v>
      </c>
      <c r="G229" s="64">
        <f t="shared" si="27"/>
        <v>0</v>
      </c>
      <c r="H229" s="64">
        <f>SUM(H224:H228)</f>
        <v>0</v>
      </c>
      <c r="I229" s="64">
        <f t="shared" si="27"/>
        <v>0</v>
      </c>
      <c r="J229" s="64">
        <f t="shared" si="27"/>
        <v>0</v>
      </c>
      <c r="K229" s="64">
        <f t="shared" si="27"/>
        <v>0</v>
      </c>
      <c r="L229" s="64">
        <f t="shared" si="27"/>
        <v>0</v>
      </c>
      <c r="M229" s="64">
        <f t="shared" si="27"/>
        <v>0</v>
      </c>
      <c r="N229" s="206"/>
      <c r="O229" s="206"/>
      <c r="P229" s="206"/>
      <c r="Q229" s="206"/>
      <c r="R229" s="206"/>
      <c r="S229" s="195"/>
    </row>
    <row r="230" spans="1:19" x14ac:dyDescent="0.2">
      <c r="A230" s="71"/>
      <c r="B230" s="16"/>
      <c r="C230" s="16"/>
      <c r="D230" s="16"/>
      <c r="E230" s="16"/>
      <c r="F230" s="16"/>
      <c r="G230" s="16"/>
      <c r="H230" s="16"/>
      <c r="I230" s="72"/>
      <c r="J230" s="72"/>
      <c r="K230" s="72"/>
      <c r="L230" s="72"/>
      <c r="M230" s="72"/>
    </row>
    <row r="231" spans="1:19" s="47" customFormat="1" x14ac:dyDescent="0.2">
      <c r="A231" s="18" t="s">
        <v>126</v>
      </c>
      <c r="B231" s="62" t="s">
        <v>82</v>
      </c>
      <c r="C231" s="62" t="s">
        <v>83</v>
      </c>
      <c r="D231" s="62" t="s">
        <v>84</v>
      </c>
      <c r="E231" s="62" t="s">
        <v>85</v>
      </c>
      <c r="F231" s="62" t="s">
        <v>86</v>
      </c>
      <c r="G231" s="62" t="s">
        <v>87</v>
      </c>
      <c r="H231" s="62" t="s">
        <v>88</v>
      </c>
      <c r="I231" s="62" t="s">
        <v>198</v>
      </c>
      <c r="J231" s="62" t="s">
        <v>89</v>
      </c>
      <c r="K231" s="62" t="s">
        <v>90</v>
      </c>
      <c r="L231" s="62" t="s">
        <v>91</v>
      </c>
      <c r="M231" s="62" t="s">
        <v>92</v>
      </c>
      <c r="N231" s="208"/>
      <c r="O231" s="208"/>
      <c r="P231" s="208"/>
      <c r="Q231" s="208"/>
      <c r="R231" s="208"/>
      <c r="S231" s="197"/>
    </row>
    <row r="232" spans="1:19" s="24" customFormat="1" ht="12" x14ac:dyDescent="0.2">
      <c r="A232" s="21" t="s">
        <v>93</v>
      </c>
      <c r="B232" s="219"/>
      <c r="C232" s="219"/>
      <c r="D232" s="219"/>
      <c r="E232" s="219"/>
      <c r="F232" s="219"/>
      <c r="G232" s="219"/>
      <c r="H232" s="219"/>
      <c r="I232" s="26"/>
      <c r="J232" s="26"/>
      <c r="K232" s="26"/>
      <c r="L232" s="27"/>
      <c r="M232" s="26"/>
      <c r="N232" s="206"/>
      <c r="O232" s="206"/>
      <c r="P232" s="206"/>
      <c r="Q232" s="206"/>
      <c r="R232" s="206"/>
      <c r="S232" s="195"/>
    </row>
    <row r="233" spans="1:19" s="24" customFormat="1" ht="12" x14ac:dyDescent="0.2">
      <c r="A233" s="21" t="s">
        <v>94</v>
      </c>
      <c r="B233" s="219"/>
      <c r="C233" s="219"/>
      <c r="D233" s="219"/>
      <c r="E233" s="219"/>
      <c r="F233" s="219"/>
      <c r="G233" s="219"/>
      <c r="H233" s="219"/>
      <c r="I233" s="26"/>
      <c r="J233" s="26"/>
      <c r="K233" s="26"/>
      <c r="L233" s="27"/>
      <c r="M233" s="26"/>
      <c r="N233" s="206"/>
      <c r="O233" s="206"/>
      <c r="P233" s="206"/>
      <c r="Q233" s="206"/>
      <c r="R233" s="206"/>
      <c r="S233" s="195"/>
    </row>
    <row r="234" spans="1:19" s="24" customFormat="1" ht="12" x14ac:dyDescent="0.2">
      <c r="A234" s="21" t="s">
        <v>95</v>
      </c>
      <c r="B234" s="219"/>
      <c r="C234" s="219"/>
      <c r="D234" s="219"/>
      <c r="E234" s="219"/>
      <c r="F234" s="219"/>
      <c r="G234" s="219"/>
      <c r="H234" s="219"/>
      <c r="I234" s="26"/>
      <c r="J234" s="26"/>
      <c r="K234" s="26"/>
      <c r="L234" s="27"/>
      <c r="M234" s="26"/>
      <c r="N234" s="206"/>
      <c r="O234" s="206"/>
      <c r="P234" s="206"/>
      <c r="Q234" s="206"/>
      <c r="R234" s="206"/>
      <c r="S234" s="195"/>
    </row>
    <row r="235" spans="1:19" s="24" customFormat="1" ht="12" x14ac:dyDescent="0.2">
      <c r="A235" s="21" t="s">
        <v>96</v>
      </c>
      <c r="B235" s="219"/>
      <c r="C235" s="219"/>
      <c r="D235" s="219"/>
      <c r="E235" s="219"/>
      <c r="F235" s="219"/>
      <c r="G235" s="219"/>
      <c r="H235" s="219"/>
      <c r="I235" s="26"/>
      <c r="J235" s="26"/>
      <c r="K235" s="26"/>
      <c r="L235" s="27"/>
      <c r="M235" s="26"/>
      <c r="N235" s="206"/>
      <c r="O235" s="206"/>
      <c r="P235" s="206"/>
      <c r="Q235" s="206"/>
      <c r="R235" s="206"/>
      <c r="S235" s="195"/>
    </row>
    <row r="236" spans="1:19" s="24" customFormat="1" ht="12" x14ac:dyDescent="0.2">
      <c r="A236" s="21" t="s">
        <v>97</v>
      </c>
      <c r="B236" s="219"/>
      <c r="C236" s="219"/>
      <c r="D236" s="219"/>
      <c r="E236" s="219"/>
      <c r="F236" s="221"/>
      <c r="G236" s="220"/>
      <c r="H236" s="219"/>
      <c r="I236" s="26"/>
      <c r="J236" s="26"/>
      <c r="K236" s="26"/>
      <c r="L236" s="27"/>
      <c r="M236" s="26"/>
      <c r="N236" s="206"/>
      <c r="O236" s="206"/>
      <c r="P236" s="206"/>
      <c r="Q236" s="206"/>
      <c r="R236" s="206"/>
      <c r="S236" s="195"/>
    </row>
    <row r="237" spans="1:19" s="32" customFormat="1" ht="12" x14ac:dyDescent="0.2">
      <c r="A237" s="30" t="s">
        <v>98</v>
      </c>
      <c r="B237" s="64">
        <f>SUM(B232:B236)</f>
        <v>0</v>
      </c>
      <c r="C237" s="64">
        <f t="shared" ref="C237:L237" si="28">SUM(C232:C236)</f>
        <v>0</v>
      </c>
      <c r="D237" s="64">
        <f t="shared" si="28"/>
        <v>0</v>
      </c>
      <c r="E237" s="64">
        <f t="shared" si="28"/>
        <v>0</v>
      </c>
      <c r="F237" s="64">
        <f t="shared" si="28"/>
        <v>0</v>
      </c>
      <c r="G237" s="64">
        <f t="shared" si="28"/>
        <v>0</v>
      </c>
      <c r="H237" s="64">
        <f t="shared" si="28"/>
        <v>0</v>
      </c>
      <c r="I237" s="64">
        <f t="shared" si="28"/>
        <v>0</v>
      </c>
      <c r="J237" s="64">
        <f t="shared" si="28"/>
        <v>0</v>
      </c>
      <c r="K237" s="64">
        <f t="shared" si="28"/>
        <v>0</v>
      </c>
      <c r="L237" s="64">
        <f t="shared" si="28"/>
        <v>0</v>
      </c>
      <c r="M237" s="64">
        <f>SUM(M232:M236)</f>
        <v>0</v>
      </c>
      <c r="N237" s="206"/>
      <c r="O237" s="206"/>
      <c r="P237" s="206"/>
      <c r="Q237" s="206"/>
      <c r="R237" s="206"/>
      <c r="S237" s="195"/>
    </row>
    <row r="238" spans="1:19" x14ac:dyDescent="0.2">
      <c r="A238" s="71"/>
      <c r="B238" s="16"/>
      <c r="C238" s="16"/>
      <c r="D238" s="16"/>
      <c r="E238" s="16"/>
      <c r="F238" s="16"/>
      <c r="G238" s="16"/>
      <c r="H238" s="16"/>
      <c r="I238" s="72"/>
      <c r="J238" s="72"/>
      <c r="K238" s="72"/>
      <c r="L238" s="72"/>
      <c r="M238" s="72"/>
    </row>
    <row r="239" spans="1:19" s="47" customFormat="1" x14ac:dyDescent="0.2">
      <c r="A239" s="18" t="s">
        <v>127</v>
      </c>
      <c r="B239" s="62" t="s">
        <v>82</v>
      </c>
      <c r="C239" s="62" t="s">
        <v>83</v>
      </c>
      <c r="D239" s="62" t="s">
        <v>84</v>
      </c>
      <c r="E239" s="62" t="s">
        <v>85</v>
      </c>
      <c r="F239" s="62" t="s">
        <v>86</v>
      </c>
      <c r="G239" s="62" t="s">
        <v>87</v>
      </c>
      <c r="H239" s="62" t="s">
        <v>88</v>
      </c>
      <c r="I239" s="62" t="s">
        <v>198</v>
      </c>
      <c r="J239" s="62" t="s">
        <v>89</v>
      </c>
      <c r="K239" s="62" t="s">
        <v>90</v>
      </c>
      <c r="L239" s="62" t="s">
        <v>91</v>
      </c>
      <c r="M239" s="62" t="s">
        <v>92</v>
      </c>
      <c r="N239" s="208"/>
      <c r="O239" s="208"/>
      <c r="P239" s="208"/>
      <c r="Q239" s="208"/>
      <c r="R239" s="208"/>
      <c r="S239" s="197"/>
    </row>
    <row r="240" spans="1:19" s="24" customFormat="1" ht="12" x14ac:dyDescent="0.2">
      <c r="A240" s="21" t="s">
        <v>93</v>
      </c>
      <c r="B240" s="219"/>
      <c r="C240" s="219"/>
      <c r="D240" s="219"/>
      <c r="E240" s="219"/>
      <c r="F240" s="219"/>
      <c r="G240" s="219"/>
      <c r="H240" s="219"/>
      <c r="I240" s="26"/>
      <c r="J240" s="26"/>
      <c r="K240" s="26"/>
      <c r="L240" s="27"/>
      <c r="M240" s="26"/>
      <c r="N240" s="206"/>
      <c r="O240" s="206"/>
      <c r="P240" s="206"/>
      <c r="Q240" s="206"/>
      <c r="R240" s="206"/>
      <c r="S240" s="195"/>
    </row>
    <row r="241" spans="1:19" s="24" customFormat="1" ht="12" x14ac:dyDescent="0.2">
      <c r="A241" s="21" t="s">
        <v>94</v>
      </c>
      <c r="B241" s="219"/>
      <c r="C241" s="219"/>
      <c r="D241" s="219"/>
      <c r="E241" s="219"/>
      <c r="F241" s="219"/>
      <c r="G241" s="219"/>
      <c r="H241" s="219"/>
      <c r="I241" s="26"/>
      <c r="J241" s="26"/>
      <c r="K241" s="26"/>
      <c r="L241" s="27"/>
      <c r="M241" s="26"/>
      <c r="N241" s="206"/>
      <c r="O241" s="206"/>
      <c r="P241" s="206"/>
      <c r="Q241" s="206"/>
      <c r="R241" s="206"/>
      <c r="S241" s="195"/>
    </row>
    <row r="242" spans="1:19" s="24" customFormat="1" ht="12" x14ac:dyDescent="0.2">
      <c r="A242" s="21" t="s">
        <v>95</v>
      </c>
      <c r="B242" s="219"/>
      <c r="C242" s="219"/>
      <c r="D242" s="219"/>
      <c r="E242" s="219"/>
      <c r="F242" s="219"/>
      <c r="G242" s="219"/>
      <c r="H242" s="219"/>
      <c r="I242" s="26"/>
      <c r="J242" s="26"/>
      <c r="K242" s="26"/>
      <c r="L242" s="96"/>
      <c r="M242" s="96"/>
      <c r="N242" s="206"/>
      <c r="O242" s="206"/>
      <c r="P242" s="206"/>
      <c r="Q242" s="206"/>
      <c r="R242" s="206"/>
      <c r="S242" s="195"/>
    </row>
    <row r="243" spans="1:19" s="24" customFormat="1" ht="12" x14ac:dyDescent="0.2">
      <c r="A243" s="21" t="s">
        <v>96</v>
      </c>
      <c r="B243" s="219"/>
      <c r="C243" s="219"/>
      <c r="D243" s="219"/>
      <c r="E243" s="219"/>
      <c r="F243" s="219"/>
      <c r="G243" s="219"/>
      <c r="H243" s="219"/>
      <c r="I243" s="26"/>
      <c r="J243" s="26"/>
      <c r="K243" s="26"/>
      <c r="L243" s="27"/>
      <c r="M243" s="54"/>
      <c r="N243" s="206"/>
      <c r="O243" s="206"/>
      <c r="P243" s="206"/>
      <c r="Q243" s="206"/>
      <c r="R243" s="206"/>
      <c r="S243" s="195"/>
    </row>
    <row r="244" spans="1:19" s="24" customFormat="1" ht="12" x14ac:dyDescent="0.2">
      <c r="A244" s="21" t="s">
        <v>97</v>
      </c>
      <c r="B244" s="26"/>
      <c r="C244" s="26"/>
      <c r="D244" s="26"/>
      <c r="E244" s="26"/>
      <c r="F244" s="155"/>
      <c r="G244" s="22"/>
      <c r="H244" s="26"/>
      <c r="I244" s="26"/>
      <c r="J244" s="26"/>
      <c r="K244" s="26"/>
      <c r="L244" s="27"/>
      <c r="M244" s="26"/>
      <c r="N244" s="206"/>
      <c r="O244" s="206"/>
      <c r="P244" s="206"/>
      <c r="Q244" s="206"/>
      <c r="R244" s="206"/>
      <c r="S244" s="195"/>
    </row>
    <row r="245" spans="1:19" s="32" customFormat="1" ht="12" x14ac:dyDescent="0.2">
      <c r="A245" s="30" t="s">
        <v>98</v>
      </c>
      <c r="B245" s="64">
        <f>SUM(B240:B244)</f>
        <v>0</v>
      </c>
      <c r="C245" s="64">
        <f t="shared" ref="C245:M245" si="29">SUM(C240:C244)</f>
        <v>0</v>
      </c>
      <c r="D245" s="64">
        <f t="shared" si="29"/>
        <v>0</v>
      </c>
      <c r="E245" s="64">
        <f t="shared" si="29"/>
        <v>0</v>
      </c>
      <c r="F245" s="64">
        <f t="shared" si="29"/>
        <v>0</v>
      </c>
      <c r="G245" s="64">
        <f t="shared" si="29"/>
        <v>0</v>
      </c>
      <c r="H245" s="64">
        <f t="shared" si="29"/>
        <v>0</v>
      </c>
      <c r="I245" s="64">
        <f t="shared" si="29"/>
        <v>0</v>
      </c>
      <c r="J245" s="64">
        <f t="shared" si="29"/>
        <v>0</v>
      </c>
      <c r="K245" s="64">
        <f t="shared" si="29"/>
        <v>0</v>
      </c>
      <c r="L245" s="64">
        <f t="shared" si="29"/>
        <v>0</v>
      </c>
      <c r="M245" s="64">
        <f t="shared" si="29"/>
        <v>0</v>
      </c>
      <c r="N245" s="206"/>
      <c r="O245" s="206"/>
      <c r="P245" s="206"/>
      <c r="Q245" s="206"/>
      <c r="R245" s="206"/>
      <c r="S245" s="195"/>
    </row>
    <row r="246" spans="1:19" x14ac:dyDescent="0.2">
      <c r="A246" s="71"/>
      <c r="B246" s="16"/>
      <c r="C246" s="16"/>
      <c r="D246" s="16"/>
      <c r="E246" s="16"/>
      <c r="F246" s="16"/>
      <c r="G246" s="16"/>
      <c r="H246" s="16"/>
      <c r="I246" s="72"/>
      <c r="J246" s="72"/>
      <c r="K246" s="72"/>
      <c r="L246" s="72"/>
      <c r="M246" s="72"/>
    </row>
    <row r="247" spans="1:19" s="47" customFormat="1" x14ac:dyDescent="0.2">
      <c r="A247" s="18" t="s">
        <v>128</v>
      </c>
      <c r="B247" s="62" t="s">
        <v>82</v>
      </c>
      <c r="C247" s="62" t="s">
        <v>83</v>
      </c>
      <c r="D247" s="62" t="s">
        <v>84</v>
      </c>
      <c r="E247" s="62" t="s">
        <v>85</v>
      </c>
      <c r="F247" s="62" t="s">
        <v>86</v>
      </c>
      <c r="G247" s="62" t="s">
        <v>87</v>
      </c>
      <c r="H247" s="62" t="s">
        <v>88</v>
      </c>
      <c r="I247" s="62" t="s">
        <v>198</v>
      </c>
      <c r="J247" s="62" t="s">
        <v>89</v>
      </c>
      <c r="K247" s="62" t="s">
        <v>90</v>
      </c>
      <c r="L247" s="62" t="s">
        <v>91</v>
      </c>
      <c r="M247" s="62" t="s">
        <v>92</v>
      </c>
      <c r="N247" s="208"/>
      <c r="O247" s="208"/>
      <c r="P247" s="208"/>
      <c r="Q247" s="208"/>
      <c r="R247" s="208"/>
      <c r="S247" s="197"/>
    </row>
    <row r="248" spans="1:19" s="24" customFormat="1" ht="12" x14ac:dyDescent="0.2">
      <c r="A248" s="21" t="s">
        <v>93</v>
      </c>
      <c r="B248" s="219"/>
      <c r="C248" s="219"/>
      <c r="D248" s="219"/>
      <c r="E248" s="219"/>
      <c r="F248" s="219"/>
      <c r="G248" s="219"/>
      <c r="H248" s="219"/>
      <c r="I248" s="26"/>
      <c r="J248" s="26"/>
      <c r="K248" s="26"/>
      <c r="L248" s="27"/>
      <c r="M248" s="26"/>
      <c r="N248" s="206">
        <v>994347.99561999994</v>
      </c>
      <c r="O248" s="206">
        <v>412402.34289999999</v>
      </c>
      <c r="P248" s="206"/>
      <c r="Q248" s="206">
        <f>+N248-O248-P248</f>
        <v>581945.6527199999</v>
      </c>
      <c r="R248" s="206"/>
      <c r="S248" s="195"/>
    </row>
    <row r="249" spans="1:19" s="24" customFormat="1" ht="12" x14ac:dyDescent="0.2">
      <c r="A249" s="21" t="s">
        <v>94</v>
      </c>
      <c r="B249" s="219"/>
      <c r="C249" s="219"/>
      <c r="D249" s="219"/>
      <c r="E249" s="219"/>
      <c r="F249" s="219"/>
      <c r="G249" s="219"/>
      <c r="H249" s="219"/>
      <c r="I249" s="26"/>
      <c r="J249" s="26"/>
      <c r="K249" s="26"/>
      <c r="L249" s="27"/>
      <c r="M249" s="26"/>
      <c r="N249" s="206">
        <v>354793.50988000003</v>
      </c>
      <c r="O249" s="206">
        <v>146745.56687000001</v>
      </c>
      <c r="P249" s="206"/>
      <c r="Q249" s="206">
        <f>+N249-O249-P249</f>
        <v>208047.94301000002</v>
      </c>
      <c r="R249" s="206"/>
      <c r="S249" s="195"/>
    </row>
    <row r="250" spans="1:19" s="24" customFormat="1" ht="12" x14ac:dyDescent="0.2">
      <c r="A250" s="21" t="s">
        <v>95</v>
      </c>
      <c r="B250" s="219"/>
      <c r="C250" s="219"/>
      <c r="D250" s="219"/>
      <c r="E250" s="219"/>
      <c r="F250" s="219"/>
      <c r="G250" s="219"/>
      <c r="H250" s="219"/>
      <c r="I250" s="26"/>
      <c r="J250" s="26"/>
      <c r="K250" s="26"/>
      <c r="L250" s="27"/>
      <c r="M250" s="26"/>
      <c r="N250" s="206">
        <v>12536.44549</v>
      </c>
      <c r="O250" s="206">
        <v>5205.95892</v>
      </c>
      <c r="P250" s="206"/>
      <c r="Q250" s="206">
        <f>+N250-O250-P250</f>
        <v>7330.48657</v>
      </c>
      <c r="R250" s="206"/>
      <c r="S250" s="195"/>
    </row>
    <row r="251" spans="1:19" s="24" customFormat="1" ht="12" x14ac:dyDescent="0.2">
      <c r="A251" s="21" t="s">
        <v>96</v>
      </c>
      <c r="B251" s="219"/>
      <c r="C251" s="219"/>
      <c r="D251" s="219"/>
      <c r="E251" s="219">
        <v>-996.73848999999996</v>
      </c>
      <c r="F251" s="219">
        <v>204.45064000000002</v>
      </c>
      <c r="G251" s="219">
        <v>7979.95064</v>
      </c>
      <c r="H251" s="219">
        <v>14188.850640000001</v>
      </c>
      <c r="I251" s="26">
        <v>19881.12974</v>
      </c>
      <c r="J251" s="26">
        <v>23736.129739999997</v>
      </c>
      <c r="K251" s="26">
        <v>12920.425789999998</v>
      </c>
      <c r="L251" s="27">
        <v>12920.425789999998</v>
      </c>
      <c r="M251" s="26"/>
      <c r="N251" s="206">
        <v>425622.03353000002</v>
      </c>
      <c r="O251" s="206">
        <v>70513.198390000005</v>
      </c>
      <c r="P251" s="206"/>
      <c r="Q251" s="206">
        <f>+N251-O251-P251</f>
        <v>355108.83513999998</v>
      </c>
      <c r="R251" s="206"/>
      <c r="S251" s="195"/>
    </row>
    <row r="252" spans="1:19" s="24" customFormat="1" ht="12" x14ac:dyDescent="0.2">
      <c r="A252" s="21" t="s">
        <v>97</v>
      </c>
      <c r="B252" s="219"/>
      <c r="C252" s="219"/>
      <c r="D252" s="219"/>
      <c r="E252" s="219"/>
      <c r="F252" s="221"/>
      <c r="G252" s="220"/>
      <c r="H252" s="219"/>
      <c r="I252" s="26"/>
      <c r="J252" s="26"/>
      <c r="K252" s="26"/>
      <c r="L252" s="27"/>
      <c r="M252" s="26"/>
      <c r="N252" s="206">
        <v>673485.56761999999</v>
      </c>
      <c r="O252" s="206"/>
      <c r="P252" s="206"/>
      <c r="Q252" s="206">
        <f>+N252-O252-P252</f>
        <v>673485.56761999999</v>
      </c>
      <c r="R252" s="206"/>
      <c r="S252" s="195"/>
    </row>
    <row r="253" spans="1:19" s="32" customFormat="1" ht="12" x14ac:dyDescent="0.2">
      <c r="A253" s="30" t="s">
        <v>98</v>
      </c>
      <c r="B253" s="64">
        <f>SUM(B248:B252)</f>
        <v>0</v>
      </c>
      <c r="C253" s="64">
        <f t="shared" ref="C253:P253" si="30">SUM(C248:C252)</f>
        <v>0</v>
      </c>
      <c r="D253" s="64">
        <f t="shared" si="30"/>
        <v>0</v>
      </c>
      <c r="E253" s="64">
        <f t="shared" si="30"/>
        <v>-996.73848999999996</v>
      </c>
      <c r="F253" s="64">
        <f t="shared" si="30"/>
        <v>204.45064000000002</v>
      </c>
      <c r="G253" s="64">
        <f t="shared" si="30"/>
        <v>7979.95064</v>
      </c>
      <c r="H253" s="64">
        <f t="shared" si="30"/>
        <v>14188.850640000001</v>
      </c>
      <c r="I253" s="64">
        <f t="shared" si="30"/>
        <v>19881.12974</v>
      </c>
      <c r="J253" s="64">
        <f t="shared" si="30"/>
        <v>23736.129739999997</v>
      </c>
      <c r="K253" s="64">
        <f t="shared" si="30"/>
        <v>12920.425789999998</v>
      </c>
      <c r="L253" s="64">
        <f t="shared" si="30"/>
        <v>12920.425789999998</v>
      </c>
      <c r="M253" s="64">
        <f t="shared" si="30"/>
        <v>0</v>
      </c>
      <c r="N253" s="209">
        <f>SUM(N248:N252)</f>
        <v>2460785.5521399998</v>
      </c>
      <c r="O253" s="209">
        <f t="shared" si="30"/>
        <v>634867.06708000007</v>
      </c>
      <c r="P253" s="209">
        <f t="shared" si="30"/>
        <v>0</v>
      </c>
      <c r="Q253" s="209">
        <f>SUM(Q248:Q252)</f>
        <v>1825918.4850599999</v>
      </c>
      <c r="R253" s="206"/>
      <c r="S253" s="195"/>
    </row>
    <row r="254" spans="1:19" x14ac:dyDescent="0.2">
      <c r="A254" s="79"/>
      <c r="B254" s="80"/>
      <c r="C254" s="80"/>
      <c r="D254" s="80"/>
      <c r="E254" s="80"/>
      <c r="F254" s="80"/>
      <c r="G254" s="80"/>
      <c r="H254" s="80"/>
      <c r="I254" s="81"/>
      <c r="J254" s="81"/>
      <c r="K254" s="81"/>
      <c r="L254" s="81"/>
      <c r="M254" s="81"/>
      <c r="N254" s="206"/>
      <c r="O254" s="207"/>
      <c r="P254" s="207"/>
      <c r="Q254" s="207"/>
      <c r="R254" s="207"/>
      <c r="S254" s="196"/>
    </row>
    <row r="255" spans="1:19" s="47" customFormat="1" ht="11.25" customHeight="1" x14ac:dyDescent="0.2">
      <c r="A255" s="18" t="s">
        <v>129</v>
      </c>
      <c r="B255" s="62" t="s">
        <v>82</v>
      </c>
      <c r="C255" s="62" t="s">
        <v>83</v>
      </c>
      <c r="D255" s="62" t="s">
        <v>84</v>
      </c>
      <c r="E255" s="62" t="s">
        <v>85</v>
      </c>
      <c r="F255" s="62" t="s">
        <v>86</v>
      </c>
      <c r="G255" s="62" t="s">
        <v>87</v>
      </c>
      <c r="H255" s="62" t="s">
        <v>88</v>
      </c>
      <c r="I255" s="62" t="s">
        <v>198</v>
      </c>
      <c r="J255" s="62" t="s">
        <v>89</v>
      </c>
      <c r="K255" s="62" t="s">
        <v>90</v>
      </c>
      <c r="L255" s="62" t="s">
        <v>91</v>
      </c>
      <c r="M255" s="62" t="s">
        <v>92</v>
      </c>
      <c r="N255" s="206"/>
      <c r="O255" s="208"/>
      <c r="P255" s="208"/>
      <c r="Q255" s="208"/>
      <c r="R255" s="208"/>
      <c r="S255" s="197"/>
    </row>
    <row r="256" spans="1:19" s="24" customFormat="1" ht="12" x14ac:dyDescent="0.2">
      <c r="A256" s="21" t="s">
        <v>93</v>
      </c>
      <c r="B256" s="219"/>
      <c r="C256" s="219"/>
      <c r="D256" s="219"/>
      <c r="E256" s="219"/>
      <c r="F256" s="219"/>
      <c r="G256" s="219"/>
      <c r="H256" s="219"/>
      <c r="I256" s="26"/>
      <c r="J256" s="26"/>
      <c r="K256" s="26"/>
      <c r="L256" s="27"/>
      <c r="M256" s="26"/>
      <c r="N256" s="206"/>
      <c r="O256" s="206"/>
      <c r="P256" s="206"/>
      <c r="Q256" s="206"/>
      <c r="R256" s="206"/>
      <c r="S256" s="195"/>
    </row>
    <row r="257" spans="1:19" s="24" customFormat="1" ht="12" x14ac:dyDescent="0.2">
      <c r="A257" s="21" t="s">
        <v>94</v>
      </c>
      <c r="B257" s="219"/>
      <c r="C257" s="219"/>
      <c r="D257" s="219"/>
      <c r="E257" s="219"/>
      <c r="F257" s="219"/>
      <c r="G257" s="219"/>
      <c r="H257" s="219"/>
      <c r="I257" s="26"/>
      <c r="J257" s="26"/>
      <c r="K257" s="26"/>
      <c r="L257" s="27"/>
      <c r="M257" s="26"/>
      <c r="N257" s="206"/>
      <c r="O257" s="206"/>
      <c r="P257" s="206"/>
      <c r="Q257" s="206"/>
      <c r="R257" s="206"/>
      <c r="S257" s="195"/>
    </row>
    <row r="258" spans="1:19" s="24" customFormat="1" ht="12" x14ac:dyDescent="0.2">
      <c r="A258" s="21" t="s">
        <v>95</v>
      </c>
      <c r="B258" s="219"/>
      <c r="C258" s="219"/>
      <c r="D258" s="225"/>
      <c r="E258" s="219"/>
      <c r="F258" s="219"/>
      <c r="G258" s="219"/>
      <c r="H258" s="225"/>
      <c r="I258" s="26"/>
      <c r="J258" s="26"/>
      <c r="K258" s="96"/>
      <c r="L258" s="96"/>
      <c r="M258" s="96"/>
      <c r="N258" s="206"/>
      <c r="O258" s="206"/>
      <c r="P258" s="206"/>
      <c r="Q258" s="206"/>
      <c r="R258" s="206"/>
      <c r="S258" s="195"/>
    </row>
    <row r="259" spans="1:19" s="24" customFormat="1" ht="12" x14ac:dyDescent="0.2">
      <c r="A259" s="21" t="s">
        <v>96</v>
      </c>
      <c r="B259" s="219"/>
      <c r="C259" s="219"/>
      <c r="D259" s="225"/>
      <c r="E259" s="219"/>
      <c r="F259" s="219"/>
      <c r="G259" s="219"/>
      <c r="H259" s="219"/>
      <c r="I259" s="26"/>
      <c r="J259" s="26"/>
      <c r="K259" s="26"/>
      <c r="L259" s="54"/>
      <c r="M259" s="54"/>
      <c r="N259" s="206"/>
      <c r="O259" s="206"/>
      <c r="P259" s="206"/>
      <c r="Q259" s="206"/>
      <c r="R259" s="206"/>
      <c r="S259" s="195"/>
    </row>
    <row r="260" spans="1:19" s="24" customFormat="1" ht="12" x14ac:dyDescent="0.2">
      <c r="A260" s="21" t="s">
        <v>97</v>
      </c>
      <c r="B260" s="26"/>
      <c r="C260" s="26"/>
      <c r="D260" s="26"/>
      <c r="E260" s="26"/>
      <c r="F260" s="155"/>
      <c r="G260" s="22"/>
      <c r="H260" s="26"/>
      <c r="I260" s="26"/>
      <c r="J260" s="26"/>
      <c r="K260" s="26"/>
      <c r="L260" s="54"/>
      <c r="M260" s="54"/>
      <c r="N260" s="206"/>
      <c r="O260" s="206"/>
      <c r="P260" s="206"/>
      <c r="Q260" s="206"/>
      <c r="R260" s="206"/>
      <c r="S260" s="195"/>
    </row>
    <row r="261" spans="1:19" s="32" customFormat="1" ht="12" x14ac:dyDescent="0.2">
      <c r="A261" s="30" t="s">
        <v>98</v>
      </c>
      <c r="B261" s="64">
        <f>SUM(B256:B260)</f>
        <v>0</v>
      </c>
      <c r="C261" s="64">
        <f t="shared" ref="C261:M261" si="31">SUM(C256:C260)</f>
        <v>0</v>
      </c>
      <c r="D261" s="64">
        <f t="shared" si="31"/>
        <v>0</v>
      </c>
      <c r="E261" s="64">
        <f t="shared" si="31"/>
        <v>0</v>
      </c>
      <c r="F261" s="64">
        <f t="shared" si="31"/>
        <v>0</v>
      </c>
      <c r="G261" s="64">
        <f t="shared" si="31"/>
        <v>0</v>
      </c>
      <c r="H261" s="64">
        <f t="shared" si="31"/>
        <v>0</v>
      </c>
      <c r="I261" s="64">
        <f t="shared" si="31"/>
        <v>0</v>
      </c>
      <c r="J261" s="64">
        <f t="shared" si="31"/>
        <v>0</v>
      </c>
      <c r="K261" s="64">
        <f t="shared" si="31"/>
        <v>0</v>
      </c>
      <c r="L261" s="64">
        <f t="shared" si="31"/>
        <v>0</v>
      </c>
      <c r="M261" s="64">
        <f t="shared" si="31"/>
        <v>0</v>
      </c>
      <c r="N261" s="206"/>
      <c r="O261" s="206"/>
      <c r="P261" s="206"/>
      <c r="Q261" s="206"/>
      <c r="R261" s="206"/>
      <c r="S261" s="195"/>
    </row>
    <row r="262" spans="1:19" x14ac:dyDescent="0.2">
      <c r="A262" s="83"/>
      <c r="B262" s="16"/>
      <c r="C262" s="16"/>
      <c r="D262" s="16"/>
      <c r="E262" s="16"/>
      <c r="F262" s="16"/>
      <c r="G262" s="16"/>
      <c r="H262" s="16"/>
      <c r="I262" s="72"/>
      <c r="J262" s="72"/>
      <c r="K262" s="72"/>
      <c r="L262" s="72"/>
      <c r="M262" s="72"/>
    </row>
    <row r="263" spans="1:19" s="47" customFormat="1" x14ac:dyDescent="0.2">
      <c r="A263" s="18" t="s">
        <v>130</v>
      </c>
      <c r="B263" s="62" t="s">
        <v>82</v>
      </c>
      <c r="C263" s="62" t="s">
        <v>83</v>
      </c>
      <c r="D263" s="62" t="s">
        <v>84</v>
      </c>
      <c r="E263" s="62" t="s">
        <v>85</v>
      </c>
      <c r="F263" s="62" t="s">
        <v>86</v>
      </c>
      <c r="G263" s="62" t="s">
        <v>87</v>
      </c>
      <c r="H263" s="62" t="s">
        <v>88</v>
      </c>
      <c r="I263" s="62" t="s">
        <v>198</v>
      </c>
      <c r="J263" s="62" t="s">
        <v>89</v>
      </c>
      <c r="K263" s="62" t="s">
        <v>90</v>
      </c>
      <c r="L263" s="62" t="s">
        <v>91</v>
      </c>
      <c r="M263" s="62" t="s">
        <v>92</v>
      </c>
      <c r="N263" s="208"/>
      <c r="O263" s="208"/>
      <c r="P263" s="208"/>
      <c r="Q263" s="208"/>
      <c r="R263" s="208"/>
      <c r="S263" s="197"/>
    </row>
    <row r="264" spans="1:19" s="24" customFormat="1" ht="12" x14ac:dyDescent="0.2">
      <c r="A264" s="21" t="s">
        <v>93</v>
      </c>
      <c r="B264" s="219"/>
      <c r="C264" s="219"/>
      <c r="D264" s="219"/>
      <c r="E264" s="219"/>
      <c r="F264" s="219"/>
      <c r="G264" s="219"/>
      <c r="H264" s="219"/>
      <c r="I264" s="26"/>
      <c r="J264" s="26"/>
      <c r="K264" s="26"/>
      <c r="L264" s="27"/>
      <c r="M264" s="26"/>
      <c r="N264" s="206"/>
      <c r="O264" s="206"/>
      <c r="P264" s="206"/>
      <c r="Q264" s="206"/>
      <c r="R264" s="206"/>
      <c r="S264" s="195"/>
    </row>
    <row r="265" spans="1:19" s="24" customFormat="1" ht="12" x14ac:dyDescent="0.2">
      <c r="A265" s="21" t="s">
        <v>94</v>
      </c>
      <c r="B265" s="219"/>
      <c r="C265" s="219"/>
      <c r="D265" s="219"/>
      <c r="E265" s="219"/>
      <c r="F265" s="219"/>
      <c r="G265" s="219"/>
      <c r="H265" s="219"/>
      <c r="I265" s="26"/>
      <c r="J265" s="26"/>
      <c r="K265" s="26"/>
      <c r="L265" s="27"/>
      <c r="M265" s="26"/>
      <c r="N265" s="206"/>
      <c r="O265" s="206"/>
      <c r="P265" s="206"/>
      <c r="Q265" s="206"/>
      <c r="R265" s="206"/>
      <c r="S265" s="195"/>
    </row>
    <row r="266" spans="1:19" s="24" customFormat="1" ht="12" x14ac:dyDescent="0.2">
      <c r="A266" s="21" t="s">
        <v>95</v>
      </c>
      <c r="B266" s="219"/>
      <c r="C266" s="219"/>
      <c r="D266" s="219"/>
      <c r="E266" s="219"/>
      <c r="F266" s="219"/>
      <c r="G266" s="219"/>
      <c r="H266" s="219"/>
      <c r="I266" s="26"/>
      <c r="J266" s="26"/>
      <c r="K266" s="26"/>
      <c r="L266" s="27"/>
      <c r="M266" s="26"/>
      <c r="N266" s="206"/>
      <c r="O266" s="206"/>
      <c r="P266" s="206"/>
      <c r="Q266" s="206"/>
      <c r="R266" s="206"/>
      <c r="S266" s="195"/>
    </row>
    <row r="267" spans="1:19" s="24" customFormat="1" ht="12" x14ac:dyDescent="0.2">
      <c r="A267" s="21" t="s">
        <v>96</v>
      </c>
      <c r="B267" s="219"/>
      <c r="C267" s="219"/>
      <c r="D267" s="219"/>
      <c r="E267" s="219"/>
      <c r="F267" s="219"/>
      <c r="G267" s="219"/>
      <c r="H267" s="219"/>
      <c r="I267" s="26"/>
      <c r="J267" s="26"/>
      <c r="K267" s="26"/>
      <c r="L267" s="27"/>
      <c r="M267" s="26"/>
      <c r="N267" s="206"/>
      <c r="O267" s="206"/>
      <c r="P267" s="206"/>
      <c r="Q267" s="206"/>
      <c r="R267" s="206"/>
      <c r="S267" s="195"/>
    </row>
    <row r="268" spans="1:19" s="24" customFormat="1" ht="12" x14ac:dyDescent="0.2">
      <c r="A268" s="21" t="s">
        <v>97</v>
      </c>
      <c r="B268" s="219"/>
      <c r="C268" s="219"/>
      <c r="D268" s="219"/>
      <c r="E268" s="219"/>
      <c r="F268" s="221"/>
      <c r="G268" s="220"/>
      <c r="H268" s="219"/>
      <c r="I268" s="26"/>
      <c r="J268" s="26"/>
      <c r="K268" s="26"/>
      <c r="L268" s="27"/>
      <c r="M268" s="26"/>
      <c r="N268" s="206"/>
      <c r="O268" s="206"/>
      <c r="P268" s="206"/>
      <c r="Q268" s="206"/>
      <c r="R268" s="206"/>
      <c r="S268" s="195"/>
    </row>
    <row r="269" spans="1:19" s="32" customFormat="1" ht="12" x14ac:dyDescent="0.2">
      <c r="A269" s="30" t="s">
        <v>98</v>
      </c>
      <c r="B269" s="64">
        <f>SUM(B264:B268)</f>
        <v>0</v>
      </c>
      <c r="C269" s="64">
        <f t="shared" ref="C269:M269" si="32">SUM(C264:C268)</f>
        <v>0</v>
      </c>
      <c r="D269" s="64">
        <f t="shared" si="32"/>
        <v>0</v>
      </c>
      <c r="E269" s="64">
        <f t="shared" si="32"/>
        <v>0</v>
      </c>
      <c r="F269" s="64">
        <f t="shared" si="32"/>
        <v>0</v>
      </c>
      <c r="G269" s="64">
        <f t="shared" si="32"/>
        <v>0</v>
      </c>
      <c r="H269" s="64">
        <f t="shared" si="32"/>
        <v>0</v>
      </c>
      <c r="I269" s="64">
        <f t="shared" si="32"/>
        <v>0</v>
      </c>
      <c r="J269" s="64">
        <f t="shared" si="32"/>
        <v>0</v>
      </c>
      <c r="K269" s="64">
        <f t="shared" si="32"/>
        <v>0</v>
      </c>
      <c r="L269" s="64">
        <f t="shared" si="32"/>
        <v>0</v>
      </c>
      <c r="M269" s="64">
        <f t="shared" si="32"/>
        <v>0</v>
      </c>
      <c r="N269" s="206"/>
      <c r="O269" s="206"/>
      <c r="P269" s="206"/>
      <c r="Q269" s="206"/>
      <c r="R269" s="206"/>
      <c r="S269" s="195"/>
    </row>
    <row r="270" spans="1:19" x14ac:dyDescent="0.2">
      <c r="A270" s="71"/>
      <c r="B270" s="16"/>
      <c r="C270" s="16"/>
      <c r="D270" s="16"/>
      <c r="E270" s="16"/>
      <c r="F270" s="16"/>
      <c r="G270" s="16"/>
      <c r="H270" s="16"/>
      <c r="I270" s="72"/>
      <c r="J270" s="72"/>
      <c r="K270" s="72"/>
      <c r="L270" s="72"/>
      <c r="M270" s="72"/>
    </row>
    <row r="271" spans="1:19" s="47" customFormat="1" ht="11.25" customHeight="1" x14ac:dyDescent="0.2">
      <c r="A271" s="18" t="s">
        <v>226</v>
      </c>
      <c r="B271" s="62" t="s">
        <v>82</v>
      </c>
      <c r="C271" s="62" t="s">
        <v>83</v>
      </c>
      <c r="D271" s="62" t="s">
        <v>84</v>
      </c>
      <c r="E271" s="62" t="s">
        <v>85</v>
      </c>
      <c r="F271" s="62" t="s">
        <v>86</v>
      </c>
      <c r="G271" s="62" t="s">
        <v>87</v>
      </c>
      <c r="H271" s="62" t="s">
        <v>88</v>
      </c>
      <c r="I271" s="62" t="s">
        <v>198</v>
      </c>
      <c r="J271" s="62" t="s">
        <v>89</v>
      </c>
      <c r="K271" s="62" t="s">
        <v>90</v>
      </c>
      <c r="L271" s="62" t="s">
        <v>91</v>
      </c>
      <c r="M271" s="62" t="s">
        <v>92</v>
      </c>
      <c r="N271" s="208"/>
      <c r="O271" s="208"/>
      <c r="P271" s="208"/>
      <c r="Q271" s="208"/>
      <c r="R271" s="208"/>
      <c r="S271" s="197"/>
    </row>
    <row r="272" spans="1:19" s="24" customFormat="1" ht="12" x14ac:dyDescent="0.2">
      <c r="A272" s="21" t="s">
        <v>93</v>
      </c>
      <c r="B272" s="219"/>
      <c r="C272" s="219"/>
      <c r="D272" s="219"/>
      <c r="E272" s="219"/>
      <c r="F272" s="219"/>
      <c r="G272" s="219"/>
      <c r="H272" s="219"/>
      <c r="I272" s="26"/>
      <c r="J272" s="26"/>
      <c r="K272" s="26"/>
      <c r="L272" s="27"/>
      <c r="M272" s="26"/>
      <c r="N272" s="206">
        <v>13558.430969999999</v>
      </c>
      <c r="O272" s="206"/>
      <c r="P272" s="206">
        <v>1951.4111</v>
      </c>
      <c r="Q272" s="206">
        <v>263.59796999999998</v>
      </c>
      <c r="R272" s="206">
        <f>+N272-O272-P272-Q272</f>
        <v>11343.421899999999</v>
      </c>
      <c r="S272" s="195"/>
    </row>
    <row r="273" spans="1:19" s="24" customFormat="1" ht="12" x14ac:dyDescent="0.2">
      <c r="A273" s="21" t="s">
        <v>94</v>
      </c>
      <c r="B273" s="219"/>
      <c r="C273" s="219"/>
      <c r="D273" s="219"/>
      <c r="E273" s="219"/>
      <c r="F273" s="219"/>
      <c r="G273" s="219"/>
      <c r="H273" s="219"/>
      <c r="I273" s="26"/>
      <c r="J273" s="26"/>
      <c r="K273" s="26"/>
      <c r="L273" s="27"/>
      <c r="M273" s="26"/>
      <c r="N273" s="206">
        <v>3343.7389600000001</v>
      </c>
      <c r="O273" s="206">
        <v>182.36199999999999</v>
      </c>
      <c r="P273" s="206">
        <v>935.13981000000001</v>
      </c>
      <c r="Q273" s="206">
        <v>76.259529999999998</v>
      </c>
      <c r="R273" s="206">
        <f>+N273-O273-P273-Q273</f>
        <v>2149.9776200000001</v>
      </c>
      <c r="S273" s="195"/>
    </row>
    <row r="274" spans="1:19" s="24" customFormat="1" ht="12" x14ac:dyDescent="0.2">
      <c r="A274" s="21" t="s">
        <v>95</v>
      </c>
      <c r="B274" s="219"/>
      <c r="C274" s="219"/>
      <c r="D274" s="219"/>
      <c r="E274" s="219"/>
      <c r="F274" s="219"/>
      <c r="G274" s="219"/>
      <c r="H274" s="219"/>
      <c r="I274" s="26"/>
      <c r="J274" s="26"/>
      <c r="K274" s="26"/>
      <c r="L274" s="27"/>
      <c r="M274" s="26"/>
      <c r="N274" s="206"/>
      <c r="O274" s="206"/>
      <c r="P274" s="206"/>
      <c r="Q274" s="206"/>
      <c r="R274" s="206">
        <f>+N274-O274-P274-Q274</f>
        <v>0</v>
      </c>
      <c r="S274" s="195"/>
    </row>
    <row r="275" spans="1:19" s="24" customFormat="1" ht="12" x14ac:dyDescent="0.2">
      <c r="A275" s="21" t="s">
        <v>96</v>
      </c>
      <c r="B275" s="219"/>
      <c r="C275" s="219"/>
      <c r="D275" s="219"/>
      <c r="E275" s="219"/>
      <c r="F275" s="219"/>
      <c r="G275" s="219"/>
      <c r="H275" s="219"/>
      <c r="I275" s="28"/>
      <c r="J275" s="28"/>
      <c r="K275" s="28"/>
      <c r="L275" s="28"/>
      <c r="M275" s="26"/>
      <c r="N275" s="206">
        <v>14814.102790000001</v>
      </c>
      <c r="O275" s="206">
        <v>7733.5501199999999</v>
      </c>
      <c r="P275" s="206">
        <v>6379.7512100000004</v>
      </c>
      <c r="Q275" s="206">
        <v>654.46446000000003</v>
      </c>
      <c r="R275" s="206">
        <f>+N275-O275-P275-Q275</f>
        <v>46.337000000000558</v>
      </c>
      <c r="S275" s="195"/>
    </row>
    <row r="276" spans="1:19" s="24" customFormat="1" ht="12" x14ac:dyDescent="0.2">
      <c r="A276" s="21" t="s">
        <v>97</v>
      </c>
      <c r="B276" s="26"/>
      <c r="C276" s="26"/>
      <c r="D276" s="26"/>
      <c r="E276" s="26"/>
      <c r="F276" s="155"/>
      <c r="G276" s="22"/>
      <c r="H276" s="26"/>
      <c r="I276" s="26"/>
      <c r="J276" s="26"/>
      <c r="K276" s="26"/>
      <c r="L276" s="27"/>
      <c r="M276" s="26"/>
      <c r="N276" s="206">
        <v>18176.536199999999</v>
      </c>
      <c r="O276" s="206"/>
      <c r="P276" s="206"/>
      <c r="Q276" s="206"/>
      <c r="R276" s="206">
        <f>+N276-O276-P276-Q276</f>
        <v>18176.536199999999</v>
      </c>
      <c r="S276" s="195"/>
    </row>
    <row r="277" spans="1:19" s="32" customFormat="1" ht="12" x14ac:dyDescent="0.2">
      <c r="A277" s="30" t="s">
        <v>98</v>
      </c>
      <c r="B277" s="64">
        <f>SUM(B272:B276)</f>
        <v>0</v>
      </c>
      <c r="C277" s="64">
        <f t="shared" ref="C277:M277" si="33">SUM(C272:C276)</f>
        <v>0</v>
      </c>
      <c r="D277" s="64">
        <f t="shared" si="33"/>
        <v>0</v>
      </c>
      <c r="E277" s="64">
        <f t="shared" si="33"/>
        <v>0</v>
      </c>
      <c r="F277" s="64">
        <f t="shared" si="33"/>
        <v>0</v>
      </c>
      <c r="G277" s="64">
        <f t="shared" si="33"/>
        <v>0</v>
      </c>
      <c r="H277" s="64">
        <f t="shared" si="33"/>
        <v>0</v>
      </c>
      <c r="I277" s="64">
        <f t="shared" si="33"/>
        <v>0</v>
      </c>
      <c r="J277" s="64">
        <f t="shared" si="33"/>
        <v>0</v>
      </c>
      <c r="K277" s="64">
        <f t="shared" si="33"/>
        <v>0</v>
      </c>
      <c r="L277" s="64">
        <f t="shared" si="33"/>
        <v>0</v>
      </c>
      <c r="M277" s="64">
        <f t="shared" si="33"/>
        <v>0</v>
      </c>
      <c r="N277" s="209">
        <f>SUM(N272:N276)</f>
        <v>49892.808919999996</v>
      </c>
      <c r="O277" s="209">
        <f>SUM(O272:O276)</f>
        <v>7915.91212</v>
      </c>
      <c r="P277" s="209">
        <f>SUM(P272:P276)</f>
        <v>9266.3021200000003</v>
      </c>
      <c r="Q277" s="209">
        <f>SUM(Q272:Q276)</f>
        <v>994.32195999999999</v>
      </c>
      <c r="R277" s="209">
        <f>SUM(R272:R276)</f>
        <v>31716.272720000001</v>
      </c>
      <c r="S277" s="195"/>
    </row>
    <row r="278" spans="1:19" x14ac:dyDescent="0.2">
      <c r="A278" s="71"/>
      <c r="B278" s="16"/>
      <c r="C278" s="16"/>
      <c r="D278" s="16"/>
      <c r="E278" s="16"/>
      <c r="F278" s="16"/>
      <c r="G278" s="16"/>
      <c r="H278" s="16"/>
      <c r="I278" s="72"/>
      <c r="J278" s="72"/>
      <c r="K278" s="72"/>
      <c r="L278" s="72"/>
      <c r="M278" s="72"/>
    </row>
    <row r="279" spans="1:19" s="47" customFormat="1" ht="11.25" customHeight="1" x14ac:dyDescent="0.2">
      <c r="A279" s="18" t="s">
        <v>132</v>
      </c>
      <c r="B279" s="62" t="s">
        <v>82</v>
      </c>
      <c r="C279" s="62" t="s">
        <v>83</v>
      </c>
      <c r="D279" s="62" t="s">
        <v>84</v>
      </c>
      <c r="E279" s="62" t="s">
        <v>85</v>
      </c>
      <c r="F279" s="62" t="s">
        <v>86</v>
      </c>
      <c r="G279" s="62" t="s">
        <v>87</v>
      </c>
      <c r="H279" s="62" t="s">
        <v>88</v>
      </c>
      <c r="I279" s="62" t="s">
        <v>198</v>
      </c>
      <c r="J279" s="62" t="s">
        <v>89</v>
      </c>
      <c r="K279" s="62" t="s">
        <v>90</v>
      </c>
      <c r="L279" s="62" t="s">
        <v>91</v>
      </c>
      <c r="M279" s="62" t="s">
        <v>92</v>
      </c>
      <c r="N279" s="208"/>
      <c r="O279" s="211"/>
      <c r="P279" s="208"/>
      <c r="Q279" s="208"/>
      <c r="R279" s="208"/>
      <c r="S279" s="197"/>
    </row>
    <row r="280" spans="1:19" s="24" customFormat="1" x14ac:dyDescent="0.2">
      <c r="A280" s="21" t="s">
        <v>93</v>
      </c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7"/>
      <c r="M280" s="26"/>
      <c r="N280" s="206"/>
      <c r="O280" s="206"/>
      <c r="P280" s="206"/>
      <c r="Q280" s="208"/>
      <c r="R280" s="206"/>
      <c r="S280" s="195"/>
    </row>
    <row r="281" spans="1:19" s="24" customFormat="1" ht="12" x14ac:dyDescent="0.2">
      <c r="A281" s="21" t="s">
        <v>94</v>
      </c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7"/>
      <c r="M281" s="26"/>
      <c r="N281" s="206"/>
      <c r="O281" s="206"/>
      <c r="P281" s="206"/>
      <c r="Q281" s="206"/>
      <c r="R281" s="206"/>
      <c r="S281" s="195"/>
    </row>
    <row r="282" spans="1:19" s="24" customFormat="1" ht="12" x14ac:dyDescent="0.2">
      <c r="A282" s="21" t="s">
        <v>95</v>
      </c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7"/>
      <c r="M282" s="26"/>
      <c r="N282" s="206"/>
      <c r="O282" s="206"/>
      <c r="P282" s="206"/>
      <c r="Q282" s="206"/>
      <c r="R282" s="206"/>
      <c r="S282" s="195"/>
    </row>
    <row r="283" spans="1:19" s="24" customFormat="1" ht="12" x14ac:dyDescent="0.2">
      <c r="A283" s="21" t="s">
        <v>96</v>
      </c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7"/>
      <c r="M283" s="26"/>
      <c r="N283" s="206"/>
      <c r="O283" s="206"/>
      <c r="P283" s="206"/>
      <c r="Q283" s="206"/>
      <c r="R283" s="206"/>
      <c r="S283" s="195"/>
    </row>
    <row r="284" spans="1:19" s="24" customFormat="1" ht="12" x14ac:dyDescent="0.2">
      <c r="A284" s="21" t="s">
        <v>97</v>
      </c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7"/>
      <c r="M284" s="26"/>
      <c r="N284" s="206"/>
      <c r="O284" s="206"/>
      <c r="P284" s="206"/>
      <c r="Q284" s="206"/>
      <c r="R284" s="206"/>
      <c r="S284" s="195"/>
    </row>
    <row r="285" spans="1:19" s="32" customFormat="1" ht="12" x14ac:dyDescent="0.2">
      <c r="A285" s="30" t="s">
        <v>98</v>
      </c>
      <c r="B285" s="64">
        <f>SUM(B280:B284)</f>
        <v>0</v>
      </c>
      <c r="C285" s="64">
        <f t="shared" ref="C285:M285" si="34">SUM(C280:C284)</f>
        <v>0</v>
      </c>
      <c r="D285" s="64">
        <f t="shared" si="34"/>
        <v>0</v>
      </c>
      <c r="E285" s="64">
        <f t="shared" si="34"/>
        <v>0</v>
      </c>
      <c r="F285" s="64">
        <f t="shared" si="34"/>
        <v>0</v>
      </c>
      <c r="G285" s="64">
        <f t="shared" si="34"/>
        <v>0</v>
      </c>
      <c r="H285" s="64">
        <f t="shared" si="34"/>
        <v>0</v>
      </c>
      <c r="I285" s="64">
        <f t="shared" si="34"/>
        <v>0</v>
      </c>
      <c r="J285" s="64">
        <f t="shared" si="34"/>
        <v>0</v>
      </c>
      <c r="K285" s="64">
        <f t="shared" si="34"/>
        <v>0</v>
      </c>
      <c r="L285" s="64">
        <f t="shared" si="34"/>
        <v>0</v>
      </c>
      <c r="M285" s="64">
        <f t="shared" si="34"/>
        <v>0</v>
      </c>
      <c r="N285" s="206"/>
      <c r="O285" s="206"/>
      <c r="P285" s="206"/>
      <c r="Q285" s="206"/>
      <c r="R285" s="206"/>
      <c r="S285" s="195"/>
    </row>
    <row r="286" spans="1:19" x14ac:dyDescent="0.2">
      <c r="A286" s="79"/>
      <c r="B286" s="16"/>
      <c r="C286" s="16"/>
      <c r="D286" s="16"/>
      <c r="E286" s="16"/>
      <c r="F286" s="16"/>
      <c r="G286" s="124"/>
      <c r="H286" s="16"/>
      <c r="I286" s="16"/>
      <c r="J286" s="72"/>
      <c r="K286" s="72"/>
      <c r="L286" s="72"/>
      <c r="M286" s="72"/>
    </row>
    <row r="287" spans="1:19" x14ac:dyDescent="0.2">
      <c r="A287" s="158" t="s">
        <v>216</v>
      </c>
      <c r="B287" s="89">
        <f>+B13+B21+B29+B37+B45+B53+B61+B69+B77+B85+B93+B101+B109+B117+B125+B133+B141+B149+B157+B165+B173+B181+B189+B197+B205+B213+B221+B229+B237+B245+B253+B261+B269+B277+B285</f>
        <v>0</v>
      </c>
      <c r="C287" s="89">
        <f t="shared" ref="C287:L287" si="35">+C13+C21+C29+C37+C45+C53+C61+C69+C77+C85+C93+C101+C109+C117+C125+C133+C141+C149+C157+C165+C173+C181+C189+C197+C205+C213+C221+C229+C237+C245+C253+C261+C269+C277+C285</f>
        <v>1.2804800000000001</v>
      </c>
      <c r="D287" s="89">
        <f>+D13+D21+D29+D37+D45+D53+D61+D69+D77+D85+D93+D101+D109+D117+D125+D133+D141+D149+D157+D165+D173+D181+D189+D197+D205+D213+D221+D229+D237+D245+D253+D261+D269+D277+D285</f>
        <v>1.2804800000000001</v>
      </c>
      <c r="E287" s="89">
        <f t="shared" si="35"/>
        <v>-989.94554999999991</v>
      </c>
      <c r="F287" s="89">
        <f t="shared" si="35"/>
        <v>212.50104000000002</v>
      </c>
      <c r="G287" s="89">
        <f t="shared" si="35"/>
        <v>7992.6099100000001</v>
      </c>
      <c r="H287" s="89">
        <f t="shared" si="35"/>
        <v>14208.923190000001</v>
      </c>
      <c r="I287" s="89">
        <f t="shared" si="35"/>
        <v>20165.809710000001</v>
      </c>
      <c r="J287" s="89">
        <f t="shared" si="35"/>
        <v>27738.868679999996</v>
      </c>
      <c r="K287" s="89">
        <f t="shared" si="35"/>
        <v>16927.782719999999</v>
      </c>
      <c r="L287" s="89">
        <f t="shared" si="35"/>
        <v>16927.782719999999</v>
      </c>
      <c r="M287" s="89">
        <f>+M13+M21+M29+M37+M45+M53+M61+M69+M77+M85+M93+M101+M109+M117+M125+M133+M141+M149+M157+M165+M173+M181+M189+M197+M205+M213+M221+M229+M237+M245+M253+M261+M269+M277+M285</f>
        <v>0</v>
      </c>
      <c r="N287" s="206"/>
      <c r="O287" s="206"/>
    </row>
    <row r="288" spans="1:19" s="255" customFormat="1" x14ac:dyDescent="0.2">
      <c r="A288" s="253"/>
      <c r="B288" s="254">
        <f>+'ejecucion MUSD '!E66-'HAB-POR EC MUSD'!B287</f>
        <v>0</v>
      </c>
      <c r="C288" s="254">
        <f>+'ejecucion MUSD '!G66-'HAB-POR EC MUSD'!C287</f>
        <v>0</v>
      </c>
      <c r="D288" s="254">
        <f>+'ejecucion MUSD '!I66-'HAB-POR EC MUSD'!D287</f>
        <v>0</v>
      </c>
      <c r="E288" s="254">
        <f>+'ejecucion MUSD '!K66-E287</f>
        <v>-1.510000000052969E-3</v>
      </c>
      <c r="F288" s="254">
        <f>+'ejecucion MUSD '!M66-F287</f>
        <v>-6.3999999997577106E-4</v>
      </c>
      <c r="G288" s="254">
        <f>+'ejecucion MUSD '!O66-G287</f>
        <v>8.6999999984982423E-4</v>
      </c>
      <c r="H288" s="254">
        <f>'ejecucion MUSD '!Q66-H287</f>
        <v>0</v>
      </c>
      <c r="I288" s="254">
        <f>'ejecucion MUSD '!S66-I287</f>
        <v>0</v>
      </c>
      <c r="J288" s="254">
        <f>'ejecucion MUSD '!U66-J287</f>
        <v>0</v>
      </c>
      <c r="K288" s="254">
        <f>+'ejecucion MUSD '!W66-K287</f>
        <v>2.2800000006100163E-3</v>
      </c>
      <c r="L288" s="254">
        <f>+'ejecucion MUSD '!Y66-L287</f>
        <v>2.2800000006100163E-3</v>
      </c>
      <c r="M288" s="254">
        <f>+M287/6.3/1000</f>
        <v>0</v>
      </c>
      <c r="N288" s="202"/>
      <c r="O288" s="202"/>
      <c r="P288" s="202"/>
      <c r="Q288" s="202"/>
      <c r="R288" s="202"/>
      <c r="S288" s="202"/>
    </row>
    <row r="289" spans="1:19" s="157" customFormat="1" x14ac:dyDescent="0.2">
      <c r="A289" s="165"/>
      <c r="M289" s="157">
        <f>+M288-'HAB-POR EC M$'!M288</f>
        <v>0</v>
      </c>
      <c r="N289" s="195"/>
      <c r="O289" s="195"/>
      <c r="P289" s="168"/>
      <c r="Q289" s="168"/>
      <c r="R289" s="168"/>
      <c r="S289" s="168"/>
    </row>
    <row r="290" spans="1:19" s="157" customFormat="1" x14ac:dyDescent="0.2">
      <c r="A290" s="166"/>
      <c r="B290" s="182"/>
      <c r="C290" s="182"/>
      <c r="D290" s="182"/>
      <c r="E290" s="201"/>
      <c r="F290" s="167"/>
      <c r="G290" s="167"/>
      <c r="H290" s="167"/>
      <c r="I290" s="167"/>
      <c r="J290" s="167"/>
      <c r="K290" s="167"/>
      <c r="L290" s="167"/>
      <c r="M290" s="167"/>
      <c r="N290" s="168"/>
      <c r="O290" s="168"/>
      <c r="P290" s="168"/>
      <c r="Q290" s="168"/>
      <c r="R290" s="168"/>
      <c r="S290" s="168"/>
    </row>
    <row r="291" spans="1:19" s="157" customFormat="1" x14ac:dyDescent="0.2">
      <c r="A291" s="165"/>
      <c r="B291" s="168"/>
      <c r="C291" s="168"/>
      <c r="D291" s="168"/>
      <c r="E291" s="168"/>
      <c r="F291" s="198"/>
      <c r="G291" s="168"/>
      <c r="H291" s="168"/>
      <c r="I291" s="168"/>
      <c r="J291" s="168"/>
      <c r="K291" s="168"/>
      <c r="L291" s="168"/>
      <c r="M291" s="168"/>
      <c r="N291" s="206"/>
      <c r="O291" s="206"/>
      <c r="P291" s="202"/>
      <c r="Q291" s="202"/>
      <c r="R291" s="202"/>
      <c r="S291" s="168"/>
    </row>
    <row r="292" spans="1:19" s="157" customFormat="1" x14ac:dyDescent="0.2">
      <c r="A292" s="165"/>
      <c r="B292" s="168"/>
      <c r="C292" s="199"/>
      <c r="D292" s="200"/>
      <c r="E292" s="200"/>
      <c r="F292" s="200"/>
      <c r="N292" s="202"/>
      <c r="O292" s="202"/>
      <c r="P292" s="202"/>
      <c r="Q292" s="202"/>
      <c r="R292" s="202"/>
      <c r="S292" s="168"/>
    </row>
    <row r="293" spans="1:19" s="157" customFormat="1" x14ac:dyDescent="0.2">
      <c r="A293" s="165"/>
      <c r="B293" s="168"/>
      <c r="C293" s="199"/>
      <c r="D293" s="200"/>
      <c r="E293" s="200"/>
      <c r="F293" s="200"/>
      <c r="N293" s="206"/>
      <c r="O293" s="206"/>
      <c r="P293" s="202"/>
      <c r="Q293" s="202"/>
      <c r="R293" s="202"/>
      <c r="S293" s="168"/>
    </row>
    <row r="294" spans="1:19" s="157" customFormat="1" x14ac:dyDescent="0.2">
      <c r="A294" s="165"/>
      <c r="B294" s="168"/>
      <c r="C294" s="199"/>
      <c r="D294" s="200"/>
      <c r="E294" s="200"/>
      <c r="F294" s="200"/>
      <c r="N294" s="202"/>
      <c r="O294" s="202"/>
      <c r="P294" s="202"/>
      <c r="Q294" s="202"/>
      <c r="R294" s="202"/>
      <c r="S294" s="168"/>
    </row>
    <row r="295" spans="1:19" s="157" customFormat="1" x14ac:dyDescent="0.2">
      <c r="A295" s="165"/>
      <c r="B295" s="168"/>
      <c r="C295" s="199"/>
      <c r="D295" s="200"/>
      <c r="E295" s="200"/>
      <c r="F295" s="200"/>
      <c r="N295" s="206"/>
      <c r="O295" s="206"/>
      <c r="P295" s="202"/>
      <c r="Q295" s="202"/>
      <c r="R295" s="202"/>
      <c r="S295" s="168"/>
    </row>
    <row r="296" spans="1:19" s="157" customFormat="1" x14ac:dyDescent="0.2">
      <c r="A296" s="165"/>
      <c r="B296" s="168"/>
      <c r="C296" s="199"/>
      <c r="N296" s="202"/>
      <c r="O296" s="202"/>
      <c r="P296" s="202"/>
      <c r="Q296" s="202"/>
      <c r="R296" s="202"/>
      <c r="S296" s="168"/>
    </row>
    <row r="297" spans="1:19" s="157" customFormat="1" x14ac:dyDescent="0.2">
      <c r="A297" s="165"/>
      <c r="B297" s="168"/>
      <c r="C297" s="199"/>
      <c r="N297" s="202"/>
      <c r="O297" s="202"/>
      <c r="P297" s="202"/>
      <c r="Q297" s="202"/>
      <c r="R297" s="202"/>
      <c r="S297" s="168"/>
    </row>
    <row r="298" spans="1:19" s="157" customFormat="1" x14ac:dyDescent="0.2">
      <c r="A298" s="165"/>
      <c r="B298" s="168"/>
      <c r="C298" s="199"/>
      <c r="N298" s="202"/>
      <c r="O298" s="202"/>
      <c r="P298" s="202"/>
      <c r="Q298" s="202"/>
      <c r="R298" s="202"/>
      <c r="S298" s="168"/>
    </row>
    <row r="299" spans="1:19" s="86" customFormat="1" x14ac:dyDescent="0.2">
      <c r="A299" s="71"/>
      <c r="B299" s="192"/>
      <c r="C299" s="193"/>
      <c r="D299" s="191"/>
      <c r="E299" s="191"/>
      <c r="F299" s="191"/>
      <c r="G299" s="191"/>
      <c r="N299" s="202"/>
      <c r="O299" s="202"/>
      <c r="P299" s="202"/>
      <c r="Q299" s="202"/>
      <c r="R299" s="202"/>
      <c r="S299" s="168"/>
    </row>
    <row r="300" spans="1:19" s="86" customFormat="1" x14ac:dyDescent="0.2">
      <c r="A300" s="71"/>
      <c r="B300" s="192"/>
      <c r="C300" s="193"/>
      <c r="D300" s="191"/>
      <c r="E300" s="191"/>
      <c r="F300" s="191"/>
      <c r="G300" s="191"/>
      <c r="N300" s="202"/>
      <c r="O300" s="202"/>
      <c r="P300" s="202"/>
      <c r="Q300" s="202"/>
      <c r="R300" s="202"/>
      <c r="S300" s="168"/>
    </row>
    <row r="301" spans="1:19" s="86" customFormat="1" x14ac:dyDescent="0.2">
      <c r="A301" s="71"/>
      <c r="B301" s="85"/>
      <c r="C301" s="2"/>
      <c r="N301" s="202"/>
      <c r="O301" s="202"/>
      <c r="P301" s="202"/>
      <c r="Q301" s="202"/>
      <c r="R301" s="202"/>
      <c r="S301" s="168"/>
    </row>
    <row r="302" spans="1:19" s="86" customFormat="1" x14ac:dyDescent="0.2">
      <c r="A302" s="71"/>
      <c r="B302" s="85"/>
      <c r="C302" s="2"/>
      <c r="N302" s="202"/>
      <c r="O302" s="202"/>
      <c r="P302" s="202"/>
      <c r="Q302" s="202"/>
      <c r="R302" s="202"/>
      <c r="S302" s="168"/>
    </row>
    <row r="303" spans="1:19" s="86" customFormat="1" x14ac:dyDescent="0.2">
      <c r="A303" s="71"/>
      <c r="B303" s="85"/>
      <c r="C303" s="2"/>
      <c r="N303" s="202"/>
      <c r="O303" s="202"/>
      <c r="P303" s="202"/>
      <c r="Q303" s="202"/>
      <c r="R303" s="202"/>
      <c r="S303" s="168"/>
    </row>
    <row r="304" spans="1:19" s="86" customFormat="1" x14ac:dyDescent="0.2">
      <c r="A304" s="71"/>
      <c r="B304" s="85"/>
      <c r="C304" s="2"/>
      <c r="N304" s="202"/>
      <c r="O304" s="202"/>
      <c r="P304" s="202"/>
      <c r="Q304" s="202"/>
      <c r="R304" s="202"/>
      <c r="S304" s="168"/>
    </row>
    <row r="305" spans="1:19" s="86" customFormat="1" x14ac:dyDescent="0.2">
      <c r="A305" s="71"/>
      <c r="B305" s="85"/>
      <c r="C305" s="2"/>
      <c r="N305" s="202"/>
      <c r="O305" s="202"/>
      <c r="P305" s="202"/>
      <c r="Q305" s="202"/>
      <c r="R305" s="202"/>
      <c r="S305" s="168"/>
    </row>
    <row r="306" spans="1:19" s="86" customFormat="1" x14ac:dyDescent="0.2">
      <c r="A306" s="71"/>
      <c r="B306" s="85"/>
      <c r="C306" s="2"/>
      <c r="N306" s="202"/>
      <c r="O306" s="202"/>
      <c r="P306" s="202"/>
      <c r="Q306" s="202"/>
      <c r="R306" s="202"/>
      <c r="S306" s="168"/>
    </row>
    <row r="307" spans="1:19" s="86" customFormat="1" x14ac:dyDescent="0.2">
      <c r="A307" s="71"/>
      <c r="B307" s="85"/>
      <c r="C307" s="2"/>
      <c r="N307" s="202"/>
      <c r="O307" s="202"/>
      <c r="P307" s="202"/>
      <c r="Q307" s="202"/>
      <c r="R307" s="202"/>
      <c r="S307" s="168"/>
    </row>
    <row r="308" spans="1:19" s="86" customFormat="1" x14ac:dyDescent="0.2">
      <c r="A308" s="71"/>
      <c r="B308" s="85"/>
      <c r="N308" s="202"/>
      <c r="O308" s="202"/>
      <c r="P308" s="202"/>
      <c r="Q308" s="202"/>
      <c r="R308" s="202"/>
      <c r="S308" s="168"/>
    </row>
    <row r="309" spans="1:19" s="86" customFormat="1" x14ac:dyDescent="0.2">
      <c r="A309" s="71"/>
      <c r="B309" s="85"/>
      <c r="N309" s="202"/>
      <c r="O309" s="202"/>
      <c r="P309" s="202"/>
      <c r="Q309" s="202"/>
      <c r="R309" s="202"/>
      <c r="S309" s="168"/>
    </row>
    <row r="310" spans="1:19" s="86" customFormat="1" x14ac:dyDescent="0.2">
      <c r="A310" s="71"/>
      <c r="B310" s="85"/>
      <c r="N310" s="202"/>
      <c r="O310" s="202"/>
      <c r="P310" s="202"/>
      <c r="Q310" s="202"/>
      <c r="R310" s="202"/>
      <c r="S310" s="168"/>
    </row>
    <row r="311" spans="1:19" s="86" customFormat="1" x14ac:dyDescent="0.2">
      <c r="A311" s="71"/>
      <c r="B311" s="85"/>
      <c r="N311" s="202"/>
      <c r="O311" s="202"/>
      <c r="P311" s="202"/>
      <c r="Q311" s="202"/>
      <c r="R311" s="202"/>
      <c r="S311" s="168"/>
    </row>
    <row r="312" spans="1:19" s="86" customFormat="1" x14ac:dyDescent="0.2">
      <c r="A312" s="71"/>
      <c r="B312" s="85"/>
      <c r="C312" s="2"/>
      <c r="N312" s="202"/>
      <c r="O312" s="202"/>
      <c r="P312" s="202"/>
      <c r="Q312" s="202"/>
      <c r="R312" s="202"/>
      <c r="S312" s="168"/>
    </row>
    <row r="313" spans="1:19" s="86" customFormat="1" x14ac:dyDescent="0.2">
      <c r="A313" s="71"/>
      <c r="B313" s="85"/>
      <c r="C313" s="2"/>
      <c r="N313" s="202"/>
      <c r="O313" s="202"/>
      <c r="P313" s="202"/>
      <c r="Q313" s="202"/>
      <c r="R313" s="202"/>
      <c r="S313" s="168"/>
    </row>
    <row r="314" spans="1:19" s="86" customFormat="1" x14ac:dyDescent="0.2">
      <c r="A314" s="71"/>
      <c r="B314" s="85"/>
      <c r="C314" s="2"/>
      <c r="N314" s="202"/>
      <c r="O314" s="202"/>
      <c r="P314" s="202"/>
      <c r="Q314" s="202"/>
      <c r="R314" s="202"/>
      <c r="S314" s="168"/>
    </row>
    <row r="315" spans="1:19" s="86" customFormat="1" x14ac:dyDescent="0.2">
      <c r="A315" s="71"/>
      <c r="B315" s="85"/>
      <c r="C315" s="2"/>
      <c r="N315" s="202"/>
      <c r="O315" s="202"/>
      <c r="P315" s="202"/>
      <c r="Q315" s="202"/>
      <c r="R315" s="202"/>
      <c r="S315" s="168"/>
    </row>
    <row r="316" spans="1:19" s="86" customFormat="1" x14ac:dyDescent="0.2">
      <c r="A316" s="71"/>
      <c r="B316" s="85"/>
      <c r="C316" s="2"/>
      <c r="N316" s="202"/>
      <c r="O316" s="202"/>
      <c r="P316" s="202"/>
      <c r="Q316" s="202"/>
      <c r="R316" s="202"/>
      <c r="S316" s="168"/>
    </row>
    <row r="317" spans="1:19" s="86" customFormat="1" x14ac:dyDescent="0.2">
      <c r="A317" s="71"/>
      <c r="B317" s="85"/>
      <c r="N317" s="202"/>
      <c r="O317" s="202"/>
      <c r="P317" s="202"/>
      <c r="Q317" s="202"/>
      <c r="R317" s="202"/>
      <c r="S317" s="168"/>
    </row>
    <row r="318" spans="1:19" s="86" customFormat="1" x14ac:dyDescent="0.2">
      <c r="A318" s="71"/>
      <c r="B318" s="85"/>
      <c r="N318" s="202"/>
      <c r="O318" s="202"/>
      <c r="P318" s="202"/>
      <c r="Q318" s="202"/>
      <c r="R318" s="202"/>
      <c r="S318" s="168"/>
    </row>
    <row r="319" spans="1:19" s="86" customFormat="1" x14ac:dyDescent="0.2">
      <c r="A319" s="71"/>
      <c r="B319" s="85"/>
      <c r="N319" s="202"/>
      <c r="O319" s="202"/>
      <c r="P319" s="202"/>
      <c r="Q319" s="202"/>
      <c r="R319" s="202"/>
      <c r="S319" s="168"/>
    </row>
    <row r="320" spans="1:19" s="86" customFormat="1" x14ac:dyDescent="0.2">
      <c r="A320" s="71"/>
      <c r="B320" s="85"/>
      <c r="N320" s="202"/>
      <c r="O320" s="202"/>
      <c r="P320" s="202"/>
      <c r="Q320" s="202"/>
      <c r="R320" s="202"/>
      <c r="S320" s="168"/>
    </row>
    <row r="321" spans="1:19" s="86" customFormat="1" x14ac:dyDescent="0.2">
      <c r="A321" s="71"/>
      <c r="B321" s="85"/>
      <c r="N321" s="202"/>
      <c r="O321" s="202"/>
      <c r="P321" s="202"/>
      <c r="Q321" s="202"/>
      <c r="R321" s="202"/>
      <c r="S321" s="168"/>
    </row>
    <row r="322" spans="1:19" s="86" customFormat="1" x14ac:dyDescent="0.2">
      <c r="A322" s="71"/>
      <c r="B322" s="85"/>
      <c r="N322" s="202"/>
      <c r="O322" s="202"/>
      <c r="P322" s="202"/>
      <c r="Q322" s="202"/>
      <c r="R322" s="202"/>
      <c r="S322" s="168"/>
    </row>
    <row r="323" spans="1:19" s="86" customFormat="1" x14ac:dyDescent="0.2">
      <c r="A323" s="71"/>
      <c r="B323" s="85"/>
      <c r="N323" s="202"/>
      <c r="O323" s="202"/>
      <c r="P323" s="202"/>
      <c r="Q323" s="202"/>
      <c r="R323" s="202"/>
      <c r="S323" s="168"/>
    </row>
    <row r="324" spans="1:19" s="86" customFormat="1" x14ac:dyDescent="0.2">
      <c r="A324" s="71"/>
      <c r="B324" s="85"/>
      <c r="C324" s="2"/>
      <c r="N324" s="202"/>
      <c r="O324" s="202"/>
      <c r="P324" s="202"/>
      <c r="Q324" s="202"/>
      <c r="R324" s="202"/>
      <c r="S324" s="168"/>
    </row>
    <row r="325" spans="1:19" s="86" customFormat="1" x14ac:dyDescent="0.2">
      <c r="A325" s="71"/>
      <c r="B325" s="85"/>
      <c r="N325" s="202"/>
      <c r="O325" s="202"/>
      <c r="P325" s="202"/>
      <c r="Q325" s="202"/>
      <c r="R325" s="202"/>
      <c r="S325" s="168"/>
    </row>
    <row r="326" spans="1:19" s="86" customFormat="1" x14ac:dyDescent="0.2">
      <c r="A326" s="71"/>
      <c r="B326" s="85"/>
      <c r="N326" s="202"/>
      <c r="O326" s="202"/>
      <c r="P326" s="202"/>
      <c r="Q326" s="202"/>
      <c r="R326" s="202"/>
      <c r="S326" s="168"/>
    </row>
    <row r="327" spans="1:19" s="86" customFormat="1" x14ac:dyDescent="0.2">
      <c r="A327" s="71"/>
      <c r="B327" s="85"/>
      <c r="N327" s="202"/>
      <c r="O327" s="202"/>
      <c r="P327" s="202"/>
      <c r="Q327" s="202"/>
      <c r="R327" s="202"/>
      <c r="S327" s="168"/>
    </row>
    <row r="328" spans="1:19" s="86" customFormat="1" x14ac:dyDescent="0.2">
      <c r="A328" s="71"/>
      <c r="B328" s="85"/>
      <c r="N328" s="202"/>
      <c r="O328" s="202"/>
      <c r="P328" s="202"/>
      <c r="Q328" s="202"/>
      <c r="R328" s="202"/>
      <c r="S328" s="168"/>
    </row>
    <row r="329" spans="1:19" s="86" customFormat="1" x14ac:dyDescent="0.2">
      <c r="A329" s="71"/>
      <c r="B329" s="85"/>
      <c r="N329" s="202"/>
      <c r="O329" s="202"/>
      <c r="P329" s="202"/>
      <c r="Q329" s="202"/>
      <c r="R329" s="202"/>
      <c r="S329" s="168"/>
    </row>
    <row r="330" spans="1:19" s="86" customFormat="1" x14ac:dyDescent="0.2">
      <c r="A330" s="71"/>
      <c r="B330" s="85"/>
      <c r="N330" s="202"/>
      <c r="O330" s="202"/>
      <c r="P330" s="202"/>
      <c r="Q330" s="202"/>
      <c r="R330" s="202"/>
      <c r="S330" s="168"/>
    </row>
    <row r="331" spans="1:19" s="86" customFormat="1" x14ac:dyDescent="0.2">
      <c r="A331" s="71"/>
      <c r="B331" s="85"/>
      <c r="C331" s="2"/>
      <c r="N331" s="202"/>
      <c r="O331" s="202"/>
      <c r="P331" s="202"/>
      <c r="Q331" s="202"/>
      <c r="R331" s="202"/>
      <c r="S331" s="168"/>
    </row>
    <row r="332" spans="1:19" s="86" customFormat="1" x14ac:dyDescent="0.2">
      <c r="A332" s="71"/>
      <c r="B332" s="85"/>
      <c r="N332" s="202"/>
      <c r="O332" s="202"/>
      <c r="P332" s="202"/>
      <c r="Q332" s="202"/>
      <c r="R332" s="202"/>
      <c r="S332" s="168"/>
    </row>
    <row r="333" spans="1:19" s="86" customFormat="1" x14ac:dyDescent="0.2">
      <c r="A333" s="71"/>
      <c r="B333" s="85"/>
      <c r="N333" s="202"/>
      <c r="O333" s="202"/>
      <c r="P333" s="202"/>
      <c r="Q333" s="202"/>
      <c r="R333" s="202"/>
      <c r="S333" s="168"/>
    </row>
    <row r="334" spans="1:19" s="86" customFormat="1" x14ac:dyDescent="0.2">
      <c r="A334" s="71"/>
      <c r="B334" s="85"/>
      <c r="C334" s="2"/>
      <c r="N334" s="202"/>
      <c r="O334" s="202"/>
      <c r="P334" s="202"/>
      <c r="Q334" s="202"/>
      <c r="R334" s="202"/>
      <c r="S334" s="168"/>
    </row>
    <row r="335" spans="1:19" s="86" customFormat="1" x14ac:dyDescent="0.2">
      <c r="A335" s="71"/>
      <c r="B335" s="85"/>
      <c r="N335" s="202"/>
      <c r="O335" s="202"/>
      <c r="P335" s="202"/>
      <c r="Q335" s="202"/>
      <c r="R335" s="202"/>
      <c r="S335" s="168"/>
    </row>
    <row r="336" spans="1:19" s="86" customFormat="1" x14ac:dyDescent="0.2">
      <c r="A336" s="71"/>
      <c r="B336" s="85"/>
      <c r="N336" s="202"/>
      <c r="O336" s="202"/>
      <c r="P336" s="202"/>
      <c r="Q336" s="202"/>
      <c r="R336" s="202"/>
      <c r="S336" s="168"/>
    </row>
    <row r="337" spans="1:19" s="86" customFormat="1" x14ac:dyDescent="0.2">
      <c r="A337" s="71"/>
      <c r="B337" s="85"/>
      <c r="N337" s="202"/>
      <c r="O337" s="202"/>
      <c r="P337" s="202"/>
      <c r="Q337" s="202"/>
      <c r="R337" s="202"/>
      <c r="S337" s="168"/>
    </row>
    <row r="338" spans="1:19" s="86" customFormat="1" x14ac:dyDescent="0.2">
      <c r="A338" s="71"/>
      <c r="B338" s="85"/>
      <c r="N338" s="202"/>
      <c r="O338" s="202"/>
      <c r="P338" s="202"/>
      <c r="Q338" s="202"/>
      <c r="R338" s="202"/>
      <c r="S338" s="168"/>
    </row>
    <row r="339" spans="1:19" s="86" customFormat="1" x14ac:dyDescent="0.2">
      <c r="A339" s="71"/>
      <c r="B339" s="85"/>
      <c r="N339" s="202"/>
      <c r="O339" s="202"/>
      <c r="P339" s="202"/>
      <c r="Q339" s="202"/>
      <c r="R339" s="202"/>
      <c r="S339" s="168"/>
    </row>
    <row r="340" spans="1:19" s="86" customFormat="1" x14ac:dyDescent="0.2">
      <c r="A340" s="71"/>
      <c r="B340" s="85"/>
      <c r="N340" s="202"/>
      <c r="O340" s="202"/>
      <c r="P340" s="202"/>
      <c r="Q340" s="202"/>
      <c r="R340" s="202"/>
      <c r="S340" s="168"/>
    </row>
    <row r="341" spans="1:19" s="86" customFormat="1" x14ac:dyDescent="0.2">
      <c r="A341" s="71"/>
      <c r="B341" s="85"/>
      <c r="C341" s="2"/>
      <c r="N341" s="202"/>
      <c r="O341" s="202"/>
      <c r="P341" s="202"/>
      <c r="Q341" s="202"/>
      <c r="R341" s="202"/>
      <c r="S341" s="168"/>
    </row>
    <row r="342" spans="1:19" s="86" customFormat="1" x14ac:dyDescent="0.2">
      <c r="A342" s="71"/>
      <c r="B342" s="85"/>
      <c r="C342" s="2"/>
      <c r="N342" s="202"/>
      <c r="O342" s="202"/>
      <c r="P342" s="202"/>
      <c r="Q342" s="202"/>
      <c r="R342" s="202"/>
      <c r="S342" s="168"/>
    </row>
    <row r="343" spans="1:19" s="86" customFormat="1" x14ac:dyDescent="0.2">
      <c r="A343" s="71"/>
      <c r="B343" s="85"/>
      <c r="C343" s="2"/>
      <c r="N343" s="202"/>
      <c r="O343" s="202"/>
      <c r="P343" s="202"/>
      <c r="Q343" s="202"/>
      <c r="R343" s="202"/>
      <c r="S343" s="168"/>
    </row>
    <row r="344" spans="1:19" s="86" customFormat="1" x14ac:dyDescent="0.2">
      <c r="A344" s="71"/>
      <c r="B344" s="85"/>
      <c r="C344" s="2"/>
      <c r="N344" s="202"/>
      <c r="O344" s="202"/>
      <c r="P344" s="202"/>
      <c r="Q344" s="202"/>
      <c r="R344" s="202"/>
      <c r="S344" s="168"/>
    </row>
    <row r="345" spans="1:19" s="86" customFormat="1" x14ac:dyDescent="0.2">
      <c r="A345" s="71"/>
      <c r="B345" s="85"/>
      <c r="C345" s="2"/>
      <c r="N345" s="202"/>
      <c r="O345" s="202"/>
      <c r="P345" s="202"/>
      <c r="Q345" s="202"/>
      <c r="R345" s="202"/>
      <c r="S345" s="168"/>
    </row>
    <row r="346" spans="1:19" s="86" customFormat="1" x14ac:dyDescent="0.2">
      <c r="A346" s="71"/>
      <c r="B346" s="85"/>
      <c r="C346" s="2"/>
      <c r="N346" s="202"/>
      <c r="O346" s="202"/>
      <c r="P346" s="202"/>
      <c r="Q346" s="202"/>
      <c r="R346" s="202"/>
      <c r="S346" s="168"/>
    </row>
    <row r="347" spans="1:19" s="86" customFormat="1" x14ac:dyDescent="0.2">
      <c r="A347" s="71"/>
      <c r="B347" s="85"/>
      <c r="N347" s="202"/>
      <c r="O347" s="202"/>
      <c r="P347" s="202"/>
      <c r="Q347" s="202"/>
      <c r="R347" s="202"/>
      <c r="S347" s="168"/>
    </row>
    <row r="348" spans="1:19" s="86" customFormat="1" x14ac:dyDescent="0.2">
      <c r="A348" s="71"/>
      <c r="B348" s="85"/>
      <c r="N348" s="202"/>
      <c r="O348" s="202"/>
      <c r="P348" s="202"/>
      <c r="Q348" s="202"/>
      <c r="R348" s="202"/>
      <c r="S348" s="168"/>
    </row>
    <row r="349" spans="1:19" s="86" customFormat="1" x14ac:dyDescent="0.2">
      <c r="A349" s="71"/>
      <c r="B349" s="85"/>
      <c r="N349" s="202"/>
      <c r="O349" s="202"/>
      <c r="P349" s="202"/>
      <c r="Q349" s="202"/>
      <c r="R349" s="202"/>
      <c r="S349" s="168"/>
    </row>
    <row r="350" spans="1:19" s="86" customFormat="1" x14ac:dyDescent="0.2">
      <c r="A350" s="71"/>
      <c r="B350" s="85"/>
      <c r="N350" s="202"/>
      <c r="O350" s="202"/>
      <c r="P350" s="202"/>
      <c r="Q350" s="202"/>
      <c r="R350" s="202"/>
      <c r="S350" s="168"/>
    </row>
    <row r="351" spans="1:19" s="86" customFormat="1" x14ac:dyDescent="0.2">
      <c r="A351" s="71"/>
      <c r="B351" s="85"/>
      <c r="N351" s="202"/>
      <c r="O351" s="202"/>
      <c r="P351" s="202"/>
      <c r="Q351" s="202"/>
      <c r="R351" s="202"/>
      <c r="S351" s="168"/>
    </row>
    <row r="352" spans="1:19" s="86" customFormat="1" x14ac:dyDescent="0.2">
      <c r="A352" s="71"/>
      <c r="B352" s="85"/>
      <c r="N352" s="202"/>
      <c r="O352" s="202"/>
      <c r="P352" s="202"/>
      <c r="Q352" s="202"/>
      <c r="R352" s="202"/>
      <c r="S352" s="168"/>
    </row>
    <row r="353" spans="1:19" s="86" customFormat="1" x14ac:dyDescent="0.2">
      <c r="A353" s="71"/>
      <c r="B353" s="85"/>
      <c r="N353" s="202"/>
      <c r="O353" s="202"/>
      <c r="P353" s="202"/>
      <c r="Q353" s="202"/>
      <c r="R353" s="202"/>
      <c r="S353" s="168"/>
    </row>
    <row r="354" spans="1:19" s="86" customFormat="1" x14ac:dyDescent="0.2">
      <c r="A354" s="71"/>
      <c r="B354" s="85"/>
      <c r="N354" s="202"/>
      <c r="O354" s="202"/>
      <c r="P354" s="202"/>
      <c r="Q354" s="202"/>
      <c r="R354" s="202"/>
      <c r="S354" s="168"/>
    </row>
    <row r="355" spans="1:19" s="86" customFormat="1" x14ac:dyDescent="0.2">
      <c r="A355" s="71"/>
      <c r="B355" s="85"/>
      <c r="N355" s="202"/>
      <c r="O355" s="202"/>
      <c r="P355" s="202"/>
      <c r="Q355" s="202"/>
      <c r="R355" s="202"/>
      <c r="S355" s="168"/>
    </row>
    <row r="356" spans="1:19" s="86" customFormat="1" x14ac:dyDescent="0.2">
      <c r="A356" s="71"/>
      <c r="B356" s="85"/>
      <c r="C356" s="2"/>
      <c r="N356" s="202"/>
      <c r="O356" s="202"/>
      <c r="P356" s="202"/>
      <c r="Q356" s="202"/>
      <c r="R356" s="202"/>
      <c r="S356" s="168"/>
    </row>
  </sheetData>
  <mergeCells count="1">
    <mergeCell ref="A4:M4"/>
  </mergeCells>
  <phoneticPr fontId="27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247"/>
  <sheetViews>
    <sheetView topLeftCell="A34" zoomScaleNormal="100" workbookViewId="0">
      <selection activeCell="H3" sqref="H3"/>
    </sheetView>
  </sheetViews>
  <sheetFormatPr baseColWidth="10" defaultRowHeight="12.75" x14ac:dyDescent="0.2"/>
  <cols>
    <col min="2" max="2" width="13" style="170" bestFit="1" customWidth="1"/>
    <col min="8" max="9" width="13" style="170" bestFit="1" customWidth="1"/>
  </cols>
  <sheetData>
    <row r="1" spans="1:9" x14ac:dyDescent="0.2">
      <c r="A1" s="171" t="s">
        <v>237</v>
      </c>
    </row>
    <row r="2" spans="1:9" x14ac:dyDescent="0.2">
      <c r="A2" s="171" t="s">
        <v>238</v>
      </c>
      <c r="H2" s="172" t="s">
        <v>280</v>
      </c>
    </row>
    <row r="3" spans="1:9" x14ac:dyDescent="0.2">
      <c r="B3" s="170">
        <v>100130035845</v>
      </c>
      <c r="H3" s="173">
        <v>500000115297</v>
      </c>
      <c r="I3" s="170" t="e">
        <f>VLOOKUP($H$3:$H$87,$B$3:$B$247,1,0)</f>
        <v>#N/A</v>
      </c>
    </row>
    <row r="4" spans="1:9" x14ac:dyDescent="0.2">
      <c r="B4" s="170">
        <v>100130035846</v>
      </c>
      <c r="H4" s="173">
        <v>800000109688</v>
      </c>
      <c r="I4" s="170">
        <f t="shared" ref="I4:I67" si="0">VLOOKUP($H$3:$H$87,$B$3:$B$247,1,0)</f>
        <v>800000109688</v>
      </c>
    </row>
    <row r="5" spans="1:9" x14ac:dyDescent="0.2">
      <c r="B5" s="170">
        <v>100130035847</v>
      </c>
      <c r="H5" s="173">
        <v>800000109689</v>
      </c>
      <c r="I5" s="170">
        <f t="shared" si="0"/>
        <v>800000109689</v>
      </c>
    </row>
    <row r="6" spans="1:9" x14ac:dyDescent="0.2">
      <c r="B6" s="170">
        <v>800000109679</v>
      </c>
      <c r="H6" s="173">
        <v>800000109702</v>
      </c>
      <c r="I6" s="170">
        <f t="shared" si="0"/>
        <v>800000109702</v>
      </c>
    </row>
    <row r="7" spans="1:9" x14ac:dyDescent="0.2">
      <c r="B7" s="170">
        <v>800000134450</v>
      </c>
      <c r="H7" s="173">
        <v>800000109736</v>
      </c>
      <c r="I7" s="170">
        <f t="shared" si="0"/>
        <v>800000109736</v>
      </c>
    </row>
    <row r="8" spans="1:9" x14ac:dyDescent="0.2">
      <c r="B8" s="170">
        <v>800000109657</v>
      </c>
      <c r="H8" s="173">
        <v>800000109740</v>
      </c>
      <c r="I8" s="170">
        <f t="shared" si="0"/>
        <v>800000109740</v>
      </c>
    </row>
    <row r="9" spans="1:9" x14ac:dyDescent="0.2">
      <c r="B9" s="170">
        <v>800000134477</v>
      </c>
      <c r="H9" s="173">
        <v>800000109741</v>
      </c>
      <c r="I9" s="170">
        <f t="shared" si="0"/>
        <v>800000109741</v>
      </c>
    </row>
    <row r="10" spans="1:9" x14ac:dyDescent="0.2">
      <c r="B10" s="170">
        <v>800000109743</v>
      </c>
      <c r="H10" s="173">
        <v>800000109743</v>
      </c>
      <c r="I10" s="170">
        <f t="shared" si="0"/>
        <v>800000109743</v>
      </c>
    </row>
    <row r="11" spans="1:9" x14ac:dyDescent="0.2">
      <c r="B11" s="170">
        <v>800000134434</v>
      </c>
      <c r="H11" s="173">
        <v>800000109794</v>
      </c>
      <c r="I11" s="170">
        <f t="shared" si="0"/>
        <v>800000109794</v>
      </c>
    </row>
    <row r="12" spans="1:9" x14ac:dyDescent="0.2">
      <c r="A12" s="170" t="s">
        <v>239</v>
      </c>
      <c r="H12" s="173">
        <v>800000109795</v>
      </c>
      <c r="I12" s="170">
        <f t="shared" si="0"/>
        <v>800000109795</v>
      </c>
    </row>
    <row r="13" spans="1:9" x14ac:dyDescent="0.2">
      <c r="B13" s="170">
        <v>100130035812</v>
      </c>
      <c r="H13" s="173">
        <v>800000109796</v>
      </c>
      <c r="I13" s="170">
        <f t="shared" si="0"/>
        <v>800000109796</v>
      </c>
    </row>
    <row r="14" spans="1:9" x14ac:dyDescent="0.2">
      <c r="B14" s="170">
        <v>100130035811</v>
      </c>
      <c r="H14" s="173">
        <v>800000116639</v>
      </c>
      <c r="I14" s="170">
        <f t="shared" si="0"/>
        <v>800000116639</v>
      </c>
    </row>
    <row r="15" spans="1:9" x14ac:dyDescent="0.2">
      <c r="B15" s="170">
        <v>100130035810</v>
      </c>
      <c r="H15" s="173">
        <v>800000116642</v>
      </c>
      <c r="I15" s="170">
        <f t="shared" si="0"/>
        <v>800000116642</v>
      </c>
    </row>
    <row r="16" spans="1:9" x14ac:dyDescent="0.2">
      <c r="B16" s="170">
        <v>800000109669</v>
      </c>
      <c r="H16" s="173">
        <v>800000116656</v>
      </c>
      <c r="I16" s="170">
        <f t="shared" si="0"/>
        <v>800000116656</v>
      </c>
    </row>
    <row r="17" spans="1:9" x14ac:dyDescent="0.2">
      <c r="B17" s="170">
        <v>800000134444</v>
      </c>
      <c r="H17" s="173">
        <v>800000131194</v>
      </c>
      <c r="I17" s="170">
        <f t="shared" si="0"/>
        <v>800000131194</v>
      </c>
    </row>
    <row r="18" spans="1:9" x14ac:dyDescent="0.2">
      <c r="B18" s="170">
        <v>800000109688</v>
      </c>
      <c r="H18" s="173">
        <v>800000138678</v>
      </c>
      <c r="I18" s="170">
        <f t="shared" si="0"/>
        <v>800000138678</v>
      </c>
    </row>
    <row r="19" spans="1:9" x14ac:dyDescent="0.2">
      <c r="B19" s="170">
        <v>800000134428</v>
      </c>
      <c r="H19" s="173">
        <v>800000141193</v>
      </c>
      <c r="I19" s="170">
        <f t="shared" si="0"/>
        <v>800000141193</v>
      </c>
    </row>
    <row r="20" spans="1:9" x14ac:dyDescent="0.2">
      <c r="B20" s="170">
        <v>800000109600</v>
      </c>
      <c r="H20" s="173"/>
      <c r="I20" s="170" t="e">
        <f t="shared" si="0"/>
        <v>#N/A</v>
      </c>
    </row>
    <row r="21" spans="1:9" x14ac:dyDescent="0.2">
      <c r="B21" s="170">
        <v>800000134409</v>
      </c>
      <c r="H21" s="173"/>
      <c r="I21" s="170" t="e">
        <f t="shared" si="0"/>
        <v>#N/A</v>
      </c>
    </row>
    <row r="22" spans="1:9" x14ac:dyDescent="0.2">
      <c r="A22" s="170" t="s">
        <v>240</v>
      </c>
      <c r="H22" s="173">
        <v>500000115296</v>
      </c>
      <c r="I22" s="170" t="e">
        <f t="shared" si="0"/>
        <v>#N/A</v>
      </c>
    </row>
    <row r="23" spans="1:9" x14ac:dyDescent="0.2">
      <c r="B23" s="170">
        <v>100130035828</v>
      </c>
      <c r="H23" s="173">
        <v>800000109668</v>
      </c>
      <c r="I23" s="170">
        <f t="shared" si="0"/>
        <v>800000109668</v>
      </c>
    </row>
    <row r="24" spans="1:9" x14ac:dyDescent="0.2">
      <c r="B24" s="170">
        <v>100130035829</v>
      </c>
      <c r="H24" s="173">
        <v>800000109669</v>
      </c>
      <c r="I24" s="170">
        <f t="shared" si="0"/>
        <v>800000109669</v>
      </c>
    </row>
    <row r="25" spans="1:9" x14ac:dyDescent="0.2">
      <c r="B25" s="170">
        <v>100130035830</v>
      </c>
      <c r="H25" s="173">
        <v>800000109670</v>
      </c>
      <c r="I25" s="170">
        <f t="shared" si="0"/>
        <v>800000109670</v>
      </c>
    </row>
    <row r="26" spans="1:9" x14ac:dyDescent="0.2">
      <c r="B26" s="170">
        <v>800000109670</v>
      </c>
      <c r="H26" s="173">
        <v>800000109671</v>
      </c>
      <c r="I26" s="170">
        <f t="shared" si="0"/>
        <v>800000109671</v>
      </c>
    </row>
    <row r="27" spans="1:9" x14ac:dyDescent="0.2">
      <c r="B27" s="170">
        <v>800000134445</v>
      </c>
      <c r="H27" s="173">
        <v>800000109672</v>
      </c>
      <c r="I27" s="170">
        <f t="shared" si="0"/>
        <v>800000109672</v>
      </c>
    </row>
    <row r="28" spans="1:9" x14ac:dyDescent="0.2">
      <c r="B28" s="170">
        <v>800000109689</v>
      </c>
      <c r="H28" s="173">
        <v>800000109673</v>
      </c>
      <c r="I28" s="170">
        <f t="shared" si="0"/>
        <v>800000109673</v>
      </c>
    </row>
    <row r="29" spans="1:9" x14ac:dyDescent="0.2">
      <c r="B29" s="170">
        <v>800000134429</v>
      </c>
      <c r="H29" s="173">
        <v>800000109674</v>
      </c>
      <c r="I29" s="170">
        <f t="shared" si="0"/>
        <v>800000109674</v>
      </c>
    </row>
    <row r="30" spans="1:9" x14ac:dyDescent="0.2">
      <c r="B30" s="170">
        <v>800000109601</v>
      </c>
      <c r="H30" s="173">
        <v>800000109679</v>
      </c>
      <c r="I30" s="170">
        <f t="shared" si="0"/>
        <v>800000109679</v>
      </c>
    </row>
    <row r="31" spans="1:9" x14ac:dyDescent="0.2">
      <c r="B31" s="170">
        <v>800000134410</v>
      </c>
      <c r="H31" s="173">
        <v>800000109681</v>
      </c>
      <c r="I31" s="170">
        <f t="shared" si="0"/>
        <v>800000109681</v>
      </c>
    </row>
    <row r="32" spans="1:9" x14ac:dyDescent="0.2">
      <c r="A32" s="170" t="s">
        <v>241</v>
      </c>
      <c r="H32" s="173">
        <v>800000109682</v>
      </c>
      <c r="I32" s="170">
        <f t="shared" si="0"/>
        <v>800000109682</v>
      </c>
    </row>
    <row r="33" spans="1:9" x14ac:dyDescent="0.2">
      <c r="B33" s="170">
        <v>800000119152</v>
      </c>
      <c r="H33" s="173">
        <v>800000109705</v>
      </c>
      <c r="I33" s="170">
        <f t="shared" si="0"/>
        <v>800000109705</v>
      </c>
    </row>
    <row r="34" spans="1:9" x14ac:dyDescent="0.2">
      <c r="B34" s="170">
        <v>800000134486</v>
      </c>
      <c r="H34" s="173">
        <v>800000109735</v>
      </c>
      <c r="I34" s="170">
        <f t="shared" si="0"/>
        <v>800000109735</v>
      </c>
    </row>
    <row r="35" spans="1:9" x14ac:dyDescent="0.2">
      <c r="A35" s="170" t="s">
        <v>242</v>
      </c>
      <c r="H35" s="173">
        <v>800000109751</v>
      </c>
      <c r="I35" s="170">
        <f t="shared" si="0"/>
        <v>800000109751</v>
      </c>
    </row>
    <row r="36" spans="1:9" x14ac:dyDescent="0.2">
      <c r="B36" s="170">
        <v>100130050805</v>
      </c>
      <c r="H36" s="173">
        <v>800000116638</v>
      </c>
      <c r="I36" s="170">
        <f t="shared" si="0"/>
        <v>800000116638</v>
      </c>
    </row>
    <row r="37" spans="1:9" x14ac:dyDescent="0.2">
      <c r="B37" s="170">
        <v>800000109617</v>
      </c>
      <c r="H37" s="173">
        <v>800000116641</v>
      </c>
      <c r="I37" s="170">
        <f t="shared" si="0"/>
        <v>800000116641</v>
      </c>
    </row>
    <row r="38" spans="1:9" x14ac:dyDescent="0.2">
      <c r="B38" s="170">
        <v>800000134475</v>
      </c>
      <c r="H38" s="173">
        <v>800000116655</v>
      </c>
      <c r="I38" s="170">
        <f t="shared" si="0"/>
        <v>800000116655</v>
      </c>
    </row>
    <row r="39" spans="1:9" x14ac:dyDescent="0.2">
      <c r="A39" t="s">
        <v>243</v>
      </c>
      <c r="H39" s="173">
        <v>800000119744</v>
      </c>
      <c r="I39" s="170">
        <f t="shared" si="0"/>
        <v>800000119744</v>
      </c>
    </row>
    <row r="40" spans="1:9" x14ac:dyDescent="0.2">
      <c r="B40" s="170">
        <v>800000123294</v>
      </c>
      <c r="H40" s="173">
        <v>800000127280</v>
      </c>
      <c r="I40" s="170">
        <f t="shared" si="0"/>
        <v>800000127280</v>
      </c>
    </row>
    <row r="41" spans="1:9" x14ac:dyDescent="0.2">
      <c r="B41" s="170">
        <v>800000134488</v>
      </c>
      <c r="H41" s="173">
        <v>800000127281</v>
      </c>
      <c r="I41" s="170">
        <f t="shared" si="0"/>
        <v>800000127281</v>
      </c>
    </row>
    <row r="42" spans="1:9" x14ac:dyDescent="0.2">
      <c r="A42" t="s">
        <v>244</v>
      </c>
      <c r="H42" s="173">
        <v>800000127282</v>
      </c>
      <c r="I42" s="170">
        <f t="shared" si="0"/>
        <v>800000127282</v>
      </c>
    </row>
    <row r="43" spans="1:9" x14ac:dyDescent="0.2">
      <c r="B43" s="170">
        <v>100130038347</v>
      </c>
      <c r="H43" s="173">
        <v>800000127283</v>
      </c>
      <c r="I43" s="170">
        <f t="shared" si="0"/>
        <v>800000127283</v>
      </c>
    </row>
    <row r="44" spans="1:9" x14ac:dyDescent="0.2">
      <c r="B44" s="170">
        <v>100130038348</v>
      </c>
      <c r="H44" s="173">
        <v>800000134402</v>
      </c>
      <c r="I44" s="170">
        <f t="shared" si="0"/>
        <v>800000134402</v>
      </c>
    </row>
    <row r="45" spans="1:9" x14ac:dyDescent="0.2">
      <c r="B45" s="170">
        <v>100130038349</v>
      </c>
      <c r="H45" s="173">
        <v>800000134443</v>
      </c>
      <c r="I45" s="170">
        <f t="shared" si="0"/>
        <v>800000134443</v>
      </c>
    </row>
    <row r="46" spans="1:9" x14ac:dyDescent="0.2">
      <c r="B46" s="170">
        <v>100130056625</v>
      </c>
      <c r="H46" s="173">
        <v>800000134449</v>
      </c>
      <c r="I46" s="170">
        <f t="shared" si="0"/>
        <v>800000134449</v>
      </c>
    </row>
    <row r="47" spans="1:9" x14ac:dyDescent="0.2">
      <c r="B47" s="170">
        <v>800000109705</v>
      </c>
      <c r="H47" s="173">
        <v>800000134450</v>
      </c>
      <c r="I47" s="170">
        <f t="shared" si="0"/>
        <v>800000134450</v>
      </c>
    </row>
    <row r="48" spans="1:9" x14ac:dyDescent="0.2">
      <c r="B48" s="170">
        <v>800000134452</v>
      </c>
      <c r="H48" s="173">
        <v>800000138677</v>
      </c>
      <c r="I48" s="170">
        <f t="shared" si="0"/>
        <v>800000138677</v>
      </c>
    </row>
    <row r="49" spans="1:9" x14ac:dyDescent="0.2">
      <c r="B49" s="170">
        <v>800000109701</v>
      </c>
      <c r="H49" s="173">
        <v>800000141194</v>
      </c>
      <c r="I49" s="170">
        <f t="shared" si="0"/>
        <v>800000141194</v>
      </c>
    </row>
    <row r="50" spans="1:9" x14ac:dyDescent="0.2">
      <c r="B50" s="170">
        <v>800000134479</v>
      </c>
      <c r="H50" s="173">
        <v>800000143875</v>
      </c>
      <c r="I50" s="170">
        <f t="shared" si="0"/>
        <v>800000143875</v>
      </c>
    </row>
    <row r="51" spans="1:9" x14ac:dyDescent="0.2">
      <c r="B51" s="170">
        <v>800000109794</v>
      </c>
      <c r="H51" s="173">
        <v>800000145416</v>
      </c>
      <c r="I51" s="170">
        <f t="shared" si="0"/>
        <v>800000145416</v>
      </c>
    </row>
    <row r="52" spans="1:9" x14ac:dyDescent="0.2">
      <c r="B52" s="170">
        <v>800000134435</v>
      </c>
      <c r="H52" s="173">
        <v>800000151299</v>
      </c>
      <c r="I52" s="170">
        <f t="shared" si="0"/>
        <v>800000151299</v>
      </c>
    </row>
    <row r="53" spans="1:9" x14ac:dyDescent="0.2">
      <c r="B53" s="170">
        <v>800000109703</v>
      </c>
      <c r="H53" s="173"/>
      <c r="I53" s="170" t="e">
        <f t="shared" si="0"/>
        <v>#N/A</v>
      </c>
    </row>
    <row r="54" spans="1:9" x14ac:dyDescent="0.2">
      <c r="B54" s="170">
        <v>800000134480</v>
      </c>
      <c r="H54" s="173"/>
      <c r="I54" s="170" t="e">
        <f t="shared" si="0"/>
        <v>#N/A</v>
      </c>
    </row>
    <row r="55" spans="1:9" x14ac:dyDescent="0.2">
      <c r="B55" s="170">
        <v>800000109795</v>
      </c>
      <c r="H55" s="173">
        <v>500000115295</v>
      </c>
      <c r="I55" s="170" t="e">
        <f t="shared" si="0"/>
        <v>#N/A</v>
      </c>
    </row>
    <row r="56" spans="1:9" x14ac:dyDescent="0.2">
      <c r="B56" s="170">
        <v>800000134436</v>
      </c>
      <c r="H56" s="173">
        <v>800000109596</v>
      </c>
      <c r="I56" s="170">
        <f t="shared" si="0"/>
        <v>800000109596</v>
      </c>
    </row>
    <row r="57" spans="1:9" x14ac:dyDescent="0.2">
      <c r="A57" t="s">
        <v>245</v>
      </c>
      <c r="H57" s="173">
        <v>800000109597</v>
      </c>
      <c r="I57" s="170">
        <f t="shared" si="0"/>
        <v>800000109597</v>
      </c>
    </row>
    <row r="58" spans="1:9" x14ac:dyDescent="0.2">
      <c r="B58" s="170">
        <v>100130038434</v>
      </c>
      <c r="H58" s="173">
        <v>800000109600</v>
      </c>
      <c r="I58" s="170">
        <f t="shared" si="0"/>
        <v>800000109600</v>
      </c>
    </row>
    <row r="59" spans="1:9" x14ac:dyDescent="0.2">
      <c r="B59" s="170">
        <v>100130038435</v>
      </c>
      <c r="H59" s="173">
        <v>800000109601</v>
      </c>
      <c r="I59" s="170">
        <f t="shared" si="0"/>
        <v>800000109601</v>
      </c>
    </row>
    <row r="60" spans="1:9" x14ac:dyDescent="0.2">
      <c r="B60" s="170">
        <v>100130038436</v>
      </c>
      <c r="H60" s="173">
        <v>800000109602</v>
      </c>
      <c r="I60" s="170">
        <f t="shared" si="0"/>
        <v>800000109602</v>
      </c>
    </row>
    <row r="61" spans="1:9" x14ac:dyDescent="0.2">
      <c r="B61" s="170">
        <v>800000116637</v>
      </c>
      <c r="H61" s="173">
        <v>800000109603</v>
      </c>
      <c r="I61" s="170">
        <f t="shared" si="0"/>
        <v>800000109603</v>
      </c>
    </row>
    <row r="62" spans="1:9" x14ac:dyDescent="0.2">
      <c r="B62" s="170">
        <v>800000134483</v>
      </c>
      <c r="H62" s="173">
        <v>800000109614</v>
      </c>
      <c r="I62" s="170">
        <f t="shared" si="0"/>
        <v>800000109614</v>
      </c>
    </row>
    <row r="63" spans="1:9" x14ac:dyDescent="0.2">
      <c r="B63" s="170">
        <v>800000116638</v>
      </c>
      <c r="H63" s="173">
        <v>800000109615</v>
      </c>
      <c r="I63" s="170">
        <f t="shared" si="0"/>
        <v>800000109615</v>
      </c>
    </row>
    <row r="64" spans="1:9" x14ac:dyDescent="0.2">
      <c r="B64" s="170">
        <v>800000134455</v>
      </c>
      <c r="H64" s="173">
        <v>800000109617</v>
      </c>
      <c r="I64" s="170">
        <f t="shared" si="0"/>
        <v>800000109617</v>
      </c>
    </row>
    <row r="65" spans="1:9" x14ac:dyDescent="0.2">
      <c r="B65" s="170">
        <v>800000116639</v>
      </c>
      <c r="H65" s="173">
        <v>800000109619</v>
      </c>
      <c r="I65" s="170">
        <f t="shared" si="0"/>
        <v>800000109619</v>
      </c>
    </row>
    <row r="66" spans="1:9" x14ac:dyDescent="0.2">
      <c r="B66" s="170">
        <v>800000134438</v>
      </c>
      <c r="H66" s="173">
        <v>800000109657</v>
      </c>
      <c r="I66" s="170">
        <f t="shared" si="0"/>
        <v>800000109657</v>
      </c>
    </row>
    <row r="67" spans="1:9" x14ac:dyDescent="0.2">
      <c r="A67" t="s">
        <v>246</v>
      </c>
      <c r="H67" s="173">
        <v>800000109659</v>
      </c>
      <c r="I67" s="170">
        <f t="shared" si="0"/>
        <v>800000109659</v>
      </c>
    </row>
    <row r="68" spans="1:9" x14ac:dyDescent="0.2">
      <c r="B68" s="170">
        <v>100130035838</v>
      </c>
      <c r="H68" s="173">
        <v>800000109701</v>
      </c>
      <c r="I68" s="170">
        <f t="shared" ref="I68:I87" si="1">VLOOKUP($H$3:$H$87,$B$3:$B$247,1,0)</f>
        <v>800000109701</v>
      </c>
    </row>
    <row r="69" spans="1:9" x14ac:dyDescent="0.2">
      <c r="B69" s="170">
        <v>100130035837</v>
      </c>
      <c r="H69" s="173">
        <v>800000109703</v>
      </c>
      <c r="I69" s="170">
        <f t="shared" si="1"/>
        <v>800000109703</v>
      </c>
    </row>
    <row r="70" spans="1:9" x14ac:dyDescent="0.2">
      <c r="B70" s="170">
        <v>100130035836</v>
      </c>
      <c r="H70" s="173">
        <v>800000109704</v>
      </c>
      <c r="I70" s="170">
        <f t="shared" si="1"/>
        <v>800000109704</v>
      </c>
    </row>
    <row r="71" spans="1:9" x14ac:dyDescent="0.2">
      <c r="B71" s="170">
        <v>800000109673</v>
      </c>
      <c r="H71" s="173">
        <v>800000109734</v>
      </c>
      <c r="I71" s="170">
        <f t="shared" si="1"/>
        <v>800000109734</v>
      </c>
    </row>
    <row r="72" spans="1:9" x14ac:dyDescent="0.2">
      <c r="B72" s="170">
        <v>800000134448</v>
      </c>
      <c r="H72" s="173">
        <v>800000116637</v>
      </c>
      <c r="I72" s="170">
        <f t="shared" si="1"/>
        <v>800000116637</v>
      </c>
    </row>
    <row r="73" spans="1:9" x14ac:dyDescent="0.2">
      <c r="B73" s="170">
        <v>800000109603</v>
      </c>
      <c r="H73" s="173">
        <v>800000116640</v>
      </c>
      <c r="I73" s="170">
        <f t="shared" si="1"/>
        <v>800000116640</v>
      </c>
    </row>
    <row r="74" spans="1:9" x14ac:dyDescent="0.2">
      <c r="B74" s="170">
        <v>800000134412</v>
      </c>
      <c r="H74" s="173">
        <v>800000116654</v>
      </c>
      <c r="I74" s="170">
        <f t="shared" si="1"/>
        <v>800000116654</v>
      </c>
    </row>
    <row r="75" spans="1:9" x14ac:dyDescent="0.2">
      <c r="B75" s="170">
        <v>800000109740</v>
      </c>
      <c r="H75" s="173">
        <v>800000119152</v>
      </c>
      <c r="I75" s="170">
        <f t="shared" si="1"/>
        <v>800000119152</v>
      </c>
    </row>
    <row r="76" spans="1:9" x14ac:dyDescent="0.2">
      <c r="B76" s="170">
        <v>800000134432</v>
      </c>
      <c r="H76" s="173">
        <v>800000123294</v>
      </c>
      <c r="I76" s="170">
        <f t="shared" si="1"/>
        <v>800000123294</v>
      </c>
    </row>
    <row r="77" spans="1:9" x14ac:dyDescent="0.2">
      <c r="A77" t="s">
        <v>247</v>
      </c>
      <c r="H77" s="173">
        <v>800000124819</v>
      </c>
      <c r="I77" s="170">
        <f t="shared" si="1"/>
        <v>800000124819</v>
      </c>
    </row>
    <row r="78" spans="1:9" x14ac:dyDescent="0.2">
      <c r="B78" s="170">
        <v>100130035806</v>
      </c>
      <c r="H78" s="173">
        <v>800000127277</v>
      </c>
      <c r="I78" s="170">
        <f t="shared" si="1"/>
        <v>800000127277</v>
      </c>
    </row>
    <row r="79" spans="1:9" x14ac:dyDescent="0.2">
      <c r="B79" s="170">
        <v>100130051805</v>
      </c>
      <c r="H79" s="173">
        <v>800000133449</v>
      </c>
      <c r="I79" s="170">
        <f t="shared" si="1"/>
        <v>800000133449</v>
      </c>
    </row>
    <row r="80" spans="1:9" x14ac:dyDescent="0.2">
      <c r="B80" s="170">
        <v>800000109596</v>
      </c>
      <c r="H80" s="173">
        <v>800000134410</v>
      </c>
      <c r="I80" s="170">
        <f t="shared" si="1"/>
        <v>800000134410</v>
      </c>
    </row>
    <row r="81" spans="1:9" x14ac:dyDescent="0.2">
      <c r="B81" s="170">
        <v>800000134407</v>
      </c>
      <c r="H81" s="173">
        <v>800000134411</v>
      </c>
      <c r="I81" s="170">
        <f t="shared" si="1"/>
        <v>800000134411</v>
      </c>
    </row>
    <row r="82" spans="1:9" x14ac:dyDescent="0.2">
      <c r="B82" s="170">
        <v>800000141192</v>
      </c>
      <c r="H82" s="173">
        <v>800000134477</v>
      </c>
      <c r="I82" s="170">
        <f t="shared" si="1"/>
        <v>800000134477</v>
      </c>
    </row>
    <row r="83" spans="1:9" x14ac:dyDescent="0.2">
      <c r="A83" t="s">
        <v>248</v>
      </c>
      <c r="H83" s="173">
        <v>800000134482</v>
      </c>
      <c r="I83" s="170">
        <f t="shared" si="1"/>
        <v>800000134482</v>
      </c>
    </row>
    <row r="84" spans="1:9" x14ac:dyDescent="0.2">
      <c r="B84" s="170">
        <v>100130035843</v>
      </c>
      <c r="H84" s="173">
        <v>800000134484</v>
      </c>
      <c r="I84" s="170">
        <f t="shared" si="1"/>
        <v>800000134484</v>
      </c>
    </row>
    <row r="85" spans="1:9" x14ac:dyDescent="0.2">
      <c r="B85" s="170">
        <v>800000109619</v>
      </c>
      <c r="H85" s="173">
        <v>800000134485</v>
      </c>
      <c r="I85" s="170">
        <f t="shared" si="1"/>
        <v>800000134485</v>
      </c>
    </row>
    <row r="86" spans="1:9" x14ac:dyDescent="0.2">
      <c r="B86" s="170">
        <v>800000134476</v>
      </c>
      <c r="H86" s="170">
        <v>800000134488</v>
      </c>
      <c r="I86" s="170">
        <f t="shared" si="1"/>
        <v>800000134488</v>
      </c>
    </row>
    <row r="87" spans="1:9" x14ac:dyDescent="0.2">
      <c r="A87" t="s">
        <v>249</v>
      </c>
      <c r="H87" s="170">
        <v>800000139014</v>
      </c>
      <c r="I87" s="170">
        <f t="shared" si="1"/>
        <v>800000139014</v>
      </c>
    </row>
    <row r="88" spans="1:9" x14ac:dyDescent="0.2">
      <c r="B88" s="170">
        <v>100130035834</v>
      </c>
    </row>
    <row r="89" spans="1:9" x14ac:dyDescent="0.2">
      <c r="B89" s="170">
        <v>100130046446</v>
      </c>
    </row>
    <row r="90" spans="1:9" x14ac:dyDescent="0.2">
      <c r="B90" s="170">
        <v>100130035835</v>
      </c>
    </row>
    <row r="91" spans="1:9" x14ac:dyDescent="0.2">
      <c r="B91" s="170">
        <v>800000109614</v>
      </c>
    </row>
    <row r="92" spans="1:9" x14ac:dyDescent="0.2">
      <c r="B92" s="170">
        <v>800000134413</v>
      </c>
    </row>
    <row r="93" spans="1:9" x14ac:dyDescent="0.2">
      <c r="B93" s="170">
        <v>800000109672</v>
      </c>
    </row>
    <row r="94" spans="1:9" x14ac:dyDescent="0.2">
      <c r="B94" s="170">
        <v>800000134447</v>
      </c>
    </row>
    <row r="95" spans="1:9" x14ac:dyDescent="0.2">
      <c r="A95" t="s">
        <v>250</v>
      </c>
    </row>
    <row r="96" spans="1:9" x14ac:dyDescent="0.2">
      <c r="B96" s="170">
        <v>100130038146</v>
      </c>
    </row>
    <row r="97" spans="1:2" x14ac:dyDescent="0.2">
      <c r="B97" s="170">
        <v>100130038169</v>
      </c>
    </row>
    <row r="98" spans="1:2" x14ac:dyDescent="0.2">
      <c r="B98" s="170">
        <v>100130038189</v>
      </c>
    </row>
    <row r="99" spans="1:2" x14ac:dyDescent="0.2">
      <c r="B99" s="170">
        <v>800000116640</v>
      </c>
    </row>
    <row r="100" spans="1:2" x14ac:dyDescent="0.2">
      <c r="B100" s="170">
        <v>800000116641</v>
      </c>
    </row>
    <row r="101" spans="1:2" x14ac:dyDescent="0.2">
      <c r="B101" s="170">
        <v>800000116642</v>
      </c>
    </row>
    <row r="102" spans="1:2" x14ac:dyDescent="0.2">
      <c r="B102" s="170">
        <v>800000134401</v>
      </c>
    </row>
    <row r="103" spans="1:2" x14ac:dyDescent="0.2">
      <c r="B103" s="170">
        <v>800000134484</v>
      </c>
    </row>
    <row r="104" spans="1:2" x14ac:dyDescent="0.2">
      <c r="B104" s="170">
        <v>800000134439</v>
      </c>
    </row>
    <row r="105" spans="1:2" x14ac:dyDescent="0.2">
      <c r="A105" t="s">
        <v>251</v>
      </c>
    </row>
    <row r="106" spans="1:2" x14ac:dyDescent="0.2">
      <c r="B106" s="170">
        <v>100130035844</v>
      </c>
    </row>
    <row r="107" spans="1:2" x14ac:dyDescent="0.2">
      <c r="B107" s="170">
        <v>100130038486</v>
      </c>
    </row>
    <row r="108" spans="1:2" x14ac:dyDescent="0.2">
      <c r="B108" s="170">
        <v>800000109702</v>
      </c>
    </row>
    <row r="109" spans="1:2" x14ac:dyDescent="0.2">
      <c r="B109" s="170">
        <v>800000134430</v>
      </c>
    </row>
    <row r="110" spans="1:2" x14ac:dyDescent="0.2">
      <c r="B110" s="170">
        <v>800000109659</v>
      </c>
    </row>
    <row r="111" spans="1:2" x14ac:dyDescent="0.2">
      <c r="B111" s="170">
        <v>800000134478</v>
      </c>
    </row>
    <row r="112" spans="1:2" x14ac:dyDescent="0.2">
      <c r="A112" t="s">
        <v>252</v>
      </c>
    </row>
    <row r="113" spans="1:2" x14ac:dyDescent="0.2">
      <c r="B113" s="170">
        <v>100130050831</v>
      </c>
    </row>
    <row r="114" spans="1:2" x14ac:dyDescent="0.2">
      <c r="B114" s="170">
        <v>100130035831</v>
      </c>
    </row>
    <row r="115" spans="1:2" x14ac:dyDescent="0.2">
      <c r="B115" s="170">
        <v>100130035832</v>
      </c>
    </row>
    <row r="116" spans="1:2" x14ac:dyDescent="0.2">
      <c r="B116" s="170">
        <v>100130035833</v>
      </c>
    </row>
    <row r="117" spans="1:2" x14ac:dyDescent="0.2">
      <c r="B117" s="170">
        <v>100130038745</v>
      </c>
    </row>
    <row r="118" spans="1:2" x14ac:dyDescent="0.2">
      <c r="B118" s="170">
        <v>100130037521</v>
      </c>
    </row>
    <row r="119" spans="1:2" x14ac:dyDescent="0.2">
      <c r="B119" s="170">
        <v>800000134431</v>
      </c>
    </row>
    <row r="120" spans="1:2" x14ac:dyDescent="0.2">
      <c r="B120" s="170">
        <v>800000109736</v>
      </c>
    </row>
    <row r="121" spans="1:2" x14ac:dyDescent="0.2">
      <c r="B121" s="170">
        <v>800000109671</v>
      </c>
    </row>
    <row r="122" spans="1:2" x14ac:dyDescent="0.2">
      <c r="B122" s="170">
        <v>800000134446</v>
      </c>
    </row>
    <row r="123" spans="1:2" x14ac:dyDescent="0.2">
      <c r="B123" s="170">
        <v>800000109602</v>
      </c>
    </row>
    <row r="124" spans="1:2" x14ac:dyDescent="0.2">
      <c r="B124" s="170">
        <v>800000134411</v>
      </c>
    </row>
    <row r="125" spans="1:2" x14ac:dyDescent="0.2">
      <c r="A125" t="s">
        <v>253</v>
      </c>
    </row>
    <row r="126" spans="1:2" x14ac:dyDescent="0.2">
      <c r="B126" s="170">
        <v>100130024545</v>
      </c>
    </row>
    <row r="127" spans="1:2" x14ac:dyDescent="0.2">
      <c r="B127" s="170">
        <v>100130035848</v>
      </c>
    </row>
    <row r="128" spans="1:2" x14ac:dyDescent="0.2">
      <c r="B128" s="170">
        <v>100130035849</v>
      </c>
    </row>
    <row r="129" spans="1:2" x14ac:dyDescent="0.2">
      <c r="B129" s="170">
        <v>100130024546</v>
      </c>
    </row>
    <row r="130" spans="1:2" x14ac:dyDescent="0.2">
      <c r="B130" s="170">
        <v>800000109735</v>
      </c>
    </row>
    <row r="131" spans="1:2" x14ac:dyDescent="0.2">
      <c r="B131" s="170">
        <v>800000134453</v>
      </c>
    </row>
    <row r="132" spans="1:2" x14ac:dyDescent="0.2">
      <c r="B132" s="170">
        <v>800000109734</v>
      </c>
    </row>
    <row r="133" spans="1:2" x14ac:dyDescent="0.2">
      <c r="B133" s="170">
        <v>800000134482</v>
      </c>
    </row>
    <row r="134" spans="1:2" x14ac:dyDescent="0.2">
      <c r="A134" t="s">
        <v>254</v>
      </c>
    </row>
    <row r="135" spans="1:2" x14ac:dyDescent="0.2">
      <c r="B135" s="170">
        <v>100130038302</v>
      </c>
    </row>
    <row r="136" spans="1:2" x14ac:dyDescent="0.2">
      <c r="B136" s="170">
        <v>100130038303</v>
      </c>
    </row>
    <row r="137" spans="1:2" x14ac:dyDescent="0.2">
      <c r="B137" s="170">
        <v>100130038304</v>
      </c>
    </row>
    <row r="138" spans="1:2" x14ac:dyDescent="0.2">
      <c r="B138" s="170">
        <v>800000109751</v>
      </c>
    </row>
    <row r="139" spans="1:2" x14ac:dyDescent="0.2">
      <c r="B139" s="170">
        <v>800000134454</v>
      </c>
    </row>
    <row r="140" spans="1:2" x14ac:dyDescent="0.2">
      <c r="B140" s="170">
        <v>800000109796</v>
      </c>
    </row>
    <row r="141" spans="1:2" x14ac:dyDescent="0.2">
      <c r="B141" s="170">
        <v>800000134437</v>
      </c>
    </row>
    <row r="142" spans="1:2" x14ac:dyDescent="0.2">
      <c r="B142" s="170">
        <v>800000109704</v>
      </c>
    </row>
    <row r="143" spans="1:2" x14ac:dyDescent="0.2">
      <c r="B143" s="170">
        <v>800000134481</v>
      </c>
    </row>
    <row r="144" spans="1:2" x14ac:dyDescent="0.2">
      <c r="A144" t="s">
        <v>255</v>
      </c>
    </row>
    <row r="145" spans="1:2" x14ac:dyDescent="0.2">
      <c r="B145" s="170">
        <v>100130038441</v>
      </c>
    </row>
    <row r="146" spans="1:2" x14ac:dyDescent="0.2">
      <c r="B146" s="170">
        <v>100130038442</v>
      </c>
    </row>
    <row r="147" spans="1:2" x14ac:dyDescent="0.2">
      <c r="B147" s="170">
        <v>100130038443</v>
      </c>
    </row>
    <row r="148" spans="1:2" x14ac:dyDescent="0.2">
      <c r="B148" s="170">
        <v>800000116654</v>
      </c>
    </row>
    <row r="149" spans="1:2" x14ac:dyDescent="0.2">
      <c r="B149" s="170">
        <v>800000134485</v>
      </c>
    </row>
    <row r="150" spans="1:2" x14ac:dyDescent="0.2">
      <c r="B150" s="170">
        <v>800000116655</v>
      </c>
    </row>
    <row r="151" spans="1:2" x14ac:dyDescent="0.2">
      <c r="B151" s="170">
        <v>800000134402</v>
      </c>
    </row>
    <row r="152" spans="1:2" x14ac:dyDescent="0.2">
      <c r="B152" s="170">
        <v>800000116656</v>
      </c>
    </row>
    <row r="153" spans="1:2" x14ac:dyDescent="0.2">
      <c r="B153" s="170">
        <v>800000134440</v>
      </c>
    </row>
    <row r="154" spans="1:2" x14ac:dyDescent="0.2">
      <c r="A154" t="s">
        <v>256</v>
      </c>
    </row>
    <row r="155" spans="1:2" x14ac:dyDescent="0.2">
      <c r="B155" s="170">
        <v>100130050965</v>
      </c>
    </row>
    <row r="156" spans="1:2" x14ac:dyDescent="0.2">
      <c r="B156" s="170">
        <v>800000139014</v>
      </c>
    </row>
    <row r="157" spans="1:2" x14ac:dyDescent="0.2">
      <c r="A157" t="s">
        <v>257</v>
      </c>
    </row>
    <row r="158" spans="1:2" x14ac:dyDescent="0.2">
      <c r="B158" s="170">
        <v>100130038440</v>
      </c>
    </row>
    <row r="159" spans="1:2" x14ac:dyDescent="0.2">
      <c r="B159" s="170">
        <v>100130038439</v>
      </c>
    </row>
    <row r="160" spans="1:2" x14ac:dyDescent="0.2">
      <c r="B160" s="170">
        <v>100130038438</v>
      </c>
    </row>
    <row r="161" spans="1:2" x14ac:dyDescent="0.2">
      <c r="B161" s="170">
        <v>800000109741</v>
      </c>
    </row>
    <row r="162" spans="1:2" x14ac:dyDescent="0.2">
      <c r="B162" s="170">
        <v>800000134433</v>
      </c>
    </row>
    <row r="163" spans="1:2" x14ac:dyDescent="0.2">
      <c r="B163" s="170">
        <v>800000109615</v>
      </c>
    </row>
    <row r="164" spans="1:2" x14ac:dyDescent="0.2">
      <c r="B164" s="170">
        <v>800000134474</v>
      </c>
    </row>
    <row r="165" spans="1:2" x14ac:dyDescent="0.2">
      <c r="B165" s="170">
        <v>800000109674</v>
      </c>
    </row>
    <row r="166" spans="1:2" x14ac:dyDescent="0.2">
      <c r="B166" s="170">
        <v>800000134449</v>
      </c>
    </row>
    <row r="167" spans="1:2" x14ac:dyDescent="0.2">
      <c r="A167" t="s">
        <v>258</v>
      </c>
    </row>
    <row r="168" spans="1:2" x14ac:dyDescent="0.2">
      <c r="B168" s="170">
        <v>100130050966</v>
      </c>
    </row>
    <row r="169" spans="1:2" x14ac:dyDescent="0.2">
      <c r="B169" s="170">
        <v>800000134408</v>
      </c>
    </row>
    <row r="170" spans="1:2" x14ac:dyDescent="0.2">
      <c r="B170" s="170">
        <v>800000109597</v>
      </c>
    </row>
    <row r="171" spans="1:2" x14ac:dyDescent="0.2">
      <c r="A171" t="s">
        <v>259</v>
      </c>
    </row>
    <row r="172" spans="1:2" x14ac:dyDescent="0.2">
      <c r="B172" s="170">
        <v>100130046365</v>
      </c>
    </row>
    <row r="173" spans="1:2" x14ac:dyDescent="0.2">
      <c r="B173" s="170">
        <v>100130045626</v>
      </c>
    </row>
    <row r="174" spans="1:2" x14ac:dyDescent="0.2">
      <c r="B174" s="170">
        <v>100130045627</v>
      </c>
    </row>
    <row r="175" spans="1:2" x14ac:dyDescent="0.2">
      <c r="B175" s="170">
        <v>800000124819</v>
      </c>
    </row>
    <row r="176" spans="1:2" x14ac:dyDescent="0.2">
      <c r="B176" s="170">
        <v>800000134489</v>
      </c>
    </row>
    <row r="177" spans="1:2" x14ac:dyDescent="0.2">
      <c r="A177" t="s">
        <v>260</v>
      </c>
    </row>
    <row r="178" spans="1:2" x14ac:dyDescent="0.2">
      <c r="B178" s="170">
        <v>100130050828</v>
      </c>
    </row>
    <row r="179" spans="1:2" x14ac:dyDescent="0.2">
      <c r="B179" s="170">
        <v>100130050827</v>
      </c>
    </row>
    <row r="180" spans="1:2" x14ac:dyDescent="0.2">
      <c r="B180" s="170">
        <v>100130050826</v>
      </c>
    </row>
    <row r="181" spans="1:2" x14ac:dyDescent="0.2">
      <c r="B181" s="170">
        <v>800000138679</v>
      </c>
    </row>
    <row r="182" spans="1:2" x14ac:dyDescent="0.2">
      <c r="B182" s="170">
        <v>800000127277</v>
      </c>
    </row>
    <row r="183" spans="1:2" x14ac:dyDescent="0.2">
      <c r="B183" s="170">
        <v>800000134490</v>
      </c>
    </row>
    <row r="184" spans="1:2" x14ac:dyDescent="0.2">
      <c r="B184" s="170">
        <v>800000131894</v>
      </c>
    </row>
    <row r="185" spans="1:2" x14ac:dyDescent="0.2">
      <c r="B185" s="170">
        <v>800000138677</v>
      </c>
    </row>
    <row r="186" spans="1:2" x14ac:dyDescent="0.2">
      <c r="B186" s="170">
        <v>800000131895</v>
      </c>
    </row>
    <row r="187" spans="1:2" x14ac:dyDescent="0.2">
      <c r="B187" s="170">
        <v>800000138678</v>
      </c>
    </row>
    <row r="188" spans="1:2" x14ac:dyDescent="0.2">
      <c r="B188" s="170">
        <v>800000131896</v>
      </c>
    </row>
    <row r="189" spans="1:2" x14ac:dyDescent="0.2">
      <c r="B189" s="170">
        <v>800000138758</v>
      </c>
    </row>
    <row r="190" spans="1:2" x14ac:dyDescent="0.2">
      <c r="A190" t="s">
        <v>261</v>
      </c>
    </row>
    <row r="191" spans="1:2" x14ac:dyDescent="0.2">
      <c r="B191" s="170">
        <v>100130035852</v>
      </c>
    </row>
    <row r="192" spans="1:2" x14ac:dyDescent="0.2">
      <c r="B192" s="170">
        <v>800000109682</v>
      </c>
    </row>
    <row r="193" spans="1:2" x14ac:dyDescent="0.2">
      <c r="B193" s="170">
        <v>800000134451</v>
      </c>
    </row>
    <row r="194" spans="1:2" x14ac:dyDescent="0.2">
      <c r="A194" t="s">
        <v>262</v>
      </c>
    </row>
    <row r="195" spans="1:2" x14ac:dyDescent="0.2">
      <c r="B195" s="170">
        <v>800000138759</v>
      </c>
    </row>
    <row r="196" spans="1:2" x14ac:dyDescent="0.2">
      <c r="A196" t="s">
        <v>263</v>
      </c>
    </row>
    <row r="197" spans="1:2" x14ac:dyDescent="0.2">
      <c r="B197" s="170">
        <v>800000109681</v>
      </c>
    </row>
    <row r="198" spans="1:2" x14ac:dyDescent="0.2">
      <c r="B198" s="170">
        <v>800000135136</v>
      </c>
    </row>
    <row r="199" spans="1:2" x14ac:dyDescent="0.2">
      <c r="A199" t="s">
        <v>264</v>
      </c>
    </row>
    <row r="200" spans="1:2" x14ac:dyDescent="0.2">
      <c r="B200" s="170">
        <v>800000127280</v>
      </c>
    </row>
    <row r="201" spans="1:2" x14ac:dyDescent="0.2">
      <c r="B201" s="170">
        <v>800000151299</v>
      </c>
    </row>
    <row r="202" spans="1:2" x14ac:dyDescent="0.2">
      <c r="B202" s="170">
        <v>100130035851</v>
      </c>
    </row>
    <row r="203" spans="1:2" x14ac:dyDescent="0.2">
      <c r="B203" s="170">
        <v>800000109675</v>
      </c>
    </row>
    <row r="204" spans="1:2" x14ac:dyDescent="0.2">
      <c r="B204" s="170">
        <v>800000143875</v>
      </c>
    </row>
    <row r="205" spans="1:2" x14ac:dyDescent="0.2">
      <c r="B205" s="170">
        <v>800000109668</v>
      </c>
    </row>
    <row r="206" spans="1:2" x14ac:dyDescent="0.2">
      <c r="B206" s="170">
        <v>800000134443</v>
      </c>
    </row>
    <row r="207" spans="1:2" x14ac:dyDescent="0.2">
      <c r="A207" t="s">
        <v>265</v>
      </c>
    </row>
    <row r="208" spans="1:2" x14ac:dyDescent="0.2">
      <c r="B208" s="170">
        <v>100130053066</v>
      </c>
    </row>
    <row r="209" spans="1:2" x14ac:dyDescent="0.2">
      <c r="B209" s="170">
        <v>800000131194</v>
      </c>
    </row>
    <row r="210" spans="1:2" x14ac:dyDescent="0.2">
      <c r="B210" s="170">
        <v>800000134442</v>
      </c>
    </row>
    <row r="211" spans="1:2" x14ac:dyDescent="0.2">
      <c r="A211" t="s">
        <v>266</v>
      </c>
    </row>
    <row r="212" spans="1:2" x14ac:dyDescent="0.2">
      <c r="B212" s="170">
        <v>800000119746</v>
      </c>
    </row>
    <row r="213" spans="1:2" x14ac:dyDescent="0.2">
      <c r="B213" s="170">
        <v>800000134441</v>
      </c>
    </row>
    <row r="214" spans="1:2" x14ac:dyDescent="0.2">
      <c r="B214" s="170">
        <v>800000119744</v>
      </c>
    </row>
    <row r="215" spans="1:2" x14ac:dyDescent="0.2">
      <c r="B215" s="170">
        <v>800000134403</v>
      </c>
    </row>
    <row r="216" spans="1:2" x14ac:dyDescent="0.2">
      <c r="B216" s="170">
        <v>800000119745</v>
      </c>
    </row>
    <row r="217" spans="1:2" x14ac:dyDescent="0.2">
      <c r="B217" s="170">
        <v>800000134487</v>
      </c>
    </row>
    <row r="218" spans="1:2" x14ac:dyDescent="0.2">
      <c r="A218" t="s">
        <v>267</v>
      </c>
    </row>
    <row r="219" spans="1:2" x14ac:dyDescent="0.2">
      <c r="B219" s="170">
        <v>100130053069</v>
      </c>
    </row>
    <row r="220" spans="1:2" x14ac:dyDescent="0.2">
      <c r="B220" s="170">
        <v>800000127283</v>
      </c>
    </row>
    <row r="221" spans="1:2" x14ac:dyDescent="0.2">
      <c r="B221" s="170">
        <v>800000135135</v>
      </c>
    </row>
    <row r="222" spans="1:2" x14ac:dyDescent="0.2">
      <c r="A222" t="s">
        <v>268</v>
      </c>
    </row>
    <row r="223" spans="1:2" x14ac:dyDescent="0.2">
      <c r="B223" s="170">
        <v>100130058105</v>
      </c>
    </row>
    <row r="224" spans="1:2" x14ac:dyDescent="0.2">
      <c r="B224" s="170">
        <v>800000141193</v>
      </c>
    </row>
    <row r="225" spans="1:2" x14ac:dyDescent="0.2">
      <c r="B225" s="170">
        <v>800000133449</v>
      </c>
    </row>
    <row r="226" spans="1:2" x14ac:dyDescent="0.2">
      <c r="B226" s="170">
        <v>800000133448</v>
      </c>
    </row>
    <row r="227" spans="1:2" x14ac:dyDescent="0.2">
      <c r="B227" s="170">
        <v>800000141194</v>
      </c>
    </row>
    <row r="228" spans="1:2" x14ac:dyDescent="0.2">
      <c r="A228" t="s">
        <v>269</v>
      </c>
    </row>
    <row r="229" spans="1:2" x14ac:dyDescent="0.2">
      <c r="B229" s="170">
        <v>100130053070</v>
      </c>
    </row>
    <row r="230" spans="1:2" x14ac:dyDescent="0.2">
      <c r="B230" s="170">
        <v>800000127282</v>
      </c>
    </row>
    <row r="231" spans="1:2" x14ac:dyDescent="0.2">
      <c r="B231" s="170">
        <v>800000134405</v>
      </c>
    </row>
    <row r="232" spans="1:2" x14ac:dyDescent="0.2">
      <c r="A232" t="s">
        <v>270</v>
      </c>
    </row>
    <row r="233" spans="1:2" x14ac:dyDescent="0.2">
      <c r="B233" s="170">
        <v>100130053068</v>
      </c>
    </row>
    <row r="234" spans="1:2" x14ac:dyDescent="0.2">
      <c r="B234" s="170">
        <v>800000127281</v>
      </c>
    </row>
    <row r="235" spans="1:2" x14ac:dyDescent="0.2">
      <c r="B235" s="170">
        <v>800000134404</v>
      </c>
    </row>
    <row r="236" spans="1:2" x14ac:dyDescent="0.2">
      <c r="A236" t="s">
        <v>271</v>
      </c>
    </row>
    <row r="237" spans="1:2" x14ac:dyDescent="0.2">
      <c r="B237" s="170">
        <v>800000145416</v>
      </c>
    </row>
    <row r="238" spans="1:2" x14ac:dyDescent="0.2">
      <c r="B238" s="170">
        <v>100130053105</v>
      </c>
    </row>
    <row r="239" spans="1:2" x14ac:dyDescent="0.2">
      <c r="B239" s="170">
        <v>100130053106</v>
      </c>
    </row>
    <row r="240" spans="1:2" x14ac:dyDescent="0.2">
      <c r="B240" s="170">
        <v>100130053107</v>
      </c>
    </row>
    <row r="241" spans="1:2" x14ac:dyDescent="0.2">
      <c r="A241" t="s">
        <v>272</v>
      </c>
    </row>
    <row r="242" spans="1:2" x14ac:dyDescent="0.2">
      <c r="B242" s="170">
        <v>500000113331</v>
      </c>
    </row>
    <row r="243" spans="1:2" x14ac:dyDescent="0.2">
      <c r="A243" t="s">
        <v>273</v>
      </c>
    </row>
    <row r="244" spans="1:2" x14ac:dyDescent="0.2">
      <c r="B244" s="170">
        <v>800000130620</v>
      </c>
    </row>
    <row r="245" spans="1:2" x14ac:dyDescent="0.2">
      <c r="B245" s="170">
        <v>800000134406</v>
      </c>
    </row>
    <row r="246" spans="1:2" x14ac:dyDescent="0.2">
      <c r="A246" t="s">
        <v>274</v>
      </c>
    </row>
    <row r="247" spans="1:2" x14ac:dyDescent="0.2">
      <c r="B247" s="170">
        <v>800000141198</v>
      </c>
    </row>
  </sheetData>
  <phoneticPr fontId="27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ENE-SEP Bs 11NOV2016</vt:lpstr>
      <vt:lpstr>ENE-MAR USD AL 18MAR16</vt:lpstr>
      <vt:lpstr>HAB-POR EC Bs</vt:lpstr>
      <vt:lpstr>HAB-POR EC M$</vt:lpstr>
      <vt:lpstr>ejecucion MUSD </vt:lpstr>
      <vt:lpstr>HAB-POR EC MUSD</vt:lpstr>
      <vt:lpstr>OI 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Marval</dc:creator>
  <cp:lastModifiedBy>Pedro Marval</cp:lastModifiedBy>
  <dcterms:created xsi:type="dcterms:W3CDTF">2014-11-25T20:15:34Z</dcterms:created>
  <dcterms:modified xsi:type="dcterms:W3CDTF">2017-05-07T19:04:51Z</dcterms:modified>
</cp:coreProperties>
</file>