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40f27279678150/Escritorio/"/>
    </mc:Choice>
  </mc:AlternateContent>
  <xr:revisionPtr revIDLastSave="0" documentId="14_{DEB9B4BF-04A4-4D69-844A-756FC00D288B}" xr6:coauthVersionLast="47" xr6:coauthVersionMax="47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Ejercicio Numero 12" sheetId="1" r:id="rId1"/>
    <sheet name="Ejercicio Numero 13" sheetId="2" r:id="rId2"/>
    <sheet name="Ejercicio numero 14" sheetId="4" r:id="rId3"/>
    <sheet name="Ejercicio Numero 15" sheetId="5" r:id="rId4"/>
    <sheet name="Ejercicio Numero 16" sheetId="6" r:id="rId5"/>
    <sheet name="Ejercicio 17" sheetId="7" r:id="rId6"/>
    <sheet name="Ejercicio Numero 18" sheetId="8" r:id="rId7"/>
    <sheet name="Ejercicio Numero 19" sheetId="3" r:id="rId8"/>
    <sheet name="Ejercicio Numero 20 " sheetId="9" r:id="rId9"/>
    <sheet name="Machete 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1" i="9" l="1"/>
  <c r="Q50" i="9"/>
  <c r="O50" i="9"/>
  <c r="Q46" i="9"/>
  <c r="R35" i="9"/>
  <c r="P46" i="9" s="1"/>
  <c r="Q43" i="9"/>
  <c r="Q42" i="9"/>
  <c r="O42" i="9"/>
  <c r="P42" i="9"/>
  <c r="Q41" i="9"/>
  <c r="Q39" i="9"/>
  <c r="O39" i="9"/>
  <c r="Q38" i="9"/>
  <c r="R22" i="9"/>
  <c r="P38" i="9" s="1"/>
  <c r="O38" i="9"/>
  <c r="R34" i="9"/>
  <c r="Q34" i="9"/>
  <c r="P34" i="9"/>
  <c r="R33" i="9"/>
  <c r="R31" i="9"/>
  <c r="R30" i="9"/>
  <c r="R29" i="9"/>
  <c r="R28" i="9"/>
  <c r="R27" i="9"/>
  <c r="Q29" i="9"/>
  <c r="Q28" i="9"/>
  <c r="Q27" i="9"/>
  <c r="Q30" i="9"/>
  <c r="P31" i="9"/>
  <c r="P30" i="9"/>
  <c r="P29" i="9"/>
  <c r="P28" i="9"/>
  <c r="P27" i="9"/>
  <c r="O30" i="9"/>
  <c r="O29" i="9"/>
  <c r="O28" i="9"/>
  <c r="O27" i="9"/>
  <c r="P21" i="9"/>
  <c r="R21" i="9" s="1"/>
  <c r="Q21" i="9"/>
  <c r="W30" i="9"/>
  <c r="V31" i="9"/>
  <c r="W29" i="9"/>
  <c r="W28" i="9"/>
  <c r="W27" i="9"/>
  <c r="V27" i="9" a="1"/>
  <c r="V27" i="9" s="1"/>
  <c r="W24" i="9"/>
  <c r="W23" i="9"/>
  <c r="U24" i="9"/>
  <c r="R32" i="9"/>
  <c r="Q32" i="9"/>
  <c r="P32" i="9"/>
  <c r="U23" i="9"/>
  <c r="R20" i="9"/>
  <c r="R19" i="9"/>
  <c r="R18" i="9"/>
  <c r="R17" i="9"/>
  <c r="R16" i="9"/>
  <c r="R15" i="9"/>
  <c r="R14" i="9"/>
  <c r="P18" i="9"/>
  <c r="Q17" i="9"/>
  <c r="Q16" i="9"/>
  <c r="Q15" i="9"/>
  <c r="Q14" i="9"/>
  <c r="P19" i="9"/>
  <c r="P16" i="9"/>
  <c r="P15" i="9"/>
  <c r="P14" i="9"/>
  <c r="P17" i="9"/>
  <c r="R9" i="9"/>
  <c r="R8" i="9"/>
  <c r="R7" i="9"/>
  <c r="R6" i="9"/>
  <c r="V18" i="9"/>
  <c r="W18" i="9" s="1"/>
  <c r="D11" i="9"/>
  <c r="D10" i="9"/>
  <c r="L28" i="8"/>
  <c r="L27" i="8"/>
  <c r="J27" i="8"/>
  <c r="K27" i="8"/>
  <c r="L9" i="8"/>
  <c r="L8" i="8"/>
  <c r="J8" i="8"/>
  <c r="K8" i="8"/>
  <c r="O5" i="8"/>
  <c r="H10" i="8" s="1" a="1"/>
  <c r="O4" i="8"/>
  <c r="D46" i="6"/>
  <c r="D45" i="6"/>
  <c r="C45" i="6"/>
  <c r="B45" i="6" a="1"/>
  <c r="B45" i="6" s="1"/>
  <c r="C41" i="6"/>
  <c r="B42" i="6"/>
  <c r="B41" i="6"/>
  <c r="D40" i="6"/>
  <c r="D39" i="6"/>
  <c r="D38" i="6"/>
  <c r="B38" i="6" a="1"/>
  <c r="B38" i="6" s="1"/>
  <c r="H34" i="6"/>
  <c r="G34" i="6"/>
  <c r="F34" i="6"/>
  <c r="H33" i="6"/>
  <c r="G33" i="6"/>
  <c r="F33" i="6"/>
  <c r="D33" i="6"/>
  <c r="B33" i="6"/>
  <c r="J32" i="6"/>
  <c r="J31" i="6"/>
  <c r="H31" i="6"/>
  <c r="G31" i="6"/>
  <c r="F31" i="6"/>
  <c r="D31" i="6"/>
  <c r="B31" i="6"/>
  <c r="F24" i="6"/>
  <c r="G24" i="6"/>
  <c r="H24" i="6"/>
  <c r="I24" i="6"/>
  <c r="J24" i="6"/>
  <c r="J20" i="6"/>
  <c r="I20" i="6"/>
  <c r="H20" i="6"/>
  <c r="G20" i="6"/>
  <c r="F20" i="6"/>
  <c r="H19" i="6"/>
  <c r="G19" i="6"/>
  <c r="F19" i="6"/>
  <c r="H18" i="6"/>
  <c r="G18" i="6"/>
  <c r="F18" i="6"/>
  <c r="H17" i="6"/>
  <c r="G17" i="6"/>
  <c r="F17" i="6"/>
  <c r="H16" i="6"/>
  <c r="G16" i="6"/>
  <c r="F16" i="6"/>
  <c r="H15" i="6"/>
  <c r="G15" i="6"/>
  <c r="F15" i="6"/>
  <c r="J14" i="6"/>
  <c r="I13" i="6"/>
  <c r="H11" i="6"/>
  <c r="G11" i="6"/>
  <c r="F11" i="6"/>
  <c r="H10" i="6"/>
  <c r="G10" i="6"/>
  <c r="F10" i="6"/>
  <c r="H9" i="6"/>
  <c r="G9" i="6"/>
  <c r="F9" i="6"/>
  <c r="K43" i="5"/>
  <c r="K42" i="5"/>
  <c r="K41" i="5"/>
  <c r="G40" i="5"/>
  <c r="K44" i="5"/>
  <c r="K37" i="5"/>
  <c r="K36" i="5"/>
  <c r="F23" i="9"/>
  <c r="F31" i="9"/>
  <c r="F39" i="9"/>
  <c r="D36" i="9"/>
  <c r="D38" i="9" s="1"/>
  <c r="E35" i="9"/>
  <c r="F35" i="9" s="1"/>
  <c r="D35" i="9"/>
  <c r="D28" i="9"/>
  <c r="D27" i="9"/>
  <c r="F27" i="9" s="1"/>
  <c r="E38" i="9"/>
  <c r="F36" i="9"/>
  <c r="F37" i="9" s="1"/>
  <c r="E30" i="9"/>
  <c r="F28" i="9"/>
  <c r="F29" i="9" s="1"/>
  <c r="D30" i="9"/>
  <c r="F22" i="9"/>
  <c r="E22" i="9"/>
  <c r="D22" i="9"/>
  <c r="F21" i="9"/>
  <c r="F20" i="9"/>
  <c r="D20" i="9"/>
  <c r="D19" i="9"/>
  <c r="F19" i="9" s="1"/>
  <c r="D14" i="9"/>
  <c r="B15" i="9"/>
  <c r="B14" i="9"/>
  <c r="D13" i="9"/>
  <c r="D12" i="9"/>
  <c r="C12" i="9"/>
  <c r="C11" i="9"/>
  <c r="C10" i="9"/>
  <c r="B11" i="9"/>
  <c r="B12" i="9"/>
  <c r="B10" i="9"/>
  <c r="F7" i="9"/>
  <c r="F6" i="9"/>
  <c r="F5" i="9"/>
  <c r="D7" i="9"/>
  <c r="D6" i="9"/>
  <c r="D5" i="9"/>
  <c r="E7" i="9"/>
  <c r="B21" i="4"/>
  <c r="B19" i="8"/>
  <c r="B20" i="8"/>
  <c r="B20" i="4"/>
  <c r="L7" i="8"/>
  <c r="L6" i="8"/>
  <c r="K6" i="8"/>
  <c r="L5" i="8"/>
  <c r="L4" i="8"/>
  <c r="K3" i="8"/>
  <c r="J3" i="8"/>
  <c r="L3" i="8" s="1"/>
  <c r="C27" i="8"/>
  <c r="C26" i="8"/>
  <c r="D6" i="3"/>
  <c r="D7" i="3"/>
  <c r="D8" i="3"/>
  <c r="D9" i="3"/>
  <c r="D10" i="3"/>
  <c r="D24" i="8"/>
  <c r="D23" i="8"/>
  <c r="C23" i="8"/>
  <c r="C24" i="8"/>
  <c r="B24" i="8"/>
  <c r="B23" i="8"/>
  <c r="C19" i="8"/>
  <c r="D18" i="8"/>
  <c r="D17" i="8"/>
  <c r="D16" i="8"/>
  <c r="C17" i="8"/>
  <c r="C16" i="8"/>
  <c r="D11" i="8"/>
  <c r="D10" i="8"/>
  <c r="B17" i="8"/>
  <c r="B16" i="8"/>
  <c r="B13" i="8"/>
  <c r="F46" i="3"/>
  <c r="D3" i="2"/>
  <c r="D40" i="5"/>
  <c r="D39" i="5"/>
  <c r="C40" i="5"/>
  <c r="C39" i="5"/>
  <c r="B40" i="5"/>
  <c r="B39" i="5"/>
  <c r="C34" i="5"/>
  <c r="C33" i="5"/>
  <c r="D33" i="5" s="1"/>
  <c r="A40" i="5"/>
  <c r="A39" i="5"/>
  <c r="B36" i="5"/>
  <c r="B34" i="5"/>
  <c r="B33" i="5"/>
  <c r="I24" i="5"/>
  <c r="I23" i="5"/>
  <c r="G30" i="5"/>
  <c r="G29" i="5"/>
  <c r="H26" i="5"/>
  <c r="J24" i="5"/>
  <c r="H24" i="5"/>
  <c r="H29" i="5"/>
  <c r="H23" i="5"/>
  <c r="D29" i="5"/>
  <c r="D30" i="5"/>
  <c r="C30" i="5"/>
  <c r="C29" i="5"/>
  <c r="B30" i="5"/>
  <c r="B29" i="5"/>
  <c r="A30" i="5"/>
  <c r="A29" i="5"/>
  <c r="C26" i="5"/>
  <c r="B27" i="5"/>
  <c r="B26" i="5"/>
  <c r="D25" i="5"/>
  <c r="D24" i="5"/>
  <c r="D23" i="5"/>
  <c r="C24" i="5"/>
  <c r="C23" i="5"/>
  <c r="B24" i="5"/>
  <c r="B23" i="5"/>
  <c r="B20" i="5"/>
  <c r="G29" i="4"/>
  <c r="G28" i="4"/>
  <c r="G17" i="4"/>
  <c r="G18" i="4"/>
  <c r="G36" i="4"/>
  <c r="G35" i="4"/>
  <c r="G31" i="4"/>
  <c r="H29" i="4"/>
  <c r="I28" i="4"/>
  <c r="H28" i="4"/>
  <c r="G25" i="4"/>
  <c r="G24" i="4"/>
  <c r="G20" i="4"/>
  <c r="H18" i="4"/>
  <c r="I17" i="4"/>
  <c r="H17" i="4"/>
  <c r="D15" i="4"/>
  <c r="B36" i="4"/>
  <c r="B35" i="4"/>
  <c r="D29" i="4"/>
  <c r="D28" i="4"/>
  <c r="B31" i="4"/>
  <c r="C29" i="4"/>
  <c r="C28" i="4"/>
  <c r="B29" i="4"/>
  <c r="B28" i="4"/>
  <c r="D25" i="4"/>
  <c r="D24" i="4"/>
  <c r="C25" i="4"/>
  <c r="C24" i="4"/>
  <c r="B25" i="4"/>
  <c r="B24" i="4"/>
  <c r="C20" i="4"/>
  <c r="D19" i="4"/>
  <c r="D18" i="4"/>
  <c r="D17" i="4"/>
  <c r="C18" i="4"/>
  <c r="C17" i="4"/>
  <c r="B18" i="4"/>
  <c r="B17" i="4"/>
  <c r="D14" i="4"/>
  <c r="F66" i="3"/>
  <c r="E65" i="3"/>
  <c r="F65" i="3" s="1"/>
  <c r="E60" i="3"/>
  <c r="F60" i="3" s="1"/>
  <c r="F63" i="3"/>
  <c r="F64" i="3" s="1"/>
  <c r="E61" i="3"/>
  <c r="D61" i="3"/>
  <c r="D60" i="3"/>
  <c r="F57" i="3"/>
  <c r="F56" i="3"/>
  <c r="E56" i="3"/>
  <c r="F55" i="3"/>
  <c r="F54" i="3"/>
  <c r="F52" i="3"/>
  <c r="E52" i="3"/>
  <c r="D52" i="3"/>
  <c r="F51" i="3"/>
  <c r="E51" i="3"/>
  <c r="D51" i="3"/>
  <c r="F47" i="3"/>
  <c r="E46" i="3"/>
  <c r="F45" i="3"/>
  <c r="F44" i="3"/>
  <c r="F42" i="3"/>
  <c r="D42" i="3"/>
  <c r="E42" i="3"/>
  <c r="F41" i="3"/>
  <c r="E41" i="3"/>
  <c r="D41" i="3"/>
  <c r="E36" i="3"/>
  <c r="D37" i="3"/>
  <c r="D33" i="3"/>
  <c r="C33" i="3"/>
  <c r="D30" i="3"/>
  <c r="D29" i="3"/>
  <c r="D28" i="3"/>
  <c r="D19" i="3"/>
  <c r="D18" i="3"/>
  <c r="D17" i="3"/>
  <c r="C24" i="3"/>
  <c r="E19" i="3" s="1"/>
  <c r="C23" i="3"/>
  <c r="C22" i="3"/>
  <c r="H10" i="8" l="1"/>
  <c r="J10" i="8" s="1"/>
  <c r="J11" i="8"/>
  <c r="F38" i="9"/>
  <c r="F30" i="9"/>
  <c r="D34" i="5"/>
  <c r="D35" i="5" s="1"/>
  <c r="B37" i="5" s="1"/>
  <c r="C36" i="5" s="1"/>
  <c r="H30" i="5"/>
  <c r="J23" i="5"/>
  <c r="J25" i="5" s="1"/>
  <c r="H27" i="5" s="1"/>
  <c r="I26" i="5" s="1"/>
  <c r="I29" i="4"/>
  <c r="I30" i="4" s="1"/>
  <c r="G32" i="4" s="1"/>
  <c r="H31" i="4" s="1"/>
  <c r="I18" i="4"/>
  <c r="I19" i="4"/>
  <c r="G21" i="4" s="1"/>
  <c r="H20" i="4" s="1"/>
  <c r="D30" i="4"/>
  <c r="B32" i="4" s="1"/>
  <c r="C31" i="4" s="1"/>
  <c r="F61" i="3"/>
  <c r="E17" i="3"/>
  <c r="D31" i="3"/>
  <c r="C34" i="3" s="1"/>
  <c r="D12" i="3"/>
  <c r="E18" i="3"/>
  <c r="I18" i="2"/>
  <c r="G18" i="2"/>
  <c r="H18" i="2"/>
  <c r="F18" i="2"/>
  <c r="D18" i="2"/>
  <c r="B18" i="2"/>
  <c r="I17" i="2"/>
  <c r="I4" i="2"/>
  <c r="J7" i="2"/>
  <c r="J8" i="2"/>
  <c r="J12" i="8" l="1"/>
  <c r="J15" i="8" s="1"/>
  <c r="K14" i="8" s="1"/>
  <c r="I30" i="5"/>
  <c r="J30" i="5" s="1"/>
  <c r="I29" i="5"/>
  <c r="J29" i="5" s="1"/>
  <c r="H36" i="4"/>
  <c r="I36" i="4" s="1"/>
  <c r="H35" i="4"/>
  <c r="I35" i="4" s="1"/>
  <c r="H24" i="4"/>
  <c r="I24" i="4" s="1"/>
  <c r="H25" i="4"/>
  <c r="I25" i="4" s="1"/>
  <c r="C36" i="4"/>
  <c r="D36" i="4" s="1"/>
  <c r="C35" i="4"/>
  <c r="D35" i="4" s="1"/>
  <c r="G3" i="2"/>
  <c r="B10" i="2"/>
  <c r="N5" i="1"/>
  <c r="D9" i="2"/>
  <c r="I9" i="2" s="1"/>
  <c r="D6" i="2"/>
  <c r="H6" i="2" s="1"/>
  <c r="J6" i="2" s="1"/>
  <c r="D5" i="2"/>
  <c r="I5" i="2" s="1"/>
  <c r="D4" i="2"/>
  <c r="G4" i="2" s="1"/>
  <c r="I43" i="1"/>
  <c r="H43" i="1"/>
  <c r="H33" i="1"/>
  <c r="H35" i="1"/>
  <c r="G33" i="1"/>
  <c r="F43" i="1"/>
  <c r="K32" i="1"/>
  <c r="C32" i="1"/>
  <c r="B30" i="1"/>
  <c r="B33" i="1" s="1"/>
  <c r="D27" i="1"/>
  <c r="E27" i="1" s="1"/>
  <c r="D23" i="1"/>
  <c r="E23" i="1" s="1"/>
  <c r="L20" i="1"/>
  <c r="G20" i="1"/>
  <c r="F20" i="1"/>
  <c r="E20" i="1"/>
  <c r="J20" i="1" s="1"/>
  <c r="D20" i="1"/>
  <c r="C20" i="1"/>
  <c r="D18" i="1"/>
  <c r="D17" i="1"/>
  <c r="E17" i="1" s="1"/>
  <c r="C17" i="1"/>
  <c r="D14" i="1"/>
  <c r="E14" i="1" s="1"/>
  <c r="G11" i="1"/>
  <c r="F11" i="1"/>
  <c r="E11" i="1"/>
  <c r="J11" i="1" s="1"/>
  <c r="D11" i="1"/>
  <c r="D8" i="1"/>
  <c r="E8" i="1" s="1"/>
  <c r="E5" i="1"/>
  <c r="I5" i="1" s="1"/>
  <c r="D5" i="1"/>
  <c r="I10" i="2" l="1"/>
  <c r="F3" i="2"/>
  <c r="J3" i="2" s="1"/>
  <c r="J10" i="2" s="1"/>
  <c r="F5" i="2"/>
  <c r="F9" i="2"/>
  <c r="J9" i="2" s="1"/>
  <c r="G5" i="2"/>
  <c r="G9" i="2"/>
  <c r="F4" i="2"/>
  <c r="J4" i="2" s="1"/>
  <c r="H9" i="2"/>
  <c r="H10" i="2" s="1"/>
  <c r="F23" i="1"/>
  <c r="H23" i="1"/>
  <c r="I23" i="1"/>
  <c r="G23" i="1"/>
  <c r="L27" i="1"/>
  <c r="F27" i="1"/>
  <c r="K27" i="1"/>
  <c r="J27" i="1"/>
  <c r="I27" i="1"/>
  <c r="G27" i="1"/>
  <c r="H27" i="1"/>
  <c r="H14" i="1"/>
  <c r="G14" i="1"/>
  <c r="F14" i="1"/>
  <c r="I14" i="1"/>
  <c r="I8" i="1"/>
  <c r="I33" i="1" s="1"/>
  <c r="H8" i="1"/>
  <c r="F8" i="1"/>
  <c r="G8" i="1"/>
  <c r="F17" i="1"/>
  <c r="J17" i="1"/>
  <c r="I17" i="1"/>
  <c r="G17" i="1"/>
  <c r="H17" i="1"/>
  <c r="K5" i="1"/>
  <c r="J5" i="1"/>
  <c r="K20" i="1"/>
  <c r="N20" i="1" s="1"/>
  <c r="G5" i="1"/>
  <c r="H11" i="1"/>
  <c r="N11" i="1" s="1"/>
  <c r="H20" i="1"/>
  <c r="I20" i="1"/>
  <c r="F5" i="1"/>
  <c r="L5" i="1"/>
  <c r="L33" i="1" s="1"/>
  <c r="B35" i="1" s="1"/>
  <c r="D35" i="1" s="1"/>
  <c r="E35" i="1" s="1"/>
  <c r="H5" i="1"/>
  <c r="I11" i="1"/>
  <c r="J5" i="2" l="1"/>
  <c r="B16" i="2"/>
  <c r="D16" i="2" s="1"/>
  <c r="G10" i="2"/>
  <c r="G19" i="2" s="1"/>
  <c r="F10" i="2"/>
  <c r="F19" i="2" s="1"/>
  <c r="K19" i="2" s="1"/>
  <c r="J33" i="1"/>
  <c r="J35" i="1"/>
  <c r="I35" i="1"/>
  <c r="F35" i="1"/>
  <c r="G35" i="1"/>
  <c r="K35" i="1"/>
  <c r="K33" i="1"/>
  <c r="K36" i="1" s="1"/>
  <c r="B38" i="1" s="1"/>
  <c r="D38" i="1" s="1"/>
  <c r="E38" i="1" s="1"/>
  <c r="N8" i="1"/>
  <c r="F33" i="1"/>
  <c r="I16" i="2" l="1"/>
  <c r="G16" i="2"/>
  <c r="F16" i="2"/>
  <c r="F38" i="1"/>
  <c r="J38" i="1"/>
  <c r="I38" i="1"/>
  <c r="H38" i="1"/>
  <c r="G38" i="1"/>
  <c r="J39" i="1"/>
  <c r="B41" i="1" s="1"/>
  <c r="D41" i="1" s="1"/>
  <c r="E41" i="1" s="1"/>
  <c r="I41" i="1" l="1"/>
  <c r="H41" i="1"/>
  <c r="G41" i="1"/>
  <c r="G43" i="1" s="1"/>
  <c r="F41" i="1"/>
  <c r="M4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<sst xmlns="http://schemas.openxmlformats.org/spreadsheetml/2006/main" count="653" uniqueCount="306">
  <si>
    <t>Concepto</t>
  </si>
  <si>
    <t xml:space="preserve">Importe </t>
  </si>
  <si>
    <t xml:space="preserve">Base </t>
  </si>
  <si>
    <t>Corte</t>
  </si>
  <si>
    <t>Armado</t>
  </si>
  <si>
    <t>Soldado</t>
  </si>
  <si>
    <t>Pintura</t>
  </si>
  <si>
    <t xml:space="preserve">Almacén </t>
  </si>
  <si>
    <t>Comedor</t>
  </si>
  <si>
    <t>Ofic Fca</t>
  </si>
  <si>
    <t>Alquiler de Fábrica</t>
  </si>
  <si>
    <t>Sup. Ocup.</t>
  </si>
  <si>
    <t xml:space="preserve">Caso El Buco </t>
  </si>
  <si>
    <t xml:space="preserve">Sueldo Superv. Y Cs soc. </t>
  </si>
  <si>
    <t xml:space="preserve">Pers. Ocup </t>
  </si>
  <si>
    <t>centros C.</t>
  </si>
  <si>
    <t xml:space="preserve">Depreciac. Máq. </t>
  </si>
  <si>
    <t>Valor Maq</t>
  </si>
  <si>
    <t xml:space="preserve">Reparac. Maq. </t>
  </si>
  <si>
    <t xml:space="preserve">Hs. Mant. </t>
  </si>
  <si>
    <t>Seguros Incendio Maq.</t>
  </si>
  <si>
    <t xml:space="preserve">Seguros por acidentes </t>
  </si>
  <si>
    <t>Luz y Fuerza motriz</t>
  </si>
  <si>
    <t>F. motriz</t>
  </si>
  <si>
    <t xml:space="preserve">Sueldos y C.S. Ofic. Fca </t>
  </si>
  <si>
    <t>Directo</t>
  </si>
  <si>
    <t xml:space="preserve">Combustibles Calefac. </t>
  </si>
  <si>
    <t xml:space="preserve">Superf. </t>
  </si>
  <si>
    <t>Costos Oficina Fca</t>
  </si>
  <si>
    <t xml:space="preserve">Suministros </t>
  </si>
  <si>
    <t xml:space="preserve">Mano de obra Ind. </t>
  </si>
  <si>
    <t xml:space="preserve">Costo de Comedor </t>
  </si>
  <si>
    <t xml:space="preserve">SUBTOTALES </t>
  </si>
  <si>
    <t>Orden de cierre</t>
  </si>
  <si>
    <t>Almacén</t>
  </si>
  <si>
    <t xml:space="preserve">Ofic. Fca </t>
  </si>
  <si>
    <t>X</t>
  </si>
  <si>
    <t>Ofic. Fca.</t>
  </si>
  <si>
    <t xml:space="preserve">Pers. Ocup. </t>
  </si>
  <si>
    <t xml:space="preserve">92 menos 2 </t>
  </si>
  <si>
    <t xml:space="preserve">Comedor </t>
  </si>
  <si>
    <t>Pers. Ocup.</t>
  </si>
  <si>
    <t>Almacén MP</t>
  </si>
  <si>
    <t xml:space="preserve">Cons. MP </t>
  </si>
  <si>
    <t xml:space="preserve">TOTALES </t>
  </si>
  <si>
    <t>Reducción</t>
  </si>
  <si>
    <t>Purificado</t>
  </si>
  <si>
    <t>Caldera</t>
  </si>
  <si>
    <t>Sueldos supervisión y cargas sociales</t>
  </si>
  <si>
    <t>Amortización maquinarias</t>
  </si>
  <si>
    <t>Fuerza motriz</t>
  </si>
  <si>
    <t>Costos de comedor</t>
  </si>
  <si>
    <t>Seguros productos terminados</t>
  </si>
  <si>
    <t>Comisión vendedores</t>
  </si>
  <si>
    <t>Amortización edificios</t>
  </si>
  <si>
    <t>Total</t>
  </si>
  <si>
    <t>Sarro</t>
  </si>
  <si>
    <t>Personal Ocupado Centros  Productivos</t>
  </si>
  <si>
    <t xml:space="preserve">Valor Maquinarias </t>
  </si>
  <si>
    <t>Comercializacion</t>
  </si>
  <si>
    <t>Superficie Ocupada</t>
  </si>
  <si>
    <t>Consumo F motriz</t>
  </si>
  <si>
    <t>Centro</t>
  </si>
  <si>
    <t>Sup. ocupada</t>
  </si>
  <si>
    <t>Valor maquinarias</t>
  </si>
  <si>
    <t>Personal ocupado</t>
  </si>
  <si>
    <t>Horas hombre</t>
  </si>
  <si>
    <t>Horas máquinas</t>
  </si>
  <si>
    <t>Consumo vapor</t>
  </si>
  <si>
    <t>Consumo F Motriz</t>
  </si>
  <si>
    <t>Totales</t>
  </si>
  <si>
    <t>-</t>
  </si>
  <si>
    <t xml:space="preserve">Centros de Servicios </t>
  </si>
  <si>
    <t>x</t>
  </si>
  <si>
    <t xml:space="preserve">Primero cierra comedor </t>
  </si>
  <si>
    <t>En segundo Lugar Caldera</t>
  </si>
  <si>
    <t>Personas Ocupadas</t>
  </si>
  <si>
    <t xml:space="preserve">Consumo Vapor </t>
  </si>
  <si>
    <t xml:space="preserve">Correcto </t>
  </si>
  <si>
    <t xml:space="preserve">Caso Cristales </t>
  </si>
  <si>
    <t xml:space="preserve">CENTRO FUNDICION </t>
  </si>
  <si>
    <t>MP A</t>
  </si>
  <si>
    <t>MP B</t>
  </si>
  <si>
    <t>Centro Monoproducto ( solo produce vidrio liquido )</t>
  </si>
  <si>
    <t xml:space="preserve">Utilizamos el modulo: Unidades producidas </t>
  </si>
  <si>
    <t>Unidad de costeo ( 1 kg de vidrio liquido )</t>
  </si>
  <si>
    <t xml:space="preserve">Cantidad Necesaria </t>
  </si>
  <si>
    <t xml:space="preserve">Precio </t>
  </si>
  <si>
    <t>MOD</t>
  </si>
  <si>
    <t>HH</t>
  </si>
  <si>
    <t>Cargas Sociales</t>
  </si>
  <si>
    <t xml:space="preserve">Costo de estructura </t>
  </si>
  <si>
    <t>NPA</t>
  </si>
  <si>
    <t xml:space="preserve">Costo de 1 KG de vidrio </t>
  </si>
  <si>
    <t xml:space="preserve">CENTRO ENFRIADO </t>
  </si>
  <si>
    <t xml:space="preserve">Centro poliproductor </t>
  </si>
  <si>
    <t>Utilizamos el modulo: Horas hombre</t>
  </si>
  <si>
    <t>Unidad de Costeo ( una unidad de cada Producto)</t>
  </si>
  <si>
    <t>Parabrisa</t>
  </si>
  <si>
    <t xml:space="preserve">ventanillas </t>
  </si>
  <si>
    <t xml:space="preserve">Ventiletes </t>
  </si>
  <si>
    <t xml:space="preserve">Presupuesto de costeo </t>
  </si>
  <si>
    <t>Kilos</t>
  </si>
  <si>
    <t xml:space="preserve">Rendimientos </t>
  </si>
  <si>
    <t>Cantidad Neta</t>
  </si>
  <si>
    <t>Cantidades / Unidades</t>
  </si>
  <si>
    <t xml:space="preserve">Modulo Horas Hombre </t>
  </si>
  <si>
    <t>NPA en HH</t>
  </si>
  <si>
    <t xml:space="preserve">HH unitarias </t>
  </si>
  <si>
    <t xml:space="preserve">Cuota de Aplicación </t>
  </si>
  <si>
    <t>La HH</t>
  </si>
  <si>
    <t xml:space="preserve">Cargas sociales </t>
  </si>
  <si>
    <t xml:space="preserve">JD totales </t>
  </si>
  <si>
    <t>1040 HH x 3$</t>
  </si>
  <si>
    <t xml:space="preserve">Porcentaje de Cargas Sociales respecto a los sueldos </t>
  </si>
  <si>
    <t xml:space="preserve">Costo Unitario de 1 Parabrisa </t>
  </si>
  <si>
    <t xml:space="preserve">MP vidrio </t>
  </si>
  <si>
    <t xml:space="preserve">Rendimiento </t>
  </si>
  <si>
    <t xml:space="preserve">Costo </t>
  </si>
  <si>
    <t xml:space="preserve">Subproducto </t>
  </si>
  <si>
    <t>HH unit</t>
  </si>
  <si>
    <t xml:space="preserve">Tarifa </t>
  </si>
  <si>
    <t>de MOD</t>
  </si>
  <si>
    <t xml:space="preserve">Total </t>
  </si>
  <si>
    <t xml:space="preserve">Costo por una unidad de un parabrisa </t>
  </si>
  <si>
    <t xml:space="preserve">Costo Unitario de 1 Ventanilla </t>
  </si>
  <si>
    <t xml:space="preserve">Costo por unidad de una Ventanilla </t>
  </si>
  <si>
    <t xml:space="preserve">Costo unitario de 1 Ventilete </t>
  </si>
  <si>
    <t>Costo por una Unidad de ventilete</t>
  </si>
  <si>
    <t xml:space="preserve">Presupuesto de costo de estructura </t>
  </si>
  <si>
    <t xml:space="preserve">Escritorios </t>
  </si>
  <si>
    <t>Unidades</t>
  </si>
  <si>
    <t xml:space="preserve">Borradores </t>
  </si>
  <si>
    <t>HM</t>
  </si>
  <si>
    <t>EL DEBATE</t>
  </si>
  <si>
    <t xml:space="preserve">1) Centro Cepillado </t>
  </si>
  <si>
    <t>LA LUZ</t>
  </si>
  <si>
    <t xml:space="preserve">Poliproductor </t>
  </si>
  <si>
    <t xml:space="preserve">1) Centro Armado </t>
  </si>
  <si>
    <t xml:space="preserve">Presupuesto costo de estructura </t>
  </si>
  <si>
    <t>Televisores</t>
  </si>
  <si>
    <t>1- Determinar el costo unitario de estructira de los productos de cada caso considerando:</t>
  </si>
  <si>
    <t>Horas maquina</t>
  </si>
  <si>
    <t>Horas Hombre</t>
  </si>
  <si>
    <t xml:space="preserve">Tiempos de elavoracion </t>
  </si>
  <si>
    <t xml:space="preserve">Modulo Horas maquina </t>
  </si>
  <si>
    <t xml:space="preserve">Cuota de Apliacion </t>
  </si>
  <si>
    <t>La HM</t>
  </si>
  <si>
    <t xml:space="preserve">Costo de estructura Unitario enternamente Mecanico </t>
  </si>
  <si>
    <t xml:space="preserve">Costo de estructura Unitario enternamente Manual </t>
  </si>
  <si>
    <t>Radios</t>
  </si>
  <si>
    <t xml:space="preserve">Caso el Sol naciente corporacion </t>
  </si>
  <si>
    <t xml:space="preserve">Centro Armado </t>
  </si>
  <si>
    <t>La información obtenida para el mes en curso es</t>
  </si>
  <si>
    <t>Recursos materiales</t>
  </si>
  <si>
    <t>Recursos humanos</t>
  </si>
  <si>
    <t>Horas máquina por unidad</t>
  </si>
  <si>
    <t>Hora hombre por unidad</t>
  </si>
  <si>
    <t>Nivel de actividad mensual ( unidades )</t>
  </si>
  <si>
    <t>Espoca</t>
  </si>
  <si>
    <t>Distrorsix</t>
  </si>
  <si>
    <t>Seguros maquinarias</t>
  </si>
  <si>
    <t xml:space="preserve">Fuerza motriz </t>
  </si>
  <si>
    <t xml:space="preserve">Seguros maquinarias </t>
  </si>
  <si>
    <t xml:space="preserve">Depreciación maquinarias </t>
  </si>
  <si>
    <t xml:space="preserve">Depreciación equipos auxiliares </t>
  </si>
  <si>
    <t xml:space="preserve">Gas líquido </t>
  </si>
  <si>
    <t xml:space="preserve">Hidrógeno </t>
  </si>
  <si>
    <t xml:space="preserve">Herramientas y lubricantes </t>
  </si>
  <si>
    <t xml:space="preserve">Mano de obra indirecta y cargas sociales </t>
  </si>
  <si>
    <t xml:space="preserve">Mantenimiento </t>
  </si>
  <si>
    <t xml:space="preserve">Dto. Servicios Indirectos </t>
  </si>
  <si>
    <t xml:space="preserve">Sueldos supervisión y cargas sociales </t>
  </si>
  <si>
    <t xml:space="preserve">Costos de reprocesos </t>
  </si>
  <si>
    <t xml:space="preserve">Total costo de estructura </t>
  </si>
  <si>
    <t>Modulo HH</t>
  </si>
  <si>
    <t xml:space="preserve">La hora hombre </t>
  </si>
  <si>
    <t>Modulo HM</t>
  </si>
  <si>
    <t>La hora Maquina</t>
  </si>
  <si>
    <t>Modulo JD</t>
  </si>
  <si>
    <t>JD</t>
  </si>
  <si>
    <t>Volumen normal de producción</t>
  </si>
  <si>
    <t>Centro A</t>
  </si>
  <si>
    <t>Centro B</t>
  </si>
  <si>
    <t>Centro C</t>
  </si>
  <si>
    <t>Compact Disc</t>
  </si>
  <si>
    <t xml:space="preserve">Cassettes </t>
  </si>
  <si>
    <t xml:space="preserve">Concepto </t>
  </si>
  <si>
    <t>Acites y lubricantes</t>
  </si>
  <si>
    <t>Mantenimiento</t>
  </si>
  <si>
    <t xml:space="preserve">Sueldos y cs sociales comedor </t>
  </si>
  <si>
    <t xml:space="preserve">Sueldos y cs sociales enfermeria </t>
  </si>
  <si>
    <t xml:space="preserve">Jornales indirectos </t>
  </si>
  <si>
    <t>b</t>
  </si>
  <si>
    <t>c</t>
  </si>
  <si>
    <t>a</t>
  </si>
  <si>
    <t>Costo de reprocesos</t>
  </si>
  <si>
    <t>Sueldos supervicion y cs sociales</t>
  </si>
  <si>
    <t xml:space="preserve">cs sos Jornales Indirectos y sueldos </t>
  </si>
  <si>
    <t>Depreciacion maquinas</t>
  </si>
  <si>
    <t>Cassettes</t>
  </si>
  <si>
    <t>HS MAQ</t>
  </si>
  <si>
    <t>Bases de Distribucion</t>
  </si>
  <si>
    <t xml:space="preserve">Enfermeria </t>
  </si>
  <si>
    <t>Uds reprocesadas</t>
  </si>
  <si>
    <t>Comusmo Kw</t>
  </si>
  <si>
    <t xml:space="preserve">Taxi mantenimeinto </t>
  </si>
  <si>
    <t xml:space="preserve">Personal Ocupado </t>
  </si>
  <si>
    <t>M2</t>
  </si>
  <si>
    <t xml:space="preserve">Valor maquinarias </t>
  </si>
  <si>
    <t xml:space="preserve">Valor maquinaria </t>
  </si>
  <si>
    <t>mantenimiento</t>
  </si>
  <si>
    <t>Enfermeria</t>
  </si>
  <si>
    <t>Edificios</t>
  </si>
  <si>
    <t>Consumo kw</t>
  </si>
  <si>
    <t>Base</t>
  </si>
  <si>
    <t>Superfice ocupada</t>
  </si>
  <si>
    <t>Lo mismo que el 16</t>
  </si>
  <si>
    <t xml:space="preserve">Centro Tintoreria </t>
  </si>
  <si>
    <t>MP</t>
  </si>
  <si>
    <t>Lona C</t>
  </si>
  <si>
    <t>Lona B</t>
  </si>
  <si>
    <t>x metro</t>
  </si>
  <si>
    <t>para carpas</t>
  </si>
  <si>
    <t>para bolsas</t>
  </si>
  <si>
    <t>horas</t>
  </si>
  <si>
    <t xml:space="preserve">Presupuesto de carga fabril </t>
  </si>
  <si>
    <t xml:space="preserve">Pata teñir un metro de lona </t>
  </si>
  <si>
    <t>hora</t>
  </si>
  <si>
    <t>Costo de estructura Mecanico</t>
  </si>
  <si>
    <t>Costo de Un metro de Lona para Carpas</t>
  </si>
  <si>
    <t>Costo de Un metro de Lona para Bolsas</t>
  </si>
  <si>
    <t xml:space="preserve">x metro </t>
  </si>
  <si>
    <t xml:space="preserve">Para teñir 10 mets de lona </t>
  </si>
  <si>
    <t>Lona</t>
  </si>
  <si>
    <t>Carpas</t>
  </si>
  <si>
    <t xml:space="preserve">Cantidad neta </t>
  </si>
  <si>
    <t>rendimiento</t>
  </si>
  <si>
    <t xml:space="preserve">Otras materias primas </t>
  </si>
  <si>
    <t>Recupero</t>
  </si>
  <si>
    <t xml:space="preserve">Cantidad necesaria </t>
  </si>
  <si>
    <t>Precio</t>
  </si>
  <si>
    <t>Bolsas</t>
  </si>
  <si>
    <t xml:space="preserve">La viola </t>
  </si>
  <si>
    <t xml:space="preserve">Centro Cortado </t>
  </si>
  <si>
    <t>Tapa Armonica</t>
  </si>
  <si>
    <t>Tapa Inferior</t>
  </si>
  <si>
    <t xml:space="preserve">Caja de resonancia </t>
  </si>
  <si>
    <t>Rendimiento</t>
  </si>
  <si>
    <t xml:space="preserve">Precio x metro </t>
  </si>
  <si>
    <t>Cantidad Necesaria</t>
  </si>
  <si>
    <t>Tiempos</t>
  </si>
  <si>
    <t xml:space="preserve">La HH </t>
  </si>
  <si>
    <t xml:space="preserve">Costo Unitario de una Tapa Armonica </t>
  </si>
  <si>
    <t xml:space="preserve">Cargas Sociales </t>
  </si>
  <si>
    <t xml:space="preserve">Costo de Estructura </t>
  </si>
  <si>
    <t xml:space="preserve">Costo por una Unidad de tapa de Armonica </t>
  </si>
  <si>
    <t xml:space="preserve">Costo Unitario de una Tapa Inferior </t>
  </si>
  <si>
    <t xml:space="preserve">Costo Unitario de una Caja de Resonancia </t>
  </si>
  <si>
    <t xml:space="preserve">Costo por una Unidad de Tapa Inferior </t>
  </si>
  <si>
    <t xml:space="preserve">Costo por una Unidad de una Caja de Resonancia </t>
  </si>
  <si>
    <t xml:space="preserve">Centro pegado y encofrado </t>
  </si>
  <si>
    <t xml:space="preserve">Operación 1 </t>
  </si>
  <si>
    <t>Violin de Primera</t>
  </si>
  <si>
    <r>
      <t xml:space="preserve">Costo de </t>
    </r>
    <r>
      <rPr>
        <sz val="11"/>
        <color theme="1"/>
        <rFont val="Calibri"/>
        <family val="2"/>
        <scheme val="minor"/>
      </rPr>
      <t xml:space="preserve">estructura </t>
    </r>
  </si>
  <si>
    <t>Cuota de Aplicación</t>
  </si>
  <si>
    <t xml:space="preserve">Resultado Final </t>
  </si>
  <si>
    <t>Cant neta</t>
  </si>
  <si>
    <t>rend</t>
  </si>
  <si>
    <t>cant necesaria</t>
  </si>
  <si>
    <t xml:space="preserve">precio </t>
  </si>
  <si>
    <t>Costo de Produccion total por unidad</t>
  </si>
  <si>
    <t xml:space="preserve">Comdeor </t>
  </si>
  <si>
    <t xml:space="preserve">Centro B </t>
  </si>
  <si>
    <t>Empate</t>
  </si>
  <si>
    <t xml:space="preserve">Costo de estructura de cada Centro </t>
  </si>
  <si>
    <t>maq</t>
  </si>
  <si>
    <t>personas</t>
  </si>
  <si>
    <t xml:space="preserve">Los gastos del centro A son mayores en cuanto a las maquinarias que al trabajo Humano </t>
  </si>
  <si>
    <t xml:space="preserve">La HM </t>
  </si>
  <si>
    <t xml:space="preserve">Cuota de aplicación </t>
  </si>
  <si>
    <t xml:space="preserve">Costo de carga fabril Unitario ( costo de estructura unitario ) </t>
  </si>
  <si>
    <t>Cantidades</t>
  </si>
  <si>
    <t xml:space="preserve">NPA Centro Armado </t>
  </si>
  <si>
    <t xml:space="preserve">Presupuesto de carga fabril/costo de estructura </t>
  </si>
  <si>
    <t>Cuota de aplicación JD</t>
  </si>
  <si>
    <t xml:space="preserve">Costo Unitario total por una carpa </t>
  </si>
  <si>
    <t xml:space="preserve">Costo Unitario de produccion por bolsa </t>
  </si>
  <si>
    <t>1- Me dan el costo de la carga fabril? Es decir el costo de estructura</t>
  </si>
  <si>
    <t xml:space="preserve">2- </t>
  </si>
  <si>
    <t>Cola</t>
  </si>
  <si>
    <t xml:space="preserve">Arco </t>
  </si>
  <si>
    <t xml:space="preserve">Precio por 1 cm cubico de cola </t>
  </si>
  <si>
    <t>Operación 2</t>
  </si>
  <si>
    <t xml:space="preserve">PARA DOS OPERACIONES </t>
  </si>
  <si>
    <t>OP 2</t>
  </si>
  <si>
    <t>OP 1</t>
  </si>
  <si>
    <t>Violines 1</t>
  </si>
  <si>
    <t>Violines 2</t>
  </si>
  <si>
    <t xml:space="preserve">Violin de Segunda </t>
  </si>
  <si>
    <t>Cuota de aplicación</t>
  </si>
  <si>
    <t>Violin 1</t>
  </si>
  <si>
    <t xml:space="preserve">MP caja </t>
  </si>
  <si>
    <t>violin 2</t>
  </si>
  <si>
    <t>Costo de un Violin de Segunda Calidad a la Salida del centro Pegado y encofrado</t>
  </si>
  <si>
    <t>Costo de un Violin de Primera Calidad a la Salida del centro Pegado y encofrado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</si>
</sst>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\ #,##0;[Red]\-&quot;$&quot;\ #,##0"/>
    <numFmt numFmtId="44" formatCode="_-&quot;$&quot;\ * #,##0.00_-;\-&quot;$&quot;\ * #,##0.00_-;_-&quot;$&quot;\ * &quot;-&quot;??_-;_-@_-"/>
    <numFmt numFmtId="164" formatCode="_-* #,##0.00\ _€_-;\-* #,##0.00\ _€_-;_-* &quot;-&quot;??\ _€_-;_-@_-"/>
    <numFmt numFmtId="165" formatCode="_-[$$-2C0A]\ * #,##0.00_-;\-[$$-2C0A]\ * #,##0.00_-;_-[$$-2C0A]\ * &quot;-&quot;??_-;_-@_-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4" borderId="0" applyNumberFormat="0" applyBorder="0" applyAlignment="0" applyProtection="0"/>
  </cellStyleXfs>
  <cellXfs count="105"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0" applyNumberFormat="1"/>
    <xf numFmtId="165" fontId="0" fillId="0" borderId="1" xfId="0" applyNumberFormat="1" applyBorder="1"/>
    <xf numFmtId="164" fontId="0" fillId="0" borderId="0" xfId="1" applyFont="1"/>
    <xf numFmtId="0" fontId="3" fillId="0" borderId="0" xfId="0" applyFont="1"/>
    <xf numFmtId="0" fontId="0" fillId="0" borderId="0" xfId="0" applyAlignment="1">
      <alignment horizontal="center"/>
    </xf>
    <xf numFmtId="165" fontId="0" fillId="2" borderId="0" xfId="0" applyNumberFormat="1" applyFill="1"/>
    <xf numFmtId="0" fontId="2" fillId="3" borderId="0" xfId="0" applyFont="1" applyFill="1"/>
    <xf numFmtId="165" fontId="2" fillId="3" borderId="0" xfId="0" applyNumberFormat="1" applyFont="1" applyFill="1"/>
    <xf numFmtId="6" fontId="0" fillId="0" borderId="0" xfId="0" applyNumberFormat="1"/>
    <xf numFmtId="0" fontId="0" fillId="0" borderId="2" xfId="0" applyBorder="1" applyAlignment="1">
      <alignment vertical="center"/>
    </xf>
    <xf numFmtId="6" fontId="0" fillId="0" borderId="2" xfId="0" applyNumberFormat="1" applyBorder="1" applyAlignment="1">
      <alignment vertical="center"/>
    </xf>
    <xf numFmtId="3" fontId="0" fillId="0" borderId="2" xfId="0" applyNumberFormat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44" fontId="0" fillId="0" borderId="0" xfId="2" applyFont="1"/>
    <xf numFmtId="44" fontId="2" fillId="0" borderId="0" xfId="2" applyFont="1" applyAlignment="1">
      <alignment horizontal="center"/>
    </xf>
    <xf numFmtId="44" fontId="0" fillId="0" borderId="0" xfId="2" applyFont="1" applyAlignment="1">
      <alignment horizontal="center"/>
    </xf>
    <xf numFmtId="44" fontId="0" fillId="0" borderId="0" xfId="0" applyNumberFormat="1"/>
    <xf numFmtId="0" fontId="0" fillId="2" borderId="0" xfId="0" applyFill="1"/>
    <xf numFmtId="44" fontId="0" fillId="2" borderId="0" xfId="2" applyFont="1" applyFill="1"/>
    <xf numFmtId="0" fontId="0" fillId="6" borderId="2" xfId="0" applyFill="1" applyBorder="1"/>
    <xf numFmtId="44" fontId="0" fillId="2" borderId="0" xfId="0" applyNumberFormat="1" applyFill="1"/>
    <xf numFmtId="0" fontId="0" fillId="0" borderId="2" xfId="2" applyNumberFormat="1" applyFont="1" applyBorder="1" applyAlignment="1">
      <alignment horizontal="center" vertical="center"/>
    </xf>
    <xf numFmtId="44" fontId="0" fillId="0" borderId="1" xfId="2" applyFont="1" applyBorder="1"/>
    <xf numFmtId="44" fontId="5" fillId="0" borderId="0" xfId="2" applyFont="1"/>
    <xf numFmtId="44" fontId="4" fillId="4" borderId="0" xfId="4" applyNumberFormat="1"/>
    <xf numFmtId="6" fontId="4" fillId="4" borderId="0" xfId="4" applyNumberFormat="1"/>
    <xf numFmtId="44" fontId="0" fillId="0" borderId="0" xfId="2" applyFont="1" applyBorder="1"/>
    <xf numFmtId="9" fontId="0" fillId="0" borderId="0" xfId="0" applyNumberFormat="1"/>
    <xf numFmtId="0" fontId="0" fillId="0" borderId="0" xfId="2" applyNumberFormat="1" applyFont="1"/>
    <xf numFmtId="44" fontId="0" fillId="7" borderId="3" xfId="2" applyFont="1" applyFill="1" applyBorder="1"/>
    <xf numFmtId="9" fontId="0" fillId="0" borderId="0" xfId="2" applyNumberFormat="1" applyFont="1"/>
    <xf numFmtId="0" fontId="0" fillId="7" borderId="3" xfId="0" applyFill="1" applyBorder="1"/>
    <xf numFmtId="0" fontId="0" fillId="0" borderId="4" xfId="0" applyBorder="1"/>
    <xf numFmtId="44" fontId="5" fillId="0" borderId="4" xfId="2" applyFont="1" applyBorder="1"/>
    <xf numFmtId="44" fontId="0" fillId="0" borderId="4" xfId="2" applyFont="1" applyBorder="1"/>
    <xf numFmtId="0" fontId="0" fillId="0" borderId="0" xfId="0" applyAlignment="1">
      <alignment horizontal="center" vertical="center"/>
    </xf>
    <xf numFmtId="0" fontId="0" fillId="0" borderId="4" xfId="2" applyNumberFormat="1" applyFont="1" applyBorder="1" applyAlignment="1">
      <alignment horizontal="center" vertical="center"/>
    </xf>
    <xf numFmtId="9" fontId="0" fillId="0" borderId="0" xfId="3" applyFont="1"/>
    <xf numFmtId="0" fontId="2" fillId="0" borderId="0" xfId="0" applyFont="1"/>
    <xf numFmtId="2" fontId="0" fillId="0" borderId="4" xfId="0" applyNumberFormat="1" applyBorder="1"/>
    <xf numFmtId="0" fontId="2" fillId="2" borderId="0" xfId="0" applyFont="1" applyFill="1"/>
    <xf numFmtId="0" fontId="0" fillId="0" borderId="0" xfId="0" applyFont="1" applyFill="1"/>
    <xf numFmtId="0" fontId="0" fillId="5" borderId="2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3" fontId="0" fillId="0" borderId="0" xfId="0" applyNumberFormat="1"/>
    <xf numFmtId="0" fontId="2" fillId="0" borderId="0" xfId="0" applyFont="1" applyFill="1"/>
    <xf numFmtId="44" fontId="0" fillId="0" borderId="4" xfId="0" applyNumberFormat="1" applyBorder="1" applyAlignment="1">
      <alignment horizontal="center" vertical="center"/>
    </xf>
    <xf numFmtId="44" fontId="6" fillId="2" borderId="0" xfId="2" applyFont="1" applyFill="1"/>
    <xf numFmtId="0" fontId="6" fillId="2" borderId="0" xfId="0" applyFont="1" applyFill="1"/>
    <xf numFmtId="0" fontId="0" fillId="6" borderId="2" xfId="0" applyFill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44" fontId="0" fillId="6" borderId="0" xfId="2" applyFont="1" applyFill="1"/>
    <xf numFmtId="0" fontId="0" fillId="6" borderId="0" xfId="0" applyFill="1"/>
    <xf numFmtId="0" fontId="2" fillId="8" borderId="0" xfId="0" applyFont="1" applyFill="1"/>
    <xf numFmtId="44" fontId="0" fillId="8" borderId="0" xfId="2" applyFont="1" applyFill="1"/>
    <xf numFmtId="0" fontId="0" fillId="8" borderId="0" xfId="0" applyFill="1"/>
    <xf numFmtId="44" fontId="0" fillId="8" borderId="0" xfId="0" applyNumberFormat="1" applyFill="1"/>
    <xf numFmtId="44" fontId="0" fillId="8" borderId="4" xfId="0" applyNumberFormat="1" applyFill="1" applyBorder="1"/>
    <xf numFmtId="44" fontId="0" fillId="8" borderId="4" xfId="2" applyFont="1" applyFill="1" applyBorder="1"/>
    <xf numFmtId="0" fontId="2" fillId="9" borderId="0" xfId="0" applyFont="1" applyFill="1"/>
    <xf numFmtId="44" fontId="0" fillId="9" borderId="0" xfId="2" applyFont="1" applyFill="1"/>
    <xf numFmtId="0" fontId="0" fillId="9" borderId="0" xfId="0" applyFill="1"/>
    <xf numFmtId="44" fontId="0" fillId="9" borderId="0" xfId="0" applyNumberFormat="1" applyFill="1"/>
    <xf numFmtId="44" fontId="0" fillId="9" borderId="4" xfId="0" applyNumberFormat="1" applyFill="1" applyBorder="1"/>
    <xf numFmtId="44" fontId="0" fillId="9" borderId="4" xfId="2" applyFont="1" applyFill="1" applyBorder="1"/>
    <xf numFmtId="0" fontId="2" fillId="7" borderId="0" xfId="0" applyFont="1" applyFill="1"/>
    <xf numFmtId="44" fontId="0" fillId="7" borderId="0" xfId="2" applyFont="1" applyFill="1"/>
    <xf numFmtId="0" fontId="0" fillId="7" borderId="0" xfId="0" applyFill="1"/>
    <xf numFmtId="44" fontId="0" fillId="7" borderId="0" xfId="0" applyNumberFormat="1" applyFill="1"/>
    <xf numFmtId="44" fontId="0" fillId="7" borderId="4" xfId="0" applyNumberFormat="1" applyFill="1" applyBorder="1"/>
    <xf numFmtId="44" fontId="0" fillId="7" borderId="4" xfId="2" applyFont="1" applyFill="1" applyBorder="1"/>
    <xf numFmtId="0" fontId="0" fillId="0" borderId="5" xfId="0" applyBorder="1"/>
    <xf numFmtId="44" fontId="0" fillId="0" borderId="6" xfId="2" applyFont="1" applyBorder="1"/>
    <xf numFmtId="0" fontId="0" fillId="0" borderId="7" xfId="0" applyBorder="1"/>
    <xf numFmtId="44" fontId="0" fillId="0" borderId="8" xfId="2" applyFont="1" applyBorder="1"/>
    <xf numFmtId="0" fontId="0" fillId="0" borderId="9" xfId="0" applyBorder="1"/>
    <xf numFmtId="44" fontId="0" fillId="0" borderId="10" xfId="2" applyFont="1" applyBorder="1"/>
    <xf numFmtId="0" fontId="0" fillId="0" borderId="2" xfId="0" applyBorder="1" applyAlignment="1">
      <alignment horizontal="center" vertical="center"/>
    </xf>
    <xf numFmtId="9" fontId="0" fillId="0" borderId="2" xfId="3" applyFont="1" applyBorder="1" applyAlignment="1">
      <alignment horizontal="center" vertical="center"/>
    </xf>
    <xf numFmtId="44" fontId="2" fillId="0" borderId="0" xfId="2" applyFont="1"/>
    <xf numFmtId="0" fontId="0" fillId="0" borderId="4" xfId="0" applyBorder="1" applyAlignment="1">
      <alignment horizontal="center" vertical="center"/>
    </xf>
    <xf numFmtId="44" fontId="6" fillId="0" borderId="0" xfId="2" applyFont="1"/>
    <xf numFmtId="0" fontId="0" fillId="0" borderId="0" xfId="0" applyBorder="1"/>
    <xf numFmtId="44" fontId="0" fillId="0" borderId="1" xfId="0" applyNumberFormat="1" applyBorder="1"/>
    <xf numFmtId="44" fontId="0" fillId="0" borderId="1" xfId="0" applyNumberFormat="1" applyBorder="1" applyAlignment="1">
      <alignment horizontal="center" vertical="center"/>
    </xf>
    <xf numFmtId="167" fontId="0" fillId="0" borderId="0" xfId="3" applyNumberFormat="1" applyFont="1"/>
    <xf numFmtId="44" fontId="7" fillId="9" borderId="0" xfId="2" applyFont="1" applyFill="1"/>
    <xf numFmtId="44" fontId="2" fillId="2" borderId="0" xfId="0" applyNumberFormat="1" applyFont="1" applyFill="1"/>
    <xf numFmtId="44" fontId="0" fillId="2" borderId="0" xfId="0" applyNumberFormat="1" applyFont="1" applyFill="1"/>
    <xf numFmtId="44" fontId="0" fillId="0" borderId="0" xfId="2" applyNumberFormat="1" applyFont="1"/>
    <xf numFmtId="44" fontId="8" fillId="0" borderId="0" xfId="2" applyFont="1"/>
    <xf numFmtId="44" fontId="0" fillId="6" borderId="0" xfId="2" applyNumberFormat="1" applyFont="1" applyFill="1"/>
    <xf numFmtId="0" fontId="0" fillId="0" borderId="1" xfId="2" applyNumberFormat="1" applyFont="1" applyBorder="1"/>
    <xf numFmtId="44" fontId="5" fillId="0" borderId="0" xfId="0" applyNumberFormat="1" applyFont="1" applyAlignment="1">
      <alignment horizontal="center" vertical="center"/>
    </xf>
    <xf numFmtId="44" fontId="7" fillId="2" borderId="0" xfId="2" applyFont="1" applyFill="1"/>
    <xf numFmtId="0" fontId="0" fillId="0" borderId="1" xfId="0" applyBorder="1"/>
    <xf numFmtId="0" fontId="0" fillId="6" borderId="1" xfId="0" applyFill="1" applyBorder="1"/>
    <xf numFmtId="44" fontId="7" fillId="6" borderId="0" xfId="2" applyFont="1" applyFill="1"/>
    <xf numFmtId="0" fontId="0" fillId="0" borderId="0" xfId="0" applyFill="1" applyBorder="1"/>
  </cellXfs>
  <cellStyles count="5">
    <cellStyle name="Comma" xfId="1" builtinId="3"/>
    <cellStyle name="Currency" xfId="2" builtinId="4"/>
    <cellStyle name="Good" xfId="4" builtinId="26"/>
    <cellStyle name="Normal" xfId="0" builtinId="0"/>
    <cellStyle name="Percent" xfId="3" builtinId="5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rgb="FFFFFF00"/>
        </patternFill>
      </fill>
    </dxf>
    <dxf>
      <numFmt numFmtId="34" formatCode="_-&quot;$&quot;\ * #,##0.00_-;\-&quot;$&quot;\ * #,##0.00_-;_-&quot;$&quot;\ * &quot;-&quot;??_-;_-@_-"/>
      <fill>
        <patternFill patternType="solid">
          <fgColor indexed="64"/>
          <bgColor rgb="FFFFFF00"/>
        </patternFill>
      </fill>
    </dxf>
    <dxf>
      <numFmt numFmtId="34" formatCode="_-&quot;$&quot;\ * #,##0.00_-;\-&quot;$&quot;\ * #,##0.00_-;_-&quot;$&quot;\ * &quot;-&quot;??_-;_-@_-"/>
      <fill>
        <patternFill patternType="solid">
          <fgColor indexed="64"/>
          <bgColor rgb="FFFFFF00"/>
        </patternFill>
      </fill>
    </dxf>
    <dxf>
      <numFmt numFmtId="34" formatCode="_-&quot;$&quot;\ * #,##0.00_-;\-&quot;$&quot;\ * #,##0.00_-;_-&quot;$&quot;\ * &quot;-&quot;??_-;_-@_-"/>
      <fill>
        <patternFill patternType="solid">
          <fgColor indexed="64"/>
          <bgColor rgb="FFFFFF00"/>
        </patternFill>
      </fill>
    </dxf>
    <dxf>
      <numFmt numFmtId="34" formatCode="_-&quot;$&quot;\ * #,##0.00_-;\-&quot;$&quot;\ * #,##0.00_-;_-&quot;$&quot;\ * &quot;-&quot;??_-;_-@_-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16</xdr:col>
      <xdr:colOff>20329</xdr:colOff>
      <xdr:row>32</xdr:row>
      <xdr:rowOff>181745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64D007-BD9E-8BDF-7C8F-A8B288566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9164329" cy="55157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87E6C9-D8BD-4FFD-87AC-19E1674B2565}" name="Table1" displayName="Table1" ref="F2:J10" totalsRowCount="1" headerRowDxfId="25" dataDxfId="24" totalsRowDxfId="23" headerRowCellStyle="Currency" dataCellStyle="Currency">
  <autoFilter ref="F2:J9" xr:uid="{9D87E6C9-D8BD-4FFD-87AC-19E1674B2565}"/>
  <tableColumns count="5">
    <tableColumn id="1" xr3:uid="{354620C2-A977-4E62-8D67-7517E53099EC}" name="Reducción" totalsRowFunction="custom" dataDxfId="22" totalsRowDxfId="21" dataCellStyle="Currency">
      <totalsRowFormula>SUBTOTAL(109,F3:F9)</totalsRowFormula>
    </tableColumn>
    <tableColumn id="2" xr3:uid="{1EA0FBCF-BDC9-4BF0-A0C9-F6531A24AD60}" name="Purificado" totalsRowFunction="custom" dataDxfId="20" totalsRowDxfId="19" dataCellStyle="Currency">
      <totalsRowFormula>SUBTOTAL(109,G3:G9)</totalsRowFormula>
    </tableColumn>
    <tableColumn id="3" xr3:uid="{9279DFEF-8623-471A-B28F-B0FF0899FB2C}" name="Comedor" totalsRowFunction="custom" dataDxfId="18" totalsRowDxfId="17" dataCellStyle="Currency">
      <totalsRowFormula>SUBTOTAL(109,H3:H9)</totalsRowFormula>
    </tableColumn>
    <tableColumn id="4" xr3:uid="{C8E387E7-1845-4F86-858E-BB65DEE75E0D}" name="Caldera" totalsRowFunction="custom" dataDxfId="16" totalsRowDxfId="15" dataCellStyle="Currency">
      <totalsRowFormula>SUBTOTAL(109,I3:I9)</totalsRowFormula>
    </tableColumn>
    <tableColumn id="6" xr3:uid="{A4C624D1-DE9E-419C-88F8-CBD3AC54CDE6}" name="Totales" totalsRowFunction="sum" dataDxfId="14" totalsRowDxfId="13" dataCellStyle="Currency" totalsRowCellStyle="Currency">
      <calculatedColumnFormula>SUM(F3:I3)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1F77B2-598C-40DD-B7C6-FB30A476943F}" name="Table13" displayName="Table13" ref="F8:J24" totalsRowCount="1" headerRowDxfId="12" dataDxfId="11" totalsRowDxfId="10" headerRowCellStyle="Currency" dataCellStyle="Currency">
  <autoFilter ref="F8:J23" xr:uid="{C81F77B2-598C-40DD-B7C6-FB30A476943F}"/>
  <tableColumns count="5">
    <tableColumn id="1" xr3:uid="{C5CAA70D-F607-4AD7-8AFE-A4F37CC5DA55}" name="Centro A" totalsRowFunction="custom" dataDxfId="9" totalsRowDxfId="4" dataCellStyle="Currency">
      <calculatedColumnFormula>+$B$9*70%</calculatedColumnFormula>
      <totalsRowFormula>SUBTOTAL(109,F9:F23)</totalsRowFormula>
    </tableColumn>
    <tableColumn id="2" xr3:uid="{8011C644-93C4-4D20-A4D1-D982CB30128F}" name="Centro B " totalsRowFunction="custom" dataDxfId="8" totalsRowDxfId="3" dataCellStyle="Currency">
      <calculatedColumnFormula>+$B$9*75%</calculatedColumnFormula>
      <totalsRowFormula>SUBTOTAL(109,G9:G23)</totalsRowFormula>
    </tableColumn>
    <tableColumn id="3" xr3:uid="{77AB8D55-F3B8-4ACD-B8E3-7797983ECB21}" name="Centro C" totalsRowFunction="custom" dataDxfId="7" totalsRowDxfId="2" dataCellStyle="Currency">
      <calculatedColumnFormula>+$B$9*15%</calculatedColumnFormula>
      <totalsRowFormula>SUBTOTAL(109,H9:H23)</totalsRowFormula>
    </tableColumn>
    <tableColumn id="4" xr3:uid="{5A1D1D1F-0E5D-46F1-9A93-9591F29145E3}" name="Comdeor " totalsRowFunction="custom" dataDxfId="6" totalsRowDxfId="1" dataCellStyle="Currency">
      <totalsRowFormula>SUBTOTAL(109,I9:I23)</totalsRowFormula>
    </tableColumn>
    <tableColumn id="6" xr3:uid="{530AFB61-019F-4D8D-ABA2-ED37EDFB5A70}" name="Enfermeria " totalsRowFunction="custom" dataDxfId="5" totalsRowDxfId="0" dataCellStyle="Currency">
      <totalsRowFormula>SUBTOTAL(109,J9:J23)</totalsRow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3"/>
  <sheetViews>
    <sheetView workbookViewId="0">
      <selection activeCell="I40" sqref="I40"/>
    </sheetView>
  </sheetViews>
  <sheetFormatPr defaultColWidth="11.42578125" defaultRowHeight="15" x14ac:dyDescent="0.25"/>
  <cols>
    <col min="1" max="1" width="22.28515625" customWidth="1"/>
    <col min="2" max="2" width="14.28515625" customWidth="1"/>
    <col min="4" max="4" width="14.5703125" bestFit="1" customWidth="1"/>
    <col min="6" max="6" width="14.42578125" customWidth="1"/>
    <col min="7" max="8" width="13" bestFit="1" customWidth="1"/>
    <col min="9" max="9" width="13.7109375" customWidth="1"/>
    <col min="10" max="10" width="12" bestFit="1" customWidth="1"/>
    <col min="11" max="11" width="13.7109375" customWidth="1"/>
    <col min="12" max="12" width="13" bestFit="1" customWidth="1"/>
    <col min="13" max="13" width="14.5703125" customWidth="1"/>
    <col min="14" max="14" width="13.7109375" customWidth="1"/>
  </cols>
  <sheetData>
    <row r="2" spans="1:14" x14ac:dyDescent="0.25">
      <c r="A2" s="5" t="s">
        <v>12</v>
      </c>
    </row>
    <row r="4" spans="1:14" x14ac:dyDescent="0.25">
      <c r="A4" s="1" t="s">
        <v>0</v>
      </c>
      <c r="B4" s="1" t="s">
        <v>1</v>
      </c>
      <c r="C4" s="1" t="s">
        <v>2</v>
      </c>
      <c r="D4" s="1"/>
      <c r="E4" s="1"/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1:14" x14ac:dyDescent="0.25">
      <c r="A5" t="s">
        <v>10</v>
      </c>
      <c r="B5" s="2">
        <v>690000</v>
      </c>
      <c r="C5" t="s">
        <v>11</v>
      </c>
      <c r="D5" s="3">
        <f>+B5</f>
        <v>690000</v>
      </c>
      <c r="E5" s="2">
        <f>+D5/D6</f>
        <v>60</v>
      </c>
      <c r="F5" s="2">
        <f>+E5*2000</f>
        <v>120000</v>
      </c>
      <c r="G5" s="2">
        <f>+E5*3000</f>
        <v>180000</v>
      </c>
      <c r="H5" s="2">
        <f>+E5*3500</f>
        <v>210000</v>
      </c>
      <c r="I5" s="2">
        <f>+E5*1500</f>
        <v>90000</v>
      </c>
      <c r="J5" s="2">
        <f>+E5*700</f>
        <v>42000</v>
      </c>
      <c r="K5" s="2">
        <f>+E5*400</f>
        <v>24000</v>
      </c>
      <c r="L5" s="2">
        <f>+E5*400</f>
        <v>24000</v>
      </c>
      <c r="N5" s="2">
        <f>SUM(F5:M5)</f>
        <v>690000</v>
      </c>
    </row>
    <row r="6" spans="1:14" x14ac:dyDescent="0.25">
      <c r="B6" s="2"/>
      <c r="D6" s="4">
        <v>11500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B7" s="2"/>
      <c r="E7" s="2"/>
      <c r="F7" s="2"/>
      <c r="G7" s="2"/>
      <c r="H7" s="2"/>
      <c r="I7" s="2"/>
      <c r="J7" s="2"/>
      <c r="K7" s="2"/>
      <c r="L7" s="2"/>
    </row>
    <row r="8" spans="1:14" x14ac:dyDescent="0.25">
      <c r="A8" t="s">
        <v>13</v>
      </c>
      <c r="B8" s="2">
        <v>360000</v>
      </c>
      <c r="C8" t="s">
        <v>14</v>
      </c>
      <c r="D8" s="3">
        <f>+B8</f>
        <v>360000</v>
      </c>
      <c r="E8" s="2">
        <f>+D8/D9</f>
        <v>4500</v>
      </c>
      <c r="F8" s="2">
        <f>+E8*40</f>
        <v>180000</v>
      </c>
      <c r="G8" s="2">
        <f>+E8*25</f>
        <v>112500</v>
      </c>
      <c r="H8" s="2">
        <f>+E8*10</f>
        <v>45000</v>
      </c>
      <c r="I8" s="2">
        <f>+E8*5</f>
        <v>22500</v>
      </c>
      <c r="J8" s="2"/>
      <c r="K8" s="2"/>
      <c r="L8" s="2"/>
      <c r="N8" s="2">
        <f>SUM(F8:M8)</f>
        <v>360000</v>
      </c>
    </row>
    <row r="9" spans="1:14" x14ac:dyDescent="0.25">
      <c r="B9" s="2"/>
      <c r="C9" t="s">
        <v>15</v>
      </c>
      <c r="D9" s="4">
        <v>80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B10" s="2"/>
      <c r="E10" s="2"/>
      <c r="F10" s="2"/>
      <c r="G10" s="2"/>
      <c r="H10" s="2"/>
      <c r="I10" s="2"/>
      <c r="J10" s="2"/>
      <c r="K10" s="2"/>
      <c r="L10" s="2"/>
    </row>
    <row r="11" spans="1:14" x14ac:dyDescent="0.25">
      <c r="A11" t="s">
        <v>16</v>
      </c>
      <c r="B11" s="2">
        <v>224000</v>
      </c>
      <c r="C11" t="s">
        <v>17</v>
      </c>
      <c r="D11" s="3">
        <f>+B11</f>
        <v>224000</v>
      </c>
      <c r="E11" s="4">
        <f>+D11/D12</f>
        <v>0.1</v>
      </c>
      <c r="F11" s="2">
        <f>+E11*1000000</f>
        <v>100000</v>
      </c>
      <c r="G11" s="2">
        <f>+E11*600000</f>
        <v>60000</v>
      </c>
      <c r="H11" s="2">
        <f>+E11*400000</f>
        <v>40000</v>
      </c>
      <c r="I11" s="2">
        <f>+E11*200000</f>
        <v>20000</v>
      </c>
      <c r="J11" s="2">
        <f>+E11*40000</f>
        <v>4000</v>
      </c>
      <c r="K11" s="2"/>
      <c r="L11" s="2"/>
      <c r="N11" s="2">
        <f>SUM(F11:M11)</f>
        <v>224000</v>
      </c>
    </row>
    <row r="12" spans="1:14" x14ac:dyDescent="0.25">
      <c r="B12" s="2"/>
      <c r="D12" s="2">
        <v>2240000</v>
      </c>
      <c r="E12" s="2"/>
      <c r="F12" s="2"/>
      <c r="G12" s="2"/>
      <c r="H12" s="2"/>
      <c r="I12" s="2"/>
      <c r="J12" s="2"/>
      <c r="K12" s="2"/>
      <c r="L12" s="2"/>
    </row>
    <row r="13" spans="1:14" x14ac:dyDescent="0.25">
      <c r="B13" s="2"/>
      <c r="E13" s="2"/>
      <c r="F13" s="2"/>
      <c r="G13" s="2"/>
      <c r="H13" s="2"/>
      <c r="I13" s="2"/>
      <c r="J13" s="2"/>
      <c r="K13" s="2"/>
      <c r="L13" s="2"/>
    </row>
    <row r="14" spans="1:14" x14ac:dyDescent="0.25">
      <c r="A14" t="s">
        <v>18</v>
      </c>
      <c r="B14" s="2">
        <v>44800</v>
      </c>
      <c r="C14" t="s">
        <v>19</v>
      </c>
      <c r="D14" s="3">
        <f>+B14</f>
        <v>44800</v>
      </c>
      <c r="E14" s="2">
        <f>+D14/D15</f>
        <v>344.61538461538464</v>
      </c>
      <c r="F14" s="2">
        <f>+E14*60</f>
        <v>20676.923076923078</v>
      </c>
      <c r="G14" s="2">
        <f>+E14*40</f>
        <v>13784.615384615387</v>
      </c>
      <c r="H14" s="2">
        <f>+E14*20</f>
        <v>6892.3076923076933</v>
      </c>
      <c r="I14" s="2">
        <f>+E14*10</f>
        <v>3446.1538461538466</v>
      </c>
      <c r="J14" s="2"/>
      <c r="K14" s="2"/>
      <c r="L14" s="2"/>
    </row>
    <row r="15" spans="1:14" x14ac:dyDescent="0.25">
      <c r="B15" s="2"/>
      <c r="D15" s="4">
        <v>130</v>
      </c>
      <c r="E15" s="2"/>
      <c r="F15" s="2"/>
      <c r="G15" s="2"/>
      <c r="H15" s="2"/>
      <c r="I15" s="2"/>
      <c r="J15" s="2"/>
      <c r="K15" s="2"/>
      <c r="L15" s="2"/>
    </row>
    <row r="16" spans="1:14" x14ac:dyDescent="0.25">
      <c r="B16" s="2"/>
      <c r="D16" s="4"/>
      <c r="E16" s="2"/>
      <c r="F16" s="2"/>
      <c r="G16" s="2"/>
      <c r="H16" s="2"/>
      <c r="I16" s="2"/>
      <c r="J16" s="2"/>
      <c r="K16" s="2"/>
      <c r="L16" s="2"/>
    </row>
    <row r="17" spans="1:14" x14ac:dyDescent="0.25">
      <c r="A17" t="s">
        <v>20</v>
      </c>
      <c r="B17" s="2">
        <v>89600</v>
      </c>
      <c r="C17" t="str">
        <f>+C11</f>
        <v>Valor Maq</v>
      </c>
      <c r="D17" s="3">
        <f>+B17</f>
        <v>89600</v>
      </c>
      <c r="E17" s="4">
        <f>+D17/D18</f>
        <v>0.04</v>
      </c>
      <c r="F17" s="2">
        <f>+E17*1000000</f>
        <v>40000</v>
      </c>
      <c r="G17" s="2">
        <f>+E17*600000</f>
        <v>24000</v>
      </c>
      <c r="H17" s="2">
        <f>+E17*400000</f>
        <v>16000</v>
      </c>
      <c r="I17" s="2">
        <f>+E17*200000</f>
        <v>8000</v>
      </c>
      <c r="J17" s="2">
        <f>+E17*40000</f>
        <v>1600</v>
      </c>
      <c r="K17" s="2"/>
      <c r="L17" s="2"/>
    </row>
    <row r="18" spans="1:14" x14ac:dyDescent="0.25">
      <c r="B18" s="2"/>
      <c r="D18" s="2">
        <f>+D12</f>
        <v>2240000</v>
      </c>
      <c r="E18" s="2"/>
      <c r="F18" s="2"/>
      <c r="G18" s="2"/>
      <c r="H18" s="2"/>
      <c r="I18" s="2"/>
      <c r="J18" s="2"/>
      <c r="K18" s="2"/>
      <c r="L18" s="2"/>
    </row>
    <row r="19" spans="1:14" x14ac:dyDescent="0.25">
      <c r="B19" s="2"/>
      <c r="E19" s="2"/>
      <c r="F19" s="2"/>
      <c r="G19" s="2"/>
      <c r="H19" s="2"/>
      <c r="I19" s="2"/>
      <c r="J19" s="2"/>
      <c r="K19" s="2"/>
      <c r="L19" s="2"/>
    </row>
    <row r="20" spans="1:14" x14ac:dyDescent="0.25">
      <c r="A20" t="s">
        <v>21</v>
      </c>
      <c r="B20" s="2">
        <v>130000</v>
      </c>
      <c r="C20" t="str">
        <f>+C8</f>
        <v xml:space="preserve">Pers. Ocup </v>
      </c>
      <c r="D20" s="3">
        <f>+B20</f>
        <v>130000</v>
      </c>
      <c r="E20" s="2">
        <f>+D20/D21</f>
        <v>1413.0434782608695</v>
      </c>
      <c r="F20" s="2">
        <f>+E20*40</f>
        <v>56521.739130434784</v>
      </c>
      <c r="G20" s="2">
        <f>+E20*25</f>
        <v>35326.086956521736</v>
      </c>
      <c r="H20" s="2">
        <f>+E20*10</f>
        <v>14130.434782608696</v>
      </c>
      <c r="I20" s="2">
        <f>+E20*5</f>
        <v>7065.217391304348</v>
      </c>
      <c r="J20" s="2">
        <f>+E20*5</f>
        <v>7065.217391304348</v>
      </c>
      <c r="K20" s="2">
        <f>+E20*5</f>
        <v>7065.217391304348</v>
      </c>
      <c r="L20" s="2">
        <f>+E20*2</f>
        <v>2826.086956521739</v>
      </c>
      <c r="N20" s="2">
        <f>SUM(F20:M20)</f>
        <v>130000.00000000001</v>
      </c>
    </row>
    <row r="21" spans="1:14" x14ac:dyDescent="0.25">
      <c r="B21" s="2"/>
      <c r="D21" s="4">
        <v>92</v>
      </c>
      <c r="E21" s="2"/>
      <c r="F21" s="2"/>
      <c r="G21" s="2"/>
      <c r="H21" s="2"/>
      <c r="I21" s="2"/>
      <c r="J21" s="2"/>
      <c r="K21" s="2"/>
      <c r="L21" s="2"/>
    </row>
    <row r="22" spans="1:14" x14ac:dyDescent="0.25">
      <c r="B22" s="2"/>
      <c r="E22" s="2"/>
      <c r="F22" s="2"/>
      <c r="G22" s="2"/>
      <c r="H22" s="2"/>
      <c r="I22" s="2"/>
      <c r="J22" s="2"/>
      <c r="K22" s="2"/>
      <c r="L22" s="2"/>
    </row>
    <row r="23" spans="1:14" x14ac:dyDescent="0.25">
      <c r="A23" t="s">
        <v>22</v>
      </c>
      <c r="B23" s="2">
        <v>140000</v>
      </c>
      <c r="C23" t="s">
        <v>23</v>
      </c>
      <c r="D23" s="3">
        <f>+B23</f>
        <v>140000</v>
      </c>
      <c r="E23" s="2">
        <f>+D23/D24</f>
        <v>200</v>
      </c>
      <c r="F23" s="2">
        <f>+E23*300</f>
        <v>60000</v>
      </c>
      <c r="G23" s="2">
        <f>+E23*250</f>
        <v>50000</v>
      </c>
      <c r="H23" s="2">
        <f>+E23*100</f>
        <v>20000</v>
      </c>
      <c r="I23" s="2">
        <f>+E23*50</f>
        <v>10000</v>
      </c>
      <c r="J23" s="2"/>
      <c r="K23" s="2"/>
      <c r="L23" s="2"/>
    </row>
    <row r="24" spans="1:14" x14ac:dyDescent="0.25">
      <c r="B24" s="2"/>
      <c r="D24" s="4">
        <v>700</v>
      </c>
      <c r="E24" s="2"/>
      <c r="F24" s="2"/>
      <c r="G24" s="2"/>
      <c r="H24" s="2"/>
      <c r="I24" s="2"/>
      <c r="J24" s="2"/>
      <c r="K24" s="2"/>
      <c r="L24" s="2"/>
    </row>
    <row r="25" spans="1:14" x14ac:dyDescent="0.25">
      <c r="B25" s="2"/>
      <c r="E25" s="2"/>
      <c r="F25" s="2"/>
      <c r="G25" s="2"/>
      <c r="H25" s="2"/>
      <c r="I25" s="2"/>
      <c r="J25" s="2"/>
      <c r="K25" s="2"/>
      <c r="L25" s="2"/>
    </row>
    <row r="26" spans="1:14" x14ac:dyDescent="0.25">
      <c r="A26" t="s">
        <v>24</v>
      </c>
      <c r="B26" s="2">
        <v>350000</v>
      </c>
      <c r="C26" t="s">
        <v>25</v>
      </c>
      <c r="E26" s="2"/>
      <c r="F26" s="2"/>
      <c r="G26" s="2"/>
      <c r="H26" s="2"/>
      <c r="I26" s="2"/>
      <c r="J26" s="2"/>
      <c r="K26" s="2"/>
      <c r="L26" s="2">
        <v>350000</v>
      </c>
    </row>
    <row r="27" spans="1:14" x14ac:dyDescent="0.25">
      <c r="A27" t="s">
        <v>26</v>
      </c>
      <c r="B27" s="2">
        <v>69000</v>
      </c>
      <c r="C27" t="s">
        <v>27</v>
      </c>
      <c r="D27" s="3">
        <f>+B27</f>
        <v>69000</v>
      </c>
      <c r="E27" s="2">
        <f>+D27/D28</f>
        <v>6</v>
      </c>
      <c r="F27" s="2">
        <f>+E27*2000</f>
        <v>12000</v>
      </c>
      <c r="G27" s="2">
        <f>+E27*3000</f>
        <v>18000</v>
      </c>
      <c r="H27" s="2">
        <f>+E27*3500</f>
        <v>21000</v>
      </c>
      <c r="I27" s="2">
        <f>+E27*1500</f>
        <v>9000</v>
      </c>
      <c r="J27" s="2">
        <f>+E27*700</f>
        <v>4200</v>
      </c>
      <c r="K27" s="2">
        <f>+E27*400</f>
        <v>2400</v>
      </c>
      <c r="L27" s="2">
        <f>+E27*400</f>
        <v>2400</v>
      </c>
    </row>
    <row r="28" spans="1:14" x14ac:dyDescent="0.25">
      <c r="B28" s="2"/>
      <c r="D28" s="4">
        <v>11500</v>
      </c>
      <c r="E28" s="2"/>
      <c r="F28" s="2"/>
      <c r="G28" s="2"/>
      <c r="H28" s="2"/>
      <c r="I28" s="2"/>
      <c r="J28" s="2"/>
      <c r="K28" s="2"/>
      <c r="L28" s="2"/>
    </row>
    <row r="29" spans="1:14" x14ac:dyDescent="0.25">
      <c r="A29" t="s">
        <v>28</v>
      </c>
      <c r="B29" s="2">
        <v>80000</v>
      </c>
      <c r="C29" t="s">
        <v>25</v>
      </c>
      <c r="E29" s="2"/>
      <c r="F29" s="2"/>
      <c r="G29" s="2"/>
      <c r="H29" s="2"/>
      <c r="I29" s="2"/>
      <c r="J29" s="2"/>
      <c r="K29" s="2"/>
      <c r="L29" s="2">
        <v>80000</v>
      </c>
    </row>
    <row r="30" spans="1:14" x14ac:dyDescent="0.25">
      <c r="A30" t="s">
        <v>29</v>
      </c>
      <c r="B30" s="2">
        <f>+F30+G30+H30+I30</f>
        <v>28000</v>
      </c>
      <c r="C30" t="s">
        <v>25</v>
      </c>
      <c r="E30" s="2"/>
      <c r="F30" s="2">
        <v>6000</v>
      </c>
      <c r="G30" s="2">
        <v>8000</v>
      </c>
      <c r="H30" s="2">
        <v>7000</v>
      </c>
      <c r="I30" s="2">
        <v>7000</v>
      </c>
      <c r="J30" s="2"/>
      <c r="K30" s="2"/>
      <c r="L30" s="2"/>
    </row>
    <row r="31" spans="1:14" x14ac:dyDescent="0.25">
      <c r="A31" t="s">
        <v>30</v>
      </c>
      <c r="B31" s="2">
        <v>260000</v>
      </c>
      <c r="F31" s="2">
        <v>120000</v>
      </c>
      <c r="G31" s="2">
        <v>80000</v>
      </c>
      <c r="H31" s="2">
        <v>40000</v>
      </c>
      <c r="I31" s="2">
        <v>20000</v>
      </c>
      <c r="J31" s="2"/>
      <c r="K31" s="2"/>
      <c r="L31" s="2"/>
    </row>
    <row r="32" spans="1:14" x14ac:dyDescent="0.25">
      <c r="A32" t="s">
        <v>31</v>
      </c>
      <c r="B32" s="2">
        <v>98230</v>
      </c>
      <c r="C32" t="str">
        <f>+C30</f>
        <v>Directo</v>
      </c>
      <c r="F32" s="3"/>
      <c r="G32" s="3"/>
      <c r="H32" s="3"/>
      <c r="I32" s="3"/>
      <c r="J32" s="3"/>
      <c r="K32" s="3">
        <f>+B32</f>
        <v>98230</v>
      </c>
      <c r="L32" s="3"/>
      <c r="N32" t="s">
        <v>33</v>
      </c>
    </row>
    <row r="33" spans="1:18" x14ac:dyDescent="0.25">
      <c r="A33" t="s">
        <v>32</v>
      </c>
      <c r="B33" s="7">
        <f>SUM(B5:B32)</f>
        <v>2563630</v>
      </c>
      <c r="F33" s="2">
        <f t="shared" ref="F33:L33" si="0">SUM(F5:F32)</f>
        <v>715198.66220735782</v>
      </c>
      <c r="G33" s="2">
        <f>SUM(G5:G32)</f>
        <v>581610.7023411371</v>
      </c>
      <c r="H33" s="2">
        <f>SUM(H5:H32)</f>
        <v>420022.74247491639</v>
      </c>
      <c r="I33" s="2">
        <f t="shared" si="0"/>
        <v>197011.3712374582</v>
      </c>
      <c r="J33" s="2">
        <f t="shared" si="0"/>
        <v>58865.217391304352</v>
      </c>
      <c r="K33" s="2">
        <f t="shared" si="0"/>
        <v>131695.21739130435</v>
      </c>
      <c r="L33" s="2">
        <f t="shared" si="0"/>
        <v>459226.08695652173</v>
      </c>
      <c r="O33" t="s">
        <v>34</v>
      </c>
      <c r="P33" t="s">
        <v>8</v>
      </c>
      <c r="Q33" t="s">
        <v>35</v>
      </c>
    </row>
    <row r="34" spans="1:18" x14ac:dyDescent="0.25">
      <c r="B34" s="2"/>
      <c r="N34" t="s">
        <v>34</v>
      </c>
      <c r="O34" s="6">
        <v>0</v>
      </c>
      <c r="P34" s="6">
        <v>0</v>
      </c>
      <c r="Q34" s="6">
        <v>0</v>
      </c>
      <c r="R34" s="6">
        <v>0</v>
      </c>
    </row>
    <row r="35" spans="1:18" x14ac:dyDescent="0.25">
      <c r="A35" t="s">
        <v>37</v>
      </c>
      <c r="B35" s="2">
        <f>+L33</f>
        <v>459226.08695652173</v>
      </c>
      <c r="C35" t="s">
        <v>38</v>
      </c>
      <c r="D35" s="3">
        <f>+B35</f>
        <v>459226.08695652173</v>
      </c>
      <c r="E35" s="2">
        <f>+D35/90</f>
        <v>5102.5120772946857</v>
      </c>
      <c r="F35" s="2">
        <f>+E35*40</f>
        <v>204100.48309178744</v>
      </c>
      <c r="G35" s="2">
        <f>+E35*25</f>
        <v>127562.80193236715</v>
      </c>
      <c r="H35" s="2">
        <f>+E35*10</f>
        <v>51025.120772946859</v>
      </c>
      <c r="I35" s="2">
        <f>+E35*5</f>
        <v>25512.560386473429</v>
      </c>
      <c r="J35" s="2">
        <f>+E35*5</f>
        <v>25512.560386473429</v>
      </c>
      <c r="K35" s="3">
        <f>+E35*5</f>
        <v>25512.560386473429</v>
      </c>
      <c r="L35" s="2">
        <v>0</v>
      </c>
      <c r="N35" t="s">
        <v>8</v>
      </c>
      <c r="O35" s="6" t="s">
        <v>36</v>
      </c>
      <c r="P35" s="6">
        <v>0</v>
      </c>
      <c r="Q35" s="6" t="s">
        <v>36</v>
      </c>
      <c r="R35">
        <v>2</v>
      </c>
    </row>
    <row r="36" spans="1:18" x14ac:dyDescent="0.25">
      <c r="D36" t="s">
        <v>39</v>
      </c>
      <c r="E36" s="2"/>
      <c r="F36" s="2"/>
      <c r="G36" s="2"/>
      <c r="H36" s="2"/>
      <c r="I36" s="2"/>
      <c r="J36" s="2"/>
      <c r="K36" s="2">
        <f>SUM(K33:K35)</f>
        <v>157207.77777777778</v>
      </c>
      <c r="L36" s="2"/>
      <c r="N36" t="s">
        <v>35</v>
      </c>
      <c r="O36" s="6" t="s">
        <v>36</v>
      </c>
      <c r="P36" s="6" t="s">
        <v>36</v>
      </c>
      <c r="Q36" s="6">
        <v>0</v>
      </c>
      <c r="R36">
        <v>2</v>
      </c>
    </row>
    <row r="37" spans="1:18" x14ac:dyDescent="0.25">
      <c r="E37" s="2"/>
      <c r="F37" s="2"/>
      <c r="G37" s="2"/>
      <c r="H37" s="2"/>
      <c r="I37" s="2"/>
      <c r="J37" s="2"/>
      <c r="K37" s="2"/>
      <c r="L37" s="2"/>
    </row>
    <row r="38" spans="1:18" x14ac:dyDescent="0.25">
      <c r="A38" t="s">
        <v>40</v>
      </c>
      <c r="B38" s="2">
        <f>+K36</f>
        <v>157207.77777777778</v>
      </c>
      <c r="C38" t="s">
        <v>41</v>
      </c>
      <c r="D38" s="3">
        <f>+B38</f>
        <v>157207.77777777778</v>
      </c>
      <c r="E38" s="2">
        <f>+D38/D39</f>
        <v>1849.5032679738563</v>
      </c>
      <c r="F38" s="2">
        <f>+E38*40</f>
        <v>73980.130718954257</v>
      </c>
      <c r="G38" s="2">
        <f>+E38*25</f>
        <v>46237.58169934641</v>
      </c>
      <c r="H38" s="2">
        <f>+E38*10</f>
        <v>18495.032679738564</v>
      </c>
      <c r="I38" s="2">
        <f>+E38*5</f>
        <v>9247.5163398692821</v>
      </c>
      <c r="J38" s="3">
        <f>+E38*5</f>
        <v>9247.5163398692821</v>
      </c>
      <c r="K38" s="2">
        <v>0</v>
      </c>
      <c r="L38" s="2"/>
    </row>
    <row r="39" spans="1:18" x14ac:dyDescent="0.25">
      <c r="D39" s="4">
        <v>85</v>
      </c>
      <c r="E39" s="2"/>
      <c r="F39" s="2"/>
      <c r="G39" s="2"/>
      <c r="H39" s="2"/>
      <c r="I39" s="2"/>
      <c r="J39" s="2">
        <f>SUM(J33:J38)</f>
        <v>93625.294117647063</v>
      </c>
      <c r="K39" s="2"/>
      <c r="L39" s="2"/>
    </row>
    <row r="40" spans="1:18" x14ac:dyDescent="0.25">
      <c r="E40" s="2"/>
      <c r="F40" s="2"/>
      <c r="G40" s="2"/>
      <c r="H40" s="2"/>
      <c r="I40" s="2"/>
      <c r="J40" s="2"/>
      <c r="K40" s="2"/>
      <c r="L40" s="2"/>
    </row>
    <row r="41" spans="1:18" x14ac:dyDescent="0.25">
      <c r="A41" t="s">
        <v>42</v>
      </c>
      <c r="B41" s="2">
        <f>+J39</f>
        <v>93625.294117647063</v>
      </c>
      <c r="C41" t="s">
        <v>43</v>
      </c>
      <c r="D41" s="3">
        <f>+B41</f>
        <v>93625.294117647063</v>
      </c>
      <c r="E41" s="4">
        <f>+D41/D42</f>
        <v>0.11703161764705883</v>
      </c>
      <c r="F41" s="3">
        <f>+E41*320000</f>
        <v>37450.117647058825</v>
      </c>
      <c r="G41" s="3">
        <f>+E41*240000</f>
        <v>28087.588235294119</v>
      </c>
      <c r="H41" s="3">
        <f>+E41*80000</f>
        <v>9362.5294117647063</v>
      </c>
      <c r="I41" s="3">
        <f>+E41*160000</f>
        <v>18725.058823529413</v>
      </c>
      <c r="J41" s="2">
        <v>0</v>
      </c>
      <c r="K41" s="2"/>
      <c r="L41" s="2"/>
    </row>
    <row r="42" spans="1:18" x14ac:dyDescent="0.25">
      <c r="D42" s="2">
        <v>800000</v>
      </c>
    </row>
    <row r="43" spans="1:18" x14ac:dyDescent="0.25">
      <c r="A43" s="8" t="s">
        <v>44</v>
      </c>
      <c r="B43" s="8"/>
      <c r="C43" s="8"/>
      <c r="D43" s="8"/>
      <c r="E43" s="8"/>
      <c r="F43" s="9">
        <f>SUM(F33:F42)</f>
        <v>1030729.3936651583</v>
      </c>
      <c r="G43" s="9">
        <f>SUM(G33:G42)</f>
        <v>783498.67420814477</v>
      </c>
      <c r="H43" s="9">
        <f>SUM(H33:H42)</f>
        <v>498905.42533936654</v>
      </c>
      <c r="I43" s="9">
        <f>SUM(I33:I42)</f>
        <v>250496.50678733032</v>
      </c>
      <c r="M43" s="7">
        <f>SUM(F43:L43)</f>
        <v>2563630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"/>
  <sheetViews>
    <sheetView zoomScale="85" zoomScaleNormal="85" workbookViewId="0">
      <selection activeCell="D21" sqref="D21"/>
    </sheetView>
  </sheetViews>
  <sheetFormatPr defaultColWidth="11.42578125" defaultRowHeight="15" x14ac:dyDescent="0.25"/>
  <cols>
    <col min="1" max="1" width="34.28515625" bestFit="1" customWidth="1"/>
    <col min="2" max="2" width="13.140625" style="18" bestFit="1" customWidth="1"/>
    <col min="3" max="3" width="36.42578125" bestFit="1" customWidth="1"/>
    <col min="4" max="4" width="12.140625" style="18" bestFit="1" customWidth="1"/>
    <col min="6" max="6" width="13" style="18" customWidth="1"/>
    <col min="7" max="7" width="14.7109375" style="18" bestFit="1" customWidth="1"/>
    <col min="8" max="8" width="13.140625" style="18" bestFit="1" customWidth="1"/>
    <col min="9" max="9" width="14.7109375" style="18" customWidth="1"/>
    <col min="10" max="11" width="13.140625" style="18" bestFit="1" customWidth="1"/>
    <col min="12" max="12" width="13.140625" bestFit="1" customWidth="1"/>
    <col min="13" max="13" width="12.7109375" bestFit="1" customWidth="1"/>
    <col min="14" max="14" width="17.28515625" bestFit="1" customWidth="1"/>
    <col min="15" max="15" width="16.85546875" bestFit="1" customWidth="1"/>
    <col min="16" max="16" width="13.5703125" bestFit="1" customWidth="1"/>
    <col min="17" max="17" width="15.140625" bestFit="1" customWidth="1"/>
    <col min="18" max="18" width="14.85546875" bestFit="1" customWidth="1"/>
    <col min="19" max="19" width="17" bestFit="1" customWidth="1"/>
  </cols>
  <sheetData>
    <row r="1" spans="1:19" x14ac:dyDescent="0.25">
      <c r="A1" t="s">
        <v>56</v>
      </c>
    </row>
    <row r="2" spans="1:19" x14ac:dyDescent="0.25">
      <c r="A2" s="1" t="s">
        <v>0</v>
      </c>
      <c r="B2" s="19" t="s">
        <v>1</v>
      </c>
      <c r="C2" s="1" t="s">
        <v>2</v>
      </c>
      <c r="D2" s="19"/>
      <c r="E2" s="1"/>
      <c r="F2" s="18" t="s">
        <v>45</v>
      </c>
      <c r="G2" s="18" t="s">
        <v>46</v>
      </c>
      <c r="H2" s="18" t="s">
        <v>8</v>
      </c>
      <c r="I2" s="18" t="s">
        <v>47</v>
      </c>
      <c r="J2" s="18" t="s">
        <v>70</v>
      </c>
      <c r="L2" s="14" t="s">
        <v>62</v>
      </c>
      <c r="M2" s="14" t="s">
        <v>63</v>
      </c>
      <c r="N2" s="15" t="s">
        <v>64</v>
      </c>
      <c r="O2" s="15" t="s">
        <v>65</v>
      </c>
      <c r="P2" s="15" t="s">
        <v>66</v>
      </c>
      <c r="Q2" s="15" t="s">
        <v>67</v>
      </c>
      <c r="R2" s="15" t="s">
        <v>68</v>
      </c>
      <c r="S2" s="15" t="s">
        <v>69</v>
      </c>
    </row>
    <row r="3" spans="1:19" x14ac:dyDescent="0.25">
      <c r="A3" t="s">
        <v>48</v>
      </c>
      <c r="B3" s="18">
        <v>90000</v>
      </c>
      <c r="C3" s="10" t="s">
        <v>57</v>
      </c>
      <c r="D3" s="18">
        <f>+B3/SUM(O3:O4)</f>
        <v>85.714285714285708</v>
      </c>
      <c r="F3" s="18">
        <f>+$D$3*O3</f>
        <v>51428.571428571428</v>
      </c>
      <c r="G3" s="18">
        <f>+$D$3*O4</f>
        <v>38571.428571428565</v>
      </c>
      <c r="H3" s="20" t="s">
        <v>71</v>
      </c>
      <c r="J3" s="20">
        <f t="shared" ref="J3:J9" si="0">SUM(F3:I3)</f>
        <v>90000</v>
      </c>
      <c r="K3" s="20"/>
      <c r="L3" s="15" t="s">
        <v>45</v>
      </c>
      <c r="M3" s="13">
        <v>2000</v>
      </c>
      <c r="N3" s="12">
        <v>1728000</v>
      </c>
      <c r="O3" s="11">
        <v>600</v>
      </c>
      <c r="P3" s="13">
        <v>14000</v>
      </c>
      <c r="Q3" s="13">
        <v>4900</v>
      </c>
      <c r="R3" s="11">
        <v>375</v>
      </c>
      <c r="S3" s="13">
        <v>1500</v>
      </c>
    </row>
    <row r="4" spans="1:19" x14ac:dyDescent="0.25">
      <c r="A4" t="s">
        <v>49</v>
      </c>
      <c r="B4" s="18">
        <v>61000</v>
      </c>
      <c r="C4" s="10" t="s">
        <v>58</v>
      </c>
      <c r="D4" s="18">
        <f>+B4/N7</f>
        <v>9.2592592592592587E-3</v>
      </c>
      <c r="F4" s="18">
        <f>+$D$4*N3</f>
        <v>16000</v>
      </c>
      <c r="G4" s="18">
        <f>+$D$4*N4</f>
        <v>35000</v>
      </c>
      <c r="H4" s="20" t="s">
        <v>71</v>
      </c>
      <c r="I4" s="18">
        <f>+$D$4*N6</f>
        <v>10000</v>
      </c>
      <c r="J4" s="18">
        <f t="shared" si="0"/>
        <v>61000</v>
      </c>
      <c r="L4" s="15" t="s">
        <v>46</v>
      </c>
      <c r="M4" s="13">
        <v>1750</v>
      </c>
      <c r="N4" s="12">
        <v>3780000</v>
      </c>
      <c r="O4" s="11">
        <v>450</v>
      </c>
      <c r="P4" s="13">
        <v>12000</v>
      </c>
      <c r="Q4" s="13">
        <v>11760</v>
      </c>
      <c r="R4" s="11">
        <v>75</v>
      </c>
      <c r="S4" s="13">
        <v>3000</v>
      </c>
    </row>
    <row r="5" spans="1:19" x14ac:dyDescent="0.25">
      <c r="A5" t="s">
        <v>50</v>
      </c>
      <c r="B5" s="18">
        <v>20000</v>
      </c>
      <c r="C5" s="10" t="s">
        <v>61</v>
      </c>
      <c r="D5" s="18">
        <f>+B5/S7</f>
        <v>3.3333333333333335</v>
      </c>
      <c r="F5" s="18">
        <f>+$D$5*S3</f>
        <v>5000</v>
      </c>
      <c r="G5" s="18">
        <f>+$D$5*S4</f>
        <v>10000</v>
      </c>
      <c r="H5" s="20" t="s">
        <v>71</v>
      </c>
      <c r="I5" s="18">
        <f>+$D$5*S6</f>
        <v>5000</v>
      </c>
      <c r="J5" s="18">
        <f t="shared" si="0"/>
        <v>20000</v>
      </c>
      <c r="L5" s="15" t="s">
        <v>8</v>
      </c>
      <c r="M5" s="11">
        <v>500</v>
      </c>
      <c r="N5" s="17" t="s">
        <v>71</v>
      </c>
      <c r="O5" s="17" t="s">
        <v>71</v>
      </c>
      <c r="P5" s="17" t="s">
        <v>71</v>
      </c>
      <c r="Q5" s="17" t="s">
        <v>71</v>
      </c>
      <c r="R5" s="17" t="s">
        <v>71</v>
      </c>
      <c r="S5" s="17" t="s">
        <v>71</v>
      </c>
    </row>
    <row r="6" spans="1:19" x14ac:dyDescent="0.25">
      <c r="A6" t="s">
        <v>51</v>
      </c>
      <c r="B6" s="18">
        <v>19000</v>
      </c>
      <c r="C6" s="10" t="s">
        <v>40</v>
      </c>
      <c r="D6" s="18">
        <f>+B6</f>
        <v>19000</v>
      </c>
      <c r="F6" s="20" t="s">
        <v>71</v>
      </c>
      <c r="G6" s="20" t="s">
        <v>71</v>
      </c>
      <c r="H6" s="18">
        <f>+D6</f>
        <v>19000</v>
      </c>
      <c r="I6" s="20" t="s">
        <v>71</v>
      </c>
      <c r="J6" s="18">
        <f t="shared" si="0"/>
        <v>19000</v>
      </c>
      <c r="L6" s="15" t="s">
        <v>47</v>
      </c>
      <c r="M6" s="11">
        <v>750</v>
      </c>
      <c r="N6" s="12">
        <v>1080000</v>
      </c>
      <c r="O6" s="11">
        <v>150</v>
      </c>
      <c r="P6" s="17" t="s">
        <v>71</v>
      </c>
      <c r="Q6" s="13">
        <v>2940</v>
      </c>
      <c r="R6" s="17" t="s">
        <v>71</v>
      </c>
      <c r="S6" s="13">
        <v>1500</v>
      </c>
    </row>
    <row r="7" spans="1:19" x14ac:dyDescent="0.25">
      <c r="A7" t="s">
        <v>52</v>
      </c>
      <c r="B7" s="18">
        <v>10000</v>
      </c>
      <c r="C7" s="10" t="s">
        <v>59</v>
      </c>
      <c r="F7" s="20" t="s">
        <v>71</v>
      </c>
      <c r="G7" s="20" t="s">
        <v>71</v>
      </c>
      <c r="H7" s="20" t="s">
        <v>71</v>
      </c>
      <c r="I7" s="20" t="s">
        <v>71</v>
      </c>
      <c r="J7" s="18">
        <f t="shared" si="0"/>
        <v>0</v>
      </c>
      <c r="L7" s="15" t="s">
        <v>70</v>
      </c>
      <c r="M7" s="13">
        <v>5000</v>
      </c>
      <c r="N7" s="12">
        <v>6588000</v>
      </c>
      <c r="O7" s="13">
        <v>1200</v>
      </c>
      <c r="P7" s="13">
        <v>26000</v>
      </c>
      <c r="Q7" s="13">
        <v>19600</v>
      </c>
      <c r="R7" s="11">
        <v>450</v>
      </c>
      <c r="S7" s="13">
        <v>6000</v>
      </c>
    </row>
    <row r="8" spans="1:19" x14ac:dyDescent="0.25">
      <c r="A8" t="s">
        <v>53</v>
      </c>
      <c r="B8" s="18">
        <v>40000</v>
      </c>
      <c r="C8" s="10" t="s">
        <v>59</v>
      </c>
      <c r="F8" s="20" t="s">
        <v>71</v>
      </c>
      <c r="G8" s="20" t="s">
        <v>71</v>
      </c>
      <c r="H8" s="20" t="s">
        <v>71</v>
      </c>
      <c r="I8" s="20" t="s">
        <v>71</v>
      </c>
      <c r="J8" s="18">
        <f t="shared" si="0"/>
        <v>0</v>
      </c>
    </row>
    <row r="9" spans="1:19" x14ac:dyDescent="0.25">
      <c r="A9" t="s">
        <v>54</v>
      </c>
      <c r="B9" s="18">
        <v>10000</v>
      </c>
      <c r="C9" s="10" t="s">
        <v>60</v>
      </c>
      <c r="D9" s="18">
        <f>+B9/M7</f>
        <v>2</v>
      </c>
      <c r="F9" s="18">
        <f>+$D$9*M3</f>
        <v>4000</v>
      </c>
      <c r="G9" s="18">
        <f>+$D$9*M4</f>
        <v>3500</v>
      </c>
      <c r="H9" s="18">
        <f>+$D$9*M5</f>
        <v>1000</v>
      </c>
      <c r="I9" s="18">
        <f>+$D$9*M6</f>
        <v>1500</v>
      </c>
      <c r="J9" s="18">
        <f t="shared" si="0"/>
        <v>10000</v>
      </c>
    </row>
    <row r="10" spans="1:19" x14ac:dyDescent="0.25">
      <c r="A10" t="s">
        <v>55</v>
      </c>
      <c r="B10" s="30">
        <f>+B3+B4+B5+B6+B9</f>
        <v>200000</v>
      </c>
      <c r="C10" s="10"/>
      <c r="E10" s="22" t="s">
        <v>70</v>
      </c>
      <c r="F10" s="25">
        <f t="shared" ref="F10:I10" si="1">SUBTOTAL(109,F3:F9)</f>
        <v>76428.57142857142</v>
      </c>
      <c r="G10" s="25">
        <f t="shared" si="1"/>
        <v>87071.428571428565</v>
      </c>
      <c r="H10" s="25">
        <f t="shared" si="1"/>
        <v>20000</v>
      </c>
      <c r="I10" s="25">
        <f t="shared" si="1"/>
        <v>16500</v>
      </c>
      <c r="J10" s="23">
        <f>SUBTOTAL(109,Table1[Totales])</f>
        <v>200000</v>
      </c>
      <c r="K10"/>
    </row>
    <row r="12" spans="1:19" x14ac:dyDescent="0.25">
      <c r="A12" s="24" t="s">
        <v>72</v>
      </c>
      <c r="B12" s="24" t="s">
        <v>8</v>
      </c>
      <c r="C12" s="24" t="s">
        <v>47</v>
      </c>
    </row>
    <row r="13" spans="1:19" x14ac:dyDescent="0.25">
      <c r="A13" s="24" t="s">
        <v>8</v>
      </c>
      <c r="B13" s="26">
        <v>0</v>
      </c>
      <c r="C13" s="16" t="s">
        <v>73</v>
      </c>
      <c r="D13" s="18" t="s">
        <v>74</v>
      </c>
    </row>
    <row r="14" spans="1:19" x14ac:dyDescent="0.25">
      <c r="A14" s="24" t="s">
        <v>47</v>
      </c>
      <c r="B14" s="26">
        <v>0</v>
      </c>
      <c r="C14" s="26">
        <v>0</v>
      </c>
      <c r="D14" s="18" t="s">
        <v>75</v>
      </c>
    </row>
    <row r="16" spans="1:19" ht="17.25" x14ac:dyDescent="0.4">
      <c r="A16" s="18" t="s">
        <v>40</v>
      </c>
      <c r="B16" s="18">
        <f>+Table1[[#Totals],[Comedor]]</f>
        <v>20000</v>
      </c>
      <c r="C16" t="s">
        <v>76</v>
      </c>
      <c r="D16" s="18">
        <f>+B16/O7</f>
        <v>16.666666666666668</v>
      </c>
      <c r="F16" s="18">
        <f>+$D$16*O3</f>
        <v>10000</v>
      </c>
      <c r="G16" s="18">
        <f>+$D$16*O4</f>
        <v>7500.0000000000009</v>
      </c>
      <c r="H16" s="18">
        <v>0</v>
      </c>
      <c r="I16" s="28">
        <f>+$D$16*O6</f>
        <v>2500</v>
      </c>
    </row>
    <row r="17" spans="1:12" x14ac:dyDescent="0.25">
      <c r="A17" s="18"/>
      <c r="I17" s="18">
        <f>+I16+Table1[[#Totals],[Caldera]]</f>
        <v>19000</v>
      </c>
    </row>
    <row r="18" spans="1:12" x14ac:dyDescent="0.25">
      <c r="A18" t="s">
        <v>47</v>
      </c>
      <c r="B18" s="18">
        <f>+I17</f>
        <v>19000</v>
      </c>
      <c r="C18" t="s">
        <v>77</v>
      </c>
      <c r="D18" s="18">
        <f>+B18/R7</f>
        <v>42.222222222222221</v>
      </c>
      <c r="F18" s="27">
        <f>+$D$18*R3</f>
        <v>15833.333333333334</v>
      </c>
      <c r="G18" s="27">
        <f>+$D$18*R4</f>
        <v>3166.6666666666665</v>
      </c>
      <c r="H18" s="31">
        <f>+$D$18*T3</f>
        <v>0</v>
      </c>
      <c r="I18" s="31">
        <f>+$D$18*U3</f>
        <v>0</v>
      </c>
      <c r="J18" s="31"/>
    </row>
    <row r="19" spans="1:12" x14ac:dyDescent="0.25">
      <c r="F19" s="18">
        <f>+F18+F16+Table1[[#Totals],[Reducción]]</f>
        <v>102261.90476190476</v>
      </c>
      <c r="G19" s="18">
        <f>+G18+G16+Table1[[#Totals],[Purificado]]</f>
        <v>97738.095238095237</v>
      </c>
      <c r="H19" s="31"/>
      <c r="I19" s="31"/>
      <c r="J19" s="31"/>
      <c r="K19" s="29">
        <f>+F19+G19</f>
        <v>200000</v>
      </c>
      <c r="L19" s="18" t="s">
        <v>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DFEE-82DF-4033-8FF1-851728BB04A6}">
  <sheetPr>
    <tabColor theme="6" tint="0.79998168889431442"/>
  </sheetPr>
  <dimension ref="A1:J36"/>
  <sheetViews>
    <sheetView topLeftCell="A6" zoomScaleNormal="100" workbookViewId="0">
      <selection activeCell="H48" sqref="H48"/>
    </sheetView>
  </sheetViews>
  <sheetFormatPr defaultRowHeight="15" x14ac:dyDescent="0.25"/>
  <cols>
    <col min="1" max="1" width="81.42578125" bestFit="1" customWidth="1"/>
    <col min="2" max="2" width="14.28515625" bestFit="1" customWidth="1"/>
    <col min="3" max="3" width="13.7109375" bestFit="1" customWidth="1"/>
    <col min="4" max="4" width="81.42578125" bestFit="1" customWidth="1"/>
    <col min="5" max="5" width="13.7109375" bestFit="1" customWidth="1"/>
    <col min="6" max="6" width="81.42578125" bestFit="1" customWidth="1"/>
    <col min="7" max="7" width="14.28515625" bestFit="1" customWidth="1"/>
    <col min="8" max="8" width="13.7109375" bestFit="1" customWidth="1"/>
    <col min="10" max="10" width="13.7109375" bestFit="1" customWidth="1"/>
  </cols>
  <sheetData>
    <row r="1" spans="1:10" x14ac:dyDescent="0.25">
      <c r="A1" s="45" t="s">
        <v>134</v>
      </c>
      <c r="F1" s="45" t="s">
        <v>136</v>
      </c>
    </row>
    <row r="2" spans="1:10" x14ac:dyDescent="0.25">
      <c r="A2" s="45" t="s">
        <v>135</v>
      </c>
      <c r="F2" s="45" t="s">
        <v>138</v>
      </c>
      <c r="J2" t="s">
        <v>137</v>
      </c>
    </row>
    <row r="3" spans="1:10" x14ac:dyDescent="0.25">
      <c r="A3" s="43" t="s">
        <v>129</v>
      </c>
      <c r="B3" s="18">
        <v>12000</v>
      </c>
      <c r="F3" s="50" t="s">
        <v>139</v>
      </c>
      <c r="G3" s="18">
        <v>45000</v>
      </c>
    </row>
    <row r="4" spans="1:10" x14ac:dyDescent="0.25">
      <c r="A4" s="43" t="s">
        <v>92</v>
      </c>
      <c r="F4" s="50" t="s">
        <v>92</v>
      </c>
    </row>
    <row r="5" spans="1:10" x14ac:dyDescent="0.25">
      <c r="A5" t="s">
        <v>130</v>
      </c>
      <c r="B5">
        <v>50</v>
      </c>
      <c r="C5" t="s">
        <v>131</v>
      </c>
      <c r="F5" s="46" t="s">
        <v>140</v>
      </c>
      <c r="G5" s="49">
        <v>5000</v>
      </c>
      <c r="H5" t="s">
        <v>131</v>
      </c>
    </row>
    <row r="6" spans="1:10" x14ac:dyDescent="0.25">
      <c r="A6" t="s">
        <v>132</v>
      </c>
      <c r="B6">
        <v>200</v>
      </c>
      <c r="C6" t="s">
        <v>131</v>
      </c>
      <c r="F6" s="46" t="s">
        <v>150</v>
      </c>
      <c r="G6" s="49">
        <v>10000</v>
      </c>
      <c r="H6" t="s">
        <v>131</v>
      </c>
    </row>
    <row r="7" spans="1:10" x14ac:dyDescent="0.25">
      <c r="F7" s="46"/>
    </row>
    <row r="8" spans="1:10" x14ac:dyDescent="0.25">
      <c r="A8" s="43" t="s">
        <v>144</v>
      </c>
      <c r="F8" s="50" t="s">
        <v>144</v>
      </c>
    </row>
    <row r="9" spans="1:10" x14ac:dyDescent="0.25">
      <c r="A9" s="47"/>
      <c r="B9" s="47" t="s">
        <v>142</v>
      </c>
      <c r="C9" s="47" t="s">
        <v>143</v>
      </c>
      <c r="F9" s="47"/>
      <c r="G9" s="47" t="s">
        <v>142</v>
      </c>
      <c r="H9" s="47" t="s">
        <v>143</v>
      </c>
    </row>
    <row r="10" spans="1:10" x14ac:dyDescent="0.25">
      <c r="A10" s="48" t="s">
        <v>130</v>
      </c>
      <c r="B10" s="16">
        <v>7</v>
      </c>
      <c r="C10" s="16">
        <v>18</v>
      </c>
      <c r="F10" s="48" t="s">
        <v>140</v>
      </c>
      <c r="G10" s="16">
        <v>0.1</v>
      </c>
      <c r="H10" s="16">
        <v>0.2</v>
      </c>
    </row>
    <row r="11" spans="1:10" x14ac:dyDescent="0.25">
      <c r="A11" s="48" t="s">
        <v>132</v>
      </c>
      <c r="B11" s="16">
        <v>0.25</v>
      </c>
      <c r="C11" s="16">
        <v>0.5</v>
      </c>
      <c r="F11" s="48" t="s">
        <v>150</v>
      </c>
      <c r="G11" s="16">
        <v>0.1</v>
      </c>
      <c r="H11" s="16">
        <v>0.1</v>
      </c>
    </row>
    <row r="13" spans="1:10" x14ac:dyDescent="0.25">
      <c r="D13" t="s">
        <v>141</v>
      </c>
    </row>
    <row r="14" spans="1:10" x14ac:dyDescent="0.25">
      <c r="D14" t="str">
        <f>"Que los procesos son enteramente Mecanicos "</f>
        <v xml:space="preserve">Que los procesos son enteramente Mecanicos </v>
      </c>
    </row>
    <row r="15" spans="1:10" x14ac:dyDescent="0.25">
      <c r="D15" t="str">
        <f>"Que los procesos son enteramente Manual "</f>
        <v xml:space="preserve">Que los procesos son enteramente Manual </v>
      </c>
    </row>
    <row r="16" spans="1:10" x14ac:dyDescent="0.25">
      <c r="A16" t="s">
        <v>145</v>
      </c>
      <c r="B16" t="s">
        <v>92</v>
      </c>
      <c r="C16" t="s">
        <v>133</v>
      </c>
      <c r="F16" t="s">
        <v>145</v>
      </c>
      <c r="G16" t="s">
        <v>92</v>
      </c>
      <c r="H16" t="s">
        <v>133</v>
      </c>
    </row>
    <row r="17" spans="1:9" x14ac:dyDescent="0.25">
      <c r="A17" t="s">
        <v>130</v>
      </c>
      <c r="B17">
        <f>+B5</f>
        <v>50</v>
      </c>
      <c r="C17">
        <f>+B10</f>
        <v>7</v>
      </c>
      <c r="D17">
        <f>+C17*B17</f>
        <v>350</v>
      </c>
      <c r="F17" t="s">
        <v>140</v>
      </c>
      <c r="G17" s="49">
        <f>+$G$6</f>
        <v>10000</v>
      </c>
      <c r="H17">
        <f>+G10</f>
        <v>0.1</v>
      </c>
      <c r="I17">
        <f>+H17*G17</f>
        <v>1000</v>
      </c>
    </row>
    <row r="18" spans="1:9" ht="15.75" thickBot="1" x14ac:dyDescent="0.3">
      <c r="A18" t="s">
        <v>132</v>
      </c>
      <c r="B18">
        <f>+B6</f>
        <v>200</v>
      </c>
      <c r="C18">
        <f>+B11</f>
        <v>0.25</v>
      </c>
      <c r="D18" s="37">
        <f>+C18*B18</f>
        <v>50</v>
      </c>
      <c r="F18" t="s">
        <v>150</v>
      </c>
      <c r="G18" s="49">
        <f>+$G$5</f>
        <v>5000</v>
      </c>
      <c r="H18">
        <f>+G11</f>
        <v>0.1</v>
      </c>
      <c r="I18" s="37">
        <f>+H18*G18</f>
        <v>500</v>
      </c>
    </row>
    <row r="19" spans="1:9" x14ac:dyDescent="0.25">
      <c r="D19">
        <f>SUM(D17:D18)</f>
        <v>400</v>
      </c>
      <c r="E19" t="s">
        <v>133</v>
      </c>
      <c r="I19">
        <f>SUM(I17:I18)</f>
        <v>1500</v>
      </c>
    </row>
    <row r="20" spans="1:9" ht="15.75" thickBot="1" x14ac:dyDescent="0.3">
      <c r="A20" t="s">
        <v>146</v>
      </c>
      <c r="B20" s="51">
        <f>+B3</f>
        <v>12000</v>
      </c>
      <c r="C20" s="52">
        <f>+B20/B21</f>
        <v>30</v>
      </c>
      <c r="D20" s="53" t="s">
        <v>147</v>
      </c>
      <c r="F20" t="s">
        <v>146</v>
      </c>
      <c r="G20" s="51">
        <f>+G3</f>
        <v>45000</v>
      </c>
      <c r="H20" s="52">
        <f>+G20/G21</f>
        <v>30</v>
      </c>
      <c r="I20" s="53" t="s">
        <v>147</v>
      </c>
    </row>
    <row r="21" spans="1:9" x14ac:dyDescent="0.25">
      <c r="B21" s="40">
        <f>+D19</f>
        <v>400</v>
      </c>
      <c r="G21" s="40">
        <f>+I19</f>
        <v>1500</v>
      </c>
    </row>
    <row r="23" spans="1:9" x14ac:dyDescent="0.25">
      <c r="A23" s="43" t="s">
        <v>148</v>
      </c>
      <c r="F23" s="43" t="s">
        <v>148</v>
      </c>
    </row>
    <row r="24" spans="1:9" x14ac:dyDescent="0.25">
      <c r="A24" t="s">
        <v>130</v>
      </c>
      <c r="B24">
        <f>+B10</f>
        <v>7</v>
      </c>
      <c r="C24" s="21">
        <f>+C20</f>
        <v>30</v>
      </c>
      <c r="D24" s="52">
        <f>+C24*B24</f>
        <v>210</v>
      </c>
      <c r="F24" t="s">
        <v>140</v>
      </c>
      <c r="G24">
        <f>+G10</f>
        <v>0.1</v>
      </c>
      <c r="H24" s="21">
        <f>+H20</f>
        <v>30</v>
      </c>
      <c r="I24" s="52">
        <f>+H24*G24</f>
        <v>3</v>
      </c>
    </row>
    <row r="25" spans="1:9" x14ac:dyDescent="0.25">
      <c r="A25" t="s">
        <v>132</v>
      </c>
      <c r="B25">
        <f>+B11</f>
        <v>0.25</v>
      </c>
      <c r="C25" s="21">
        <f>+C20</f>
        <v>30</v>
      </c>
      <c r="D25" s="52">
        <f>+C25*B25</f>
        <v>7.5</v>
      </c>
      <c r="F25" t="s">
        <v>150</v>
      </c>
      <c r="G25">
        <f>+G11</f>
        <v>0.1</v>
      </c>
      <c r="H25" s="21">
        <f>+H20</f>
        <v>30</v>
      </c>
      <c r="I25" s="52">
        <f>+H25*G25</f>
        <v>3</v>
      </c>
    </row>
    <row r="27" spans="1:9" x14ac:dyDescent="0.25">
      <c r="A27" t="s">
        <v>145</v>
      </c>
      <c r="B27" t="s">
        <v>92</v>
      </c>
      <c r="C27" t="s">
        <v>89</v>
      </c>
      <c r="F27" t="s">
        <v>145</v>
      </c>
      <c r="G27" t="s">
        <v>92</v>
      </c>
      <c r="H27" t="s">
        <v>89</v>
      </c>
    </row>
    <row r="28" spans="1:9" x14ac:dyDescent="0.25">
      <c r="A28" t="s">
        <v>130</v>
      </c>
      <c r="B28">
        <f>+B5</f>
        <v>50</v>
      </c>
      <c r="C28">
        <f>+C10</f>
        <v>18</v>
      </c>
      <c r="D28">
        <f>+B28*C28</f>
        <v>900</v>
      </c>
      <c r="F28" t="s">
        <v>140</v>
      </c>
      <c r="G28" s="49">
        <f>+$G$5</f>
        <v>5000</v>
      </c>
      <c r="H28">
        <f>+H10</f>
        <v>0.2</v>
      </c>
      <c r="I28">
        <f>+G28*H28</f>
        <v>1000</v>
      </c>
    </row>
    <row r="29" spans="1:9" ht="15.75" thickBot="1" x14ac:dyDescent="0.3">
      <c r="A29" t="s">
        <v>132</v>
      </c>
      <c r="B29">
        <f>+B6</f>
        <v>200</v>
      </c>
      <c r="C29">
        <f>+C11</f>
        <v>0.5</v>
      </c>
      <c r="D29" s="37">
        <f>+C29*B29</f>
        <v>100</v>
      </c>
      <c r="F29" t="s">
        <v>150</v>
      </c>
      <c r="G29" s="49">
        <f>+$G$6</f>
        <v>10000</v>
      </c>
      <c r="H29">
        <f>+H11</f>
        <v>0.1</v>
      </c>
      <c r="I29" s="37">
        <f>+H29*G29</f>
        <v>1000</v>
      </c>
    </row>
    <row r="30" spans="1:9" x14ac:dyDescent="0.25">
      <c r="D30">
        <f>SUM(D28:D29)</f>
        <v>1000</v>
      </c>
      <c r="E30" t="s">
        <v>89</v>
      </c>
      <c r="I30">
        <f>SUM(I28:I29)</f>
        <v>2000</v>
      </c>
    </row>
    <row r="31" spans="1:9" ht="15.75" thickBot="1" x14ac:dyDescent="0.3">
      <c r="A31" t="s">
        <v>146</v>
      </c>
      <c r="B31" s="51">
        <f>+B3</f>
        <v>12000</v>
      </c>
      <c r="C31" s="52">
        <f>+B31/B32</f>
        <v>12</v>
      </c>
      <c r="D31" s="53" t="s">
        <v>110</v>
      </c>
      <c r="F31" t="s">
        <v>146</v>
      </c>
      <c r="G31" s="51">
        <f>+G3</f>
        <v>45000</v>
      </c>
      <c r="H31" s="52">
        <f>+G31/G32</f>
        <v>22.5</v>
      </c>
      <c r="I31" s="53" t="s">
        <v>110</v>
      </c>
    </row>
    <row r="32" spans="1:9" x14ac:dyDescent="0.25">
      <c r="B32" s="40">
        <f>+D30</f>
        <v>1000</v>
      </c>
      <c r="G32" s="40">
        <f>+I30</f>
        <v>2000</v>
      </c>
    </row>
    <row r="34" spans="1:9" x14ac:dyDescent="0.25">
      <c r="A34" s="43" t="s">
        <v>149</v>
      </c>
      <c r="F34" s="43" t="s">
        <v>149</v>
      </c>
    </row>
    <row r="35" spans="1:9" x14ac:dyDescent="0.25">
      <c r="A35" t="s">
        <v>130</v>
      </c>
      <c r="B35">
        <f>+C10</f>
        <v>18</v>
      </c>
      <c r="C35" s="21">
        <f>+C31</f>
        <v>12</v>
      </c>
      <c r="D35" s="52">
        <f>+C35*B35</f>
        <v>216</v>
      </c>
      <c r="F35" t="s">
        <v>140</v>
      </c>
      <c r="G35">
        <f>+H10</f>
        <v>0.2</v>
      </c>
      <c r="H35" s="21">
        <f>+H31</f>
        <v>22.5</v>
      </c>
      <c r="I35" s="52">
        <f>+H35*G35</f>
        <v>4.5</v>
      </c>
    </row>
    <row r="36" spans="1:9" x14ac:dyDescent="0.25">
      <c r="A36" t="s">
        <v>132</v>
      </c>
      <c r="B36">
        <f>+C11</f>
        <v>0.5</v>
      </c>
      <c r="C36" s="21">
        <f>+C31</f>
        <v>12</v>
      </c>
      <c r="D36" s="52">
        <f>+C36*B36</f>
        <v>6</v>
      </c>
      <c r="F36" t="s">
        <v>150</v>
      </c>
      <c r="G36">
        <f>+H11</f>
        <v>0.1</v>
      </c>
      <c r="H36" s="21">
        <f>+H31</f>
        <v>22.5</v>
      </c>
      <c r="I36" s="52">
        <f>+H36*G36</f>
        <v>2.25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4CBC-5821-4904-A5F8-3129008ECB11}">
  <sheetPr>
    <tabColor theme="6" tint="0.79998168889431442"/>
  </sheetPr>
  <dimension ref="A1:L44"/>
  <sheetViews>
    <sheetView topLeftCell="A8" zoomScale="85" zoomScaleNormal="85" workbookViewId="0">
      <selection activeCell="H48" sqref="H48"/>
    </sheetView>
  </sheetViews>
  <sheetFormatPr defaultRowHeight="15" x14ac:dyDescent="0.25"/>
  <cols>
    <col min="1" max="1" width="55.5703125" bestFit="1" customWidth="1"/>
    <col min="2" max="2" width="13.140625" bestFit="1" customWidth="1"/>
    <col min="3" max="3" width="24.5703125" bestFit="1" customWidth="1"/>
    <col min="4" max="4" width="36.5703125" bestFit="1" customWidth="1"/>
    <col min="5" max="5" width="9.42578125" bestFit="1" customWidth="1"/>
    <col min="6" max="6" width="9.5703125" bestFit="1" customWidth="1"/>
    <col min="7" max="7" width="22.42578125" bestFit="1" customWidth="1"/>
    <col min="8" max="8" width="13.140625" bestFit="1" customWidth="1"/>
    <col min="9" max="9" width="7.7109375" bestFit="1" customWidth="1"/>
    <col min="10" max="10" width="15.28515625" bestFit="1" customWidth="1"/>
    <col min="11" max="11" width="36.5703125" bestFit="1" customWidth="1"/>
    <col min="12" max="12" width="7" bestFit="1" customWidth="1"/>
    <col min="13" max="13" width="9.42578125" bestFit="1" customWidth="1"/>
  </cols>
  <sheetData>
    <row r="1" spans="1:6" x14ac:dyDescent="0.25">
      <c r="A1" s="45" t="s">
        <v>151</v>
      </c>
    </row>
    <row r="3" spans="1:6" x14ac:dyDescent="0.25">
      <c r="A3" s="45" t="s">
        <v>152</v>
      </c>
    </row>
    <row r="5" spans="1:6" x14ac:dyDescent="0.25">
      <c r="A5" t="s">
        <v>153</v>
      </c>
    </row>
    <row r="6" spans="1:6" x14ac:dyDescent="0.25">
      <c r="A6" s="1"/>
      <c r="B6" s="19"/>
      <c r="C6" s="1"/>
    </row>
    <row r="7" spans="1:6" x14ac:dyDescent="0.25">
      <c r="A7" s="1" t="s">
        <v>0</v>
      </c>
      <c r="B7" s="19" t="s">
        <v>1</v>
      </c>
      <c r="C7" s="1"/>
      <c r="D7" s="54"/>
      <c r="E7" s="54" t="s">
        <v>159</v>
      </c>
      <c r="F7" s="54" t="s">
        <v>160</v>
      </c>
    </row>
    <row r="8" spans="1:6" x14ac:dyDescent="0.25">
      <c r="A8" t="s">
        <v>162</v>
      </c>
      <c r="B8" s="18">
        <v>21000</v>
      </c>
      <c r="D8" s="54" t="s">
        <v>154</v>
      </c>
      <c r="E8" s="56">
        <v>100</v>
      </c>
      <c r="F8" s="56">
        <v>150</v>
      </c>
    </row>
    <row r="9" spans="1:6" x14ac:dyDescent="0.25">
      <c r="A9" t="s">
        <v>163</v>
      </c>
      <c r="B9" s="18">
        <v>8000</v>
      </c>
      <c r="D9" s="54" t="s">
        <v>155</v>
      </c>
      <c r="E9" s="56">
        <v>10</v>
      </c>
      <c r="F9" s="56">
        <v>5</v>
      </c>
    </row>
    <row r="10" spans="1:6" x14ac:dyDescent="0.25">
      <c r="A10" t="s">
        <v>164</v>
      </c>
      <c r="B10" s="18">
        <v>97000</v>
      </c>
      <c r="D10" s="54" t="s">
        <v>156</v>
      </c>
      <c r="E10" s="16">
        <v>1</v>
      </c>
      <c r="F10" s="16">
        <v>1.5</v>
      </c>
    </row>
    <row r="11" spans="1:6" x14ac:dyDescent="0.25">
      <c r="A11" t="s">
        <v>165</v>
      </c>
      <c r="B11" s="18">
        <v>8000</v>
      </c>
      <c r="D11" s="54" t="s">
        <v>157</v>
      </c>
      <c r="E11" s="16">
        <v>0.5</v>
      </c>
      <c r="F11" s="16">
        <v>1</v>
      </c>
    </row>
    <row r="12" spans="1:6" x14ac:dyDescent="0.25">
      <c r="A12" t="s">
        <v>166</v>
      </c>
      <c r="B12" s="18">
        <v>14000</v>
      </c>
      <c r="D12" s="54" t="s">
        <v>158</v>
      </c>
      <c r="E12" s="55">
        <v>30000</v>
      </c>
      <c r="F12" s="55">
        <v>20000</v>
      </c>
    </row>
    <row r="13" spans="1:6" x14ac:dyDescent="0.25">
      <c r="A13" t="s">
        <v>167</v>
      </c>
      <c r="B13" s="18">
        <v>17000</v>
      </c>
    </row>
    <row r="14" spans="1:6" x14ac:dyDescent="0.25">
      <c r="A14" t="s">
        <v>168</v>
      </c>
      <c r="B14" s="18">
        <v>8000</v>
      </c>
    </row>
    <row r="15" spans="1:6" x14ac:dyDescent="0.25">
      <c r="A15" t="s">
        <v>169</v>
      </c>
      <c r="B15" s="18">
        <v>32000</v>
      </c>
    </row>
    <row r="16" spans="1:6" x14ac:dyDescent="0.25">
      <c r="A16" t="s">
        <v>170</v>
      </c>
      <c r="B16" s="18">
        <v>48000</v>
      </c>
    </row>
    <row r="17" spans="1:10" x14ac:dyDescent="0.25">
      <c r="A17" t="s">
        <v>171</v>
      </c>
      <c r="B17" s="18">
        <v>32000</v>
      </c>
    </row>
    <row r="18" spans="1:10" x14ac:dyDescent="0.25">
      <c r="A18" t="s">
        <v>172</v>
      </c>
      <c r="B18" s="18">
        <v>29000</v>
      </c>
    </row>
    <row r="19" spans="1:10" ht="15.75" thickBot="1" x14ac:dyDescent="0.3">
      <c r="A19" t="s">
        <v>173</v>
      </c>
      <c r="B19" s="39">
        <v>36000</v>
      </c>
    </row>
    <row r="20" spans="1:10" x14ac:dyDescent="0.25">
      <c r="A20" t="s">
        <v>174</v>
      </c>
      <c r="B20" s="18">
        <f>SUM(B8:B19)</f>
        <v>350000</v>
      </c>
    </row>
    <row r="21" spans="1:10" x14ac:dyDescent="0.25">
      <c r="B21" s="18"/>
    </row>
    <row r="22" spans="1:10" x14ac:dyDescent="0.25">
      <c r="A22" s="59" t="s">
        <v>175</v>
      </c>
      <c r="B22" s="60" t="s">
        <v>92</v>
      </c>
      <c r="C22" s="61" t="s">
        <v>89</v>
      </c>
      <c r="D22" s="61"/>
      <c r="G22" s="65" t="s">
        <v>177</v>
      </c>
      <c r="H22" s="66" t="s">
        <v>92</v>
      </c>
      <c r="I22" s="67" t="s">
        <v>133</v>
      </c>
      <c r="J22" s="67"/>
    </row>
    <row r="23" spans="1:10" x14ac:dyDescent="0.25">
      <c r="A23" s="61" t="s">
        <v>159</v>
      </c>
      <c r="B23" s="60">
        <f>+$E$12</f>
        <v>30000</v>
      </c>
      <c r="C23" s="61">
        <f>+E11</f>
        <v>0.5</v>
      </c>
      <c r="D23" s="62">
        <f>+C23*B23</f>
        <v>15000</v>
      </c>
      <c r="G23" s="67" t="s">
        <v>159</v>
      </c>
      <c r="H23" s="66">
        <f>+$E$12</f>
        <v>30000</v>
      </c>
      <c r="I23" s="67">
        <f>+E10</f>
        <v>1</v>
      </c>
      <c r="J23" s="68">
        <f>+I23*H23</f>
        <v>30000</v>
      </c>
    </row>
    <row r="24" spans="1:10" ht="15.75" thickBot="1" x14ac:dyDescent="0.3">
      <c r="A24" s="60" t="s">
        <v>160</v>
      </c>
      <c r="B24" s="60">
        <f>+$F$12</f>
        <v>20000</v>
      </c>
      <c r="C24" s="61">
        <f>+F11</f>
        <v>1</v>
      </c>
      <c r="D24" s="63">
        <f>+C24*B24</f>
        <v>20000</v>
      </c>
      <c r="G24" s="66" t="s">
        <v>160</v>
      </c>
      <c r="H24" s="66">
        <f>+$F$12</f>
        <v>20000</v>
      </c>
      <c r="I24" s="67">
        <f>+F10</f>
        <v>1.5</v>
      </c>
      <c r="J24" s="69">
        <f>+I24*H24</f>
        <v>30000</v>
      </c>
    </row>
    <row r="25" spans="1:10" x14ac:dyDescent="0.25">
      <c r="A25" s="61"/>
      <c r="B25" s="60"/>
      <c r="C25" s="61"/>
      <c r="D25" s="62">
        <f>SUM(D23:D24)</f>
        <v>35000</v>
      </c>
      <c r="G25" s="67"/>
      <c r="H25" s="66"/>
      <c r="I25" s="67"/>
      <c r="J25" s="68">
        <f>SUM(J23:J24)</f>
        <v>60000</v>
      </c>
    </row>
    <row r="26" spans="1:10" ht="15.75" thickBot="1" x14ac:dyDescent="0.3">
      <c r="A26" s="61" t="s">
        <v>265</v>
      </c>
      <c r="B26" s="64">
        <f>+$B$20</f>
        <v>350000</v>
      </c>
      <c r="C26" s="62">
        <f>+B26/B27</f>
        <v>10</v>
      </c>
      <c r="D26" s="61" t="s">
        <v>176</v>
      </c>
      <c r="G26" s="67" t="s">
        <v>265</v>
      </c>
      <c r="H26" s="70">
        <f>+$B$20</f>
        <v>350000</v>
      </c>
      <c r="I26" s="68">
        <f>+H26/H27</f>
        <v>5.833333333333333</v>
      </c>
      <c r="J26" s="67" t="s">
        <v>178</v>
      </c>
    </row>
    <row r="27" spans="1:10" x14ac:dyDescent="0.25">
      <c r="A27" s="61"/>
      <c r="B27" s="60">
        <f>+D25</f>
        <v>35000</v>
      </c>
      <c r="C27" s="61"/>
      <c r="D27" s="61"/>
      <c r="G27" s="67"/>
      <c r="H27" s="66">
        <f>+J25</f>
        <v>60000</v>
      </c>
      <c r="I27" s="67"/>
      <c r="J27" s="67"/>
    </row>
    <row r="28" spans="1:10" x14ac:dyDescent="0.25">
      <c r="A28" s="61" t="s">
        <v>264</v>
      </c>
      <c r="B28" s="61"/>
      <c r="C28" s="61"/>
      <c r="D28" s="61"/>
      <c r="G28" s="65" t="s">
        <v>264</v>
      </c>
      <c r="H28" s="67"/>
      <c r="I28" s="67"/>
      <c r="J28" s="67"/>
    </row>
    <row r="29" spans="1:10" x14ac:dyDescent="0.25">
      <c r="A29" s="61" t="str">
        <f>+A23</f>
        <v>Espoca</v>
      </c>
      <c r="B29" s="61">
        <f>+C23</f>
        <v>0.5</v>
      </c>
      <c r="C29" s="62">
        <f>+C26</f>
        <v>10</v>
      </c>
      <c r="D29" s="60">
        <f>+C29*B29</f>
        <v>5</v>
      </c>
      <c r="G29" s="67" t="str">
        <f>+G23</f>
        <v>Espoca</v>
      </c>
      <c r="H29" s="67">
        <f>+I23</f>
        <v>1</v>
      </c>
      <c r="I29" s="68">
        <f>+I26</f>
        <v>5.833333333333333</v>
      </c>
      <c r="J29" s="92">
        <f>+I29*H29</f>
        <v>5.833333333333333</v>
      </c>
    </row>
    <row r="30" spans="1:10" x14ac:dyDescent="0.25">
      <c r="A30" s="62" t="str">
        <f>+A24</f>
        <v>Distrorsix</v>
      </c>
      <c r="B30" s="61">
        <f>+C24</f>
        <v>1</v>
      </c>
      <c r="C30" s="62">
        <f>+C26</f>
        <v>10</v>
      </c>
      <c r="D30" s="60">
        <f>+C30*B30</f>
        <v>10</v>
      </c>
      <c r="G30" s="68" t="str">
        <f>+G24</f>
        <v>Distrorsix</v>
      </c>
      <c r="H30" s="67">
        <f>+I24</f>
        <v>1.5</v>
      </c>
      <c r="I30" s="68">
        <f>+I26</f>
        <v>5.833333333333333</v>
      </c>
      <c r="J30" s="92">
        <f>+I30*H30</f>
        <v>8.75</v>
      </c>
    </row>
    <row r="32" spans="1:10" x14ac:dyDescent="0.25">
      <c r="A32" s="71" t="s">
        <v>179</v>
      </c>
      <c r="B32" s="72" t="s">
        <v>92</v>
      </c>
      <c r="C32" s="73" t="s">
        <v>88</v>
      </c>
      <c r="D32" s="73"/>
      <c r="G32" t="s">
        <v>266</v>
      </c>
    </row>
    <row r="33" spans="1:12" x14ac:dyDescent="0.25">
      <c r="A33" s="73" t="s">
        <v>159</v>
      </c>
      <c r="B33" s="72">
        <f>+$E$12</f>
        <v>30000</v>
      </c>
      <c r="C33" s="74">
        <f>+E9</f>
        <v>10</v>
      </c>
      <c r="D33" s="74">
        <f>+C33*B33</f>
        <v>300000</v>
      </c>
      <c r="G33" t="s">
        <v>159</v>
      </c>
      <c r="H33" t="s">
        <v>267</v>
      </c>
      <c r="I33" t="s">
        <v>268</v>
      </c>
      <c r="J33" t="s">
        <v>269</v>
      </c>
      <c r="K33" t="s">
        <v>270</v>
      </c>
    </row>
    <row r="34" spans="1:12" ht="15.75" thickBot="1" x14ac:dyDescent="0.3">
      <c r="A34" s="72" t="s">
        <v>160</v>
      </c>
      <c r="B34" s="72">
        <f>+$F$12</f>
        <v>20000</v>
      </c>
      <c r="C34" s="74">
        <f>+F9</f>
        <v>5</v>
      </c>
      <c r="D34" s="75">
        <f>+C34*B34</f>
        <v>100000</v>
      </c>
      <c r="G34" t="s">
        <v>219</v>
      </c>
      <c r="K34" s="18">
        <v>100</v>
      </c>
    </row>
    <row r="35" spans="1:12" x14ac:dyDescent="0.25">
      <c r="A35" s="73"/>
      <c r="B35" s="72"/>
      <c r="C35" s="73"/>
      <c r="D35" s="74">
        <f>SUM(D33:D34)</f>
        <v>400000</v>
      </c>
      <c r="G35" t="s">
        <v>88</v>
      </c>
      <c r="K35" s="18">
        <v>10</v>
      </c>
    </row>
    <row r="36" spans="1:12" ht="15.75" thickBot="1" x14ac:dyDescent="0.3">
      <c r="A36" s="73" t="s">
        <v>265</v>
      </c>
      <c r="B36" s="76">
        <f>+$B$20</f>
        <v>350000</v>
      </c>
      <c r="C36" s="74">
        <f>+B36/B37</f>
        <v>0.875</v>
      </c>
      <c r="D36" s="73" t="s">
        <v>176</v>
      </c>
      <c r="G36" t="s">
        <v>91</v>
      </c>
      <c r="K36" s="89">
        <f>+J29</f>
        <v>5.833333333333333</v>
      </c>
    </row>
    <row r="37" spans="1:12" x14ac:dyDescent="0.25">
      <c r="A37" s="73"/>
      <c r="B37" s="72">
        <f>+D35</f>
        <v>400000</v>
      </c>
      <c r="C37" s="73"/>
      <c r="D37" s="73"/>
      <c r="K37" s="93">
        <f>SUM(K34:K36)</f>
        <v>115.83333333333333</v>
      </c>
      <c r="L37" s="45" t="s">
        <v>271</v>
      </c>
    </row>
    <row r="38" spans="1:12" x14ac:dyDescent="0.25">
      <c r="A38" s="73" t="s">
        <v>264</v>
      </c>
      <c r="B38" s="73"/>
      <c r="C38" s="73"/>
      <c r="D38" s="73"/>
    </row>
    <row r="39" spans="1:12" x14ac:dyDescent="0.25">
      <c r="A39" s="73" t="str">
        <f>+A33</f>
        <v>Espoca</v>
      </c>
      <c r="B39" s="74">
        <f>+C33</f>
        <v>10</v>
      </c>
      <c r="C39" s="74">
        <f>+C36</f>
        <v>0.875</v>
      </c>
      <c r="D39" s="74">
        <f>+C39*B39</f>
        <v>8.75</v>
      </c>
      <c r="G39" t="s">
        <v>266</v>
      </c>
    </row>
    <row r="40" spans="1:12" x14ac:dyDescent="0.25">
      <c r="A40" s="74" t="str">
        <f>+A34</f>
        <v>Distrorsix</v>
      </c>
      <c r="B40" s="74">
        <f>+C34</f>
        <v>5</v>
      </c>
      <c r="C40" s="74">
        <f>+C36</f>
        <v>0.875</v>
      </c>
      <c r="D40" s="72">
        <f>+C40*B40</f>
        <v>4.375</v>
      </c>
      <c r="G40" s="21" t="str">
        <f>+G24</f>
        <v>Distrorsix</v>
      </c>
      <c r="H40" t="s">
        <v>267</v>
      </c>
      <c r="I40" t="s">
        <v>268</v>
      </c>
      <c r="J40" t="s">
        <v>269</v>
      </c>
      <c r="K40" t="s">
        <v>270</v>
      </c>
    </row>
    <row r="41" spans="1:12" x14ac:dyDescent="0.25">
      <c r="G41" t="s">
        <v>219</v>
      </c>
      <c r="K41" s="18">
        <f>+F8</f>
        <v>150</v>
      </c>
    </row>
    <row r="42" spans="1:12" x14ac:dyDescent="0.25">
      <c r="G42" t="s">
        <v>88</v>
      </c>
      <c r="K42" s="18">
        <f>+F9</f>
        <v>5</v>
      </c>
    </row>
    <row r="43" spans="1:12" x14ac:dyDescent="0.25">
      <c r="G43" t="s">
        <v>91</v>
      </c>
      <c r="K43" s="89">
        <f>+J30</f>
        <v>8.75</v>
      </c>
    </row>
    <row r="44" spans="1:12" x14ac:dyDescent="0.25">
      <c r="K44" s="93">
        <f>SUM(K41:K43)</f>
        <v>163.75</v>
      </c>
      <c r="L44" s="45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6F65-A3BA-4FEE-99CE-7B9C7678F937}">
  <sheetPr>
    <tabColor theme="6" tint="0.79998168889431442"/>
  </sheetPr>
  <dimension ref="A1:R46"/>
  <sheetViews>
    <sheetView topLeftCell="A21" zoomScale="115" zoomScaleNormal="115" workbookViewId="0">
      <selection activeCell="H48" sqref="H48"/>
    </sheetView>
  </sheetViews>
  <sheetFormatPr defaultRowHeight="15" x14ac:dyDescent="0.25"/>
  <cols>
    <col min="1" max="1" width="39.42578125" bestFit="1" customWidth="1"/>
    <col min="2" max="2" width="12.85546875" bestFit="1" customWidth="1"/>
    <col min="3" max="3" width="17.7109375" bestFit="1" customWidth="1"/>
    <col min="4" max="4" width="11.7109375" bestFit="1" customWidth="1"/>
    <col min="6" max="6" width="13.85546875" bestFit="1" customWidth="1"/>
    <col min="7" max="7" width="13.7109375" bestFit="1" customWidth="1"/>
    <col min="8" max="8" width="12.85546875" bestFit="1" customWidth="1"/>
    <col min="9" max="9" width="15.7109375" customWidth="1"/>
    <col min="10" max="10" width="17.7109375" bestFit="1" customWidth="1"/>
    <col min="12" max="12" width="20.140625" bestFit="1" customWidth="1"/>
    <col min="14" max="14" width="20.140625" bestFit="1" customWidth="1"/>
    <col min="15" max="15" width="16.140625" customWidth="1"/>
    <col min="16" max="16" width="16.7109375" bestFit="1" customWidth="1"/>
    <col min="17" max="17" width="19.5703125" bestFit="1" customWidth="1"/>
    <col min="18" max="18" width="19.7109375" bestFit="1" customWidth="1"/>
    <col min="19" max="19" width="17.85546875" bestFit="1" customWidth="1"/>
    <col min="20" max="20" width="17.7109375" bestFit="1" customWidth="1"/>
  </cols>
  <sheetData>
    <row r="1" spans="1:18" x14ac:dyDescent="0.25">
      <c r="D1" t="s">
        <v>276</v>
      </c>
      <c r="E1" s="58"/>
      <c r="F1" t="s">
        <v>277</v>
      </c>
      <c r="G1" s="61"/>
    </row>
    <row r="2" spans="1:18" x14ac:dyDescent="0.25">
      <c r="A2" t="s">
        <v>181</v>
      </c>
    </row>
    <row r="3" spans="1:18" x14ac:dyDescent="0.25">
      <c r="F3" s="16"/>
      <c r="G3" s="83" t="s">
        <v>182</v>
      </c>
      <c r="H3" s="83"/>
      <c r="I3" s="83" t="s">
        <v>183</v>
      </c>
      <c r="J3" s="83"/>
      <c r="K3" s="83" t="s">
        <v>184</v>
      </c>
      <c r="L3" s="83"/>
    </row>
    <row r="4" spans="1:18" x14ac:dyDescent="0.25">
      <c r="B4" t="s">
        <v>182</v>
      </c>
      <c r="C4" t="s">
        <v>183</v>
      </c>
      <c r="D4" t="s">
        <v>184</v>
      </c>
      <c r="F4" s="16"/>
      <c r="G4" s="16" t="s">
        <v>201</v>
      </c>
      <c r="H4" s="16" t="s">
        <v>180</v>
      </c>
      <c r="I4" s="16" t="s">
        <v>201</v>
      </c>
      <c r="J4" s="16" t="s">
        <v>180</v>
      </c>
      <c r="K4" s="16" t="s">
        <v>201</v>
      </c>
      <c r="L4" s="16" t="s">
        <v>180</v>
      </c>
    </row>
    <row r="5" spans="1:18" x14ac:dyDescent="0.25">
      <c r="A5" t="s">
        <v>185</v>
      </c>
      <c r="B5" s="18">
        <v>8500</v>
      </c>
      <c r="C5" s="18">
        <v>8000</v>
      </c>
      <c r="D5" s="18">
        <v>8000</v>
      </c>
      <c r="F5" s="16" t="s">
        <v>185</v>
      </c>
      <c r="G5" s="16">
        <v>0.2</v>
      </c>
      <c r="H5" s="16">
        <v>1</v>
      </c>
      <c r="I5" s="16">
        <v>0.4</v>
      </c>
      <c r="J5" s="16">
        <v>1.2</v>
      </c>
      <c r="K5" s="16">
        <v>0.6</v>
      </c>
      <c r="L5" s="16">
        <v>1.5</v>
      </c>
    </row>
    <row r="6" spans="1:18" x14ac:dyDescent="0.25">
      <c r="A6" t="s">
        <v>186</v>
      </c>
      <c r="B6" s="18">
        <v>5000</v>
      </c>
      <c r="C6" s="18">
        <v>4800</v>
      </c>
      <c r="D6" s="18">
        <v>4800</v>
      </c>
      <c r="F6" s="16" t="s">
        <v>200</v>
      </c>
      <c r="G6" s="16">
        <v>0.3</v>
      </c>
      <c r="H6" s="16">
        <v>1.2</v>
      </c>
      <c r="I6" s="16">
        <v>0.5</v>
      </c>
      <c r="J6" s="16">
        <v>1.8</v>
      </c>
      <c r="K6" s="16">
        <v>0.7</v>
      </c>
      <c r="L6" s="16">
        <v>2</v>
      </c>
    </row>
    <row r="7" spans="1:18" x14ac:dyDescent="0.25">
      <c r="B7" s="18"/>
    </row>
    <row r="8" spans="1:18" x14ac:dyDescent="0.25">
      <c r="A8" s="43" t="s">
        <v>187</v>
      </c>
      <c r="B8" s="85" t="s">
        <v>1</v>
      </c>
      <c r="C8" s="43" t="s">
        <v>215</v>
      </c>
      <c r="F8" s="18" t="s">
        <v>182</v>
      </c>
      <c r="G8" s="18" t="s">
        <v>273</v>
      </c>
      <c r="H8" s="18" t="s">
        <v>184</v>
      </c>
      <c r="I8" s="18" t="s">
        <v>272</v>
      </c>
      <c r="J8" s="18" t="s">
        <v>203</v>
      </c>
      <c r="L8" t="s">
        <v>202</v>
      </c>
    </row>
    <row r="9" spans="1:18" x14ac:dyDescent="0.25">
      <c r="A9" t="s">
        <v>162</v>
      </c>
      <c r="B9" s="18">
        <v>2100</v>
      </c>
      <c r="C9" t="s">
        <v>214</v>
      </c>
      <c r="F9" s="57">
        <f t="shared" ref="F9" si="0">+$B$9*70%</f>
        <v>1470</v>
      </c>
      <c r="G9" s="18">
        <f t="shared" ref="G9" si="1">+$B$9*75%</f>
        <v>1575</v>
      </c>
      <c r="H9" s="18">
        <f t="shared" ref="H9" si="2">+$B$9*15%</f>
        <v>315</v>
      </c>
      <c r="I9" s="18"/>
      <c r="J9" s="20"/>
      <c r="L9" s="54"/>
      <c r="M9" s="54" t="s">
        <v>204</v>
      </c>
      <c r="N9" s="54" t="s">
        <v>205</v>
      </c>
      <c r="O9" s="54" t="s">
        <v>206</v>
      </c>
      <c r="P9" s="54" t="s">
        <v>207</v>
      </c>
      <c r="Q9" s="54" t="s">
        <v>208</v>
      </c>
      <c r="R9" s="54" t="s">
        <v>209</v>
      </c>
    </row>
    <row r="10" spans="1:18" x14ac:dyDescent="0.25">
      <c r="A10" t="s">
        <v>199</v>
      </c>
      <c r="B10" s="18">
        <v>9700</v>
      </c>
      <c r="C10" t="s">
        <v>210</v>
      </c>
      <c r="F10" s="57">
        <f>+$B$10*0.7</f>
        <v>6790</v>
      </c>
      <c r="G10" s="18">
        <f>+$B$10*0.2</f>
        <v>1940</v>
      </c>
      <c r="H10" s="18">
        <f>+$B$10*0.1</f>
        <v>970</v>
      </c>
      <c r="I10" s="18"/>
      <c r="J10" s="18"/>
      <c r="L10" s="54" t="s">
        <v>182</v>
      </c>
      <c r="M10" s="84">
        <v>0.25</v>
      </c>
      <c r="N10" s="84">
        <v>0.7</v>
      </c>
      <c r="O10" s="84">
        <v>0.8</v>
      </c>
      <c r="P10" s="84">
        <v>0.2</v>
      </c>
      <c r="Q10" s="84">
        <v>0.5</v>
      </c>
      <c r="R10" s="84">
        <v>0.7</v>
      </c>
    </row>
    <row r="11" spans="1:18" x14ac:dyDescent="0.25">
      <c r="A11" t="s">
        <v>188</v>
      </c>
      <c r="B11" s="18">
        <v>800</v>
      </c>
      <c r="C11" t="s">
        <v>189</v>
      </c>
      <c r="F11" s="97">
        <f>+SUM($B$11:$B$12)*0.8</f>
        <v>4480</v>
      </c>
      <c r="G11" s="95">
        <f>+SUM($B$11:$B$12)*0.1</f>
        <v>560</v>
      </c>
      <c r="H11" s="95">
        <f>+SUM($B$11:$B$12)*0.1</f>
        <v>560</v>
      </c>
      <c r="I11" s="18"/>
      <c r="J11" s="18"/>
      <c r="L11" s="54" t="s">
        <v>183</v>
      </c>
      <c r="M11" s="84">
        <v>0.5</v>
      </c>
      <c r="N11" s="84">
        <v>0.15</v>
      </c>
      <c r="O11" s="84">
        <v>0.1</v>
      </c>
      <c r="P11" s="84">
        <v>0.35</v>
      </c>
      <c r="Q11" s="84">
        <v>0.2</v>
      </c>
      <c r="R11" s="84">
        <v>0.2</v>
      </c>
    </row>
    <row r="12" spans="1:18" x14ac:dyDescent="0.25">
      <c r="A12" t="s">
        <v>189</v>
      </c>
      <c r="B12" s="18">
        <v>4800</v>
      </c>
      <c r="C12" t="s">
        <v>211</v>
      </c>
      <c r="F12" s="20"/>
      <c r="G12" s="20"/>
      <c r="H12" s="18"/>
      <c r="I12" s="20"/>
      <c r="J12" s="18"/>
      <c r="L12" s="54" t="s">
        <v>184</v>
      </c>
      <c r="M12" s="84">
        <v>0.25</v>
      </c>
      <c r="N12" s="84">
        <v>0.15</v>
      </c>
      <c r="O12" s="84">
        <v>0.1</v>
      </c>
      <c r="P12" s="84">
        <v>0.35</v>
      </c>
      <c r="Q12" s="84">
        <v>0.2</v>
      </c>
      <c r="R12" s="84">
        <v>0.1</v>
      </c>
    </row>
    <row r="13" spans="1:18" x14ac:dyDescent="0.25">
      <c r="A13" t="s">
        <v>190</v>
      </c>
      <c r="B13" s="18">
        <v>4000</v>
      </c>
      <c r="C13" t="s">
        <v>40</v>
      </c>
      <c r="F13" s="20"/>
      <c r="G13" s="20"/>
      <c r="H13" s="20"/>
      <c r="I13" s="20">
        <f>+B13</f>
        <v>4000</v>
      </c>
      <c r="J13" s="18"/>
      <c r="L13" s="54" t="s">
        <v>40</v>
      </c>
      <c r="M13" s="84">
        <v>0</v>
      </c>
      <c r="N13" s="84">
        <v>0</v>
      </c>
      <c r="O13" s="84">
        <v>0</v>
      </c>
      <c r="P13" s="84">
        <v>0.05</v>
      </c>
      <c r="Q13" s="84">
        <v>0.05</v>
      </c>
      <c r="R13" s="84">
        <v>0</v>
      </c>
    </row>
    <row r="14" spans="1:18" x14ac:dyDescent="0.25">
      <c r="A14" t="s">
        <v>191</v>
      </c>
      <c r="B14" s="18">
        <v>3000</v>
      </c>
      <c r="C14" t="s">
        <v>212</v>
      </c>
      <c r="F14" s="20"/>
      <c r="G14" s="20"/>
      <c r="H14" s="20"/>
      <c r="I14" s="20"/>
      <c r="J14" s="18">
        <f>+B14</f>
        <v>3000</v>
      </c>
      <c r="L14" s="54" t="s">
        <v>203</v>
      </c>
      <c r="M14" s="84">
        <v>0</v>
      </c>
      <c r="N14" s="84">
        <v>0</v>
      </c>
      <c r="O14" s="84">
        <v>0</v>
      </c>
      <c r="P14" s="84">
        <v>0.05</v>
      </c>
      <c r="Q14" s="84">
        <v>0.05</v>
      </c>
      <c r="R14" s="84">
        <v>0</v>
      </c>
    </row>
    <row r="15" spans="1:18" x14ac:dyDescent="0.25">
      <c r="A15" t="s">
        <v>161</v>
      </c>
      <c r="B15" s="18">
        <v>800</v>
      </c>
      <c r="C15" t="s">
        <v>209</v>
      </c>
      <c r="F15" s="57">
        <f>+$B$15*0.7</f>
        <v>560</v>
      </c>
      <c r="G15" s="18">
        <f>+$B$15*0.2</f>
        <v>160</v>
      </c>
      <c r="H15" s="18">
        <f>+$B$15*0.1</f>
        <v>80</v>
      </c>
      <c r="I15" s="18"/>
      <c r="J15" s="18"/>
    </row>
    <row r="16" spans="1:18" x14ac:dyDescent="0.25">
      <c r="A16" s="77" t="s">
        <v>192</v>
      </c>
      <c r="B16" s="78"/>
      <c r="C16" t="s">
        <v>25</v>
      </c>
      <c r="F16" s="60">
        <f>+B17</f>
        <v>427</v>
      </c>
      <c r="G16" s="18">
        <f>+B18</f>
        <v>537</v>
      </c>
      <c r="H16" s="18">
        <f>+B19</f>
        <v>636</v>
      </c>
      <c r="I16" s="18"/>
      <c r="J16" s="18"/>
    </row>
    <row r="17" spans="1:15" x14ac:dyDescent="0.25">
      <c r="A17" s="79" t="s">
        <v>195</v>
      </c>
      <c r="B17" s="80">
        <v>427</v>
      </c>
      <c r="F17" s="57">
        <f>+$B$20*0.25</f>
        <v>800</v>
      </c>
      <c r="G17" s="18">
        <f>+$B$20*0.5</f>
        <v>1600</v>
      </c>
      <c r="H17" s="18">
        <f>+$B$20*0.25</f>
        <v>800</v>
      </c>
      <c r="I17" s="18"/>
      <c r="J17" s="18"/>
    </row>
    <row r="18" spans="1:15" x14ac:dyDescent="0.25">
      <c r="A18" s="79" t="s">
        <v>193</v>
      </c>
      <c r="B18" s="80">
        <v>537</v>
      </c>
      <c r="F18" s="60">
        <f>+B22</f>
        <v>774</v>
      </c>
      <c r="G18" s="18">
        <f>+B23</f>
        <v>973</v>
      </c>
      <c r="H18" s="18">
        <f>+B24</f>
        <v>1153</v>
      </c>
      <c r="I18" s="18"/>
      <c r="J18" s="18"/>
      <c r="M18" t="s">
        <v>40</v>
      </c>
      <c r="N18" t="s">
        <v>203</v>
      </c>
    </row>
    <row r="19" spans="1:15" x14ac:dyDescent="0.25">
      <c r="A19" s="81" t="s">
        <v>194</v>
      </c>
      <c r="B19" s="82">
        <v>636</v>
      </c>
      <c r="F19" s="60">
        <f>+B26</f>
        <v>4803</v>
      </c>
      <c r="G19" s="18">
        <f>+B27</f>
        <v>6042</v>
      </c>
      <c r="H19" s="18">
        <f>+B28</f>
        <v>7155</v>
      </c>
      <c r="I19" s="18"/>
      <c r="J19" s="18"/>
      <c r="L19" t="s">
        <v>40</v>
      </c>
      <c r="M19">
        <v>0</v>
      </c>
      <c r="N19" t="s">
        <v>73</v>
      </c>
      <c r="O19" t="s">
        <v>274</v>
      </c>
    </row>
    <row r="20" spans="1:15" x14ac:dyDescent="0.25">
      <c r="A20" t="s">
        <v>196</v>
      </c>
      <c r="B20" s="18">
        <v>3200</v>
      </c>
      <c r="C20" t="s">
        <v>204</v>
      </c>
      <c r="F20" s="18">
        <f>+$B$29*0.5</f>
        <v>5000</v>
      </c>
      <c r="G20" s="18">
        <f>+$B$29*0.2</f>
        <v>2000</v>
      </c>
      <c r="H20" s="18">
        <f>+$B$29*0.2</f>
        <v>2000</v>
      </c>
      <c r="I20" s="18">
        <f>+$B$29*0.05</f>
        <v>500</v>
      </c>
      <c r="J20" s="18">
        <f>+$B$29*0.05</f>
        <v>500</v>
      </c>
      <c r="L20" t="s">
        <v>203</v>
      </c>
      <c r="M20" t="s">
        <v>73</v>
      </c>
      <c r="N20">
        <v>0</v>
      </c>
    </row>
    <row r="21" spans="1:15" x14ac:dyDescent="0.25">
      <c r="A21" s="77" t="s">
        <v>197</v>
      </c>
      <c r="B21" s="78"/>
      <c r="C21" t="s">
        <v>25</v>
      </c>
      <c r="F21" s="18"/>
      <c r="G21" s="18"/>
      <c r="H21" s="18"/>
      <c r="I21" s="18"/>
      <c r="J21" s="18"/>
    </row>
    <row r="22" spans="1:15" x14ac:dyDescent="0.25">
      <c r="A22" s="79" t="s">
        <v>195</v>
      </c>
      <c r="B22" s="80">
        <v>774</v>
      </c>
      <c r="F22" s="18"/>
      <c r="G22" s="18"/>
      <c r="H22" s="18"/>
      <c r="I22" s="18"/>
      <c r="J22" s="18"/>
    </row>
    <row r="23" spans="1:15" x14ac:dyDescent="0.25">
      <c r="A23" s="79" t="s">
        <v>193</v>
      </c>
      <c r="B23" s="80">
        <v>973</v>
      </c>
      <c r="F23" s="18"/>
      <c r="G23" s="18"/>
      <c r="H23" s="18"/>
      <c r="I23" s="18"/>
      <c r="J23" s="18"/>
    </row>
    <row r="24" spans="1:15" x14ac:dyDescent="0.25">
      <c r="A24" s="81" t="s">
        <v>194</v>
      </c>
      <c r="B24" s="82">
        <v>1153</v>
      </c>
      <c r="F24" s="25">
        <f t="shared" ref="F24:J24" si="3">SUBTOTAL(109,F9:F23)</f>
        <v>25104</v>
      </c>
      <c r="G24" s="25">
        <f t="shared" si="3"/>
        <v>15387</v>
      </c>
      <c r="H24" s="25">
        <f t="shared" si="3"/>
        <v>13669</v>
      </c>
      <c r="I24" s="25">
        <f t="shared" si="3"/>
        <v>4500</v>
      </c>
      <c r="J24" s="94">
        <f t="shared" si="3"/>
        <v>3500</v>
      </c>
    </row>
    <row r="25" spans="1:15" x14ac:dyDescent="0.25">
      <c r="A25" s="77" t="s">
        <v>198</v>
      </c>
      <c r="B25" s="78"/>
      <c r="C25" t="s">
        <v>25</v>
      </c>
    </row>
    <row r="26" spans="1:15" x14ac:dyDescent="0.25">
      <c r="A26" s="79" t="s">
        <v>195</v>
      </c>
      <c r="B26" s="80">
        <v>4803</v>
      </c>
    </row>
    <row r="27" spans="1:15" x14ac:dyDescent="0.25">
      <c r="A27" s="79" t="s">
        <v>193</v>
      </c>
      <c r="B27" s="80">
        <v>6042</v>
      </c>
    </row>
    <row r="28" spans="1:15" x14ac:dyDescent="0.25">
      <c r="A28" s="81" t="s">
        <v>194</v>
      </c>
      <c r="B28" s="82">
        <v>7155</v>
      </c>
    </row>
    <row r="29" spans="1:15" x14ac:dyDescent="0.25">
      <c r="A29" t="s">
        <v>213</v>
      </c>
      <c r="B29" s="18">
        <v>10000</v>
      </c>
      <c r="C29" t="s">
        <v>216</v>
      </c>
    </row>
    <row r="31" spans="1:15" x14ac:dyDescent="0.25">
      <c r="A31" t="s">
        <v>8</v>
      </c>
      <c r="B31">
        <f>+Table13[[#Totals],[Comdeor ]]</f>
        <v>4500</v>
      </c>
      <c r="D31">
        <f>+B31/95</f>
        <v>47.368421052631582</v>
      </c>
      <c r="F31" s="18">
        <f>+$D$31*20</f>
        <v>947.36842105263167</v>
      </c>
      <c r="G31" s="18">
        <f>+$D$31*35</f>
        <v>1657.8947368421054</v>
      </c>
      <c r="H31" s="18">
        <f>+$D$31*35</f>
        <v>1657.8947368421054</v>
      </c>
      <c r="I31" s="96"/>
      <c r="J31" s="96">
        <f>+$D$31*5</f>
        <v>236.84210526315792</v>
      </c>
    </row>
    <row r="32" spans="1:15" x14ac:dyDescent="0.25">
      <c r="J32" s="21">
        <f>SUM(J24:J31)</f>
        <v>3736.8421052631579</v>
      </c>
    </row>
    <row r="33" spans="1:10" ht="17.25" x14ac:dyDescent="0.4">
      <c r="A33" t="s">
        <v>212</v>
      </c>
      <c r="B33" s="21">
        <f>+J32</f>
        <v>3736.8421052631579</v>
      </c>
      <c r="D33">
        <f>+B33/90</f>
        <v>41.520467836257311</v>
      </c>
      <c r="F33" s="28">
        <f>+$D$33*20</f>
        <v>830.40935672514615</v>
      </c>
      <c r="G33" s="28">
        <f>+$D$33*35</f>
        <v>1453.2163742690059</v>
      </c>
      <c r="H33" s="28">
        <f>+$D$33*35</f>
        <v>1453.2163742690059</v>
      </c>
      <c r="I33" s="18"/>
    </row>
    <row r="34" spans="1:10" x14ac:dyDescent="0.25">
      <c r="F34" s="93">
        <f>+SUM(F24:F33)</f>
        <v>26881.777777777781</v>
      </c>
      <c r="G34" s="93">
        <f t="shared" ref="G34:H34" si="4">+SUM(G24:G33)</f>
        <v>18498.111111111113</v>
      </c>
      <c r="H34" s="93">
        <f t="shared" si="4"/>
        <v>16780.111111111109</v>
      </c>
      <c r="I34" s="45" t="s">
        <v>275</v>
      </c>
      <c r="J34" s="22"/>
    </row>
    <row r="35" spans="1:10" x14ac:dyDescent="0.25">
      <c r="A35" t="s">
        <v>177</v>
      </c>
    </row>
    <row r="36" spans="1:10" x14ac:dyDescent="0.25">
      <c r="A36" t="s">
        <v>182</v>
      </c>
      <c r="B36" t="s">
        <v>278</v>
      </c>
    </row>
    <row r="37" spans="1:10" x14ac:dyDescent="0.25">
      <c r="B37" t="s">
        <v>92</v>
      </c>
      <c r="C37" t="s">
        <v>133</v>
      </c>
    </row>
    <row r="38" spans="1:10" x14ac:dyDescent="0.25">
      <c r="A38" t="s">
        <v>185</v>
      </c>
      <c r="B38" s="21" cm="1">
        <f t="array" ref="B38:B39">+B5:B6</f>
        <v>8500</v>
      </c>
      <c r="C38">
        <v>0.2</v>
      </c>
      <c r="D38" s="33">
        <f>+C38*B38</f>
        <v>1700</v>
      </c>
    </row>
    <row r="39" spans="1:10" x14ac:dyDescent="0.25">
      <c r="A39" t="s">
        <v>186</v>
      </c>
      <c r="B39" s="18">
        <v>5000</v>
      </c>
      <c r="C39">
        <v>0.3</v>
      </c>
      <c r="D39" s="98">
        <f>+C39*B39</f>
        <v>1500</v>
      </c>
    </row>
    <row r="40" spans="1:10" x14ac:dyDescent="0.25">
      <c r="D40" s="33">
        <f>SUM(D38:D39)</f>
        <v>3200</v>
      </c>
      <c r="E40" t="s">
        <v>279</v>
      </c>
    </row>
    <row r="41" spans="1:10" ht="17.25" x14ac:dyDescent="0.25">
      <c r="A41" t="s">
        <v>280</v>
      </c>
      <c r="B41" s="99">
        <f>+F34</f>
        <v>26881.777777777781</v>
      </c>
      <c r="C41" s="18">
        <f>+B41/B42</f>
        <v>8.400555555555556</v>
      </c>
    </row>
    <row r="42" spans="1:10" x14ac:dyDescent="0.25">
      <c r="B42" s="40">
        <f>+D40</f>
        <v>3200</v>
      </c>
    </row>
    <row r="43" spans="1:10" x14ac:dyDescent="0.25">
      <c r="A43" s="43" t="s">
        <v>281</v>
      </c>
    </row>
    <row r="45" spans="1:10" x14ac:dyDescent="0.25">
      <c r="A45" t="s">
        <v>185</v>
      </c>
      <c r="B45" cm="1">
        <f t="array" ref="B45:B46">+C38:C39</f>
        <v>0.2</v>
      </c>
      <c r="C45" s="21">
        <f>+C41</f>
        <v>8.400555555555556</v>
      </c>
      <c r="D45" s="100">
        <f>+C45*B45</f>
        <v>1.6801111111111113</v>
      </c>
    </row>
    <row r="46" spans="1:10" x14ac:dyDescent="0.25">
      <c r="A46" t="s">
        <v>186</v>
      </c>
      <c r="B46">
        <v>0.3</v>
      </c>
      <c r="C46" s="18">
        <v>8.400555555555556</v>
      </c>
      <c r="D46" s="100">
        <f>+C46*B46</f>
        <v>2.5201666666666669</v>
      </c>
    </row>
  </sheetData>
  <mergeCells count="3">
    <mergeCell ref="G3:H3"/>
    <mergeCell ref="I3:J3"/>
    <mergeCell ref="K3:L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D2A5-84CB-4EDC-90DA-D858E21EF2BB}">
  <dimension ref="A1"/>
  <sheetViews>
    <sheetView workbookViewId="0">
      <selection activeCell="H32" sqref="H32"/>
    </sheetView>
  </sheetViews>
  <sheetFormatPr defaultRowHeight="15" x14ac:dyDescent="0.25"/>
  <sheetData>
    <row r="1" spans="1:1" x14ac:dyDescent="0.25">
      <c r="A1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9CF7-D6B6-4AAC-9E72-499D19DC57DE}">
  <sheetPr>
    <tabColor theme="6" tint="0.79998168889431442"/>
  </sheetPr>
  <dimension ref="A1:P28"/>
  <sheetViews>
    <sheetView workbookViewId="0">
      <selection activeCell="H48" sqref="H48"/>
    </sheetView>
  </sheetViews>
  <sheetFormatPr defaultRowHeight="15" x14ac:dyDescent="0.25"/>
  <cols>
    <col min="1" max="1" width="26.5703125" bestFit="1" customWidth="1"/>
    <col min="7" max="7" width="21" bestFit="1" customWidth="1"/>
    <col min="8" max="8" width="14" bestFit="1" customWidth="1"/>
    <col min="9" max="9" width="12.28515625" bestFit="1" customWidth="1"/>
    <col min="10" max="10" width="18.5703125" bestFit="1" customWidth="1"/>
    <col min="11" max="11" width="12" bestFit="1" customWidth="1"/>
    <col min="12" max="12" width="9.42578125" bestFit="1" customWidth="1"/>
  </cols>
  <sheetData>
    <row r="1" spans="1:16" x14ac:dyDescent="0.25">
      <c r="A1" s="43" t="s">
        <v>218</v>
      </c>
      <c r="G1" s="43" t="s">
        <v>152</v>
      </c>
    </row>
    <row r="2" spans="1:16" x14ac:dyDescent="0.25">
      <c r="A2" t="s">
        <v>219</v>
      </c>
      <c r="G2" t="s">
        <v>235</v>
      </c>
      <c r="H2" t="s">
        <v>236</v>
      </c>
      <c r="I2" t="s">
        <v>237</v>
      </c>
      <c r="J2" t="s">
        <v>240</v>
      </c>
      <c r="K2" t="s">
        <v>241</v>
      </c>
      <c r="O2" t="s">
        <v>282</v>
      </c>
    </row>
    <row r="3" spans="1:16" x14ac:dyDescent="0.25">
      <c r="A3" t="s">
        <v>220</v>
      </c>
      <c r="B3" s="18">
        <v>10</v>
      </c>
      <c r="C3" t="s">
        <v>222</v>
      </c>
      <c r="G3" t="s">
        <v>234</v>
      </c>
      <c r="H3" s="33">
        <v>18</v>
      </c>
      <c r="I3" s="33">
        <v>0.8</v>
      </c>
      <c r="J3" s="33">
        <f>+H3/I3</f>
        <v>22.5</v>
      </c>
      <c r="K3" s="18">
        <f>+C26</f>
        <v>13.2</v>
      </c>
      <c r="L3" s="18">
        <f>+K3*J3</f>
        <v>297</v>
      </c>
      <c r="O3" t="s">
        <v>283</v>
      </c>
    </row>
    <row r="4" spans="1:16" x14ac:dyDescent="0.25">
      <c r="A4" t="s">
        <v>221</v>
      </c>
      <c r="B4" s="18">
        <v>6</v>
      </c>
      <c r="C4" t="s">
        <v>222</v>
      </c>
      <c r="G4" t="s">
        <v>238</v>
      </c>
      <c r="H4" s="18"/>
      <c r="I4" s="18"/>
      <c r="J4" s="18"/>
      <c r="K4" s="18">
        <v>50</v>
      </c>
      <c r="L4" s="18">
        <f>+K4</f>
        <v>50</v>
      </c>
      <c r="O4">
        <f>+B6/J3</f>
        <v>50</v>
      </c>
      <c r="P4" t="s">
        <v>235</v>
      </c>
    </row>
    <row r="5" spans="1:16" x14ac:dyDescent="0.25">
      <c r="A5" t="s">
        <v>92</v>
      </c>
      <c r="G5" t="s">
        <v>88</v>
      </c>
      <c r="H5" s="18"/>
      <c r="I5" s="18"/>
      <c r="J5" s="18"/>
      <c r="K5" s="18">
        <v>80</v>
      </c>
      <c r="L5" s="18">
        <f>+K5</f>
        <v>80</v>
      </c>
      <c r="O5">
        <f>+B7/J23</f>
        <v>295</v>
      </c>
      <c r="P5" t="s">
        <v>242</v>
      </c>
    </row>
    <row r="6" spans="1:16" x14ac:dyDescent="0.25">
      <c r="A6" t="s">
        <v>220</v>
      </c>
      <c r="B6">
        <v>1125</v>
      </c>
      <c r="C6" t="s">
        <v>223</v>
      </c>
      <c r="G6" t="s">
        <v>90</v>
      </c>
      <c r="H6" s="18">
        <v>0.3</v>
      </c>
      <c r="I6" s="18"/>
      <c r="J6" s="18"/>
      <c r="K6" s="18">
        <f>+K5*H6</f>
        <v>24</v>
      </c>
      <c r="L6" s="18">
        <f>+K6</f>
        <v>24</v>
      </c>
    </row>
    <row r="7" spans="1:16" x14ac:dyDescent="0.25">
      <c r="A7" t="s">
        <v>221</v>
      </c>
      <c r="B7">
        <v>1475</v>
      </c>
      <c r="C7" t="s">
        <v>224</v>
      </c>
      <c r="G7" t="s">
        <v>239</v>
      </c>
      <c r="H7" s="18"/>
      <c r="I7" s="18"/>
      <c r="J7" s="18"/>
      <c r="K7" s="18"/>
      <c r="L7" s="87">
        <f>+(-11)</f>
        <v>-11</v>
      </c>
    </row>
    <row r="8" spans="1:16" x14ac:dyDescent="0.25">
      <c r="G8" t="s">
        <v>91</v>
      </c>
      <c r="J8" s="32">
        <f>+K14</f>
        <v>0.79996108949416345</v>
      </c>
      <c r="K8" s="21">
        <f>+K5</f>
        <v>80</v>
      </c>
      <c r="L8" s="101">
        <f>+K8*J8</f>
        <v>63.996887159533074</v>
      </c>
    </row>
    <row r="9" spans="1:16" x14ac:dyDescent="0.25">
      <c r="A9" t="s">
        <v>233</v>
      </c>
      <c r="B9" t="s">
        <v>133</v>
      </c>
      <c r="D9" t="s">
        <v>227</v>
      </c>
      <c r="G9" t="s">
        <v>179</v>
      </c>
      <c r="H9" t="s">
        <v>92</v>
      </c>
      <c r="I9" t="s">
        <v>180</v>
      </c>
      <c r="L9" s="93">
        <f>SUM(L3:L8)</f>
        <v>503.99688715953306</v>
      </c>
      <c r="M9" s="45" t="s">
        <v>286</v>
      </c>
      <c r="N9" s="45"/>
      <c r="O9" s="45"/>
      <c r="P9" s="45"/>
    </row>
    <row r="10" spans="1:16" x14ac:dyDescent="0.25">
      <c r="A10" t="s">
        <v>220</v>
      </c>
      <c r="B10">
        <v>4</v>
      </c>
      <c r="C10" t="s">
        <v>225</v>
      </c>
      <c r="D10">
        <f>24/60</f>
        <v>0.4</v>
      </c>
      <c r="E10" t="s">
        <v>228</v>
      </c>
      <c r="G10" t="s">
        <v>235</v>
      </c>
      <c r="H10" cm="1">
        <f t="array" ref="H10:H11">+O4:O5</f>
        <v>50</v>
      </c>
      <c r="I10">
        <v>80</v>
      </c>
      <c r="J10">
        <f>+I10*H10</f>
        <v>4000</v>
      </c>
    </row>
    <row r="11" spans="1:16" x14ac:dyDescent="0.25">
      <c r="A11" t="s">
        <v>221</v>
      </c>
      <c r="B11">
        <v>5</v>
      </c>
      <c r="C11" t="s">
        <v>225</v>
      </c>
      <c r="D11">
        <f>30/60</f>
        <v>0.5</v>
      </c>
      <c r="E11" t="s">
        <v>228</v>
      </c>
      <c r="G11" t="s">
        <v>242</v>
      </c>
      <c r="H11">
        <v>295</v>
      </c>
      <c r="I11">
        <v>30</v>
      </c>
      <c r="J11" s="101">
        <f>+I11*H11</f>
        <v>8850</v>
      </c>
    </row>
    <row r="12" spans="1:16" x14ac:dyDescent="0.25">
      <c r="J12">
        <f>SUM(J10:J11)</f>
        <v>12850</v>
      </c>
    </row>
    <row r="13" spans="1:16" x14ac:dyDescent="0.25">
      <c r="A13" t="s">
        <v>226</v>
      </c>
      <c r="B13">
        <f>200+120+2000+1200+3808+2172</f>
        <v>9500</v>
      </c>
    </row>
    <row r="14" spans="1:16" x14ac:dyDescent="0.25">
      <c r="G14" t="s">
        <v>284</v>
      </c>
      <c r="J14" s="101">
        <v>10279.5</v>
      </c>
      <c r="K14" s="42">
        <f>+J14/J15</f>
        <v>0.79996108949416345</v>
      </c>
      <c r="L14" t="s">
        <v>285</v>
      </c>
    </row>
    <row r="15" spans="1:16" x14ac:dyDescent="0.25">
      <c r="A15" t="s">
        <v>177</v>
      </c>
      <c r="B15" t="s">
        <v>92</v>
      </c>
      <c r="C15" t="s">
        <v>133</v>
      </c>
      <c r="J15">
        <f>+J12</f>
        <v>12850</v>
      </c>
    </row>
    <row r="16" spans="1:16" x14ac:dyDescent="0.25">
      <c r="A16" t="s">
        <v>220</v>
      </c>
      <c r="B16">
        <f>+B6</f>
        <v>1125</v>
      </c>
      <c r="C16">
        <f>+D10</f>
        <v>0.4</v>
      </c>
      <c r="D16">
        <f>+C16*B16</f>
        <v>450</v>
      </c>
    </row>
    <row r="17" spans="1:16" ht="15.75" thickBot="1" x14ac:dyDescent="0.3">
      <c r="A17" t="s">
        <v>221</v>
      </c>
      <c r="B17">
        <f>+B7</f>
        <v>1475</v>
      </c>
      <c r="C17">
        <f>+D11</f>
        <v>0.5</v>
      </c>
      <c r="D17" s="37">
        <f>+C17*B17</f>
        <v>737.5</v>
      </c>
    </row>
    <row r="18" spans="1:16" x14ac:dyDescent="0.25">
      <c r="D18">
        <f>SUM(D16:D17)</f>
        <v>1187.5</v>
      </c>
    </row>
    <row r="19" spans="1:16" ht="15.75" thickBot="1" x14ac:dyDescent="0.3">
      <c r="A19" t="s">
        <v>109</v>
      </c>
      <c r="B19" s="86">
        <f>+B13</f>
        <v>9500</v>
      </c>
      <c r="C19">
        <f>+B19/B20</f>
        <v>8</v>
      </c>
      <c r="D19" t="s">
        <v>147</v>
      </c>
    </row>
    <row r="20" spans="1:16" x14ac:dyDescent="0.25">
      <c r="B20" s="40">
        <f>+D18</f>
        <v>1187.5</v>
      </c>
    </row>
    <row r="22" spans="1:16" x14ac:dyDescent="0.25">
      <c r="A22" t="s">
        <v>229</v>
      </c>
      <c r="G22" t="s">
        <v>242</v>
      </c>
      <c r="H22" t="s">
        <v>236</v>
      </c>
      <c r="I22" t="s">
        <v>237</v>
      </c>
      <c r="J22" t="s">
        <v>240</v>
      </c>
      <c r="K22" t="s">
        <v>241</v>
      </c>
    </row>
    <row r="23" spans="1:16" x14ac:dyDescent="0.25">
      <c r="A23" t="s">
        <v>220</v>
      </c>
      <c r="B23">
        <f>+C16</f>
        <v>0.4</v>
      </c>
      <c r="C23">
        <f>+$C$19</f>
        <v>8</v>
      </c>
      <c r="D23">
        <f>+C23*B23</f>
        <v>3.2</v>
      </c>
      <c r="G23" t="s">
        <v>234</v>
      </c>
      <c r="H23">
        <v>4.5</v>
      </c>
      <c r="I23">
        <v>0.9</v>
      </c>
      <c r="J23">
        <v>5</v>
      </c>
      <c r="K23">
        <v>10</v>
      </c>
      <c r="L23">
        <v>50</v>
      </c>
    </row>
    <row r="24" spans="1:16" x14ac:dyDescent="0.25">
      <c r="A24" t="s">
        <v>221</v>
      </c>
      <c r="B24">
        <f>+C17</f>
        <v>0.5</v>
      </c>
      <c r="C24">
        <f>+$C$19</f>
        <v>8</v>
      </c>
      <c r="D24">
        <f>+C24*B24</f>
        <v>4</v>
      </c>
      <c r="G24" t="s">
        <v>238</v>
      </c>
      <c r="K24">
        <v>10</v>
      </c>
      <c r="L24">
        <v>10</v>
      </c>
    </row>
    <row r="25" spans="1:16" x14ac:dyDescent="0.25">
      <c r="G25" t="s">
        <v>88</v>
      </c>
      <c r="K25">
        <v>30</v>
      </c>
      <c r="L25">
        <v>30</v>
      </c>
    </row>
    <row r="26" spans="1:16" x14ac:dyDescent="0.25">
      <c r="A26" s="22" t="s">
        <v>230</v>
      </c>
      <c r="B26" s="22"/>
      <c r="C26" s="25">
        <f>+D23+B3</f>
        <v>13.2</v>
      </c>
      <c r="D26" s="22" t="s">
        <v>232</v>
      </c>
      <c r="G26" t="s">
        <v>90</v>
      </c>
      <c r="H26">
        <v>0.3</v>
      </c>
      <c r="K26">
        <v>9</v>
      </c>
      <c r="L26">
        <v>9</v>
      </c>
    </row>
    <row r="27" spans="1:16" x14ac:dyDescent="0.25">
      <c r="A27" s="22" t="s">
        <v>231</v>
      </c>
      <c r="B27" s="22"/>
      <c r="C27" s="25">
        <f>+D24+B4</f>
        <v>10</v>
      </c>
      <c r="D27" s="22" t="s">
        <v>232</v>
      </c>
      <c r="G27" t="s">
        <v>91</v>
      </c>
      <c r="J27" s="32">
        <f>+K14</f>
        <v>0.79996108949416345</v>
      </c>
      <c r="K27">
        <f>+K25</f>
        <v>30</v>
      </c>
      <c r="L27" s="101">
        <f>+K27*J27</f>
        <v>23.998832684824905</v>
      </c>
    </row>
    <row r="28" spans="1:16" x14ac:dyDescent="0.25">
      <c r="L28" s="45">
        <f>SUM(L23:L27)</f>
        <v>122.9988326848249</v>
      </c>
      <c r="M28" s="45" t="s">
        <v>287</v>
      </c>
      <c r="N28" s="45"/>
      <c r="O28" s="45"/>
      <c r="P28" s="4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79998168889431442"/>
  </sheetPr>
  <dimension ref="A1:O66"/>
  <sheetViews>
    <sheetView topLeftCell="A4" workbookViewId="0">
      <selection activeCell="H48" sqref="H48"/>
    </sheetView>
  </sheetViews>
  <sheetFormatPr defaultColWidth="11.42578125" defaultRowHeight="15" x14ac:dyDescent="0.25"/>
  <cols>
    <col min="1" max="1" width="28.42578125" bestFit="1" customWidth="1"/>
    <col min="2" max="2" width="18.7109375" bestFit="1" customWidth="1"/>
    <col min="3" max="3" width="12" style="18" bestFit="1" customWidth="1"/>
    <col min="4" max="4" width="20.140625" bestFit="1" customWidth="1"/>
    <col min="5" max="5" width="22.140625" bestFit="1" customWidth="1"/>
    <col min="6" max="6" width="13.7109375" bestFit="1" customWidth="1"/>
  </cols>
  <sheetData>
    <row r="1" spans="1:15" x14ac:dyDescent="0.25">
      <c r="A1" t="s">
        <v>79</v>
      </c>
    </row>
    <row r="3" spans="1:15" x14ac:dyDescent="0.25">
      <c r="A3" t="s">
        <v>80</v>
      </c>
      <c r="C3" s="18" t="s">
        <v>83</v>
      </c>
      <c r="H3" t="s">
        <v>84</v>
      </c>
      <c r="L3" t="s">
        <v>85</v>
      </c>
    </row>
    <row r="5" spans="1:15" x14ac:dyDescent="0.25">
      <c r="B5" t="s">
        <v>86</v>
      </c>
      <c r="C5" s="18" t="s">
        <v>87</v>
      </c>
    </row>
    <row r="6" spans="1:15" x14ac:dyDescent="0.25">
      <c r="A6" t="s">
        <v>81</v>
      </c>
      <c r="B6">
        <v>1.1000000000000001</v>
      </c>
      <c r="C6" s="18">
        <v>5</v>
      </c>
      <c r="D6">
        <f>+C6*B6</f>
        <v>5.5</v>
      </c>
    </row>
    <row r="7" spans="1:15" x14ac:dyDescent="0.25">
      <c r="A7" t="s">
        <v>82</v>
      </c>
      <c r="B7">
        <v>0.15</v>
      </c>
      <c r="C7" s="18">
        <v>1</v>
      </c>
      <c r="D7">
        <f>+C7*B7</f>
        <v>0.15</v>
      </c>
    </row>
    <row r="8" spans="1:15" x14ac:dyDescent="0.25">
      <c r="A8" t="s">
        <v>88</v>
      </c>
      <c r="B8">
        <v>0.5</v>
      </c>
      <c r="C8" s="18">
        <v>2</v>
      </c>
      <c r="D8">
        <f>+C8*B8</f>
        <v>1</v>
      </c>
    </row>
    <row r="9" spans="1:15" x14ac:dyDescent="0.25">
      <c r="A9" t="s">
        <v>90</v>
      </c>
      <c r="B9">
        <v>0.5</v>
      </c>
      <c r="C9" s="18">
        <v>1</v>
      </c>
      <c r="D9">
        <f>+C9*B9</f>
        <v>0.5</v>
      </c>
    </row>
    <row r="10" spans="1:15" ht="18" thickBot="1" x14ac:dyDescent="0.45">
      <c r="A10" t="s">
        <v>91</v>
      </c>
      <c r="C10" s="38">
        <v>19800</v>
      </c>
      <c r="D10" s="21">
        <f>+C10/C11</f>
        <v>6.6</v>
      </c>
    </row>
    <row r="11" spans="1:15" x14ac:dyDescent="0.25">
      <c r="A11" t="s">
        <v>92</v>
      </c>
      <c r="C11" s="18">
        <v>3000</v>
      </c>
    </row>
    <row r="12" spans="1:15" x14ac:dyDescent="0.25">
      <c r="D12" s="22">
        <f>+SUM(D6:D10)</f>
        <v>13.75</v>
      </c>
      <c r="E12" s="22" t="s">
        <v>93</v>
      </c>
      <c r="F12" s="22"/>
    </row>
    <row r="13" spans="1:15" x14ac:dyDescent="0.25">
      <c r="A13" s="36"/>
      <c r="B13" s="36"/>
      <c r="C13" s="34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15" x14ac:dyDescent="0.25">
      <c r="A14" t="s">
        <v>94</v>
      </c>
      <c r="C14" s="18" t="s">
        <v>95</v>
      </c>
      <c r="H14" t="s">
        <v>96</v>
      </c>
      <c r="L14" t="s">
        <v>97</v>
      </c>
    </row>
    <row r="16" spans="1:15" x14ac:dyDescent="0.25">
      <c r="B16" t="s">
        <v>104</v>
      </c>
      <c r="C16" s="18" t="s">
        <v>103</v>
      </c>
      <c r="D16" s="18" t="s">
        <v>86</v>
      </c>
      <c r="E16" t="s">
        <v>105</v>
      </c>
    </row>
    <row r="17" spans="1:5" x14ac:dyDescent="0.25">
      <c r="A17" t="s">
        <v>98</v>
      </c>
      <c r="B17">
        <v>2.7</v>
      </c>
      <c r="C17" s="35">
        <v>0.9</v>
      </c>
      <c r="D17">
        <f>+B17/C17</f>
        <v>3</v>
      </c>
      <c r="E17">
        <f>+C22/D17</f>
        <v>300</v>
      </c>
    </row>
    <row r="18" spans="1:5" x14ac:dyDescent="0.25">
      <c r="A18" t="s">
        <v>99</v>
      </c>
      <c r="B18">
        <v>1.35</v>
      </c>
      <c r="C18" s="35">
        <v>0.9</v>
      </c>
      <c r="D18">
        <f t="shared" ref="D18:D19" si="0">+B18/C18</f>
        <v>1.5</v>
      </c>
      <c r="E18">
        <f>+C23/D18</f>
        <v>400</v>
      </c>
    </row>
    <row r="19" spans="1:5" x14ac:dyDescent="0.25">
      <c r="A19" t="s">
        <v>100</v>
      </c>
      <c r="B19">
        <v>0.45</v>
      </c>
      <c r="C19" s="35">
        <v>0.9</v>
      </c>
      <c r="D19">
        <f t="shared" si="0"/>
        <v>0.5</v>
      </c>
      <c r="E19">
        <f>+C24/D19</f>
        <v>3000</v>
      </c>
    </row>
    <row r="20" spans="1:5" x14ac:dyDescent="0.25">
      <c r="A20" t="s">
        <v>101</v>
      </c>
      <c r="C20" s="18">
        <v>15180</v>
      </c>
    </row>
    <row r="21" spans="1:5" x14ac:dyDescent="0.25">
      <c r="A21" t="s">
        <v>92</v>
      </c>
    </row>
    <row r="22" spans="1:5" x14ac:dyDescent="0.25">
      <c r="A22" t="s">
        <v>98</v>
      </c>
      <c r="B22" s="32">
        <v>0.3</v>
      </c>
      <c r="C22" s="33">
        <f>+B22*$C$11</f>
        <v>900</v>
      </c>
      <c r="D22" t="s">
        <v>102</v>
      </c>
    </row>
    <row r="23" spans="1:5" x14ac:dyDescent="0.25">
      <c r="A23" t="s">
        <v>99</v>
      </c>
      <c r="B23" s="32">
        <v>0.2</v>
      </c>
      <c r="C23" s="33">
        <f t="shared" ref="C23:C24" si="1">+B23*$C$11</f>
        <v>600</v>
      </c>
      <c r="D23" t="s">
        <v>102</v>
      </c>
    </row>
    <row r="24" spans="1:5" x14ac:dyDescent="0.25">
      <c r="A24" t="s">
        <v>100</v>
      </c>
      <c r="B24" s="32">
        <v>0.5</v>
      </c>
      <c r="C24" s="33">
        <f t="shared" si="1"/>
        <v>1500</v>
      </c>
      <c r="D24" t="s">
        <v>102</v>
      </c>
    </row>
    <row r="26" spans="1:5" x14ac:dyDescent="0.25">
      <c r="A26" t="s">
        <v>106</v>
      </c>
    </row>
    <row r="27" spans="1:5" x14ac:dyDescent="0.25">
      <c r="A27" t="s">
        <v>107</v>
      </c>
      <c r="B27" t="s">
        <v>92</v>
      </c>
      <c r="C27" t="s">
        <v>108</v>
      </c>
    </row>
    <row r="28" spans="1:5" x14ac:dyDescent="0.25">
      <c r="A28" t="s">
        <v>98</v>
      </c>
      <c r="B28">
        <v>300</v>
      </c>
      <c r="C28">
        <v>0.8</v>
      </c>
      <c r="D28">
        <f>+B28*C28</f>
        <v>240</v>
      </c>
      <c r="E28" t="s">
        <v>89</v>
      </c>
    </row>
    <row r="29" spans="1:5" x14ac:dyDescent="0.25">
      <c r="A29" t="s">
        <v>99</v>
      </c>
      <c r="B29">
        <v>400</v>
      </c>
      <c r="C29">
        <v>0.5</v>
      </c>
      <c r="D29">
        <f t="shared" ref="D29:D30" si="2">+B29*C29</f>
        <v>200</v>
      </c>
      <c r="E29" t="s">
        <v>89</v>
      </c>
    </row>
    <row r="30" spans="1:5" ht="15.75" thickBot="1" x14ac:dyDescent="0.3">
      <c r="A30" t="s">
        <v>100</v>
      </c>
      <c r="B30">
        <v>3000</v>
      </c>
      <c r="C30">
        <v>0.2</v>
      </c>
      <c r="D30" s="37">
        <f t="shared" si="2"/>
        <v>600</v>
      </c>
      <c r="E30" t="s">
        <v>89</v>
      </c>
    </row>
    <row r="31" spans="1:5" x14ac:dyDescent="0.25">
      <c r="D31">
        <f>SUM(D28:D30)</f>
        <v>1040</v>
      </c>
      <c r="E31" t="s">
        <v>89</v>
      </c>
    </row>
    <row r="33" spans="1:9" ht="15.75" thickBot="1" x14ac:dyDescent="0.3">
      <c r="A33" s="22" t="s">
        <v>109</v>
      </c>
      <c r="B33" s="22"/>
      <c r="C33" s="39">
        <f>+C20</f>
        <v>15180</v>
      </c>
      <c r="D33" s="25">
        <f>+C33/C34</f>
        <v>14.596153846153847</v>
      </c>
      <c r="E33" s="22" t="s">
        <v>110</v>
      </c>
    </row>
    <row r="34" spans="1:9" x14ac:dyDescent="0.25">
      <c r="C34" s="18">
        <f>+D31</f>
        <v>1040</v>
      </c>
    </row>
    <row r="36" spans="1:9" ht="15.75" thickBot="1" x14ac:dyDescent="0.3">
      <c r="A36" t="s">
        <v>111</v>
      </c>
      <c r="B36" s="41">
        <v>1560</v>
      </c>
      <c r="C36" s="41">
        <v>1560</v>
      </c>
      <c r="D36" s="41">
        <v>1560</v>
      </c>
      <c r="E36" s="42">
        <f>+D36/D37</f>
        <v>0.5</v>
      </c>
      <c r="F36" t="s">
        <v>114</v>
      </c>
    </row>
    <row r="37" spans="1:9" x14ac:dyDescent="0.25">
      <c r="B37" s="40" t="s">
        <v>112</v>
      </c>
      <c r="C37" s="18" t="s">
        <v>113</v>
      </c>
      <c r="D37" s="40">
        <f>1040*3</f>
        <v>3120</v>
      </c>
    </row>
    <row r="39" spans="1:9" x14ac:dyDescent="0.25">
      <c r="A39" s="43" t="s">
        <v>115</v>
      </c>
      <c r="B39" s="43"/>
    </row>
    <row r="40" spans="1:9" x14ac:dyDescent="0.25">
      <c r="B40" t="s">
        <v>104</v>
      </c>
      <c r="C40" s="18" t="s">
        <v>117</v>
      </c>
      <c r="D40" t="s">
        <v>86</v>
      </c>
      <c r="E40" t="s">
        <v>87</v>
      </c>
      <c r="F40" t="s">
        <v>118</v>
      </c>
    </row>
    <row r="41" spans="1:9" x14ac:dyDescent="0.25">
      <c r="A41" t="s">
        <v>116</v>
      </c>
      <c r="B41" s="18">
        <v>2.7</v>
      </c>
      <c r="C41" s="35">
        <v>0.9</v>
      </c>
      <c r="D41">
        <f>+B41/C41</f>
        <v>3</v>
      </c>
      <c r="E41" s="18">
        <f>+D12</f>
        <v>13.75</v>
      </c>
      <c r="F41" s="18">
        <f>+E41*D41</f>
        <v>41.25</v>
      </c>
    </row>
    <row r="42" spans="1:9" x14ac:dyDescent="0.25">
      <c r="A42" t="s">
        <v>119</v>
      </c>
      <c r="C42" s="35">
        <v>0.1</v>
      </c>
      <c r="D42" s="21">
        <f>+D41-B41</f>
        <v>0.29999999999999982</v>
      </c>
      <c r="E42">
        <f>+(-4)</f>
        <v>-4</v>
      </c>
      <c r="F42" s="21">
        <f>+E42*D42</f>
        <v>-1.1999999999999993</v>
      </c>
    </row>
    <row r="43" spans="1:9" x14ac:dyDescent="0.25">
      <c r="D43" t="s">
        <v>120</v>
      </c>
      <c r="E43" t="s">
        <v>121</v>
      </c>
    </row>
    <row r="44" spans="1:9" x14ac:dyDescent="0.25">
      <c r="A44" t="s">
        <v>88</v>
      </c>
      <c r="D44">
        <v>0.8</v>
      </c>
      <c r="E44">
        <v>3</v>
      </c>
      <c r="F44">
        <f>+E44*D44</f>
        <v>2.4000000000000004</v>
      </c>
    </row>
    <row r="45" spans="1:9" x14ac:dyDescent="0.25">
      <c r="A45" t="s">
        <v>111</v>
      </c>
      <c r="C45" s="35">
        <v>0.5</v>
      </c>
      <c r="D45" t="s">
        <v>122</v>
      </c>
      <c r="F45">
        <f>+F44*C45</f>
        <v>1.2000000000000002</v>
      </c>
    </row>
    <row r="46" spans="1:9" ht="15.75" thickBot="1" x14ac:dyDescent="0.3">
      <c r="A46" t="s">
        <v>91</v>
      </c>
      <c r="D46">
        <v>0.8</v>
      </c>
      <c r="E46" s="21">
        <f>+D33</f>
        <v>14.596153846153847</v>
      </c>
      <c r="F46" s="37">
        <f>+E46*D46</f>
        <v>11.676923076923078</v>
      </c>
    </row>
    <row r="47" spans="1:9" x14ac:dyDescent="0.25">
      <c r="A47" s="22" t="s">
        <v>123</v>
      </c>
      <c r="B47" s="22"/>
      <c r="C47" s="23"/>
      <c r="D47" s="22"/>
      <c r="E47" s="22"/>
      <c r="F47" s="25">
        <f>SUM(F41:F46)</f>
        <v>55.32692307692308</v>
      </c>
      <c r="G47" s="22" t="s">
        <v>124</v>
      </c>
      <c r="H47" s="22"/>
      <c r="I47" s="22"/>
    </row>
    <row r="49" spans="1:9" x14ac:dyDescent="0.25">
      <c r="A49" s="43" t="s">
        <v>125</v>
      </c>
      <c r="B49" s="43"/>
    </row>
    <row r="50" spans="1:9" x14ac:dyDescent="0.25">
      <c r="B50" t="s">
        <v>104</v>
      </c>
      <c r="C50" s="18" t="s">
        <v>117</v>
      </c>
      <c r="D50" t="s">
        <v>86</v>
      </c>
      <c r="E50" t="s">
        <v>87</v>
      </c>
      <c r="F50" t="s">
        <v>118</v>
      </c>
    </row>
    <row r="51" spans="1:9" x14ac:dyDescent="0.25">
      <c r="A51" t="s">
        <v>116</v>
      </c>
      <c r="B51" s="18">
        <v>1.35</v>
      </c>
      <c r="C51" s="35">
        <v>0.9</v>
      </c>
      <c r="D51">
        <f>+B51/C51</f>
        <v>1.5</v>
      </c>
      <c r="E51" s="18">
        <f>+D12</f>
        <v>13.75</v>
      </c>
      <c r="F51" s="18">
        <f>+E51*D51</f>
        <v>20.625</v>
      </c>
    </row>
    <row r="52" spans="1:9" x14ac:dyDescent="0.25">
      <c r="A52" t="s">
        <v>119</v>
      </c>
      <c r="C52" s="35">
        <v>0.1</v>
      </c>
      <c r="D52" s="21">
        <f>+D51-B51</f>
        <v>0.14999999999999991</v>
      </c>
      <c r="E52">
        <f>+(-4)</f>
        <v>-4</v>
      </c>
      <c r="F52" s="21">
        <f>+E52*D52</f>
        <v>-0.59999999999999964</v>
      </c>
    </row>
    <row r="53" spans="1:9" x14ac:dyDescent="0.25">
      <c r="D53" t="s">
        <v>120</v>
      </c>
      <c r="E53" t="s">
        <v>121</v>
      </c>
    </row>
    <row r="54" spans="1:9" x14ac:dyDescent="0.25">
      <c r="A54" t="s">
        <v>88</v>
      </c>
      <c r="D54">
        <v>0.5</v>
      </c>
      <c r="E54">
        <v>3</v>
      </c>
      <c r="F54">
        <f>+E54*D54</f>
        <v>1.5</v>
      </c>
    </row>
    <row r="55" spans="1:9" x14ac:dyDescent="0.25">
      <c r="A55" t="s">
        <v>111</v>
      </c>
      <c r="C55" s="35">
        <v>0.5</v>
      </c>
      <c r="F55">
        <f>+F54*C55</f>
        <v>0.75</v>
      </c>
    </row>
    <row r="56" spans="1:9" ht="15.75" thickBot="1" x14ac:dyDescent="0.3">
      <c r="A56" t="s">
        <v>91</v>
      </c>
      <c r="D56">
        <v>0.5</v>
      </c>
      <c r="E56" s="21">
        <f>+E46</f>
        <v>14.596153846153847</v>
      </c>
      <c r="F56" s="44">
        <f>+E56*D56</f>
        <v>7.2980769230769234</v>
      </c>
    </row>
    <row r="57" spans="1:9" x14ac:dyDescent="0.25">
      <c r="A57" s="22" t="s">
        <v>55</v>
      </c>
      <c r="B57" s="22"/>
      <c r="C57" s="23"/>
      <c r="D57" s="22"/>
      <c r="E57" s="22"/>
      <c r="F57" s="25">
        <f>SUM(F51:F56)</f>
        <v>29.573076923076922</v>
      </c>
      <c r="G57" s="22" t="s">
        <v>126</v>
      </c>
      <c r="H57" s="22"/>
      <c r="I57" s="22"/>
    </row>
    <row r="58" spans="1:9" x14ac:dyDescent="0.25">
      <c r="A58" s="43" t="s">
        <v>127</v>
      </c>
      <c r="B58" s="43"/>
    </row>
    <row r="59" spans="1:9" x14ac:dyDescent="0.25">
      <c r="B59" t="s">
        <v>104</v>
      </c>
      <c r="C59" s="18" t="s">
        <v>117</v>
      </c>
      <c r="D59" t="s">
        <v>86</v>
      </c>
      <c r="E59" t="s">
        <v>87</v>
      </c>
      <c r="F59" t="s">
        <v>118</v>
      </c>
    </row>
    <row r="60" spans="1:9" x14ac:dyDescent="0.25">
      <c r="A60" t="s">
        <v>116</v>
      </c>
      <c r="B60">
        <v>0.45</v>
      </c>
      <c r="C60" s="35">
        <v>0.9</v>
      </c>
      <c r="D60">
        <f>+B60/C60</f>
        <v>0.5</v>
      </c>
      <c r="E60" s="18">
        <f>+D12</f>
        <v>13.75</v>
      </c>
      <c r="F60" s="18">
        <f>+E60*D60</f>
        <v>6.875</v>
      </c>
    </row>
    <row r="61" spans="1:9" x14ac:dyDescent="0.25">
      <c r="A61" t="s">
        <v>119</v>
      </c>
      <c r="C61" s="35">
        <v>0.1</v>
      </c>
      <c r="D61" s="21">
        <f>+D60-B60</f>
        <v>4.9999999999999989E-2</v>
      </c>
      <c r="E61">
        <f>+(-4)</f>
        <v>-4</v>
      </c>
      <c r="F61" s="21">
        <f>+E61*D61</f>
        <v>-0.19999999999999996</v>
      </c>
    </row>
    <row r="62" spans="1:9" x14ac:dyDescent="0.25">
      <c r="D62" t="s">
        <v>120</v>
      </c>
      <c r="E62" t="s">
        <v>121</v>
      </c>
    </row>
    <row r="63" spans="1:9" x14ac:dyDescent="0.25">
      <c r="A63" t="s">
        <v>88</v>
      </c>
      <c r="D63">
        <v>0.2</v>
      </c>
      <c r="E63">
        <v>3</v>
      </c>
      <c r="F63">
        <f>+E63*D63</f>
        <v>0.60000000000000009</v>
      </c>
    </row>
    <row r="64" spans="1:9" x14ac:dyDescent="0.25">
      <c r="A64" t="s">
        <v>111</v>
      </c>
      <c r="C64" s="35">
        <v>0.5</v>
      </c>
      <c r="F64">
        <f>+F63*C64</f>
        <v>0.30000000000000004</v>
      </c>
    </row>
    <row r="65" spans="1:9" ht="15.75" thickBot="1" x14ac:dyDescent="0.3">
      <c r="A65" t="s">
        <v>91</v>
      </c>
      <c r="D65">
        <v>0.2</v>
      </c>
      <c r="E65" s="21">
        <f>+E56</f>
        <v>14.596153846153847</v>
      </c>
      <c r="F65" s="44">
        <f>+E65*D65</f>
        <v>2.9192307692307695</v>
      </c>
    </row>
    <row r="66" spans="1:9" x14ac:dyDescent="0.25">
      <c r="A66" s="22" t="s">
        <v>55</v>
      </c>
      <c r="B66" s="22"/>
      <c r="C66" s="23"/>
      <c r="D66" s="22"/>
      <c r="E66" s="22"/>
      <c r="F66" s="25">
        <f>SUM(F60:F65)</f>
        <v>10.49423076923077</v>
      </c>
      <c r="G66" s="22" t="s">
        <v>128</v>
      </c>
      <c r="H66" s="22"/>
      <c r="I66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09F3-3A0D-421E-B51A-E8BA30920F0B}">
  <sheetPr>
    <tabColor theme="6" tint="0.79998168889431442"/>
  </sheetPr>
  <dimension ref="A1:Y51"/>
  <sheetViews>
    <sheetView tabSelected="1" topLeftCell="A10" zoomScale="85" zoomScaleNormal="85" workbookViewId="0">
      <selection activeCell="I44" sqref="I44"/>
    </sheetView>
  </sheetViews>
  <sheetFormatPr defaultRowHeight="15" x14ac:dyDescent="0.25"/>
  <cols>
    <col min="1" max="1" width="34.7109375" bestFit="1" customWidth="1"/>
    <col min="2" max="2" width="12" bestFit="1" customWidth="1"/>
    <col min="4" max="4" width="14.42578125" bestFit="1" customWidth="1"/>
    <col min="9" max="9" width="18.140625" bestFit="1" customWidth="1"/>
    <col min="10" max="10" width="5" bestFit="1" customWidth="1"/>
    <col min="12" max="12" width="18.140625" bestFit="1" customWidth="1"/>
    <col min="15" max="15" width="12" bestFit="1" customWidth="1"/>
    <col min="16" max="16" width="10.140625" bestFit="1" customWidth="1"/>
    <col min="20" max="20" width="10.28515625" bestFit="1" customWidth="1"/>
  </cols>
  <sheetData>
    <row r="1" spans="1:18" x14ac:dyDescent="0.25">
      <c r="A1" t="s">
        <v>243</v>
      </c>
    </row>
    <row r="3" spans="1:18" x14ac:dyDescent="0.25">
      <c r="A3" s="43" t="s">
        <v>244</v>
      </c>
    </row>
    <row r="4" spans="1:18" x14ac:dyDescent="0.25">
      <c r="A4" t="s">
        <v>219</v>
      </c>
      <c r="B4" t="s">
        <v>236</v>
      </c>
      <c r="C4" t="s">
        <v>248</v>
      </c>
      <c r="D4" t="s">
        <v>250</v>
      </c>
      <c r="E4" t="s">
        <v>249</v>
      </c>
      <c r="I4" s="54" t="s">
        <v>251</v>
      </c>
      <c r="J4" s="54" t="s">
        <v>89</v>
      </c>
      <c r="L4" t="s">
        <v>92</v>
      </c>
      <c r="O4" t="s">
        <v>174</v>
      </c>
    </row>
    <row r="5" spans="1:18" x14ac:dyDescent="0.25">
      <c r="A5" t="s">
        <v>245</v>
      </c>
      <c r="B5">
        <v>0.2</v>
      </c>
      <c r="C5" s="32">
        <v>0.8</v>
      </c>
      <c r="D5">
        <f>+B5/C5</f>
        <v>0.25</v>
      </c>
      <c r="E5" s="18">
        <v>20</v>
      </c>
      <c r="F5" s="18">
        <f>+E5*D5</f>
        <v>5</v>
      </c>
      <c r="I5" s="54" t="s">
        <v>245</v>
      </c>
      <c r="J5" s="16">
        <v>0.7</v>
      </c>
      <c r="L5" t="s">
        <v>245</v>
      </c>
      <c r="M5">
        <v>262</v>
      </c>
      <c r="O5" s="18">
        <v>20173.810000000001</v>
      </c>
    </row>
    <row r="6" spans="1:18" x14ac:dyDescent="0.25">
      <c r="A6" t="s">
        <v>246</v>
      </c>
      <c r="B6">
        <v>0.45</v>
      </c>
      <c r="C6" s="32">
        <v>0.75</v>
      </c>
      <c r="D6">
        <f>+B6/C6</f>
        <v>0.6</v>
      </c>
      <c r="E6" s="18">
        <v>40</v>
      </c>
      <c r="F6" s="18">
        <f t="shared" ref="F6:F7" si="0">+E6*D6</f>
        <v>24</v>
      </c>
      <c r="I6" s="54" t="s">
        <v>246</v>
      </c>
      <c r="J6" s="16">
        <v>0.8</v>
      </c>
      <c r="L6" t="s">
        <v>246</v>
      </c>
      <c r="M6">
        <v>262</v>
      </c>
      <c r="R6">
        <f>+O14/100</f>
        <v>9.5300000000000003E-3</v>
      </c>
    </row>
    <row r="7" spans="1:18" x14ac:dyDescent="0.25">
      <c r="A7" t="s">
        <v>247</v>
      </c>
      <c r="B7">
        <v>1.2</v>
      </c>
      <c r="C7" s="32">
        <v>0.93</v>
      </c>
      <c r="D7">
        <f>+B7/C7</f>
        <v>1.2903225806451613</v>
      </c>
      <c r="E7" s="18">
        <f>500/25</f>
        <v>20</v>
      </c>
      <c r="F7" s="18">
        <f t="shared" si="0"/>
        <v>25.806451612903224</v>
      </c>
      <c r="I7" s="54" t="s">
        <v>247</v>
      </c>
      <c r="J7" s="16">
        <v>1.44</v>
      </c>
      <c r="L7" t="s">
        <v>247</v>
      </c>
      <c r="M7">
        <v>262</v>
      </c>
      <c r="R7">
        <f>+O15/100</f>
        <v>9.5300000000000003E-3</v>
      </c>
    </row>
    <row r="8" spans="1:18" x14ac:dyDescent="0.25">
      <c r="R8">
        <f>+O16/100</f>
        <v>9.5300000000000003E-3</v>
      </c>
    </row>
    <row r="9" spans="1:18" x14ac:dyDescent="0.25">
      <c r="A9" t="s">
        <v>175</v>
      </c>
      <c r="B9" t="s">
        <v>92</v>
      </c>
      <c r="C9" t="s">
        <v>89</v>
      </c>
      <c r="R9">
        <f>+O17/100</f>
        <v>9.5300000000000003E-3</v>
      </c>
    </row>
    <row r="10" spans="1:18" x14ac:dyDescent="0.25">
      <c r="A10" t="s">
        <v>245</v>
      </c>
      <c r="B10">
        <f>+M5</f>
        <v>262</v>
      </c>
      <c r="C10">
        <f>+J5</f>
        <v>0.7</v>
      </c>
      <c r="D10">
        <f>+C10*B10</f>
        <v>183.39999999999998</v>
      </c>
    </row>
    <row r="11" spans="1:18" x14ac:dyDescent="0.25">
      <c r="A11" t="s">
        <v>246</v>
      </c>
      <c r="B11">
        <f>+M6</f>
        <v>262</v>
      </c>
      <c r="C11">
        <f t="shared" ref="C11:C12" si="1">+J6</f>
        <v>0.8</v>
      </c>
      <c r="D11" s="88">
        <f>+C11*B11</f>
        <v>209.60000000000002</v>
      </c>
      <c r="L11" s="43" t="s">
        <v>261</v>
      </c>
    </row>
    <row r="12" spans="1:18" ht="15.75" thickBot="1" x14ac:dyDescent="0.3">
      <c r="A12" t="s">
        <v>247</v>
      </c>
      <c r="B12">
        <f>+M7</f>
        <v>262</v>
      </c>
      <c r="C12">
        <f t="shared" si="1"/>
        <v>1.44</v>
      </c>
      <c r="D12" s="37">
        <f t="shared" ref="D11:D12" si="2">+C12*B12</f>
        <v>377.28</v>
      </c>
      <c r="L12" t="s">
        <v>262</v>
      </c>
    </row>
    <row r="13" spans="1:18" x14ac:dyDescent="0.25">
      <c r="D13">
        <f>SUM(D10:D12)</f>
        <v>770.28</v>
      </c>
      <c r="L13" t="s">
        <v>263</v>
      </c>
      <c r="M13" t="s">
        <v>219</v>
      </c>
      <c r="N13" t="s">
        <v>236</v>
      </c>
      <c r="O13" t="s">
        <v>248</v>
      </c>
      <c r="P13" t="s">
        <v>250</v>
      </c>
      <c r="Q13" t="s">
        <v>87</v>
      </c>
    </row>
    <row r="14" spans="1:18" x14ac:dyDescent="0.25">
      <c r="A14" t="s">
        <v>109</v>
      </c>
      <c r="B14" s="90">
        <f>+O5</f>
        <v>20173.810000000001</v>
      </c>
      <c r="D14" s="18">
        <f>+B14/B15</f>
        <v>26.190229526925275</v>
      </c>
      <c r="E14" t="s">
        <v>252</v>
      </c>
      <c r="L14" t="s">
        <v>245</v>
      </c>
      <c r="N14">
        <v>1</v>
      </c>
      <c r="O14">
        <v>0.95299999999999996</v>
      </c>
      <c r="P14">
        <f>+N14/O14</f>
        <v>1.0493179433368311</v>
      </c>
      <c r="Q14" s="21">
        <f>+F23</f>
        <v>34.708160668847697</v>
      </c>
      <c r="R14">
        <f>+Q14*P14</f>
        <v>36.41989577003956</v>
      </c>
    </row>
    <row r="15" spans="1:18" x14ac:dyDescent="0.25">
      <c r="B15" s="40">
        <f>+D13</f>
        <v>770.28</v>
      </c>
      <c r="L15" t="s">
        <v>246</v>
      </c>
      <c r="N15">
        <v>1</v>
      </c>
      <c r="O15">
        <v>0.95299999999999996</v>
      </c>
      <c r="P15">
        <f>+N15/O15</f>
        <v>1.0493179433368311</v>
      </c>
      <c r="Q15" s="21">
        <f>+F31</f>
        <v>57.952183621540222</v>
      </c>
      <c r="R15">
        <f t="shared" ref="R15:R19" si="3">+Q15*P15</f>
        <v>60.810266129632979</v>
      </c>
    </row>
    <row r="16" spans="1:18" x14ac:dyDescent="0.25">
      <c r="L16" t="s">
        <v>247</v>
      </c>
      <c r="N16">
        <v>1</v>
      </c>
      <c r="O16">
        <v>0.95299999999999996</v>
      </c>
      <c r="P16">
        <f>+N16/O16</f>
        <v>1.0493179433368311</v>
      </c>
      <c r="Q16" s="21">
        <f>+F39</f>
        <v>86.920382131675609</v>
      </c>
      <c r="R16">
        <f t="shared" si="3"/>
        <v>91.207116612461292</v>
      </c>
    </row>
    <row r="17" spans="1:24" x14ac:dyDescent="0.25">
      <c r="A17" s="43" t="s">
        <v>253</v>
      </c>
      <c r="L17" t="s">
        <v>290</v>
      </c>
      <c r="N17">
        <v>0.04</v>
      </c>
      <c r="O17">
        <v>0.95299999999999996</v>
      </c>
      <c r="P17">
        <f>+N17/O17</f>
        <v>4.1972717733473247E-2</v>
      </c>
      <c r="Q17" s="18">
        <f>+W18</f>
        <v>5</v>
      </c>
      <c r="R17">
        <f t="shared" si="3"/>
        <v>0.20986358866736624</v>
      </c>
      <c r="T17">
        <v>20</v>
      </c>
      <c r="U17">
        <v>100</v>
      </c>
    </row>
    <row r="18" spans="1:24" x14ac:dyDescent="0.25">
      <c r="A18" t="s">
        <v>219</v>
      </c>
      <c r="B18" t="s">
        <v>236</v>
      </c>
      <c r="C18" t="s">
        <v>248</v>
      </c>
      <c r="D18" t="s">
        <v>250</v>
      </c>
      <c r="E18" t="s">
        <v>249</v>
      </c>
      <c r="L18" t="s">
        <v>291</v>
      </c>
      <c r="N18">
        <v>1</v>
      </c>
      <c r="O18">
        <v>0.95299999999999996</v>
      </c>
      <c r="P18">
        <f>+N18/O18</f>
        <v>1.0493179433368311</v>
      </c>
      <c r="Q18" s="18">
        <v>15</v>
      </c>
      <c r="R18">
        <f t="shared" si="3"/>
        <v>15.739769150052467</v>
      </c>
      <c r="T18">
        <v>1</v>
      </c>
      <c r="U18" t="s">
        <v>73</v>
      </c>
      <c r="V18">
        <f>+T18*U17</f>
        <v>100</v>
      </c>
      <c r="W18">
        <f>+V18/T17</f>
        <v>5</v>
      </c>
      <c r="X18" t="s">
        <v>292</v>
      </c>
    </row>
    <row r="19" spans="1:24" x14ac:dyDescent="0.25">
      <c r="A19" t="s">
        <v>245</v>
      </c>
      <c r="B19">
        <v>0.2</v>
      </c>
      <c r="C19" s="32">
        <v>0.8</v>
      </c>
      <c r="D19">
        <f>+B19/C19</f>
        <v>0.25</v>
      </c>
      <c r="E19" s="18">
        <v>20</v>
      </c>
      <c r="F19" s="18">
        <f>+E19*D19</f>
        <v>5</v>
      </c>
      <c r="L19" t="s">
        <v>88</v>
      </c>
      <c r="P19">
        <f>45/60</f>
        <v>0.75</v>
      </c>
      <c r="Q19" s="18">
        <v>15</v>
      </c>
      <c r="R19">
        <f t="shared" si="3"/>
        <v>11.25</v>
      </c>
    </row>
    <row r="20" spans="1:24" x14ac:dyDescent="0.25">
      <c r="A20" t="s">
        <v>88</v>
      </c>
      <c r="D20">
        <f>+J5</f>
        <v>0.7</v>
      </c>
      <c r="E20">
        <v>10</v>
      </c>
      <c r="F20" s="18">
        <f>+E20*D20</f>
        <v>7</v>
      </c>
      <c r="L20" t="s">
        <v>111</v>
      </c>
      <c r="N20" s="32">
        <v>0.6</v>
      </c>
      <c r="R20">
        <f>+R19*N20</f>
        <v>6.75</v>
      </c>
    </row>
    <row r="21" spans="1:24" x14ac:dyDescent="0.25">
      <c r="A21" t="s">
        <v>254</v>
      </c>
      <c r="B21" s="91">
        <v>0.625</v>
      </c>
      <c r="F21" s="18">
        <f>+F20*B21</f>
        <v>4.375</v>
      </c>
      <c r="L21" t="s">
        <v>91</v>
      </c>
      <c r="P21">
        <f>+U23</f>
        <v>11.25</v>
      </c>
      <c r="Q21" s="21">
        <f>+W30</f>
        <v>2.1646257142857142</v>
      </c>
      <c r="R21" s="101">
        <f>+Q21*P21</f>
        <v>24.352039285714284</v>
      </c>
    </row>
    <row r="22" spans="1:24" x14ac:dyDescent="0.25">
      <c r="A22" t="s">
        <v>255</v>
      </c>
      <c r="D22">
        <f>+D20</f>
        <v>0.7</v>
      </c>
      <c r="E22" s="21">
        <f>+$D$14</f>
        <v>26.190229526925275</v>
      </c>
      <c r="F22" s="27">
        <f>+E22*D22</f>
        <v>18.333160668847693</v>
      </c>
      <c r="R22" s="104">
        <f>SUM(R14:R21)</f>
        <v>246.73895053656796</v>
      </c>
      <c r="T22" s="58"/>
      <c r="U22" s="58" t="s">
        <v>296</v>
      </c>
      <c r="V22" s="58" t="s">
        <v>295</v>
      </c>
      <c r="W22" s="58"/>
    </row>
    <row r="23" spans="1:24" x14ac:dyDescent="0.25">
      <c r="F23" s="23">
        <f>SUM(F19:F22)</f>
        <v>34.708160668847697</v>
      </c>
      <c r="G23" s="22" t="s">
        <v>256</v>
      </c>
      <c r="H23" s="22"/>
      <c r="I23" s="22"/>
      <c r="T23" s="58" t="s">
        <v>297</v>
      </c>
      <c r="U23" s="58">
        <f>+R19</f>
        <v>11.25</v>
      </c>
      <c r="V23" s="58">
        <v>5</v>
      </c>
      <c r="W23" s="58">
        <f>+V23+U23</f>
        <v>16.25</v>
      </c>
    </row>
    <row r="24" spans="1:24" x14ac:dyDescent="0.25">
      <c r="T24" s="58" t="s">
        <v>298</v>
      </c>
      <c r="U24" s="58">
        <f>+R32</f>
        <v>7.5</v>
      </c>
      <c r="V24" s="58">
        <v>5</v>
      </c>
      <c r="W24" s="58">
        <f>+V24+U24</f>
        <v>12.5</v>
      </c>
    </row>
    <row r="25" spans="1:24" x14ac:dyDescent="0.25">
      <c r="A25" s="43" t="s">
        <v>257</v>
      </c>
    </row>
    <row r="26" spans="1:24" x14ac:dyDescent="0.25">
      <c r="A26" t="s">
        <v>219</v>
      </c>
      <c r="B26" t="s">
        <v>236</v>
      </c>
      <c r="C26" t="s">
        <v>248</v>
      </c>
      <c r="D26" t="s">
        <v>250</v>
      </c>
      <c r="E26" t="s">
        <v>249</v>
      </c>
      <c r="L26" t="s">
        <v>299</v>
      </c>
      <c r="M26" t="s">
        <v>219</v>
      </c>
      <c r="N26" t="s">
        <v>236</v>
      </c>
      <c r="O26" t="s">
        <v>248</v>
      </c>
      <c r="P26" t="s">
        <v>250</v>
      </c>
      <c r="Q26" t="s">
        <v>87</v>
      </c>
      <c r="T26" s="58" t="s">
        <v>179</v>
      </c>
      <c r="U26" s="58" t="s">
        <v>92</v>
      </c>
      <c r="V26" s="58"/>
      <c r="W26" s="58"/>
    </row>
    <row r="27" spans="1:24" x14ac:dyDescent="0.25">
      <c r="A27" t="s">
        <v>246</v>
      </c>
      <c r="B27">
        <v>0.45</v>
      </c>
      <c r="C27" s="32">
        <v>0.75</v>
      </c>
      <c r="D27">
        <f>+B27/C27</f>
        <v>0.6</v>
      </c>
      <c r="E27" s="18">
        <v>40</v>
      </c>
      <c r="F27" s="18">
        <f t="shared" ref="F27" si="4">+E27*D27</f>
        <v>24</v>
      </c>
      <c r="L27" t="s">
        <v>245</v>
      </c>
      <c r="N27">
        <v>1</v>
      </c>
      <c r="O27">
        <f t="shared" ref="O27:O30" si="5">100-4.7</f>
        <v>95.3</v>
      </c>
      <c r="P27">
        <f>+N27/O27</f>
        <v>1.0493179433368312E-2</v>
      </c>
      <c r="Q27" s="21">
        <f>+F23</f>
        <v>34.708160668847697</v>
      </c>
      <c r="R27">
        <f>+Q27*P27</f>
        <v>0.36419895770039562</v>
      </c>
      <c r="T27" s="58" t="s">
        <v>297</v>
      </c>
      <c r="U27" s="58">
        <v>100</v>
      </c>
      <c r="V27" s="58" cm="1">
        <f t="array" ref="V27:V28">+W23:W24</f>
        <v>16.25</v>
      </c>
      <c r="W27" s="58">
        <f>+V27*U27</f>
        <v>1625</v>
      </c>
    </row>
    <row r="28" spans="1:24" x14ac:dyDescent="0.25">
      <c r="A28" t="s">
        <v>88</v>
      </c>
      <c r="D28">
        <f>+J6</f>
        <v>0.8</v>
      </c>
      <c r="E28">
        <v>10</v>
      </c>
      <c r="F28" s="18">
        <f>+E28*D28</f>
        <v>8</v>
      </c>
      <c r="L28" t="s">
        <v>246</v>
      </c>
      <c r="N28">
        <v>1</v>
      </c>
      <c r="O28">
        <f t="shared" si="5"/>
        <v>95.3</v>
      </c>
      <c r="P28">
        <f t="shared" ref="P28:P31" si="6">+N28/O28</f>
        <v>1.0493179433368312E-2</v>
      </c>
      <c r="Q28" s="21">
        <f>+F31</f>
        <v>57.952183621540222</v>
      </c>
      <c r="R28">
        <f t="shared" ref="R28:R31" si="7">+Q28*P28</f>
        <v>0.60810266129632973</v>
      </c>
      <c r="T28" s="58" t="s">
        <v>298</v>
      </c>
      <c r="U28" s="58">
        <v>150</v>
      </c>
      <c r="V28" s="58">
        <v>12.5</v>
      </c>
      <c r="W28" s="102">
        <f>+V28*U28</f>
        <v>1875</v>
      </c>
    </row>
    <row r="29" spans="1:24" x14ac:dyDescent="0.25">
      <c r="A29" t="s">
        <v>254</v>
      </c>
      <c r="B29" s="91">
        <v>0.625</v>
      </c>
      <c r="F29" s="18">
        <f>+F28*B29</f>
        <v>5</v>
      </c>
      <c r="L29" t="s">
        <v>247</v>
      </c>
      <c r="N29">
        <v>1</v>
      </c>
      <c r="O29">
        <f t="shared" si="5"/>
        <v>95.3</v>
      </c>
      <c r="P29">
        <f t="shared" si="6"/>
        <v>1.0493179433368312E-2</v>
      </c>
      <c r="Q29" s="21">
        <f>+F39</f>
        <v>86.920382131675609</v>
      </c>
      <c r="R29">
        <f t="shared" si="7"/>
        <v>0.91207116612461303</v>
      </c>
      <c r="T29" s="58"/>
      <c r="U29" s="58"/>
      <c r="V29" s="58"/>
      <c r="W29" s="58">
        <f>SUM(W27:W28)</f>
        <v>3500</v>
      </c>
    </row>
    <row r="30" spans="1:24" x14ac:dyDescent="0.25">
      <c r="A30" t="s">
        <v>255</v>
      </c>
      <c r="D30">
        <f>+D28</f>
        <v>0.8</v>
      </c>
      <c r="E30" s="21">
        <f>+$D$14</f>
        <v>26.190229526925275</v>
      </c>
      <c r="F30" s="27">
        <f>+E30*D30</f>
        <v>20.952183621540222</v>
      </c>
      <c r="L30" t="s">
        <v>290</v>
      </c>
      <c r="N30">
        <v>0.05</v>
      </c>
      <c r="O30">
        <f t="shared" si="5"/>
        <v>95.3</v>
      </c>
      <c r="P30">
        <f t="shared" si="6"/>
        <v>5.2465897166841555E-4</v>
      </c>
      <c r="Q30">
        <f>+W18</f>
        <v>5</v>
      </c>
      <c r="R30">
        <f t="shared" si="7"/>
        <v>2.6232948583420779E-3</v>
      </c>
      <c r="T30" s="58" t="s">
        <v>300</v>
      </c>
      <c r="U30" s="58"/>
      <c r="V30" s="102">
        <v>7576.19</v>
      </c>
      <c r="W30" s="103">
        <f>+V30/V31</f>
        <v>2.1646257142857142</v>
      </c>
    </row>
    <row r="31" spans="1:24" x14ac:dyDescent="0.25">
      <c r="F31" s="23">
        <f>SUM(F27:F30)</f>
        <v>57.952183621540222</v>
      </c>
      <c r="G31" s="22" t="s">
        <v>259</v>
      </c>
      <c r="H31" s="22"/>
      <c r="I31" s="22"/>
      <c r="L31" t="s">
        <v>291</v>
      </c>
      <c r="N31">
        <v>1</v>
      </c>
      <c r="O31">
        <v>0.85299999999999998</v>
      </c>
      <c r="P31">
        <f>+N31/O31</f>
        <v>1.1723329425556859</v>
      </c>
      <c r="Q31">
        <v>5</v>
      </c>
      <c r="R31">
        <f t="shared" si="7"/>
        <v>5.8616647127784294</v>
      </c>
      <c r="T31" s="58"/>
      <c r="U31" s="58"/>
      <c r="V31" s="58">
        <f>+W29</f>
        <v>3500</v>
      </c>
      <c r="W31" s="58"/>
    </row>
    <row r="32" spans="1:24" x14ac:dyDescent="0.25">
      <c r="L32" t="s">
        <v>88</v>
      </c>
      <c r="P32">
        <f>30/60</f>
        <v>0.5</v>
      </c>
      <c r="Q32" s="21">
        <f>+Q18</f>
        <v>15</v>
      </c>
      <c r="R32">
        <f>+Q32*P32</f>
        <v>7.5</v>
      </c>
    </row>
    <row r="33" spans="1:25" x14ac:dyDescent="0.25">
      <c r="A33" s="43" t="s">
        <v>258</v>
      </c>
      <c r="L33" t="s">
        <v>111</v>
      </c>
      <c r="N33" s="32">
        <v>0.6</v>
      </c>
      <c r="R33">
        <f>+R32*N33</f>
        <v>4.5</v>
      </c>
    </row>
    <row r="34" spans="1:25" x14ac:dyDescent="0.25">
      <c r="A34" t="s">
        <v>219</v>
      </c>
      <c r="B34" t="s">
        <v>236</v>
      </c>
      <c r="C34" t="s">
        <v>248</v>
      </c>
      <c r="D34" t="s">
        <v>250</v>
      </c>
      <c r="E34" t="s">
        <v>249</v>
      </c>
      <c r="L34" t="s">
        <v>91</v>
      </c>
      <c r="P34">
        <f>+U24</f>
        <v>7.5</v>
      </c>
      <c r="Q34" s="21">
        <f>+W30</f>
        <v>2.1646257142857142</v>
      </c>
      <c r="R34" s="101">
        <f>+Q34*P34</f>
        <v>16.234692857142857</v>
      </c>
    </row>
    <row r="35" spans="1:25" x14ac:dyDescent="0.25">
      <c r="A35" t="s">
        <v>247</v>
      </c>
      <c r="B35">
        <v>1.2</v>
      </c>
      <c r="C35" s="32">
        <v>0.93</v>
      </c>
      <c r="D35">
        <f>+B35/C35</f>
        <v>1.2903225806451613</v>
      </c>
      <c r="E35" s="18">
        <f>500/25</f>
        <v>20</v>
      </c>
      <c r="F35" s="18">
        <f t="shared" ref="F35" si="8">+E35*D35</f>
        <v>25.806451612903224</v>
      </c>
      <c r="R35" s="104">
        <f>SUM(R27:R34)</f>
        <v>35.983353649900963</v>
      </c>
    </row>
    <row r="36" spans="1:25" x14ac:dyDescent="0.25">
      <c r="A36" t="s">
        <v>88</v>
      </c>
      <c r="D36">
        <f>+J7</f>
        <v>1.44</v>
      </c>
      <c r="E36">
        <v>10</v>
      </c>
      <c r="F36" s="18">
        <f>+E36*D36</f>
        <v>14.399999999999999</v>
      </c>
    </row>
    <row r="37" spans="1:25" x14ac:dyDescent="0.25">
      <c r="A37" t="s">
        <v>254</v>
      </c>
      <c r="B37" s="91">
        <v>0.625</v>
      </c>
      <c r="F37" s="18">
        <f>+F36*B37</f>
        <v>9</v>
      </c>
      <c r="L37" t="s">
        <v>293</v>
      </c>
      <c r="M37" t="s">
        <v>236</v>
      </c>
      <c r="N37" t="s">
        <v>248</v>
      </c>
      <c r="O37" t="s">
        <v>250</v>
      </c>
      <c r="P37" t="s">
        <v>87</v>
      </c>
    </row>
    <row r="38" spans="1:25" x14ac:dyDescent="0.25">
      <c r="A38" t="s">
        <v>255</v>
      </c>
      <c r="D38">
        <f>+D36</f>
        <v>1.44</v>
      </c>
      <c r="E38" s="21">
        <f>+$D$14</f>
        <v>26.190229526925275</v>
      </c>
      <c r="F38" s="27">
        <f>+E38*D38</f>
        <v>37.713930518772393</v>
      </c>
      <c r="L38" t="s">
        <v>301</v>
      </c>
      <c r="M38">
        <v>1</v>
      </c>
      <c r="N38">
        <v>1</v>
      </c>
      <c r="O38">
        <f>+M38/N38</f>
        <v>1</v>
      </c>
      <c r="P38" s="18">
        <f>+R22</f>
        <v>246.73895053656796</v>
      </c>
      <c r="Q38">
        <f>+P38*O38</f>
        <v>246.73895053656796</v>
      </c>
    </row>
    <row r="39" spans="1:25" x14ac:dyDescent="0.25">
      <c r="F39" s="23">
        <f>SUM(F35:F38)</f>
        <v>86.920382131675609</v>
      </c>
      <c r="G39" s="22" t="s">
        <v>260</v>
      </c>
      <c r="H39" s="22"/>
      <c r="I39" s="22"/>
      <c r="L39" t="s">
        <v>302</v>
      </c>
      <c r="M39">
        <v>1</v>
      </c>
      <c r="N39">
        <v>1</v>
      </c>
      <c r="O39">
        <f>+M39/N39</f>
        <v>1</v>
      </c>
      <c r="P39" s="18">
        <v>10</v>
      </c>
      <c r="Q39">
        <f>+P39*O39</f>
        <v>10</v>
      </c>
    </row>
    <row r="40" spans="1:25" x14ac:dyDescent="0.25">
      <c r="L40" t="s">
        <v>88</v>
      </c>
      <c r="P40">
        <v>5</v>
      </c>
      <c r="Q40">
        <v>5</v>
      </c>
    </row>
    <row r="41" spans="1:25" x14ac:dyDescent="0.25">
      <c r="L41" t="s">
        <v>254</v>
      </c>
      <c r="M41" s="32">
        <v>0.6</v>
      </c>
      <c r="Q41">
        <f>+Q40*M41</f>
        <v>3</v>
      </c>
    </row>
    <row r="42" spans="1:25" x14ac:dyDescent="0.25">
      <c r="L42" t="s">
        <v>91</v>
      </c>
      <c r="O42" s="21">
        <f>+W30</f>
        <v>2.1646257142857142</v>
      </c>
      <c r="P42">
        <f>+P40</f>
        <v>5</v>
      </c>
      <c r="Q42" s="89">
        <f>+P42*O42</f>
        <v>10.823128571428571</v>
      </c>
    </row>
    <row r="43" spans="1:25" x14ac:dyDescent="0.25">
      <c r="Q43" s="45">
        <f>SUM(Q38:Q42)</f>
        <v>275.56207910799651</v>
      </c>
      <c r="R43" s="45" t="s">
        <v>305</v>
      </c>
      <c r="S43" s="45"/>
      <c r="T43" s="45"/>
      <c r="U43" s="45"/>
      <c r="V43" s="45"/>
      <c r="W43" s="45"/>
      <c r="X43" s="45"/>
      <c r="Y43" s="45"/>
    </row>
    <row r="45" spans="1:25" x14ac:dyDescent="0.25">
      <c r="L45" t="s">
        <v>293</v>
      </c>
      <c r="M45" t="s">
        <v>236</v>
      </c>
      <c r="N45" t="s">
        <v>248</v>
      </c>
      <c r="O45" t="s">
        <v>250</v>
      </c>
      <c r="P45" t="s">
        <v>87</v>
      </c>
    </row>
    <row r="46" spans="1:25" x14ac:dyDescent="0.25">
      <c r="L46" t="s">
        <v>303</v>
      </c>
      <c r="M46">
        <v>1</v>
      </c>
      <c r="N46">
        <v>1</v>
      </c>
      <c r="O46">
        <v>1</v>
      </c>
      <c r="P46">
        <f>+R35</f>
        <v>35.983353649900963</v>
      </c>
      <c r="Q46">
        <f>+P46*O46</f>
        <v>35.983353649900963</v>
      </c>
    </row>
    <row r="47" spans="1:25" x14ac:dyDescent="0.25">
      <c r="L47" t="s">
        <v>302</v>
      </c>
      <c r="M47">
        <v>1</v>
      </c>
      <c r="N47">
        <v>1</v>
      </c>
      <c r="O47">
        <v>1</v>
      </c>
      <c r="P47">
        <v>10</v>
      </c>
      <c r="Q47">
        <v>10</v>
      </c>
    </row>
    <row r="48" spans="1:25" x14ac:dyDescent="0.25">
      <c r="L48" t="s">
        <v>88</v>
      </c>
      <c r="P48">
        <v>5</v>
      </c>
      <c r="Q48">
        <v>5</v>
      </c>
    </row>
    <row r="49" spans="12:25" x14ac:dyDescent="0.25">
      <c r="L49" t="s">
        <v>254</v>
      </c>
      <c r="M49">
        <v>0.6</v>
      </c>
      <c r="Q49">
        <v>3</v>
      </c>
    </row>
    <row r="50" spans="12:25" x14ac:dyDescent="0.25">
      <c r="L50" t="s">
        <v>91</v>
      </c>
      <c r="O50" s="21">
        <f>+W30</f>
        <v>2.1646257142857142</v>
      </c>
      <c r="P50">
        <v>5</v>
      </c>
      <c r="Q50" s="89">
        <f>+P50*O50</f>
        <v>10.823128571428571</v>
      </c>
    </row>
    <row r="51" spans="12:25" x14ac:dyDescent="0.25">
      <c r="Q51" s="45">
        <f>SUM(Q46:Q50)</f>
        <v>64.806482221329532</v>
      </c>
      <c r="R51" s="45" t="s">
        <v>304</v>
      </c>
      <c r="S51" s="45"/>
      <c r="T51" s="45"/>
      <c r="U51" s="45"/>
      <c r="V51" s="45"/>
      <c r="W51" s="45"/>
      <c r="X51" s="45"/>
      <c r="Y51" s="4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4CCC-330D-4DBC-9F9A-D680F031E93D}">
  <dimension ref="A2:B3"/>
  <sheetViews>
    <sheetView workbookViewId="0">
      <selection activeCell="B4" sqref="B4"/>
    </sheetView>
  </sheetViews>
  <sheetFormatPr defaultRowHeight="15" x14ac:dyDescent="0.25"/>
  <sheetData>
    <row r="2" spans="1:2" x14ac:dyDescent="0.25">
      <c r="A2" t="s">
        <v>288</v>
      </c>
    </row>
    <row r="3" spans="1:2" x14ac:dyDescent="0.25">
      <c r="A3" t="s">
        <v>289</v>
      </c>
      <c r="B3" t="s">
        <v>294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Ejercicio Numero 12</vt:lpstr>
      <vt:lpstr>Ejercicio Numero 13</vt:lpstr>
      <vt:lpstr>Ejercicio numero 14</vt:lpstr>
      <vt:lpstr>Ejercicio Numero 15</vt:lpstr>
      <vt:lpstr>Ejercicio Numero 16</vt:lpstr>
      <vt:lpstr>Ejercicio 17</vt:lpstr>
      <vt:lpstr>Ejercicio Numero 18</vt:lpstr>
      <vt:lpstr>Ejercicio Numero 19</vt:lpstr>
      <vt:lpstr>Ejercicio Numero 20 </vt:lpstr>
      <vt:lpstr>Machete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Juan Mera</cp:lastModifiedBy>
  <dcterms:created xsi:type="dcterms:W3CDTF">2022-10-14T21:36:10Z</dcterms:created>
  <dcterms:modified xsi:type="dcterms:W3CDTF">2022-10-25T23:50:36Z</dcterms:modified>
</cp:coreProperties>
</file>