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40f27279678150/Escritorio/"/>
    </mc:Choice>
  </mc:AlternateContent>
  <xr:revisionPtr revIDLastSave="0" documentId="8_{D92109A1-6026-42BA-9E2E-F6496A0B66AD}" xr6:coauthVersionLast="47" xr6:coauthVersionMax="47" xr10:uidLastSave="{00000000-0000-0000-0000-000000000000}"/>
  <bookViews>
    <workbookView xWindow="-120" yWindow="-120" windowWidth="29040" windowHeight="15840" xr2:uid="{C6447243-FA68-4D52-B5FB-C7EC2245D8F3}"/>
  </bookViews>
  <sheets>
    <sheet name="Ejercicio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3" i="1" l="1"/>
  <c r="L83" i="1"/>
  <c r="M83" i="1" s="1"/>
  <c r="R83" i="1"/>
  <c r="K83" i="1"/>
  <c r="T83" i="1"/>
  <c r="R82" i="1"/>
  <c r="T82" i="1" s="1"/>
  <c r="S81" i="1"/>
  <c r="T81" i="1" s="1"/>
  <c r="T84" i="1" s="1"/>
  <c r="R81" i="1"/>
  <c r="K82" i="1"/>
  <c r="M82" i="1" s="1"/>
  <c r="L81" i="1"/>
  <c r="M81" i="1" s="1"/>
  <c r="K81" i="1"/>
  <c r="E83" i="1"/>
  <c r="F83" i="1" s="1"/>
  <c r="E81" i="1"/>
  <c r="D83" i="1"/>
  <c r="F82" i="1"/>
  <c r="D82" i="1"/>
  <c r="F81" i="1"/>
  <c r="D81" i="1"/>
  <c r="R65" i="1"/>
  <c r="K65" i="1"/>
  <c r="D65" i="1"/>
  <c r="C73" i="1"/>
  <c r="C72" i="1"/>
  <c r="D72" i="1" s="1"/>
  <c r="C71" i="1"/>
  <c r="S64" i="1"/>
  <c r="T64" i="1" s="1"/>
  <c r="R64" i="1"/>
  <c r="S63" i="1"/>
  <c r="T63" i="1" s="1"/>
  <c r="R63" i="1"/>
  <c r="L64" i="1"/>
  <c r="M64" i="1" s="1"/>
  <c r="K64" i="1"/>
  <c r="L63" i="1"/>
  <c r="M63" i="1" s="1"/>
  <c r="K63" i="1"/>
  <c r="B76" i="1"/>
  <c r="D73" i="1"/>
  <c r="D71" i="1"/>
  <c r="A71" i="1" a="1"/>
  <c r="A71" i="1" s="1"/>
  <c r="F64" i="1"/>
  <c r="D64" i="1"/>
  <c r="E64" i="1"/>
  <c r="F63" i="1"/>
  <c r="E63" i="1"/>
  <c r="D63" i="1"/>
  <c r="T59" i="1"/>
  <c r="T54" i="1"/>
  <c r="S54" i="1"/>
  <c r="R54" i="1"/>
  <c r="M59" i="1"/>
  <c r="M54" i="1"/>
  <c r="L54" i="1"/>
  <c r="K54" i="1"/>
  <c r="F59" i="1"/>
  <c r="F54" i="1"/>
  <c r="E54" i="1"/>
  <c r="D54" i="1"/>
  <c r="D28" i="1"/>
  <c r="R56" i="1"/>
  <c r="T56" i="1" s="1"/>
  <c r="S55" i="1"/>
  <c r="R55" i="1"/>
  <c r="M56" i="1"/>
  <c r="K56" i="1"/>
  <c r="K58" i="1" s="1"/>
  <c r="D58" i="1"/>
  <c r="F56" i="1"/>
  <c r="D56" i="1"/>
  <c r="L55" i="1"/>
  <c r="K55" i="1"/>
  <c r="M55" i="1" s="1"/>
  <c r="D55" i="1"/>
  <c r="E55" i="1"/>
  <c r="F55" i="1" s="1"/>
  <c r="R31" i="1"/>
  <c r="B48" i="1"/>
  <c r="D31" i="1"/>
  <c r="M35" i="1"/>
  <c r="M36" i="1"/>
  <c r="M37" i="1"/>
  <c r="K37" i="1"/>
  <c r="K36" i="1"/>
  <c r="K35" i="1"/>
  <c r="B37" i="1"/>
  <c r="C37" i="1" s="1"/>
  <c r="B36" i="1"/>
  <c r="C36" i="1" s="1"/>
  <c r="B35" i="1"/>
  <c r="C35" i="1" s="1"/>
  <c r="R29" i="1"/>
  <c r="T29" i="1" s="1"/>
  <c r="K29" i="1"/>
  <c r="K31" i="1" s="1"/>
  <c r="D29" i="1"/>
  <c r="F29" i="1" s="1"/>
  <c r="R28" i="1"/>
  <c r="T28" i="1"/>
  <c r="M28" i="1"/>
  <c r="K28" i="1"/>
  <c r="M29" i="1"/>
  <c r="E28" i="1"/>
  <c r="F28" i="1" s="1"/>
  <c r="B16" i="1"/>
  <c r="E16" i="1"/>
  <c r="H15" i="1"/>
  <c r="I15" i="1" s="1"/>
  <c r="E14" i="1"/>
  <c r="I14" i="1" s="1"/>
  <c r="H13" i="1"/>
  <c r="G13" i="1"/>
  <c r="F13" i="1"/>
  <c r="E13" i="1"/>
  <c r="I13" i="1" s="1"/>
  <c r="H12" i="1"/>
  <c r="G12" i="1"/>
  <c r="F12" i="1"/>
  <c r="E12" i="1"/>
  <c r="H11" i="1"/>
  <c r="H16" i="1" s="1"/>
  <c r="G11" i="1"/>
  <c r="F11" i="1"/>
  <c r="E11" i="1"/>
  <c r="H10" i="1"/>
  <c r="G10" i="1"/>
  <c r="F10" i="1"/>
  <c r="E10" i="1"/>
  <c r="G9" i="1"/>
  <c r="G16" i="1" s="1"/>
  <c r="B19" i="1" s="1"/>
  <c r="D19" i="1" s="1"/>
  <c r="E8" i="1"/>
  <c r="F6" i="1"/>
  <c r="E6" i="1"/>
  <c r="I6" i="1" s="1"/>
  <c r="F5" i="1"/>
  <c r="E5" i="1"/>
  <c r="I5" i="1"/>
  <c r="I7" i="1"/>
  <c r="I8" i="1"/>
  <c r="I10" i="1"/>
  <c r="I11" i="1"/>
  <c r="F4" i="1"/>
  <c r="F16" i="1" s="1"/>
  <c r="E4" i="1"/>
  <c r="I4" i="1" s="1"/>
  <c r="C13" i="1"/>
  <c r="C12" i="1"/>
  <c r="C11" i="1"/>
  <c r="C10" i="1"/>
  <c r="C8" i="1"/>
  <c r="C6" i="1"/>
  <c r="C5" i="1"/>
  <c r="C4" i="1"/>
  <c r="M84" i="1" l="1"/>
  <c r="F84" i="1"/>
  <c r="D74" i="1"/>
  <c r="B77" i="1" s="1"/>
  <c r="C76" i="1" s="1"/>
  <c r="L65" i="1" s="1"/>
  <c r="M65" i="1" s="1"/>
  <c r="M66" i="1" s="1"/>
  <c r="F19" i="1"/>
  <c r="E19" i="1"/>
  <c r="H19" i="1"/>
  <c r="H20" i="1" s="1"/>
  <c r="B21" i="1" s="1"/>
  <c r="D21" i="1" s="1"/>
  <c r="C41" i="1" a="1"/>
  <c r="I9" i="1"/>
  <c r="I16" i="1" s="1"/>
  <c r="R58" i="1"/>
  <c r="T55" i="1"/>
  <c r="J19" i="1"/>
  <c r="I12" i="1"/>
  <c r="S65" i="1" l="1"/>
  <c r="T65" i="1" s="1"/>
  <c r="T66" i="1" s="1"/>
  <c r="E65" i="1"/>
  <c r="F65" i="1" s="1"/>
  <c r="F66" i="1" s="1"/>
  <c r="C41" i="1"/>
  <c r="D41" i="1" s="1"/>
  <c r="D44" i="1" s="1"/>
  <c r="D42" i="1"/>
  <c r="D43" i="1"/>
  <c r="F21" i="1"/>
  <c r="F22" i="1" s="1"/>
  <c r="E21" i="1"/>
  <c r="E22" i="1" s="1"/>
  <c r="B45" i="1" s="1"/>
  <c r="B49" i="1" l="1"/>
  <c r="C48" i="1" s="1"/>
  <c r="B46" i="1"/>
  <c r="C45" i="1"/>
  <c r="S58" i="1" l="1"/>
  <c r="T58" i="1" s="1"/>
  <c r="L31" i="1"/>
  <c r="M31" i="1" s="1"/>
  <c r="L58" i="1"/>
  <c r="M58" i="1" s="1"/>
  <c r="S31" i="1"/>
  <c r="T31" i="1" s="1"/>
  <c r="E58" i="1"/>
  <c r="F58" i="1" s="1"/>
  <c r="E31" i="1"/>
  <c r="F31" i="1" s="1"/>
  <c r="J57" i="1"/>
  <c r="M57" i="1" s="1"/>
  <c r="B57" i="1"/>
  <c r="F57" i="1" s="1"/>
  <c r="B30" i="1"/>
  <c r="F30" i="1" s="1"/>
  <c r="Q57" i="1"/>
  <c r="T57" i="1" s="1"/>
  <c r="I30" i="1"/>
  <c r="P30" i="1"/>
  <c r="T30" i="1" s="1"/>
  <c r="T32" i="1" s="1"/>
  <c r="M30" i="1" l="1"/>
  <c r="M32" i="1" s="1"/>
  <c r="F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<sst xmlns="http://schemas.openxmlformats.org/spreadsheetml/2006/main" count="182" uniqueCount="83">
  <si>
    <t xml:space="preserve">Caso Juan Elegante </t>
  </si>
  <si>
    <t xml:space="preserve">Concepto </t>
  </si>
  <si>
    <t>Seguro Maquinarias</t>
  </si>
  <si>
    <t>Acites y Lubricantes</t>
  </si>
  <si>
    <t xml:space="preserve">Reparacion maquinarias </t>
  </si>
  <si>
    <t xml:space="preserve">Sueldos supervisor Cortado y Armado </t>
  </si>
  <si>
    <t xml:space="preserve">Varios Comedor </t>
  </si>
  <si>
    <t xml:space="preserve">Costos edificios </t>
  </si>
  <si>
    <t>Centro</t>
  </si>
  <si>
    <t>Taxi mant</t>
  </si>
  <si>
    <t xml:space="preserve">Personal Ocupado </t>
  </si>
  <si>
    <t>Superfice Ocupada</t>
  </si>
  <si>
    <t xml:space="preserve">Valor Maquinaria </t>
  </si>
  <si>
    <t xml:space="preserve">Cortado y Armado </t>
  </si>
  <si>
    <t xml:space="preserve">Envasado </t>
  </si>
  <si>
    <t xml:space="preserve">Comedor </t>
  </si>
  <si>
    <t xml:space="preserve">Enfermeria </t>
  </si>
  <si>
    <t xml:space="preserve">Importe </t>
  </si>
  <si>
    <t>Despidos y CS soc JD</t>
  </si>
  <si>
    <t xml:space="preserve">Cargas Soc Derivadas </t>
  </si>
  <si>
    <t>Vacaciones y CS derivadas</t>
  </si>
  <si>
    <t xml:space="preserve">Jornales Ind y CS armado </t>
  </si>
  <si>
    <t xml:space="preserve">Varios enefermeria </t>
  </si>
  <si>
    <t>Envasado</t>
  </si>
  <si>
    <t>Base</t>
  </si>
  <si>
    <t>Comisiones Vendedores</t>
  </si>
  <si>
    <t xml:space="preserve">Comercial </t>
  </si>
  <si>
    <t>Totales</t>
  </si>
  <si>
    <t>-</t>
  </si>
  <si>
    <t>Cortado y Armado</t>
  </si>
  <si>
    <t xml:space="preserve">Armado </t>
  </si>
  <si>
    <t xml:space="preserve">Costos de estructura totales por centro de produccion </t>
  </si>
  <si>
    <t xml:space="preserve">1- Centro Cortado y Armado </t>
  </si>
  <si>
    <t xml:space="preserve">MP Seda italiana </t>
  </si>
  <si>
    <t>Cant neta</t>
  </si>
  <si>
    <t xml:space="preserve">Rendimiento </t>
  </si>
  <si>
    <t xml:space="preserve">Cantidad necesaria </t>
  </si>
  <si>
    <t xml:space="preserve">Precio </t>
  </si>
  <si>
    <t xml:space="preserve">Seda para Corbatas ( Unidad de medida, metros ) </t>
  </si>
  <si>
    <t>MOD</t>
  </si>
  <si>
    <t xml:space="preserve">Seda para Moños  ( Unidad de medida, metros ) </t>
  </si>
  <si>
    <t xml:space="preserve">Seda para Foulards  ( Unidad de medida, metros ) </t>
  </si>
  <si>
    <t xml:space="preserve">Cargas Sociales </t>
  </si>
  <si>
    <t xml:space="preserve">Costos de estructura </t>
  </si>
  <si>
    <t xml:space="preserve">Cargas sociales </t>
  </si>
  <si>
    <t>Costo de estructura</t>
  </si>
  <si>
    <t>OP 2</t>
  </si>
  <si>
    <t>OP 1</t>
  </si>
  <si>
    <t xml:space="preserve">CorbaTAS </t>
  </si>
  <si>
    <t>Moños</t>
  </si>
  <si>
    <t xml:space="preserve">Foulards </t>
  </si>
  <si>
    <t>Corbatas</t>
  </si>
  <si>
    <t xml:space="preserve">Moños </t>
  </si>
  <si>
    <t>Foulards</t>
  </si>
  <si>
    <t xml:space="preserve">Modulo HH </t>
  </si>
  <si>
    <t xml:space="preserve">Corbatas </t>
  </si>
  <si>
    <t xml:space="preserve">NPA </t>
  </si>
  <si>
    <t xml:space="preserve">HH </t>
  </si>
  <si>
    <t xml:space="preserve">la HH </t>
  </si>
  <si>
    <t xml:space="preserve">Cuota de aplicación </t>
  </si>
  <si>
    <t>Operación Numero 2</t>
  </si>
  <si>
    <t xml:space="preserve">Cant neta </t>
  </si>
  <si>
    <t>Hilo</t>
  </si>
  <si>
    <t>Rendimiento</t>
  </si>
  <si>
    <t xml:space="preserve">Cant necesaria </t>
  </si>
  <si>
    <t xml:space="preserve">Costo de estructura </t>
  </si>
  <si>
    <t>Centro envasado</t>
  </si>
  <si>
    <t xml:space="preserve">Costo de tela por corbata </t>
  </si>
  <si>
    <t>costo de tela por Moño</t>
  </si>
  <si>
    <t>Costo de tela por foulards</t>
  </si>
  <si>
    <t xml:space="preserve">MP coprbata </t>
  </si>
  <si>
    <t xml:space="preserve">Corbata armada con hilo </t>
  </si>
  <si>
    <t xml:space="preserve">MP moño </t>
  </si>
  <si>
    <t xml:space="preserve">Moño con hilo </t>
  </si>
  <si>
    <t xml:space="preserve">Foulard con hilo </t>
  </si>
  <si>
    <t xml:space="preserve">Etiqueta </t>
  </si>
  <si>
    <t xml:space="preserve">Modulo HM </t>
  </si>
  <si>
    <t xml:space="preserve">cantidad necesaria </t>
  </si>
  <si>
    <t xml:space="preserve">OP 1 / op 2 ( son iguales sus tiempos ) </t>
  </si>
  <si>
    <t xml:space="preserve">La HM </t>
  </si>
  <si>
    <t xml:space="preserve">OP 2 </t>
  </si>
  <si>
    <t xml:space="preserve">Bolsas </t>
  </si>
  <si>
    <t xml:space="preserve">Costo final a la salida del centro envasado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</si>
</sst>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/>
    <xf numFmtId="44" fontId="0" fillId="0" borderId="0" xfId="1" applyFont="1"/>
    <xf numFmtId="44" fontId="0" fillId="0" borderId="0" xfId="0" applyNumberFormat="1"/>
    <xf numFmtId="0" fontId="0" fillId="0" borderId="2" xfId="0" applyBorder="1"/>
    <xf numFmtId="44" fontId="0" fillId="0" borderId="0" xfId="1" applyFont="1" applyAlignment="1">
      <alignment horizontal="center" vertical="center"/>
    </xf>
    <xf numFmtId="44" fontId="0" fillId="0" borderId="2" xfId="1" applyFont="1" applyBorder="1"/>
    <xf numFmtId="0" fontId="3" fillId="0" borderId="0" xfId="0" applyFont="1"/>
    <xf numFmtId="44" fontId="0" fillId="0" borderId="2" xfId="0" applyNumberFormat="1" applyBorder="1"/>
    <xf numFmtId="9" fontId="0" fillId="0" borderId="0" xfId="2" applyFont="1"/>
    <xf numFmtId="44" fontId="2" fillId="0" borderId="0" xfId="1" applyFont="1"/>
    <xf numFmtId="0" fontId="3" fillId="3" borderId="0" xfId="0" applyFont="1" applyFill="1"/>
    <xf numFmtId="0" fontId="0" fillId="3" borderId="0" xfId="0" applyFill="1"/>
    <xf numFmtId="9" fontId="0" fillId="3" borderId="0" xfId="0" applyNumberFormat="1" applyFill="1"/>
    <xf numFmtId="44" fontId="0" fillId="3" borderId="0" xfId="1" applyFont="1" applyFill="1"/>
    <xf numFmtId="44" fontId="0" fillId="3" borderId="2" xfId="1" applyFont="1" applyFill="1" applyBorder="1"/>
    <xf numFmtId="44" fontId="2" fillId="3" borderId="0" xfId="1" applyFont="1" applyFill="1"/>
    <xf numFmtId="0" fontId="0" fillId="3" borderId="0" xfId="0" applyFont="1" applyFill="1"/>
    <xf numFmtId="44" fontId="0" fillId="3" borderId="0" xfId="0" applyNumberFormat="1" applyFill="1"/>
    <xf numFmtId="0" fontId="0" fillId="3" borderId="2" xfId="0" applyFill="1" applyBorder="1"/>
    <xf numFmtId="44" fontId="2" fillId="3" borderId="0" xfId="0" applyNumberFormat="1" applyFont="1" applyFill="1"/>
    <xf numFmtId="44" fontId="4" fillId="0" borderId="0" xfId="0" applyNumberFormat="1" applyFont="1"/>
    <xf numFmtId="0" fontId="3" fillId="4" borderId="0" xfId="0" applyFont="1" applyFill="1"/>
    <xf numFmtId="0" fontId="0" fillId="4" borderId="0" xfId="0" applyFill="1"/>
    <xf numFmtId="9" fontId="0" fillId="4" borderId="0" xfId="0" applyNumberFormat="1" applyFill="1"/>
    <xf numFmtId="44" fontId="0" fillId="4" borderId="0" xfId="1" applyFont="1" applyFill="1"/>
    <xf numFmtId="44" fontId="0" fillId="4" borderId="2" xfId="1" applyFont="1" applyFill="1" applyBorder="1"/>
    <xf numFmtId="44" fontId="2" fillId="4" borderId="0" xfId="1" applyFont="1" applyFill="1"/>
    <xf numFmtId="0" fontId="0" fillId="4" borderId="0" xfId="0" applyFont="1" applyFill="1"/>
    <xf numFmtId="44" fontId="0" fillId="4" borderId="0" xfId="0" applyNumberFormat="1" applyFill="1"/>
    <xf numFmtId="0" fontId="0" fillId="4" borderId="2" xfId="0" applyFill="1" applyBorder="1"/>
    <xf numFmtId="44" fontId="2" fillId="4" borderId="0" xfId="0" applyNumberFormat="1" applyFont="1" applyFill="1"/>
    <xf numFmtId="0" fontId="3" fillId="5" borderId="0" xfId="0" applyFont="1" applyFill="1"/>
    <xf numFmtId="0" fontId="0" fillId="5" borderId="0" xfId="0" applyFill="1"/>
    <xf numFmtId="9" fontId="0" fillId="5" borderId="0" xfId="0" applyNumberFormat="1" applyFill="1"/>
    <xf numFmtId="44" fontId="0" fillId="5" borderId="0" xfId="1" applyFont="1" applyFill="1"/>
    <xf numFmtId="44" fontId="0" fillId="5" borderId="2" xfId="1" applyFont="1" applyFill="1" applyBorder="1"/>
    <xf numFmtId="44" fontId="2" fillId="5" borderId="0" xfId="1" applyFont="1" applyFill="1"/>
    <xf numFmtId="0" fontId="0" fillId="5" borderId="0" xfId="0" applyFont="1" applyFill="1"/>
    <xf numFmtId="44" fontId="0" fillId="5" borderId="0" xfId="0" applyNumberFormat="1" applyFill="1"/>
    <xf numFmtId="0" fontId="0" fillId="5" borderId="2" xfId="0" applyFill="1" applyBorder="1"/>
    <xf numFmtId="44" fontId="2" fillId="5" borderId="0" xfId="0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ABB7B-A477-46E6-AE6D-424F9A3AF663}" name="Table1" displayName="Table1" ref="E3:I16" totalsRowShown="0" dataCellStyle="Currency">
  <autoFilter ref="E3:I16" xr:uid="{D62ABB7B-A477-46E6-AE6D-424F9A3AF663}"/>
  <tableColumns count="5">
    <tableColumn id="2" xr3:uid="{F08EFB93-F8D0-4691-A52D-EE9A29A3A339}" name="Cortado y Armado" dataCellStyle="Currency">
      <calculatedColumnFormula>+$B$4*O4</calculatedColumnFormula>
    </tableColumn>
    <tableColumn id="3" xr3:uid="{9125B42C-819D-4E3E-8DAF-1992DDF926D7}" name="Envasado" dataCellStyle="Currency">
      <calculatedColumnFormula>+$B$4*O5</calculatedColumnFormula>
    </tableColumn>
    <tableColumn id="4" xr3:uid="{B093AD2D-19B2-4252-8294-6DF4A99D61DB}" name="Comedor " dataCellStyle="Currency"/>
    <tableColumn id="5" xr3:uid="{C5AA160B-AF4E-4F9E-BFAB-67CBA7480CD0}" name="Enfermeria " dataCellStyle="Currency"/>
    <tableColumn id="6" xr3:uid="{96E1864B-FC72-4C97-BD8C-D57469B8544D}" name="Totales" dataCellStyle="Currency">
      <calculatedColumnFormula>SUM(Table1[[#This Row],[Cortado y Armado]:[Enfermeria 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8D6A-1E5A-4C6A-95EB-975F3FC21197}">
  <dimension ref="A1:U84"/>
  <sheetViews>
    <sheetView tabSelected="1" zoomScale="85" zoomScaleNormal="85" workbookViewId="0">
      <selection activeCell="C50" sqref="C50"/>
    </sheetView>
  </sheetViews>
  <sheetFormatPr defaultRowHeight="15" x14ac:dyDescent="0.25"/>
  <cols>
    <col min="1" max="1" width="35.28515625" bestFit="1" customWidth="1"/>
    <col min="2" max="2" width="13.140625" bestFit="1" customWidth="1"/>
    <col min="3" max="3" width="18.28515625" bestFit="1" customWidth="1"/>
    <col min="4" max="4" width="18.5703125" customWidth="1"/>
    <col min="5" max="5" width="19.28515625" bestFit="1" customWidth="1"/>
    <col min="6" max="6" width="13.140625" bestFit="1" customWidth="1"/>
    <col min="7" max="7" width="12" bestFit="1" customWidth="1"/>
    <col min="8" max="8" width="13.5703125" bestFit="1" customWidth="1"/>
    <col min="9" max="9" width="13.140625" bestFit="1" customWidth="1"/>
    <col min="10" max="10" width="12.140625" bestFit="1" customWidth="1"/>
    <col min="11" max="11" width="17.5703125" bestFit="1" customWidth="1"/>
    <col min="12" max="12" width="9.5703125" bestFit="1" customWidth="1"/>
    <col min="13" max="13" width="17.7109375" bestFit="1" customWidth="1"/>
    <col min="14" max="14" width="17.85546875" bestFit="1" customWidth="1"/>
    <col min="15" max="15" width="16.7109375" bestFit="1" customWidth="1"/>
  </cols>
  <sheetData>
    <row r="1" spans="1:15" x14ac:dyDescent="0.25">
      <c r="A1" s="1" t="s">
        <v>0</v>
      </c>
    </row>
    <row r="3" spans="1:15" x14ac:dyDescent="0.25">
      <c r="A3" t="s">
        <v>1</v>
      </c>
      <c r="B3" t="s">
        <v>17</v>
      </c>
      <c r="C3" t="s">
        <v>24</v>
      </c>
      <c r="E3" t="s">
        <v>29</v>
      </c>
      <c r="F3" t="s">
        <v>23</v>
      </c>
      <c r="G3" t="s">
        <v>15</v>
      </c>
      <c r="H3" t="s">
        <v>16</v>
      </c>
      <c r="I3" t="s">
        <v>27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</row>
    <row r="4" spans="1:15" x14ac:dyDescent="0.25">
      <c r="A4" t="s">
        <v>2</v>
      </c>
      <c r="B4" s="5">
        <v>40000</v>
      </c>
      <c r="C4" s="5" t="str">
        <f>+O3</f>
        <v xml:space="preserve">Valor Maquinaria </v>
      </c>
      <c r="E4" s="5">
        <f t="shared" ref="E4:F16" si="0">+$B$4*O4</f>
        <v>13200</v>
      </c>
      <c r="F4" s="5">
        <f t="shared" ref="F4:F16" si="1">+$B$4*O5</f>
        <v>26800</v>
      </c>
      <c r="G4" s="5"/>
      <c r="H4" s="5"/>
      <c r="I4" s="5">
        <f>SUM(Table1[[#This Row],[Cortado y Armado]:[Enfermeria ]])</f>
        <v>40000</v>
      </c>
      <c r="J4" s="5"/>
      <c r="K4" s="4" t="s">
        <v>13</v>
      </c>
      <c r="L4" s="3">
        <v>0.8</v>
      </c>
      <c r="M4" s="3">
        <v>0.7</v>
      </c>
      <c r="N4" s="3">
        <v>0.5</v>
      </c>
      <c r="O4" s="3">
        <v>0.33</v>
      </c>
    </row>
    <row r="5" spans="1:15" x14ac:dyDescent="0.25">
      <c r="A5" t="s">
        <v>3</v>
      </c>
      <c r="B5" s="5">
        <v>20000</v>
      </c>
      <c r="C5" s="5" t="str">
        <f>+L3</f>
        <v>Taxi mant</v>
      </c>
      <c r="E5" s="5">
        <f>+$B$5*L4</f>
        <v>16000</v>
      </c>
      <c r="F5" s="5">
        <f>+$B$5*L5</f>
        <v>4000</v>
      </c>
      <c r="G5" s="5"/>
      <c r="H5" s="5"/>
      <c r="I5" s="5">
        <f>SUM(Table1[[#This Row],[Cortado y Armado]:[Enfermeria ]])</f>
        <v>20000</v>
      </c>
      <c r="J5" s="5"/>
      <c r="K5" s="4" t="s">
        <v>14</v>
      </c>
      <c r="L5" s="3">
        <v>0.2</v>
      </c>
      <c r="M5" s="3">
        <v>0.1</v>
      </c>
      <c r="N5" s="3">
        <v>0.4</v>
      </c>
      <c r="O5" s="3">
        <v>0.67</v>
      </c>
    </row>
    <row r="6" spans="1:15" x14ac:dyDescent="0.25">
      <c r="A6" t="s">
        <v>4</v>
      </c>
      <c r="B6" s="5">
        <v>70000</v>
      </c>
      <c r="C6" s="5" t="str">
        <f>+O3</f>
        <v xml:space="preserve">Valor Maquinaria </v>
      </c>
      <c r="E6" s="5">
        <f>+$B$6*O4</f>
        <v>23100</v>
      </c>
      <c r="F6" s="5">
        <f>+$B$6*O5</f>
        <v>46900</v>
      </c>
      <c r="G6" s="5"/>
      <c r="H6" s="5"/>
      <c r="I6" s="5">
        <f>SUM(Table1[[#This Row],[Cortado y Armado]:[Enfermeria ]])</f>
        <v>70000</v>
      </c>
      <c r="J6" s="5"/>
      <c r="K6" s="4" t="s">
        <v>15</v>
      </c>
      <c r="L6" s="2"/>
      <c r="M6" s="3">
        <v>0.15</v>
      </c>
      <c r="N6" s="3">
        <v>0.05</v>
      </c>
      <c r="O6" s="2"/>
    </row>
    <row r="7" spans="1:15" x14ac:dyDescent="0.25">
      <c r="A7" t="s">
        <v>25</v>
      </c>
      <c r="B7" s="5">
        <v>90000</v>
      </c>
      <c r="C7" s="5" t="s">
        <v>26</v>
      </c>
      <c r="E7" s="8" t="s">
        <v>28</v>
      </c>
      <c r="F7" s="8" t="s">
        <v>28</v>
      </c>
      <c r="G7" s="8" t="s">
        <v>28</v>
      </c>
      <c r="H7" s="8" t="s">
        <v>28</v>
      </c>
      <c r="I7" s="5">
        <f>SUM(Table1[[#This Row],[Cortado y Armado]:[Enfermeria ]])</f>
        <v>0</v>
      </c>
      <c r="J7" s="5"/>
      <c r="K7" s="4" t="s">
        <v>16</v>
      </c>
      <c r="L7" s="2"/>
      <c r="M7" s="3">
        <v>0.05</v>
      </c>
      <c r="N7" s="3">
        <v>0.05</v>
      </c>
      <c r="O7" s="2"/>
    </row>
    <row r="8" spans="1:15" x14ac:dyDescent="0.25">
      <c r="A8" t="s">
        <v>5</v>
      </c>
      <c r="B8" s="5">
        <v>60000</v>
      </c>
      <c r="C8" s="5" t="str">
        <f>+M3</f>
        <v xml:space="preserve">Personal Ocupado </v>
      </c>
      <c r="E8" s="5">
        <f>+B8</f>
        <v>60000</v>
      </c>
      <c r="F8" s="5"/>
      <c r="G8" s="5"/>
      <c r="H8" s="5"/>
      <c r="I8" s="5">
        <f>SUM(Table1[[#This Row],[Cortado y Armado]:[Enfermeria ]])</f>
        <v>60000</v>
      </c>
      <c r="J8" s="5"/>
    </row>
    <row r="9" spans="1:15" x14ac:dyDescent="0.25">
      <c r="A9" t="s">
        <v>6</v>
      </c>
      <c r="B9" s="5">
        <v>2000</v>
      </c>
      <c r="C9" s="5" t="s">
        <v>15</v>
      </c>
      <c r="E9" s="5"/>
      <c r="F9" s="5"/>
      <c r="G9" s="5">
        <f>+B9</f>
        <v>2000</v>
      </c>
      <c r="H9" s="5"/>
      <c r="I9" s="5">
        <f>SUM(Table1[[#This Row],[Cortado y Armado]:[Enfermeria ]])</f>
        <v>2000</v>
      </c>
      <c r="J9" s="5"/>
    </row>
    <row r="10" spans="1:15" x14ac:dyDescent="0.25">
      <c r="A10" t="s">
        <v>7</v>
      </c>
      <c r="B10" s="5">
        <v>60000</v>
      </c>
      <c r="C10" s="5" t="str">
        <f>+N3</f>
        <v>Superfice Ocupada</v>
      </c>
      <c r="E10" s="5">
        <f>+$B$10*N4</f>
        <v>30000</v>
      </c>
      <c r="F10" s="5">
        <f>+$B$10*N5</f>
        <v>24000</v>
      </c>
      <c r="G10" s="5">
        <f>+$B$10*N6</f>
        <v>3000</v>
      </c>
      <c r="H10" s="5">
        <f>+$B$10*N7</f>
        <v>3000</v>
      </c>
      <c r="I10" s="5">
        <f>SUM(Table1[[#This Row],[Cortado y Armado]:[Enfermeria ]])</f>
        <v>60000</v>
      </c>
      <c r="J10" s="5"/>
    </row>
    <row r="11" spans="1:15" x14ac:dyDescent="0.25">
      <c r="A11" t="s">
        <v>18</v>
      </c>
      <c r="B11" s="5">
        <v>4308.83</v>
      </c>
      <c r="C11" s="5" t="str">
        <f>+M3</f>
        <v xml:space="preserve">Personal Ocupado </v>
      </c>
      <c r="E11" s="5">
        <f>+$B$11*M4</f>
        <v>3016.1809999999996</v>
      </c>
      <c r="F11" s="5">
        <f>+$B$11*M5</f>
        <v>430.88300000000004</v>
      </c>
      <c r="G11" s="5">
        <f>+$B$11*M6</f>
        <v>646.32449999999994</v>
      </c>
      <c r="H11" s="5">
        <f>+$B$11*M7</f>
        <v>215.44150000000002</v>
      </c>
      <c r="I11" s="5">
        <f>SUM(Table1[[#This Row],[Cortado y Armado]:[Enfermeria ]])</f>
        <v>4308.829999999999</v>
      </c>
      <c r="J11" s="5"/>
    </row>
    <row r="12" spans="1:15" x14ac:dyDescent="0.25">
      <c r="A12" t="s">
        <v>19</v>
      </c>
      <c r="B12" s="5">
        <v>23263.08</v>
      </c>
      <c r="C12" s="5" t="str">
        <f>+M3</f>
        <v xml:space="preserve">Personal Ocupado </v>
      </c>
      <c r="E12" s="5">
        <f>+$B$12*M4</f>
        <v>16284.156000000001</v>
      </c>
      <c r="F12" s="5">
        <f>+$B$12*M5</f>
        <v>2326.3080000000004</v>
      </c>
      <c r="G12" s="5">
        <f>+$B$12*M6</f>
        <v>3489.462</v>
      </c>
      <c r="H12" s="5">
        <f>+$B$12*M7</f>
        <v>1163.1540000000002</v>
      </c>
      <c r="I12" s="5">
        <f>SUM(Table1[[#This Row],[Cortado y Armado]:[Enfermeria ]])</f>
        <v>23263.079999999998</v>
      </c>
      <c r="J12" s="5"/>
    </row>
    <row r="13" spans="1:15" x14ac:dyDescent="0.25">
      <c r="A13" t="s">
        <v>20</v>
      </c>
      <c r="B13" s="5">
        <v>23000</v>
      </c>
      <c r="C13" s="5" t="str">
        <f>+M3</f>
        <v xml:space="preserve">Personal Ocupado </v>
      </c>
      <c r="E13" s="5">
        <f>+$B$13*M4</f>
        <v>16099.999999999998</v>
      </c>
      <c r="F13" s="5">
        <f>+$B$13*M5</f>
        <v>2300</v>
      </c>
      <c r="G13" s="5">
        <f>+$B$13*M6</f>
        <v>3450</v>
      </c>
      <c r="H13" s="5">
        <f>+$B$13*M7</f>
        <v>1150</v>
      </c>
      <c r="I13" s="5">
        <f>SUM(Table1[[#This Row],[Cortado y Armado]:[Enfermeria ]])</f>
        <v>23000</v>
      </c>
      <c r="J13" s="5"/>
    </row>
    <row r="14" spans="1:15" x14ac:dyDescent="0.25">
      <c r="A14" t="s">
        <v>21</v>
      </c>
      <c r="B14" s="5">
        <v>17000</v>
      </c>
      <c r="C14" s="5" t="s">
        <v>30</v>
      </c>
      <c r="E14" s="5">
        <f>+B14</f>
        <v>17000</v>
      </c>
      <c r="F14" s="5"/>
      <c r="G14" s="5"/>
      <c r="H14" s="5"/>
      <c r="I14" s="5">
        <f>SUM(Table1[[#This Row],[Cortado y Armado]:[Enfermeria ]])</f>
        <v>17000</v>
      </c>
      <c r="J14" s="5"/>
    </row>
    <row r="15" spans="1:15" x14ac:dyDescent="0.25">
      <c r="A15" t="s">
        <v>22</v>
      </c>
      <c r="B15" s="5">
        <v>800</v>
      </c>
      <c r="C15" s="5" t="s">
        <v>16</v>
      </c>
      <c r="E15" s="5"/>
      <c r="F15" s="5"/>
      <c r="G15" s="5"/>
      <c r="H15" s="5">
        <f>+B15</f>
        <v>800</v>
      </c>
      <c r="I15" s="5">
        <f>SUM(Table1[[#This Row],[Cortado y Armado]:[Enfermeria ]])</f>
        <v>800</v>
      </c>
      <c r="J15" s="5"/>
    </row>
    <row r="16" spans="1:15" x14ac:dyDescent="0.25">
      <c r="B16" s="6">
        <f>SUM(B4:B15)-B7</f>
        <v>320371.91000000003</v>
      </c>
      <c r="E16" s="5">
        <f t="shared" ref="E16:I16" si="2">SUBTOTAL(109,E4:E15)</f>
        <v>194700.337</v>
      </c>
      <c r="F16" s="5">
        <f t="shared" si="2"/>
        <v>106757.19100000001</v>
      </c>
      <c r="G16" s="5">
        <f t="shared" si="2"/>
        <v>12585.7865</v>
      </c>
      <c r="H16" s="5">
        <f t="shared" si="2"/>
        <v>6328.5955000000004</v>
      </c>
      <c r="I16" s="5">
        <f t="shared" si="2"/>
        <v>320371.90999999997</v>
      </c>
      <c r="J16" s="5"/>
    </row>
    <row r="17" spans="1:21" x14ac:dyDescent="0.25">
      <c r="E17" s="5"/>
      <c r="F17" s="5"/>
      <c r="G17" s="5"/>
      <c r="H17" s="5"/>
      <c r="I17" s="5"/>
      <c r="J17" s="5"/>
    </row>
    <row r="18" spans="1:21" x14ac:dyDescent="0.25">
      <c r="E18" s="5"/>
      <c r="F18" s="5"/>
      <c r="G18" s="5"/>
      <c r="H18" s="5"/>
      <c r="I18" s="5"/>
      <c r="J18" s="5"/>
    </row>
    <row r="19" spans="1:21" x14ac:dyDescent="0.25">
      <c r="A19" t="s">
        <v>15</v>
      </c>
      <c r="B19" s="5">
        <f>+G16</f>
        <v>12585.7865</v>
      </c>
      <c r="C19" t="s">
        <v>10</v>
      </c>
      <c r="D19" s="5">
        <f>+B19/(100-15)</f>
        <v>148.06807647058824</v>
      </c>
      <c r="E19" s="5">
        <f>+$D$19*70</f>
        <v>10364.765352941176</v>
      </c>
      <c r="F19" s="5">
        <f>+$D$19*10</f>
        <v>1480.6807647058824</v>
      </c>
      <c r="G19" s="5"/>
      <c r="H19" s="9">
        <f>+$D$19*5</f>
        <v>740.34038235294122</v>
      </c>
      <c r="I19" s="5"/>
      <c r="J19" s="5">
        <f>SUM(E19:I19)</f>
        <v>12585.7865</v>
      </c>
    </row>
    <row r="20" spans="1:21" x14ac:dyDescent="0.25">
      <c r="E20" s="5"/>
      <c r="F20" s="5"/>
      <c r="G20" s="5"/>
      <c r="H20" s="5">
        <f>+H19+H16</f>
        <v>7068.9358823529419</v>
      </c>
      <c r="I20" s="5"/>
      <c r="J20" s="13"/>
    </row>
    <row r="21" spans="1:21" x14ac:dyDescent="0.25">
      <c r="A21" t="s">
        <v>16</v>
      </c>
      <c r="B21" s="5">
        <f>+H20</f>
        <v>7068.9358823529419</v>
      </c>
      <c r="C21" t="s">
        <v>10</v>
      </c>
      <c r="D21" s="5">
        <f>+B21/(80)</f>
        <v>88.361698529411768</v>
      </c>
      <c r="E21" s="9">
        <f>+$D$21*70</f>
        <v>6185.3188970588235</v>
      </c>
      <c r="F21" s="9">
        <f>+$D$21*10</f>
        <v>883.61698529411774</v>
      </c>
    </row>
    <row r="22" spans="1:21" x14ac:dyDescent="0.25">
      <c r="E22" s="24">
        <f>+E21+E19+E16</f>
        <v>211250.42125000001</v>
      </c>
      <c r="F22" s="24">
        <f>+F21+F19+F16</f>
        <v>109121.48875</v>
      </c>
      <c r="G22" t="s">
        <v>31</v>
      </c>
    </row>
    <row r="24" spans="1:21" x14ac:dyDescent="0.25">
      <c r="A24" s="1" t="s">
        <v>32</v>
      </c>
      <c r="B24" t="s">
        <v>46</v>
      </c>
    </row>
    <row r="26" spans="1:21" x14ac:dyDescent="0.25">
      <c r="A26" s="14" t="s">
        <v>38</v>
      </c>
      <c r="B26" s="15"/>
      <c r="C26" s="15"/>
      <c r="D26" s="15"/>
      <c r="E26" s="15"/>
      <c r="F26" s="15"/>
      <c r="G26" s="15"/>
      <c r="H26" s="25" t="s">
        <v>40</v>
      </c>
      <c r="I26" s="26"/>
      <c r="J26" s="26"/>
      <c r="K26" s="26"/>
      <c r="L26" s="26"/>
      <c r="M26" s="26"/>
      <c r="N26" s="26"/>
      <c r="O26" s="35" t="s">
        <v>41</v>
      </c>
      <c r="P26" s="36"/>
      <c r="Q26" s="36"/>
      <c r="R26" s="36"/>
      <c r="S26" s="36"/>
      <c r="T26" s="36"/>
      <c r="U26" s="36"/>
    </row>
    <row r="27" spans="1:21" x14ac:dyDescent="0.25">
      <c r="A27" s="15"/>
      <c r="B27" s="15" t="s">
        <v>34</v>
      </c>
      <c r="C27" s="15" t="s">
        <v>35</v>
      </c>
      <c r="D27" s="15" t="s">
        <v>36</v>
      </c>
      <c r="E27" s="15" t="s">
        <v>37</v>
      </c>
      <c r="F27" s="15"/>
      <c r="G27" s="15"/>
      <c r="H27" s="26"/>
      <c r="I27" s="26" t="s">
        <v>34</v>
      </c>
      <c r="J27" s="26" t="s">
        <v>35</v>
      </c>
      <c r="K27" s="26" t="s">
        <v>36</v>
      </c>
      <c r="L27" s="26" t="s">
        <v>37</v>
      </c>
      <c r="M27" s="26"/>
      <c r="N27" s="26"/>
      <c r="O27" s="36"/>
      <c r="P27" s="36" t="s">
        <v>34</v>
      </c>
      <c r="Q27" s="36" t="s">
        <v>35</v>
      </c>
      <c r="R27" s="36" t="s">
        <v>36</v>
      </c>
      <c r="S27" s="36" t="s">
        <v>37</v>
      </c>
      <c r="T27" s="36"/>
      <c r="U27" s="36"/>
    </row>
    <row r="28" spans="1:21" x14ac:dyDescent="0.25">
      <c r="A28" s="15" t="s">
        <v>33</v>
      </c>
      <c r="B28" s="15">
        <v>0.4</v>
      </c>
      <c r="C28" s="16">
        <v>0.95</v>
      </c>
      <c r="D28" s="15">
        <f>+B28/C28</f>
        <v>0.4210526315789474</v>
      </c>
      <c r="E28" s="15">
        <f>750/100</f>
        <v>7.5</v>
      </c>
      <c r="F28" s="17">
        <f>+E28*D28</f>
        <v>3.1578947368421053</v>
      </c>
      <c r="G28" s="15"/>
      <c r="H28" s="26" t="s">
        <v>33</v>
      </c>
      <c r="I28" s="26">
        <v>0.2</v>
      </c>
      <c r="J28" s="27">
        <v>0.95</v>
      </c>
      <c r="K28" s="26">
        <f>+I28/J28</f>
        <v>0.2105263157894737</v>
      </c>
      <c r="L28" s="26">
        <v>50</v>
      </c>
      <c r="M28" s="28">
        <f>+L28*K28</f>
        <v>10.526315789473685</v>
      </c>
      <c r="N28" s="26"/>
      <c r="O28" s="36" t="s">
        <v>33</v>
      </c>
      <c r="P28" s="36">
        <v>0.2</v>
      </c>
      <c r="Q28" s="37">
        <v>0.95</v>
      </c>
      <c r="R28" s="36">
        <f>+P28/Q28</f>
        <v>0.2105263157894737</v>
      </c>
      <c r="S28" s="36">
        <v>60</v>
      </c>
      <c r="T28" s="38">
        <f>+S28*R28</f>
        <v>12.631578947368421</v>
      </c>
      <c r="U28" s="36"/>
    </row>
    <row r="29" spans="1:21" x14ac:dyDescent="0.25">
      <c r="A29" s="15" t="s">
        <v>39</v>
      </c>
      <c r="B29" s="15"/>
      <c r="C29" s="15"/>
      <c r="D29" s="15">
        <f>3/60</f>
        <v>0.05</v>
      </c>
      <c r="E29" s="15">
        <v>40</v>
      </c>
      <c r="F29" s="17">
        <f>+E29*D29</f>
        <v>2</v>
      </c>
      <c r="G29" s="15"/>
      <c r="H29" s="26" t="s">
        <v>39</v>
      </c>
      <c r="I29" s="26"/>
      <c r="J29" s="26"/>
      <c r="K29" s="26">
        <f>2.4/60</f>
        <v>0.04</v>
      </c>
      <c r="L29" s="26">
        <v>40</v>
      </c>
      <c r="M29" s="28">
        <f>+L29*K29</f>
        <v>1.6</v>
      </c>
      <c r="N29" s="26"/>
      <c r="O29" s="36" t="s">
        <v>39</v>
      </c>
      <c r="P29" s="36"/>
      <c r="Q29" s="36"/>
      <c r="R29" s="36">
        <f>2.4/60</f>
        <v>0.04</v>
      </c>
      <c r="S29" s="36">
        <v>40</v>
      </c>
      <c r="T29" s="38">
        <f>+S29*R29</f>
        <v>1.6</v>
      </c>
      <c r="U29" s="36"/>
    </row>
    <row r="30" spans="1:21" x14ac:dyDescent="0.25">
      <c r="A30" s="15" t="s">
        <v>44</v>
      </c>
      <c r="B30" s="16">
        <f>+C48</f>
        <v>0.16807751339441249</v>
      </c>
      <c r="C30" s="15"/>
      <c r="D30" s="15"/>
      <c r="E30" s="15"/>
      <c r="F30" s="17">
        <f>+F29*B30</f>
        <v>0.33615502678882497</v>
      </c>
      <c r="G30" s="15"/>
      <c r="H30" s="26" t="s">
        <v>44</v>
      </c>
      <c r="I30" s="27">
        <f>+C48</f>
        <v>0.16807751339441249</v>
      </c>
      <c r="J30" s="26"/>
      <c r="K30" s="26"/>
      <c r="L30" s="26"/>
      <c r="M30" s="28">
        <f>+M29*I30</f>
        <v>0.26892402143105998</v>
      </c>
      <c r="N30" s="26"/>
      <c r="O30" s="36" t="s">
        <v>44</v>
      </c>
      <c r="P30" s="37">
        <f>+C48</f>
        <v>0.16807751339441249</v>
      </c>
      <c r="Q30" s="36"/>
      <c r="R30" s="36"/>
      <c r="S30" s="36"/>
      <c r="T30" s="38">
        <f>+T29*P30</f>
        <v>0.26892402143105998</v>
      </c>
      <c r="U30" s="36"/>
    </row>
    <row r="31" spans="1:21" x14ac:dyDescent="0.25">
      <c r="A31" s="15" t="s">
        <v>45</v>
      </c>
      <c r="B31" s="15"/>
      <c r="C31" s="15"/>
      <c r="D31" s="15">
        <f>+D29</f>
        <v>0.05</v>
      </c>
      <c r="E31" s="15">
        <f>+$C$45</f>
        <v>2.0886144416013033</v>
      </c>
      <c r="F31" s="18">
        <f>+E31*D31</f>
        <v>0.10443072208006517</v>
      </c>
      <c r="G31" s="15"/>
      <c r="H31" s="26" t="s">
        <v>45</v>
      </c>
      <c r="I31" s="26"/>
      <c r="J31" s="26"/>
      <c r="K31" s="26">
        <f>+K29</f>
        <v>0.04</v>
      </c>
      <c r="L31" s="26">
        <f>+$C$45</f>
        <v>2.0886144416013033</v>
      </c>
      <c r="M31" s="29">
        <f>+L31*K31</f>
        <v>8.3544577664052128E-2</v>
      </c>
      <c r="N31" s="26"/>
      <c r="O31" s="36" t="s">
        <v>45</v>
      </c>
      <c r="P31" s="36"/>
      <c r="Q31" s="36"/>
      <c r="R31" s="36">
        <f>+R29</f>
        <v>0.04</v>
      </c>
      <c r="S31" s="36">
        <f>+$C$45</f>
        <v>2.0886144416013033</v>
      </c>
      <c r="T31" s="39">
        <f>+S31*R31</f>
        <v>8.3544577664052128E-2</v>
      </c>
      <c r="U31" s="36"/>
    </row>
    <row r="32" spans="1:21" x14ac:dyDescent="0.25">
      <c r="A32" s="15"/>
      <c r="B32" s="15"/>
      <c r="C32" s="15"/>
      <c r="D32" s="15"/>
      <c r="E32" s="15"/>
      <c r="F32" s="19">
        <f>SUM(F28:F31)</f>
        <v>5.5984804857109953</v>
      </c>
      <c r="G32" s="15" t="s">
        <v>67</v>
      </c>
      <c r="H32" s="26"/>
      <c r="I32" s="26"/>
      <c r="J32" s="26"/>
      <c r="K32" s="26"/>
      <c r="L32" s="26"/>
      <c r="M32" s="30">
        <f>SUM(M28:M31)</f>
        <v>12.478784388568796</v>
      </c>
      <c r="N32" s="26" t="s">
        <v>68</v>
      </c>
      <c r="O32" s="36"/>
      <c r="P32" s="36"/>
      <c r="Q32" s="36"/>
      <c r="R32" s="36"/>
      <c r="S32" s="36"/>
      <c r="T32" s="40">
        <f>SUM(T28:T31)</f>
        <v>14.584047546463532</v>
      </c>
      <c r="U32" s="36" t="s">
        <v>69</v>
      </c>
    </row>
    <row r="34" spans="1:13" x14ac:dyDescent="0.25">
      <c r="B34" t="s">
        <v>47</v>
      </c>
      <c r="C34" s="6" t="s">
        <v>46</v>
      </c>
    </row>
    <row r="35" spans="1:13" x14ac:dyDescent="0.25">
      <c r="A35" t="s">
        <v>48</v>
      </c>
      <c r="B35">
        <f>+F29</f>
        <v>2</v>
      </c>
      <c r="C35">
        <f>+(B35/70%)+M35</f>
        <v>5.8571428571428577</v>
      </c>
      <c r="J35" t="s">
        <v>51</v>
      </c>
      <c r="K35">
        <f>4.5/60</f>
        <v>7.4999999999999997E-2</v>
      </c>
      <c r="L35">
        <v>40</v>
      </c>
      <c r="M35">
        <f>+L35*K35</f>
        <v>3</v>
      </c>
    </row>
    <row r="36" spans="1:13" x14ac:dyDescent="0.25">
      <c r="A36" t="s">
        <v>49</v>
      </c>
      <c r="B36">
        <f>+M29</f>
        <v>1.6</v>
      </c>
      <c r="C36">
        <f>+(B36/70%)+M36</f>
        <v>3.6190476190476195</v>
      </c>
      <c r="J36" t="s">
        <v>52</v>
      </c>
      <c r="K36">
        <f>2/60</f>
        <v>3.3333333333333333E-2</v>
      </c>
      <c r="L36">
        <v>40</v>
      </c>
      <c r="M36">
        <f>+L36*K36</f>
        <v>1.3333333333333333</v>
      </c>
    </row>
    <row r="37" spans="1:13" x14ac:dyDescent="0.25">
      <c r="A37" t="s">
        <v>50</v>
      </c>
      <c r="B37">
        <f>+T29</f>
        <v>1.6</v>
      </c>
      <c r="C37">
        <f>+(B37/70%)+M37</f>
        <v>3.6190476190476195</v>
      </c>
      <c r="J37" t="s">
        <v>53</v>
      </c>
      <c r="K37">
        <f>2/60</f>
        <v>3.3333333333333333E-2</v>
      </c>
      <c r="L37">
        <v>40</v>
      </c>
      <c r="M37">
        <f>+L37*K37</f>
        <v>1.3333333333333333</v>
      </c>
    </row>
    <row r="39" spans="1:13" x14ac:dyDescent="0.25">
      <c r="A39" t="s">
        <v>54</v>
      </c>
    </row>
    <row r="40" spans="1:13" x14ac:dyDescent="0.25">
      <c r="B40" t="s">
        <v>56</v>
      </c>
      <c r="C40" t="s">
        <v>57</v>
      </c>
    </row>
    <row r="41" spans="1:13" x14ac:dyDescent="0.25">
      <c r="A41" t="s">
        <v>55</v>
      </c>
      <c r="B41">
        <v>1500</v>
      </c>
      <c r="C41" cm="1">
        <f t="array" ref="C41:C43">+C35:C37</f>
        <v>5.8571428571428577</v>
      </c>
      <c r="D41">
        <f>+C41*B41</f>
        <v>8785.7142857142862</v>
      </c>
    </row>
    <row r="42" spans="1:13" x14ac:dyDescent="0.25">
      <c r="A42" t="s">
        <v>49</v>
      </c>
      <c r="B42">
        <v>12760</v>
      </c>
      <c r="C42">
        <v>3.6190476190476195</v>
      </c>
      <c r="D42">
        <f>+C42*B42</f>
        <v>46179.047619047626</v>
      </c>
    </row>
    <row r="43" spans="1:13" x14ac:dyDescent="0.25">
      <c r="A43" t="s">
        <v>50</v>
      </c>
      <c r="B43">
        <v>12760</v>
      </c>
      <c r="C43">
        <v>3.6190476190476195</v>
      </c>
      <c r="D43" s="7">
        <f>+C43*B43</f>
        <v>46179.047619047626</v>
      </c>
    </row>
    <row r="44" spans="1:13" x14ac:dyDescent="0.25">
      <c r="D44">
        <f>SUM(D41:D43)</f>
        <v>101143.80952380953</v>
      </c>
      <c r="E44" t="s">
        <v>58</v>
      </c>
    </row>
    <row r="45" spans="1:13" x14ac:dyDescent="0.25">
      <c r="A45" t="s">
        <v>59</v>
      </c>
      <c r="B45" s="11">
        <f>+E22</f>
        <v>211250.42125000001</v>
      </c>
      <c r="C45">
        <f>+B45/B46</f>
        <v>2.0886144416013033</v>
      </c>
    </row>
    <row r="46" spans="1:13" x14ac:dyDescent="0.25">
      <c r="B46">
        <f>+D44</f>
        <v>101143.80952380953</v>
      </c>
    </row>
    <row r="48" spans="1:13" x14ac:dyDescent="0.25">
      <c r="A48" t="s">
        <v>42</v>
      </c>
      <c r="B48" s="11">
        <f>+B14</f>
        <v>17000</v>
      </c>
      <c r="C48" s="12">
        <f>+B48/B49</f>
        <v>0.16807751339441249</v>
      </c>
    </row>
    <row r="49" spans="1:21" x14ac:dyDescent="0.25">
      <c r="B49">
        <f>+D44</f>
        <v>101143.80952380953</v>
      </c>
    </row>
    <row r="51" spans="1:21" x14ac:dyDescent="0.25">
      <c r="A51" s="1" t="s">
        <v>60</v>
      </c>
    </row>
    <row r="53" spans="1:21" x14ac:dyDescent="0.25">
      <c r="A53" s="14" t="s">
        <v>55</v>
      </c>
      <c r="B53" s="15" t="s">
        <v>61</v>
      </c>
      <c r="C53" s="15" t="s">
        <v>63</v>
      </c>
      <c r="D53" s="15" t="s">
        <v>64</v>
      </c>
      <c r="E53" s="15" t="s">
        <v>37</v>
      </c>
      <c r="F53" s="15"/>
      <c r="H53" s="25" t="s">
        <v>49</v>
      </c>
      <c r="I53" s="26" t="s">
        <v>61</v>
      </c>
      <c r="J53" s="26" t="s">
        <v>63</v>
      </c>
      <c r="K53" s="26" t="s">
        <v>64</v>
      </c>
      <c r="L53" s="26" t="s">
        <v>37</v>
      </c>
      <c r="M53" s="26"/>
      <c r="N53" s="26"/>
      <c r="O53" s="35" t="s">
        <v>53</v>
      </c>
      <c r="P53" s="36" t="s">
        <v>61</v>
      </c>
      <c r="Q53" s="36" t="s">
        <v>63</v>
      </c>
      <c r="R53" s="36" t="s">
        <v>64</v>
      </c>
      <c r="S53" s="36" t="s">
        <v>37</v>
      </c>
      <c r="T53" s="38"/>
      <c r="U53" s="36"/>
    </row>
    <row r="54" spans="1:21" x14ac:dyDescent="0.25">
      <c r="A54" s="20" t="s">
        <v>70</v>
      </c>
      <c r="B54" s="15">
        <v>1</v>
      </c>
      <c r="C54" s="16">
        <v>0.7</v>
      </c>
      <c r="D54" s="15">
        <f>+B54/C54</f>
        <v>1.4285714285714286</v>
      </c>
      <c r="E54" s="21">
        <f>+F32</f>
        <v>5.5984804857109953</v>
      </c>
      <c r="F54" s="15">
        <f>+E54*D54</f>
        <v>7.997829265301422</v>
      </c>
      <c r="H54" s="31" t="s">
        <v>72</v>
      </c>
      <c r="I54" s="26">
        <v>1</v>
      </c>
      <c r="J54" s="27">
        <v>0.7</v>
      </c>
      <c r="K54" s="26">
        <f>+I54/J54</f>
        <v>1.4285714285714286</v>
      </c>
      <c r="L54" s="32">
        <f>+M32</f>
        <v>12.478784388568796</v>
      </c>
      <c r="M54" s="26">
        <f>+L54*K54</f>
        <v>17.826834840812566</v>
      </c>
      <c r="N54" s="26"/>
      <c r="O54" s="41" t="s">
        <v>72</v>
      </c>
      <c r="P54" s="36">
        <v>1</v>
      </c>
      <c r="Q54" s="37">
        <v>0.7</v>
      </c>
      <c r="R54" s="36">
        <f>+P54/Q54</f>
        <v>1.4285714285714286</v>
      </c>
      <c r="S54" s="42">
        <f>+T32</f>
        <v>14.584047546463532</v>
      </c>
      <c r="T54" s="36">
        <f>+S54*R54</f>
        <v>20.834353637805048</v>
      </c>
      <c r="U54" s="36"/>
    </row>
    <row r="55" spans="1:21" x14ac:dyDescent="0.25">
      <c r="A55" s="15" t="s">
        <v>62</v>
      </c>
      <c r="B55" s="15">
        <v>0.6</v>
      </c>
      <c r="C55" s="16">
        <v>0.7</v>
      </c>
      <c r="D55" s="15">
        <f>+B55/C55</f>
        <v>0.85714285714285721</v>
      </c>
      <c r="E55" s="15">
        <f>100/10</f>
        <v>10</v>
      </c>
      <c r="F55" s="17">
        <f>+E55*D55</f>
        <v>8.571428571428573</v>
      </c>
      <c r="H55" s="26" t="s">
        <v>62</v>
      </c>
      <c r="I55" s="26">
        <v>0.4</v>
      </c>
      <c r="J55" s="27">
        <v>0.7</v>
      </c>
      <c r="K55" s="26">
        <f>+I55/J55</f>
        <v>0.57142857142857151</v>
      </c>
      <c r="L55" s="26">
        <f>200/20</f>
        <v>10</v>
      </c>
      <c r="M55" s="28">
        <f>+L55*K55</f>
        <v>5.7142857142857153</v>
      </c>
      <c r="N55" s="26"/>
      <c r="O55" s="36" t="s">
        <v>62</v>
      </c>
      <c r="P55" s="36">
        <v>0.4</v>
      </c>
      <c r="Q55" s="37">
        <v>0.7</v>
      </c>
      <c r="R55" s="36">
        <f>+P55/Q55</f>
        <v>0.57142857142857151</v>
      </c>
      <c r="S55" s="36">
        <f>200/20</f>
        <v>10</v>
      </c>
      <c r="T55" s="38">
        <f>+S55*R55</f>
        <v>5.7142857142857153</v>
      </c>
      <c r="U55" s="36"/>
    </row>
    <row r="56" spans="1:21" x14ac:dyDescent="0.25">
      <c r="A56" s="15" t="s">
        <v>39</v>
      </c>
      <c r="B56" s="15"/>
      <c r="C56" s="15"/>
      <c r="D56" s="15">
        <f>4.5/60</f>
        <v>7.4999999999999997E-2</v>
      </c>
      <c r="E56" s="15">
        <v>40</v>
      </c>
      <c r="F56" s="17">
        <f>+E56*D56</f>
        <v>3</v>
      </c>
      <c r="H56" s="26" t="s">
        <v>39</v>
      </c>
      <c r="I56" s="26"/>
      <c r="J56" s="26"/>
      <c r="K56" s="26">
        <f>2/60</f>
        <v>3.3333333333333333E-2</v>
      </c>
      <c r="L56" s="26">
        <v>40</v>
      </c>
      <c r="M56" s="28">
        <f>+L56*K56</f>
        <v>1.3333333333333333</v>
      </c>
      <c r="N56" s="26"/>
      <c r="O56" s="36" t="s">
        <v>39</v>
      </c>
      <c r="P56" s="36"/>
      <c r="Q56" s="36"/>
      <c r="R56" s="36">
        <f>2/60</f>
        <v>3.3333333333333333E-2</v>
      </c>
      <c r="S56" s="36">
        <v>40</v>
      </c>
      <c r="T56" s="38">
        <f>+S56*R56</f>
        <v>1.3333333333333333</v>
      </c>
      <c r="U56" s="36"/>
    </row>
    <row r="57" spans="1:21" x14ac:dyDescent="0.25">
      <c r="A57" s="15" t="s">
        <v>44</v>
      </c>
      <c r="B57" s="16">
        <f>+C48</f>
        <v>0.16807751339441249</v>
      </c>
      <c r="C57" s="15"/>
      <c r="D57" s="15"/>
      <c r="E57" s="15"/>
      <c r="F57" s="17">
        <f>+F56*B57</f>
        <v>0.50423254018323749</v>
      </c>
      <c r="H57" s="26" t="s">
        <v>44</v>
      </c>
      <c r="I57" s="26"/>
      <c r="J57" s="27">
        <f>+C48</f>
        <v>0.16807751339441249</v>
      </c>
      <c r="K57" s="26"/>
      <c r="L57" s="26"/>
      <c r="M57" s="28">
        <f>+M56*J57</f>
        <v>0.22410335119254998</v>
      </c>
      <c r="N57" s="26"/>
      <c r="O57" s="36" t="s">
        <v>44</v>
      </c>
      <c r="P57" s="36"/>
      <c r="Q57" s="37">
        <f>+C48</f>
        <v>0.16807751339441249</v>
      </c>
      <c r="R57" s="36"/>
      <c r="S57" s="36"/>
      <c r="T57" s="38">
        <f>+T56*Q57</f>
        <v>0.22410335119254998</v>
      </c>
      <c r="U57" s="36"/>
    </row>
    <row r="58" spans="1:21" x14ac:dyDescent="0.25">
      <c r="A58" s="15" t="s">
        <v>65</v>
      </c>
      <c r="B58" s="15"/>
      <c r="C58" s="15"/>
      <c r="D58" s="15">
        <f>+D56</f>
        <v>7.4999999999999997E-2</v>
      </c>
      <c r="E58" s="15">
        <f>+C45</f>
        <v>2.0886144416013033</v>
      </c>
      <c r="F58" s="18">
        <f>+E58*D58</f>
        <v>0.15664608312009773</v>
      </c>
      <c r="H58" s="26" t="s">
        <v>65</v>
      </c>
      <c r="I58" s="26"/>
      <c r="J58" s="26"/>
      <c r="K58" s="26">
        <f>+K56</f>
        <v>3.3333333333333333E-2</v>
      </c>
      <c r="L58" s="26">
        <f>+C45</f>
        <v>2.0886144416013033</v>
      </c>
      <c r="M58" s="29">
        <f>+L58*K58</f>
        <v>6.9620481386710106E-2</v>
      </c>
      <c r="N58" s="26"/>
      <c r="O58" s="36" t="s">
        <v>65</v>
      </c>
      <c r="P58" s="36"/>
      <c r="Q58" s="36"/>
      <c r="R58" s="36">
        <f>+R56</f>
        <v>3.3333333333333333E-2</v>
      </c>
      <c r="S58" s="36">
        <f>+C45</f>
        <v>2.0886144416013033</v>
      </c>
      <c r="T58" s="39">
        <f>+S58*R58</f>
        <v>6.9620481386710106E-2</v>
      </c>
      <c r="U58" s="36"/>
    </row>
    <row r="59" spans="1:21" x14ac:dyDescent="0.25">
      <c r="A59" s="15"/>
      <c r="B59" s="15"/>
      <c r="C59" s="15"/>
      <c r="D59" s="15"/>
      <c r="E59" s="15"/>
      <c r="F59" s="19">
        <f>SUM(F54:F58)</f>
        <v>20.230136460033332</v>
      </c>
      <c r="G59" t="s">
        <v>71</v>
      </c>
      <c r="H59" s="26"/>
      <c r="I59" s="26"/>
      <c r="J59" s="26"/>
      <c r="K59" s="26"/>
      <c r="L59" s="26"/>
      <c r="M59" s="30">
        <f>SUM(M54:M58)</f>
        <v>25.168177721010874</v>
      </c>
      <c r="N59" s="26" t="s">
        <v>73</v>
      </c>
      <c r="O59" s="36"/>
      <c r="P59" s="36"/>
      <c r="Q59" s="36"/>
      <c r="R59" s="36"/>
      <c r="S59" s="36"/>
      <c r="T59" s="40">
        <f>SUM(T54:T58)</f>
        <v>28.175696518003356</v>
      </c>
      <c r="U59" s="36" t="s">
        <v>74</v>
      </c>
    </row>
    <row r="60" spans="1:21" x14ac:dyDescent="0.25">
      <c r="M60" s="5"/>
      <c r="T60" s="5"/>
    </row>
    <row r="61" spans="1:21" x14ac:dyDescent="0.25">
      <c r="A61" s="1" t="s">
        <v>66</v>
      </c>
    </row>
    <row r="62" spans="1:21" x14ac:dyDescent="0.25">
      <c r="A62" s="15" t="s">
        <v>47</v>
      </c>
      <c r="B62" s="15" t="s">
        <v>34</v>
      </c>
      <c r="C62" s="15" t="s">
        <v>35</v>
      </c>
      <c r="D62" s="15" t="s">
        <v>77</v>
      </c>
      <c r="E62" s="15" t="s">
        <v>37</v>
      </c>
      <c r="F62" s="15"/>
      <c r="H62" s="26" t="s">
        <v>47</v>
      </c>
      <c r="I62" s="26" t="s">
        <v>34</v>
      </c>
      <c r="J62" s="26" t="s">
        <v>35</v>
      </c>
      <c r="K62" s="26" t="s">
        <v>77</v>
      </c>
      <c r="L62" s="26" t="s">
        <v>37</v>
      </c>
      <c r="M62" s="26"/>
      <c r="N62" s="26"/>
      <c r="O62" s="36" t="s">
        <v>47</v>
      </c>
      <c r="P62" s="36" t="s">
        <v>34</v>
      </c>
      <c r="Q62" s="36" t="s">
        <v>35</v>
      </c>
      <c r="R62" s="36" t="s">
        <v>77</v>
      </c>
      <c r="S62" s="36" t="s">
        <v>37</v>
      </c>
      <c r="T62" s="36"/>
      <c r="U62" s="36"/>
    </row>
    <row r="63" spans="1:21" x14ac:dyDescent="0.25">
      <c r="A63" s="14" t="s">
        <v>51</v>
      </c>
      <c r="B63" s="15">
        <v>1</v>
      </c>
      <c r="C63" s="16">
        <v>1</v>
      </c>
      <c r="D63" s="21">
        <f>+B63/C63</f>
        <v>1</v>
      </c>
      <c r="E63" s="21">
        <f>+F59</f>
        <v>20.230136460033332</v>
      </c>
      <c r="F63" s="21">
        <f>+E63*D63</f>
        <v>20.230136460033332</v>
      </c>
      <c r="H63" s="25" t="s">
        <v>49</v>
      </c>
      <c r="I63" s="26">
        <v>1</v>
      </c>
      <c r="J63" s="27">
        <v>1</v>
      </c>
      <c r="K63" s="32">
        <f>+I63/J63</f>
        <v>1</v>
      </c>
      <c r="L63" s="32">
        <f>+M59</f>
        <v>25.168177721010874</v>
      </c>
      <c r="M63" s="32">
        <f>+L63*K63</f>
        <v>25.168177721010874</v>
      </c>
      <c r="N63" s="26"/>
      <c r="O63" s="35" t="s">
        <v>53</v>
      </c>
      <c r="P63" s="36">
        <v>1</v>
      </c>
      <c r="Q63" s="37">
        <v>1</v>
      </c>
      <c r="R63" s="42">
        <f>+P63/Q63</f>
        <v>1</v>
      </c>
      <c r="S63" s="42">
        <f>+T59</f>
        <v>28.175696518003356</v>
      </c>
      <c r="T63" s="42">
        <f>+S63*R63</f>
        <v>28.175696518003356</v>
      </c>
      <c r="U63" s="36"/>
    </row>
    <row r="64" spans="1:21" x14ac:dyDescent="0.25">
      <c r="A64" s="15" t="s">
        <v>75</v>
      </c>
      <c r="B64" s="15">
        <v>1</v>
      </c>
      <c r="C64" s="16">
        <v>1</v>
      </c>
      <c r="D64" s="15">
        <f>+B64/C64</f>
        <v>1</v>
      </c>
      <c r="E64" s="15">
        <f>800/200</f>
        <v>4</v>
      </c>
      <c r="F64" s="15">
        <f>+E64*D64</f>
        <v>4</v>
      </c>
      <c r="H64" s="26" t="s">
        <v>75</v>
      </c>
      <c r="I64" s="26">
        <v>1</v>
      </c>
      <c r="J64" s="27">
        <v>1</v>
      </c>
      <c r="K64" s="26">
        <f>+I64/J64</f>
        <v>1</v>
      </c>
      <c r="L64" s="26">
        <f>800/200</f>
        <v>4</v>
      </c>
      <c r="M64" s="26">
        <f>+L64*K64</f>
        <v>4</v>
      </c>
      <c r="N64" s="26"/>
      <c r="O64" s="36" t="s">
        <v>75</v>
      </c>
      <c r="P64" s="36">
        <v>1</v>
      </c>
      <c r="Q64" s="37">
        <v>1</v>
      </c>
      <c r="R64" s="36">
        <f>+P64/Q64</f>
        <v>1</v>
      </c>
      <c r="S64" s="36">
        <f>800/200</f>
        <v>4</v>
      </c>
      <c r="T64" s="36">
        <f>+S64*R64</f>
        <v>4</v>
      </c>
      <c r="U64" s="36"/>
    </row>
    <row r="65" spans="1:21" x14ac:dyDescent="0.25">
      <c r="A65" s="15" t="s">
        <v>43</v>
      </c>
      <c r="B65" s="15"/>
      <c r="C65" s="15"/>
      <c r="D65" s="15">
        <f>4.5/60</f>
        <v>7.4999999999999997E-2</v>
      </c>
      <c r="E65" s="15">
        <f>+C76</f>
        <v>26.923634036516162</v>
      </c>
      <c r="F65" s="22">
        <f>+E65*D65</f>
        <v>2.0192725527387121</v>
      </c>
      <c r="H65" s="26" t="s">
        <v>43</v>
      </c>
      <c r="I65" s="26"/>
      <c r="J65" s="26"/>
      <c r="K65" s="26">
        <f>2/60</f>
        <v>3.3333333333333333E-2</v>
      </c>
      <c r="L65" s="26">
        <f>+$C$76</f>
        <v>26.923634036516162</v>
      </c>
      <c r="M65" s="33">
        <f>+L65*K65</f>
        <v>0.89745446788387206</v>
      </c>
      <c r="N65" s="26"/>
      <c r="O65" s="36" t="s">
        <v>43</v>
      </c>
      <c r="P65" s="36"/>
      <c r="Q65" s="36"/>
      <c r="R65" s="36">
        <f>2/60</f>
        <v>3.3333333333333333E-2</v>
      </c>
      <c r="S65" s="36">
        <f>+$C$76</f>
        <v>26.923634036516162</v>
      </c>
      <c r="T65" s="43">
        <f>+S65*R65</f>
        <v>0.89745446788387206</v>
      </c>
      <c r="U65" s="36"/>
    </row>
    <row r="66" spans="1:21" x14ac:dyDescent="0.25">
      <c r="A66" s="15"/>
      <c r="B66" s="15"/>
      <c r="C66" s="15"/>
      <c r="D66" s="15"/>
      <c r="E66" s="15"/>
      <c r="F66" s="23">
        <f>SUM(F63:F65)</f>
        <v>26.249409012772045</v>
      </c>
      <c r="H66" s="26"/>
      <c r="I66" s="26"/>
      <c r="J66" s="26"/>
      <c r="K66" s="26"/>
      <c r="L66" s="26"/>
      <c r="M66" s="34">
        <f>SUM(M63:M65)</f>
        <v>30.065632188894746</v>
      </c>
      <c r="N66" s="26"/>
      <c r="O66" s="36"/>
      <c r="P66" s="36"/>
      <c r="Q66" s="36"/>
      <c r="R66" s="36"/>
      <c r="S66" s="36"/>
      <c r="T66" s="44">
        <f>SUM(T63:T65)</f>
        <v>33.073150985887231</v>
      </c>
      <c r="U66" s="36"/>
    </row>
    <row r="68" spans="1:21" x14ac:dyDescent="0.25">
      <c r="A68" s="10" t="s">
        <v>76</v>
      </c>
    </row>
    <row r="70" spans="1:21" x14ac:dyDescent="0.25">
      <c r="B70" t="s">
        <v>56</v>
      </c>
      <c r="C70" t="s">
        <v>78</v>
      </c>
    </row>
    <row r="71" spans="1:21" x14ac:dyDescent="0.25">
      <c r="A71" t="str" cm="1">
        <f t="array" ref="A71:A73">+A35:A37</f>
        <v xml:space="preserve">CorbaTAS </v>
      </c>
      <c r="B71">
        <v>1500</v>
      </c>
      <c r="C71">
        <f>(4.5/60)*2</f>
        <v>0.15</v>
      </c>
      <c r="D71">
        <f>+C71*B71</f>
        <v>225</v>
      </c>
    </row>
    <row r="72" spans="1:21" x14ac:dyDescent="0.25">
      <c r="A72" t="str">
        <v>Moños</v>
      </c>
      <c r="B72">
        <v>12760</v>
      </c>
      <c r="C72">
        <f>(4.5/60)*2</f>
        <v>0.15</v>
      </c>
      <c r="D72">
        <f>+C72*B72</f>
        <v>1914</v>
      </c>
    </row>
    <row r="73" spans="1:21" x14ac:dyDescent="0.25">
      <c r="A73" t="str">
        <v xml:space="preserve">Foulards </v>
      </c>
      <c r="B73">
        <v>12760</v>
      </c>
      <c r="C73">
        <f>(4.5/60)*2</f>
        <v>0.15</v>
      </c>
      <c r="D73" s="7">
        <f>+C73*B73</f>
        <v>1914</v>
      </c>
    </row>
    <row r="74" spans="1:21" x14ac:dyDescent="0.25">
      <c r="D74">
        <f>SUM(D71:D73)</f>
        <v>4053</v>
      </c>
      <c r="E74" t="s">
        <v>79</v>
      </c>
    </row>
    <row r="76" spans="1:21" x14ac:dyDescent="0.25">
      <c r="A76" t="s">
        <v>59</v>
      </c>
      <c r="B76" s="11">
        <f>+F22</f>
        <v>109121.48875</v>
      </c>
      <c r="C76">
        <f>+B76/B77</f>
        <v>26.923634036516162</v>
      </c>
    </row>
    <row r="77" spans="1:21" x14ac:dyDescent="0.25">
      <c r="B77">
        <f>+D74</f>
        <v>4053</v>
      </c>
    </row>
    <row r="80" spans="1:21" x14ac:dyDescent="0.25">
      <c r="A80" s="15" t="s">
        <v>80</v>
      </c>
      <c r="B80" s="15" t="s">
        <v>34</v>
      </c>
      <c r="C80" s="15" t="s">
        <v>35</v>
      </c>
      <c r="D80" s="15" t="s">
        <v>77</v>
      </c>
      <c r="E80" s="15" t="s">
        <v>37</v>
      </c>
      <c r="F80" s="15"/>
      <c r="H80" s="26" t="s">
        <v>46</v>
      </c>
      <c r="I80" s="26" t="s">
        <v>34</v>
      </c>
      <c r="J80" s="26" t="s">
        <v>35</v>
      </c>
      <c r="K80" s="26" t="s">
        <v>77</v>
      </c>
      <c r="L80" s="26" t="s">
        <v>37</v>
      </c>
      <c r="M80" s="26"/>
      <c r="N80" s="26"/>
      <c r="O80" s="36" t="s">
        <v>46</v>
      </c>
      <c r="P80" s="36" t="s">
        <v>34</v>
      </c>
      <c r="Q80" s="36" t="s">
        <v>35</v>
      </c>
      <c r="R80" s="36" t="s">
        <v>77</v>
      </c>
      <c r="S80" s="36" t="s">
        <v>37</v>
      </c>
      <c r="T80" s="36"/>
      <c r="U80" s="36"/>
    </row>
    <row r="81" spans="1:21" x14ac:dyDescent="0.25">
      <c r="A81" s="14" t="s">
        <v>51</v>
      </c>
      <c r="B81" s="15">
        <v>1</v>
      </c>
      <c r="C81" s="16">
        <v>1</v>
      </c>
      <c r="D81" s="21">
        <f>+B81/C81</f>
        <v>1</v>
      </c>
      <c r="E81" s="21">
        <f>+F66</f>
        <v>26.249409012772045</v>
      </c>
      <c r="F81" s="21">
        <f>+E81*D81</f>
        <v>26.249409012772045</v>
      </c>
      <c r="H81" s="25" t="s">
        <v>49</v>
      </c>
      <c r="I81" s="26">
        <v>1</v>
      </c>
      <c r="J81" s="27">
        <v>1</v>
      </c>
      <c r="K81" s="32">
        <f>+I81/J81</f>
        <v>1</v>
      </c>
      <c r="L81" s="32">
        <f>+M66</f>
        <v>30.065632188894746</v>
      </c>
      <c r="M81" s="32">
        <f>+L81*K81</f>
        <v>30.065632188894746</v>
      </c>
      <c r="N81" s="26"/>
      <c r="O81" s="35" t="s">
        <v>53</v>
      </c>
      <c r="P81" s="36">
        <v>1</v>
      </c>
      <c r="Q81" s="37">
        <v>1</v>
      </c>
      <c r="R81" s="42">
        <f>+P81/Q81</f>
        <v>1</v>
      </c>
      <c r="S81" s="42">
        <f>+T66</f>
        <v>33.073150985887231</v>
      </c>
      <c r="T81" s="42">
        <f>+S81*R81</f>
        <v>33.073150985887231</v>
      </c>
      <c r="U81" s="36"/>
    </row>
    <row r="82" spans="1:21" x14ac:dyDescent="0.25">
      <c r="A82" s="15" t="s">
        <v>81</v>
      </c>
      <c r="B82" s="15">
        <v>1</v>
      </c>
      <c r="C82" s="16">
        <v>1</v>
      </c>
      <c r="D82" s="15">
        <f>+B82/C82</f>
        <v>1</v>
      </c>
      <c r="E82" s="15">
        <v>5</v>
      </c>
      <c r="F82" s="15">
        <f>+E82*D82</f>
        <v>5</v>
      </c>
      <c r="H82" s="26" t="s">
        <v>81</v>
      </c>
      <c r="I82" s="26">
        <v>1</v>
      </c>
      <c r="J82" s="27">
        <v>1</v>
      </c>
      <c r="K82" s="26">
        <f>+I82/J82</f>
        <v>1</v>
      </c>
      <c r="L82" s="26">
        <v>5</v>
      </c>
      <c r="M82" s="26">
        <f>+L82*K82</f>
        <v>5</v>
      </c>
      <c r="N82" s="26"/>
      <c r="O82" s="36" t="s">
        <v>81</v>
      </c>
      <c r="P82" s="36">
        <v>1</v>
      </c>
      <c r="Q82" s="37">
        <v>1</v>
      </c>
      <c r="R82" s="36">
        <f>+P82/Q82</f>
        <v>1</v>
      </c>
      <c r="S82" s="36">
        <v>5</v>
      </c>
      <c r="T82" s="36">
        <f>+S82*R82</f>
        <v>5</v>
      </c>
      <c r="U82" s="36"/>
    </row>
    <row r="83" spans="1:21" x14ac:dyDescent="0.25">
      <c r="A83" s="15" t="s">
        <v>43</v>
      </c>
      <c r="B83" s="15"/>
      <c r="C83" s="15"/>
      <c r="D83" s="15">
        <f>4.5/60</f>
        <v>7.4999999999999997E-2</v>
      </c>
      <c r="E83" s="15">
        <f>+C76</f>
        <v>26.923634036516162</v>
      </c>
      <c r="F83" s="22">
        <f>+E83*D83</f>
        <v>2.0192725527387121</v>
      </c>
      <c r="H83" s="26" t="s">
        <v>43</v>
      </c>
      <c r="I83" s="26"/>
      <c r="J83" s="26"/>
      <c r="K83" s="26">
        <f>2/60</f>
        <v>3.3333333333333333E-2</v>
      </c>
      <c r="L83" s="26">
        <f>+C76</f>
        <v>26.923634036516162</v>
      </c>
      <c r="M83" s="33">
        <f>+L83*K83</f>
        <v>0.89745446788387206</v>
      </c>
      <c r="N83" s="26"/>
      <c r="O83" s="36" t="s">
        <v>43</v>
      </c>
      <c r="P83" s="36"/>
      <c r="Q83" s="36"/>
      <c r="R83" s="36">
        <f>2/60</f>
        <v>3.3333333333333333E-2</v>
      </c>
      <c r="S83" s="36">
        <f>+C76</f>
        <v>26.923634036516162</v>
      </c>
      <c r="T83" s="43">
        <f>+S83*R83</f>
        <v>0.89745446788387206</v>
      </c>
      <c r="U83" s="36"/>
    </row>
    <row r="84" spans="1:21" x14ac:dyDescent="0.25">
      <c r="A84" s="15"/>
      <c r="B84" s="15"/>
      <c r="C84" s="15"/>
      <c r="D84" s="15"/>
      <c r="E84" s="15"/>
      <c r="F84" s="23">
        <f>SUM(F81:F83)</f>
        <v>33.268681565510754</v>
      </c>
      <c r="H84" s="26"/>
      <c r="I84" s="26"/>
      <c r="J84" s="26"/>
      <c r="K84" s="26"/>
      <c r="L84" s="26"/>
      <c r="M84" s="34">
        <f>SUM(M81:M83)</f>
        <v>35.963086656778621</v>
      </c>
      <c r="N84" s="26" t="s">
        <v>82</v>
      </c>
      <c r="O84" s="36"/>
      <c r="P84" s="36"/>
      <c r="Q84" s="36"/>
      <c r="R84" s="36"/>
      <c r="S84" s="36"/>
      <c r="T84" s="44">
        <f>SUM(T81:T83)</f>
        <v>38.970605453771107</v>
      </c>
      <c r="U84" s="36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Ejercicio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Mera</dc:creator>
  <cp:lastModifiedBy>Juan Mera</cp:lastModifiedBy>
  <dcterms:created xsi:type="dcterms:W3CDTF">2022-10-28T21:29:03Z</dcterms:created>
  <dcterms:modified xsi:type="dcterms:W3CDTF">2022-10-28T23:19:23Z</dcterms:modified>
</cp:coreProperties>
</file>