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j\OneDrive - TEC\EagleProjects\cellSwitcher\"/>
    </mc:Choice>
  </mc:AlternateContent>
  <xr:revisionPtr revIDLastSave="1166" documentId="8_{F637D767-94D8-421E-A96F-C1B0C0889898}" xr6:coauthVersionLast="45" xr6:coauthVersionMax="45" xr10:uidLastSave="{9E6AB96B-28CB-4E89-9EEC-81EEDA3B8987}"/>
  <bookViews>
    <workbookView xWindow="-98" yWindow="-98" windowWidth="19396" windowHeight="10546" xr2:uid="{00000000-000D-0000-FFFF-FFFF00000000}"/>
  </bookViews>
  <sheets>
    <sheet name="Charger_dischargerV5" sheetId="1" r:id="rId1"/>
  </sheets>
  <definedNames>
    <definedName name="_xlnm._FilterDatabase" localSheetId="0" hidden="1">Charger_dischargerV5!$A$2:$AB$25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1" l="1"/>
  <c r="N22" i="1" s="1"/>
  <c r="M21" i="1"/>
  <c r="N21" i="1" s="1"/>
  <c r="M8" i="1"/>
  <c r="N8" i="1" s="1"/>
  <c r="M7" i="1"/>
  <c r="N7" i="1" s="1"/>
  <c r="N5" i="1"/>
  <c r="M5" i="1"/>
  <c r="N4" i="1"/>
  <c r="M4" i="1"/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3" i="1"/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3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Q23" i="1"/>
  <c r="AN23" i="1"/>
  <c r="AK23" i="1"/>
  <c r="AJ23" i="1"/>
  <c r="AI23" i="1"/>
  <c r="AH23" i="1"/>
  <c r="AQ22" i="1"/>
  <c r="AN22" i="1"/>
  <c r="AK22" i="1"/>
  <c r="AJ22" i="1"/>
  <c r="AI22" i="1"/>
  <c r="AH22" i="1"/>
  <c r="AQ21" i="1"/>
  <c r="AN21" i="1"/>
  <c r="AK21" i="1"/>
  <c r="AJ21" i="1"/>
  <c r="AI21" i="1"/>
  <c r="AH21" i="1"/>
  <c r="AQ20" i="1"/>
  <c r="AN20" i="1"/>
  <c r="AK20" i="1"/>
  <c r="AJ20" i="1"/>
  <c r="AI20" i="1"/>
  <c r="AH20" i="1"/>
  <c r="AQ19" i="1"/>
  <c r="AN19" i="1"/>
  <c r="AK19" i="1"/>
  <c r="AJ19" i="1"/>
  <c r="AI19" i="1"/>
  <c r="AH19" i="1"/>
  <c r="AQ18" i="1"/>
  <c r="AN18" i="1"/>
  <c r="AK18" i="1"/>
  <c r="AJ18" i="1"/>
  <c r="AI18" i="1"/>
  <c r="AH18" i="1"/>
  <c r="AQ17" i="1"/>
  <c r="AN17" i="1"/>
  <c r="AK17" i="1"/>
  <c r="AJ17" i="1"/>
  <c r="AI17" i="1"/>
  <c r="AH17" i="1"/>
  <c r="AQ16" i="1"/>
  <c r="AN16" i="1"/>
  <c r="AK16" i="1"/>
  <c r="AJ16" i="1"/>
  <c r="AI16" i="1"/>
  <c r="AH16" i="1"/>
  <c r="AQ15" i="1"/>
  <c r="AN15" i="1"/>
  <c r="AK15" i="1"/>
  <c r="AJ15" i="1"/>
  <c r="AI15" i="1"/>
  <c r="AH15" i="1"/>
  <c r="AQ14" i="1"/>
  <c r="AN14" i="1"/>
  <c r="AK14" i="1"/>
  <c r="AJ14" i="1"/>
  <c r="AI14" i="1"/>
  <c r="AH14" i="1"/>
  <c r="AQ13" i="1"/>
  <c r="AN13" i="1"/>
  <c r="AK13" i="1"/>
  <c r="AJ13" i="1"/>
  <c r="AI13" i="1"/>
  <c r="AH13" i="1"/>
  <c r="AQ12" i="1"/>
  <c r="AN12" i="1"/>
  <c r="AK12" i="1"/>
  <c r="AJ12" i="1"/>
  <c r="AI12" i="1"/>
  <c r="AH12" i="1"/>
  <c r="AQ11" i="1"/>
  <c r="AN11" i="1"/>
  <c r="AK11" i="1"/>
  <c r="AJ11" i="1"/>
  <c r="AI11" i="1"/>
  <c r="AH11" i="1"/>
  <c r="AQ10" i="1"/>
  <c r="AN10" i="1"/>
  <c r="AK10" i="1"/>
  <c r="AJ10" i="1"/>
  <c r="AI10" i="1"/>
  <c r="AH10" i="1"/>
  <c r="AQ9" i="1"/>
  <c r="AN9" i="1"/>
  <c r="AK9" i="1"/>
  <c r="AJ9" i="1"/>
  <c r="AI9" i="1"/>
  <c r="AH9" i="1"/>
  <c r="AQ8" i="1"/>
  <c r="AN8" i="1"/>
  <c r="AK8" i="1"/>
  <c r="AJ8" i="1"/>
  <c r="AI8" i="1"/>
  <c r="AH8" i="1"/>
  <c r="AQ7" i="1"/>
  <c r="AN7" i="1"/>
  <c r="AK7" i="1"/>
  <c r="AJ7" i="1"/>
  <c r="AI7" i="1"/>
  <c r="AH7" i="1"/>
  <c r="AQ6" i="1"/>
  <c r="AN6" i="1"/>
  <c r="AK6" i="1"/>
  <c r="AJ6" i="1"/>
  <c r="AI6" i="1"/>
  <c r="AH6" i="1"/>
  <c r="AQ5" i="1"/>
  <c r="AN5" i="1"/>
  <c r="AK5" i="1"/>
  <c r="AJ5" i="1"/>
  <c r="AI5" i="1"/>
  <c r="AH5" i="1"/>
  <c r="AQ4" i="1"/>
  <c r="AN4" i="1"/>
  <c r="AK4" i="1"/>
  <c r="AJ4" i="1"/>
  <c r="AI4" i="1"/>
  <c r="AH4" i="1"/>
  <c r="AQ3" i="1"/>
  <c r="AN3" i="1"/>
  <c r="AK3" i="1"/>
  <c r="AJ3" i="1"/>
  <c r="AI3" i="1"/>
  <c r="AH3" i="1"/>
  <c r="U24" i="1" l="1"/>
  <c r="AA24" i="1" s="1"/>
  <c r="M16" i="1"/>
  <c r="N16" i="1" s="1"/>
  <c r="U16" i="1" s="1"/>
  <c r="W16" i="1" s="1"/>
  <c r="M13" i="1"/>
  <c r="N13" i="1" s="1"/>
  <c r="U13" i="1" s="1"/>
  <c r="AA13" i="1" s="1"/>
  <c r="M14" i="1"/>
  <c r="N14" i="1" s="1"/>
  <c r="U14" i="1" s="1"/>
  <c r="W14" i="1" s="1"/>
  <c r="U10" i="1"/>
  <c r="AA10" i="1" s="1"/>
  <c r="N10" i="1"/>
  <c r="M9" i="1"/>
  <c r="M20" i="1"/>
  <c r="M18" i="1"/>
  <c r="M17" i="1"/>
  <c r="M15" i="1"/>
  <c r="M12" i="1"/>
  <c r="M6" i="1"/>
  <c r="M3" i="1"/>
  <c r="U23" i="1"/>
  <c r="U19" i="1"/>
  <c r="U11" i="1"/>
  <c r="AA22" i="1"/>
  <c r="Y22" i="1"/>
  <c r="W22" i="1"/>
  <c r="AE22" i="1" s="1"/>
  <c r="AA4" i="1"/>
  <c r="Y4" i="1"/>
  <c r="W4" i="1"/>
  <c r="AE4" i="1" s="1"/>
  <c r="AA21" i="1"/>
  <c r="Y21" i="1"/>
  <c r="W21" i="1"/>
  <c r="AE21" i="1" s="1"/>
  <c r="Y14" i="1" l="1"/>
  <c r="AE14" i="1"/>
  <c r="Y16" i="1"/>
  <c r="AE16" i="1"/>
  <c r="W24" i="1"/>
  <c r="AA16" i="1"/>
  <c r="AA14" i="1"/>
  <c r="W13" i="1"/>
  <c r="W10" i="1"/>
  <c r="Y13" i="1" l="1"/>
  <c r="AE13" i="1"/>
  <c r="Y24" i="1"/>
  <c r="AE24" i="1"/>
  <c r="Y10" i="1"/>
  <c r="AE10" i="1"/>
  <c r="N19" i="1"/>
  <c r="AA18" i="1"/>
  <c r="Y18" i="1"/>
  <c r="W18" i="1"/>
  <c r="AE18" i="1" s="1"/>
  <c r="N18" i="1"/>
  <c r="AA17" i="1"/>
  <c r="Y17" i="1"/>
  <c r="W17" i="1"/>
  <c r="AE17" i="1" s="1"/>
  <c r="N17" i="1"/>
  <c r="AA12" i="1"/>
  <c r="Y12" i="1"/>
  <c r="W12" i="1"/>
  <c r="AE12" i="1" s="1"/>
  <c r="N12" i="1"/>
  <c r="AA9" i="1"/>
  <c r="Y9" i="1"/>
  <c r="W9" i="1"/>
  <c r="AE9" i="1" s="1"/>
  <c r="AA19" i="1" l="1"/>
  <c r="W19" i="1"/>
  <c r="Y19" i="1" l="1"/>
  <c r="AE19" i="1"/>
  <c r="AA8" i="1"/>
  <c r="Y8" i="1"/>
  <c r="W8" i="1"/>
  <c r="AE8" i="1" s="1"/>
  <c r="AA7" i="1"/>
  <c r="Y7" i="1"/>
  <c r="W7" i="1"/>
  <c r="AE7" i="1" s="1"/>
  <c r="AA6" i="1"/>
  <c r="Y6" i="1"/>
  <c r="W6" i="1"/>
  <c r="AE6" i="1" s="1"/>
  <c r="N6" i="1"/>
  <c r="AA5" i="1"/>
  <c r="Y5" i="1"/>
  <c r="W5" i="1"/>
  <c r="AE5" i="1" s="1"/>
  <c r="W25" i="1" l="1"/>
  <c r="AA20" i="1"/>
  <c r="Y20" i="1"/>
  <c r="W20" i="1"/>
  <c r="AE20" i="1" s="1"/>
  <c r="N20" i="1"/>
  <c r="AA15" i="1" l="1"/>
  <c r="Y15" i="1"/>
  <c r="W15" i="1"/>
  <c r="AE15" i="1" s="1"/>
  <c r="N15" i="1"/>
  <c r="N9" i="1"/>
  <c r="AA23" i="1" l="1"/>
  <c r="T23" i="1"/>
  <c r="W23" i="1" l="1"/>
  <c r="W11" i="1"/>
  <c r="AE11" i="1" s="1"/>
  <c r="N11" i="1"/>
  <c r="Y23" i="1" l="1"/>
  <c r="AE23" i="1"/>
  <c r="Y11" i="1"/>
  <c r="AA11" i="1"/>
  <c r="AA3" i="1"/>
  <c r="Y3" i="1"/>
  <c r="W3" i="1"/>
  <c r="AE3" i="1" s="1"/>
  <c r="N3" i="1"/>
  <c r="AA25" i="1" l="1"/>
  <c r="Y25" i="1"/>
  <c r="E27" i="1" l="1"/>
</calcChain>
</file>

<file path=xl/sharedStrings.xml><?xml version="1.0" encoding="utf-8"?>
<sst xmlns="http://schemas.openxmlformats.org/spreadsheetml/2006/main" count="240" uniqueCount="179">
  <si>
    <t>Qty</t>
  </si>
  <si>
    <t>Value</t>
  </si>
  <si>
    <t>Device</t>
  </si>
  <si>
    <t>Package</t>
  </si>
  <si>
    <t>Parts</t>
  </si>
  <si>
    <t>C0603</t>
  </si>
  <si>
    <t>NONPOL_CAP-0603</t>
  </si>
  <si>
    <t>RESISTOR-0603</t>
  </si>
  <si>
    <t>R0603</t>
  </si>
  <si>
    <t>Bag</t>
  </si>
  <si>
    <t>Available</t>
  </si>
  <si>
    <t>Balance</t>
  </si>
  <si>
    <t>To buy</t>
  </si>
  <si>
    <t>RS</t>
  </si>
  <si>
    <t>Unit cost</t>
  </si>
  <si>
    <t>Total</t>
  </si>
  <si>
    <t>Minimum</t>
  </si>
  <si>
    <t>Needed</t>
  </si>
  <si>
    <t>Part List</t>
  </si>
  <si>
    <t>To take from inventory</t>
  </si>
  <si>
    <t>TOTAL</t>
  </si>
  <si>
    <t>Need</t>
  </si>
  <si>
    <t>Actual</t>
  </si>
  <si>
    <t>Vendor SN</t>
  </si>
  <si>
    <t>Vendor</t>
  </si>
  <si>
    <t>PBAN #</t>
  </si>
  <si>
    <t>Name</t>
  </si>
  <si>
    <t># of units</t>
  </si>
  <si>
    <t>Pban bags</t>
  </si>
  <si>
    <t>Specifications</t>
  </si>
  <si>
    <t>Manufacturer</t>
  </si>
  <si>
    <t>Manufacurer PN</t>
  </si>
  <si>
    <t>Package type</t>
  </si>
  <si>
    <t>Inventory now</t>
  </si>
  <si>
    <t>Inventory before</t>
  </si>
  <si>
    <t>Switching diode</t>
  </si>
  <si>
    <t>Non-polarized capacitor</t>
  </si>
  <si>
    <t>Resistor</t>
  </si>
  <si>
    <t>PCB fabrication</t>
  </si>
  <si>
    <t>P-ban</t>
  </si>
  <si>
    <t>1n</t>
  </si>
  <si>
    <t>0.1u</t>
  </si>
  <si>
    <t>0.33u</t>
  </si>
  <si>
    <t>1u</t>
  </si>
  <si>
    <t>10u</t>
  </si>
  <si>
    <t>SOT-23</t>
  </si>
  <si>
    <t>Regulator</t>
  </si>
  <si>
    <t>NCV7805BD2TG</t>
  </si>
  <si>
    <t>D2PAK-3</t>
  </si>
  <si>
    <t>BC818K-40</t>
  </si>
  <si>
    <t>NPN transistor</t>
  </si>
  <si>
    <t>A28</t>
  </si>
  <si>
    <t>A25</t>
  </si>
  <si>
    <t>Connector</t>
  </si>
  <si>
    <t>CON1</t>
  </si>
  <si>
    <t>SAMTEC</t>
  </si>
  <si>
    <t>BAQ133-GS08</t>
  </si>
  <si>
    <t>SOD08</t>
  </si>
  <si>
    <t>A44</t>
  </si>
  <si>
    <t>Digi-Key</t>
  </si>
  <si>
    <t>Fuse holder</t>
  </si>
  <si>
    <t>A38</t>
  </si>
  <si>
    <t>FUSEHOLDER</t>
  </si>
  <si>
    <t>Relay</t>
  </si>
  <si>
    <t>TE Connectivity</t>
  </si>
  <si>
    <t>LGR971</t>
  </si>
  <si>
    <t>LED</t>
  </si>
  <si>
    <t>SML0805</t>
  </si>
  <si>
    <t>OptoCoupler</t>
  </si>
  <si>
    <t>1k</t>
  </si>
  <si>
    <t>A93</t>
  </si>
  <si>
    <t>Analog Devices</t>
  </si>
  <si>
    <t>PCB fabrication - 2 layers - With soldering service</t>
  </si>
  <si>
    <t>BJT1, BJT2, BJT3, BJT4</t>
  </si>
  <si>
    <t>C4</t>
  </si>
  <si>
    <t>C5</t>
  </si>
  <si>
    <t>C6</t>
  </si>
  <si>
    <t>2_18650_HOLDER</t>
  </si>
  <si>
    <t>Li-Ion cell holder</t>
  </si>
  <si>
    <t>CH1, CH2</t>
  </si>
  <si>
    <t>C1</t>
  </si>
  <si>
    <t>TMM-110-01-F-D-RA</t>
  </si>
  <si>
    <t>20 Positions Header Connector 0.079 "(2.00 mm) Through Hole, Right Angle Gold</t>
  </si>
  <si>
    <t>TMM-110-01-FD-RA-ND</t>
  </si>
  <si>
    <t>TMM-110-01-FD-RA</t>
  </si>
  <si>
    <t>https://www.digikey.jp/product-detail/ja/samtec-inc/TMM-110-01-F-D-RA/TMM-110-01-F-D-RA-ND/2685424</t>
  </si>
  <si>
    <t>D1, D2, D3, D4</t>
  </si>
  <si>
    <t>F1</t>
  </si>
  <si>
    <t>RTE24005F</t>
  </si>
  <si>
    <t>K1, K2, K3, K4</t>
  </si>
  <si>
    <t>A66</t>
  </si>
  <si>
    <t>ADG704BRM</t>
  </si>
  <si>
    <t>Muxer</t>
  </si>
  <si>
    <t>NAND gate</t>
  </si>
  <si>
    <t>SN74LVC2G00DCUT</t>
  </si>
  <si>
    <t>MSOP10</t>
  </si>
  <si>
    <t>VSSOP-8</t>
  </si>
  <si>
    <t>MUX1</t>
  </si>
  <si>
    <t>NAND1</t>
  </si>
  <si>
    <t>A52</t>
  </si>
  <si>
    <t>A48</t>
  </si>
  <si>
    <t>PS2502-4</t>
  </si>
  <si>
    <t>DIL16</t>
  </si>
  <si>
    <t>OK1</t>
  </si>
  <si>
    <t>A50</t>
  </si>
  <si>
    <t>R1, R2, R3, R4</t>
  </si>
  <si>
    <t>TE Connectivity Thick Film Surface Mount Resistors, 0.1 W, 1 kΩ, ± 1%</t>
  </si>
  <si>
    <t>CRG0603F1K0</t>
  </si>
  <si>
    <t>213-2266</t>
  </si>
  <si>
    <t>https://jp.rs-online.com/web/p/surface-mount-fixed-resistors/2132266</t>
  </si>
  <si>
    <t>R5</t>
  </si>
  <si>
    <t>R1.1, R2.1, R3.1, R4.1</t>
  </si>
  <si>
    <t>C2, C3</t>
  </si>
  <si>
    <t>LED1, LED2, LED3, LED4</t>
  </si>
  <si>
    <t>Temperature sensor</t>
  </si>
  <si>
    <t>STLM20DD9F</t>
  </si>
  <si>
    <t>UDFN-4L</t>
  </si>
  <si>
    <t>REG2</t>
  </si>
  <si>
    <t>TS1, TS2, TS3, TS4</t>
  </si>
  <si>
    <t>STMicroelectronics Temperature Sensor IC, ± 1.5 ° C, Analog, 2.4 to 5.5 V, 4-Pin UDFN Temperature</t>
  </si>
  <si>
    <t>STMicroelectronics</t>
  </si>
  <si>
    <t>686-4973</t>
  </si>
  <si>
    <t>https://jp.rs-online.com/web/p/temperature-sensors-humidity-sensors/6864973/</t>
  </si>
  <si>
    <t>Ni-MH cell holder</t>
  </si>
  <si>
    <t>2_AA_HOLDER</t>
  </si>
  <si>
    <t>Bulgin PCB mounting battery holder, AA size X 1 BX0035 AA battery 1 PCB</t>
  </si>
  <si>
    <t>Bulgin</t>
  </si>
  <si>
    <t>489-908</t>
  </si>
  <si>
    <t>BX0035</t>
  </si>
  <si>
    <t>https://jp.rs-online.com/web/p/battery-holders-mounts/0489908/</t>
  </si>
  <si>
    <t>176-9047</t>
  </si>
  <si>
    <t>Schurter</t>
  </si>
  <si>
    <t>Schurter PCB mounting fuse holder 10A for 5 x 20 mm cartridge fuse 250V ac 0031.8201</t>
  </si>
  <si>
    <t>https://jp.rs-online.com/web/p/pcb-mounts/1769047/</t>
  </si>
  <si>
    <t>TE Connectivity Relay 5V dc, 2c contact PCB mounting type</t>
  </si>
  <si>
    <t>782-1261</t>
  </si>
  <si>
    <t>Analog Devices Single 4: 1 Multiplexer 3 V, 5 V, 10-Pin MSOP</t>
  </si>
  <si>
    <t>523-8761</t>
  </si>
  <si>
    <t>ADG704BRMZ</t>
  </si>
  <si>
    <t>https://jp.rs-online.com/web/p/multiplexer-switch-ics/5238761/</t>
  </si>
  <si>
    <t>Fuses</t>
  </si>
  <si>
    <t>4A</t>
  </si>
  <si>
    <t>Littelfuse glass tube fuse 4A (time lag) 239 series 5x20mm 5 x 20mm 125V ac</t>
  </si>
  <si>
    <t>Littlefuse</t>
  </si>
  <si>
    <t>523-4725</t>
  </si>
  <si>
    <t>0239004.MXP</t>
  </si>
  <si>
    <t>https://jp.rs-online.com/web/p/cartridge-fuses/5234725/</t>
  </si>
  <si>
    <t>FOR PBAN</t>
  </si>
  <si>
    <t>SMD / DIP</t>
  </si>
  <si>
    <t>SMD</t>
  </si>
  <si>
    <t>DIP</t>
  </si>
  <si>
    <t>BC818K40E6327HTSA1</t>
  </si>
  <si>
    <t>Infineon</t>
  </si>
  <si>
    <t>TDK</t>
  </si>
  <si>
    <t>C1608X7R1H102K080AE</t>
  </si>
  <si>
    <t>C1608X8R1H104K080AB</t>
  </si>
  <si>
    <t>GRM21BR71C334KA01L</t>
  </si>
  <si>
    <t>Murata</t>
  </si>
  <si>
    <t>CGA4J3X7R1H105K125AB</t>
  </si>
  <si>
    <t>GRM188R61E106MA73D</t>
  </si>
  <si>
    <t>1049P</t>
  </si>
  <si>
    <t>Keystone</t>
  </si>
  <si>
    <t>Vishay</t>
  </si>
  <si>
    <t>Texas Instruments</t>
  </si>
  <si>
    <t>PS2502-4-A</t>
  </si>
  <si>
    <t>Renesas Electronics</t>
  </si>
  <si>
    <t>CRCW0603510RFKEA</t>
  </si>
  <si>
    <t xml:space="preserve">CRCW06030000Z0EB </t>
  </si>
  <si>
    <t>ON Semiconductor</t>
  </si>
  <si>
    <t>FOR RS</t>
  </si>
  <si>
    <t>Pads / Pins</t>
  </si>
  <si>
    <t>B37</t>
  </si>
  <si>
    <t>B03</t>
  </si>
  <si>
    <t>B04</t>
  </si>
  <si>
    <t>B06</t>
  </si>
  <si>
    <t>OSRAM Opto Semiconductors</t>
  </si>
  <si>
    <t>A49</t>
  </si>
  <si>
    <t>B22</t>
  </si>
  <si>
    <t>B32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</si>
</sst>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¥-411]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164" fontId="0" fillId="33" borderId="10" xfId="0" applyNumberForma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164" fontId="19" fillId="0" borderId="10" xfId="42" applyNumberFormat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  <xf numFmtId="0" fontId="20" fillId="34" borderId="13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center" vertical="center" wrapText="1"/>
    </xf>
    <xf numFmtId="0" fontId="21" fillId="37" borderId="1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164" fontId="18" fillId="0" borderId="10" xfId="0" applyNumberFormat="1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p.rs-online.com/web/p/cartridge-fuses/5234725/" TargetMode="External"/><Relationship Id="rId3" Type="http://schemas.openxmlformats.org/officeDocument/2006/relationships/hyperlink" Target="https://jp.rs-online.com/web/p/temperature-sensors-humidity-sensors/6864973/" TargetMode="External"/><Relationship Id="rId7" Type="http://schemas.openxmlformats.org/officeDocument/2006/relationships/hyperlink" Target="https://jp.rs-online.com/web/p/multiplexer-switch-ics/5238761/" TargetMode="External"/><Relationship Id="rId2" Type="http://schemas.openxmlformats.org/officeDocument/2006/relationships/hyperlink" Target="https://jp.rs-online.com/web/p/surface-mount-fixed-resistors/2132266" TargetMode="External"/><Relationship Id="rId1" Type="http://schemas.openxmlformats.org/officeDocument/2006/relationships/hyperlink" Target="https://www.digikey.jp/product-detail/ja/samtec-inc/TMM-110-01-F-D-RA/TMM-110-01-F-D-RA-ND/2685424" TargetMode="External"/><Relationship Id="rId6" Type="http://schemas.openxmlformats.org/officeDocument/2006/relationships/hyperlink" Target="https://jp.rs-online.com/web/p/pcb-mounts/1769047/" TargetMode="External"/><Relationship Id="rId5" Type="http://schemas.openxmlformats.org/officeDocument/2006/relationships/hyperlink" Target="https://jp.rs-online.com/web/p/pcb-mounts/1769047/" TargetMode="External"/><Relationship Id="rId4" Type="http://schemas.openxmlformats.org/officeDocument/2006/relationships/hyperlink" Target="https://jp.rs-online.com/web/p/battery-holders-mounts/0489908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1"/>
  <sheetViews>
    <sheetView tabSelected="1" topLeftCell="G1" zoomScale="70" zoomScaleNormal="70" workbookViewId="0">
      <selection activeCell="R11" sqref="R11"/>
    </sheetView>
  </sheetViews>
  <sheetFormatPr defaultColWidth="8.86328125" defaultRowHeight="14.25" x14ac:dyDescent="0.45"/>
  <cols>
    <col min="1" max="2" width="8.86328125" style="2" hidden="1" customWidth="1"/>
    <col min="3" max="3" width="8.86328125" style="22"/>
    <col min="4" max="4" width="16.33203125" style="2" customWidth="1"/>
    <col min="5" max="5" width="24.33203125" style="2" customWidth="1"/>
    <col min="6" max="6" width="18.53125" style="2" customWidth="1"/>
    <col min="7" max="7" width="16.1328125" style="2" customWidth="1"/>
    <col min="8" max="10" width="23.19921875" style="2" customWidth="1"/>
    <col min="11" max="11" width="8.86328125" style="2" customWidth="1"/>
    <col min="12" max="12" width="9.53125" style="2" customWidth="1"/>
    <col min="13" max="14" width="8.86328125" style="2" customWidth="1"/>
    <col min="15" max="15" width="16.53125" style="2" customWidth="1"/>
    <col min="16" max="16" width="18.796875" style="2" bestFit="1" customWidth="1"/>
    <col min="17" max="17" width="8.86328125" style="2"/>
    <col min="18" max="18" width="16.53125" style="2" customWidth="1"/>
    <col min="19" max="19" width="26.1328125" style="2" customWidth="1"/>
    <col min="20" max="20" width="16.53125" style="2" customWidth="1"/>
    <col min="21" max="22" width="8.86328125" style="2" customWidth="1"/>
    <col min="23" max="23" width="8.86328125" style="2"/>
    <col min="24" max="24" width="19.19921875" style="2" bestFit="1" customWidth="1"/>
    <col min="25" max="25" width="17.19921875" style="2" bestFit="1" customWidth="1"/>
    <col min="26" max="26" width="13.6640625" style="2" customWidth="1"/>
    <col min="27" max="27" width="13" style="2" bestFit="1" customWidth="1"/>
    <col min="28" max="28" width="67.46484375" style="2" bestFit="1" customWidth="1"/>
    <col min="29" max="16384" width="8.86328125" style="2"/>
  </cols>
  <sheetData>
    <row r="1" spans="1:43" ht="18" customHeight="1" x14ac:dyDescent="0.45">
      <c r="A1" s="26" t="s">
        <v>28</v>
      </c>
      <c r="B1" s="27"/>
      <c r="C1" s="30" t="s">
        <v>18</v>
      </c>
      <c r="D1" s="30"/>
      <c r="E1" s="30"/>
      <c r="F1" s="30"/>
      <c r="G1" s="30"/>
      <c r="H1" s="30"/>
      <c r="I1" s="18"/>
      <c r="J1" s="18"/>
      <c r="K1" s="30" t="s">
        <v>19</v>
      </c>
      <c r="L1" s="30"/>
      <c r="M1" s="30"/>
      <c r="N1" s="30"/>
      <c r="O1" s="3"/>
      <c r="P1" s="3"/>
      <c r="Q1" s="30" t="s">
        <v>12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D1" s="25" t="s">
        <v>169</v>
      </c>
      <c r="AE1" s="25"/>
      <c r="AH1" s="25" t="s">
        <v>147</v>
      </c>
      <c r="AI1" s="25"/>
      <c r="AJ1" s="25"/>
      <c r="AK1" s="25"/>
      <c r="AL1" s="25"/>
      <c r="AM1" s="25"/>
      <c r="AN1" s="25" t="s">
        <v>148</v>
      </c>
      <c r="AO1" s="25"/>
      <c r="AP1" s="25"/>
      <c r="AQ1" s="25" t="s">
        <v>3</v>
      </c>
    </row>
    <row r="2" spans="1:43" x14ac:dyDescent="0.45">
      <c r="A2" s="4" t="s">
        <v>25</v>
      </c>
      <c r="B2" s="5" t="s">
        <v>27</v>
      </c>
      <c r="C2" s="19" t="s">
        <v>0</v>
      </c>
      <c r="D2" s="1" t="s">
        <v>26</v>
      </c>
      <c r="E2" s="1" t="s">
        <v>2</v>
      </c>
      <c r="F2" s="1" t="s">
        <v>1</v>
      </c>
      <c r="G2" s="1" t="s">
        <v>3</v>
      </c>
      <c r="H2" s="1" t="s">
        <v>4</v>
      </c>
      <c r="I2" s="1" t="s">
        <v>148</v>
      </c>
      <c r="J2" s="1" t="s">
        <v>170</v>
      </c>
      <c r="K2" s="1" t="s">
        <v>9</v>
      </c>
      <c r="L2" s="1" t="s">
        <v>10</v>
      </c>
      <c r="M2" s="1" t="s">
        <v>21</v>
      </c>
      <c r="N2" s="1" t="s">
        <v>11</v>
      </c>
      <c r="O2" s="1" t="s">
        <v>29</v>
      </c>
      <c r="P2" s="1" t="s">
        <v>30</v>
      </c>
      <c r="Q2" s="1" t="s">
        <v>24</v>
      </c>
      <c r="R2" s="1" t="s">
        <v>23</v>
      </c>
      <c r="S2" s="1" t="s">
        <v>31</v>
      </c>
      <c r="T2" s="1" t="s">
        <v>32</v>
      </c>
      <c r="U2" s="1" t="s">
        <v>17</v>
      </c>
      <c r="V2" s="1" t="s">
        <v>16</v>
      </c>
      <c r="W2" s="1" t="s">
        <v>22</v>
      </c>
      <c r="X2" s="1" t="s">
        <v>34</v>
      </c>
      <c r="Y2" s="1" t="s">
        <v>33</v>
      </c>
      <c r="Z2" s="1" t="s">
        <v>14</v>
      </c>
      <c r="AA2" s="1" t="s">
        <v>15</v>
      </c>
      <c r="AB2" s="1"/>
      <c r="AD2" s="25"/>
      <c r="AE2" s="25"/>
      <c r="AH2" s="25"/>
      <c r="AI2" s="25"/>
      <c r="AJ2" s="25"/>
      <c r="AK2" s="25"/>
      <c r="AL2" s="25"/>
      <c r="AM2" s="25"/>
      <c r="AN2" s="25"/>
      <c r="AO2" s="25"/>
      <c r="AP2" s="25"/>
      <c r="AQ2" s="25"/>
    </row>
    <row r="3" spans="1:43" ht="42.75" x14ac:dyDescent="0.45">
      <c r="A3" s="16"/>
      <c r="B3" s="17"/>
      <c r="C3" s="19">
        <v>4</v>
      </c>
      <c r="D3" s="1" t="s">
        <v>50</v>
      </c>
      <c r="E3" s="1" t="s">
        <v>49</v>
      </c>
      <c r="F3" s="1"/>
      <c r="G3" s="1" t="s">
        <v>45</v>
      </c>
      <c r="H3" s="1" t="s">
        <v>73</v>
      </c>
      <c r="I3" s="1" t="s">
        <v>149</v>
      </c>
      <c r="J3" s="1">
        <v>3</v>
      </c>
      <c r="K3" s="1" t="s">
        <v>51</v>
      </c>
      <c r="L3" s="1">
        <v>93</v>
      </c>
      <c r="M3" s="1">
        <f t="shared" ref="M3:M8" si="0">C3*6+6</f>
        <v>30</v>
      </c>
      <c r="N3" s="1">
        <f t="shared" ref="N3:N13" si="1">IF(M3&gt;0,L3-M3,"")</f>
        <v>63</v>
      </c>
      <c r="O3" s="8"/>
      <c r="P3" s="8" t="s">
        <v>152</v>
      </c>
      <c r="Q3" s="8"/>
      <c r="R3" s="8"/>
      <c r="S3" s="8" t="s">
        <v>151</v>
      </c>
      <c r="T3" s="8"/>
      <c r="U3" s="8"/>
      <c r="V3" s="8"/>
      <c r="W3" s="8" t="str">
        <f t="shared" ref="W3:W9" si="2">IF(U3&gt;0, IF(V3&gt;U3,V3,U3), "")</f>
        <v/>
      </c>
      <c r="X3" s="8"/>
      <c r="Y3" s="8" t="str">
        <f t="shared" ref="Y3:Y9" si="3">IF(U3&gt;0, IF(W3&gt;U3,W3-U3,0), "")</f>
        <v/>
      </c>
      <c r="Z3" s="9"/>
      <c r="AA3" s="9" t="str">
        <f t="shared" ref="AA3:AA9" si="4">IF(U3&gt;0,IF(V3&gt;U3,V3*Z3,U3*Z3),"")</f>
        <v/>
      </c>
      <c r="AB3" s="9"/>
      <c r="AD3" s="2" t="str">
        <f>IF(R3&gt;0,R3,"")</f>
        <v/>
      </c>
      <c r="AE3" s="2" t="str">
        <f>IF(W3&gt;0,W3,"")</f>
        <v/>
      </c>
      <c r="AH3" s="2" t="str">
        <f>+P3</f>
        <v>Infineon</v>
      </c>
      <c r="AI3" s="2" t="str">
        <f t="shared" ref="AI3:AI23" si="5">+D3</f>
        <v>NPN transistor</v>
      </c>
      <c r="AJ3" s="2" t="str">
        <f>+S3</f>
        <v>BC818K40E6327HTSA1</v>
      </c>
      <c r="AK3" s="2" t="str">
        <f t="shared" ref="AK3:AK23" si="6">+H3</f>
        <v>BJT1, BJT2, BJT3, BJT4</v>
      </c>
      <c r="AL3" s="2">
        <f>+C3</f>
        <v>4</v>
      </c>
      <c r="AM3" s="2">
        <f>+J3</f>
        <v>3</v>
      </c>
      <c r="AN3" s="24" t="str">
        <f t="shared" ref="AN3:AN23" si="7">+I3</f>
        <v>SMD</v>
      </c>
      <c r="AO3" s="24"/>
      <c r="AP3" s="24"/>
      <c r="AQ3" s="2" t="str">
        <f t="shared" ref="AQ3:AQ23" si="8">IF(G3&gt;0,G3,"")</f>
        <v>SOT-23</v>
      </c>
    </row>
    <row r="4" spans="1:43" ht="42.75" x14ac:dyDescent="0.45">
      <c r="A4" s="16"/>
      <c r="B4" s="17"/>
      <c r="C4" s="20">
        <v>1</v>
      </c>
      <c r="D4" s="1" t="s">
        <v>36</v>
      </c>
      <c r="E4" s="1" t="s">
        <v>6</v>
      </c>
      <c r="F4" s="1" t="s">
        <v>40</v>
      </c>
      <c r="G4" s="1" t="s">
        <v>5</v>
      </c>
      <c r="H4" s="1" t="s">
        <v>80</v>
      </c>
      <c r="I4" s="1" t="s">
        <v>149</v>
      </c>
      <c r="J4" s="1">
        <v>2</v>
      </c>
      <c r="K4" s="1" t="s">
        <v>171</v>
      </c>
      <c r="L4" s="1">
        <v>93</v>
      </c>
      <c r="M4" s="1">
        <f t="shared" si="0"/>
        <v>12</v>
      </c>
      <c r="N4" s="1">
        <f t="shared" ref="N4" si="9">IF(M4&gt;0,L4-M4,"")</f>
        <v>81</v>
      </c>
      <c r="O4" s="8"/>
      <c r="P4" s="8" t="s">
        <v>153</v>
      </c>
      <c r="Q4" s="8"/>
      <c r="R4" s="8"/>
      <c r="S4" s="8" t="s">
        <v>154</v>
      </c>
      <c r="T4" s="8"/>
      <c r="U4" s="8"/>
      <c r="V4" s="8"/>
      <c r="W4" s="8" t="str">
        <f t="shared" si="2"/>
        <v/>
      </c>
      <c r="X4" s="8"/>
      <c r="Y4" s="8" t="str">
        <f t="shared" si="3"/>
        <v/>
      </c>
      <c r="Z4" s="9"/>
      <c r="AA4" s="9" t="str">
        <f t="shared" si="4"/>
        <v/>
      </c>
      <c r="AB4" s="9"/>
      <c r="AD4" s="2" t="str">
        <f>IF(R4&gt;0,R4,"")</f>
        <v/>
      </c>
      <c r="AE4" s="2" t="str">
        <f>IF(W4&gt;0,W4,"")</f>
        <v/>
      </c>
      <c r="AH4" s="2" t="str">
        <f>+P4</f>
        <v>TDK</v>
      </c>
      <c r="AI4" s="2" t="str">
        <f t="shared" si="5"/>
        <v>Non-polarized capacitor</v>
      </c>
      <c r="AJ4" s="2" t="str">
        <f t="shared" ref="AJ4:AJ23" si="10">+S4</f>
        <v>C1608X7R1H102K080AE</v>
      </c>
      <c r="AK4" s="2" t="str">
        <f t="shared" si="6"/>
        <v>C1</v>
      </c>
      <c r="AL4" s="23">
        <f t="shared" ref="AL4:AL23" si="11">+C4</f>
        <v>1</v>
      </c>
      <c r="AM4" s="2">
        <f t="shared" ref="AM4:AM23" si="12">+J4</f>
        <v>2</v>
      </c>
      <c r="AN4" s="24" t="str">
        <f t="shared" si="7"/>
        <v>SMD</v>
      </c>
      <c r="AO4" s="24"/>
      <c r="AP4" s="24"/>
      <c r="AQ4" s="2" t="str">
        <f t="shared" si="8"/>
        <v>C0603</v>
      </c>
    </row>
    <row r="5" spans="1:43" ht="42.75" x14ac:dyDescent="0.45">
      <c r="A5" s="16"/>
      <c r="B5" s="17"/>
      <c r="C5" s="20">
        <v>2</v>
      </c>
      <c r="D5" s="1" t="s">
        <v>36</v>
      </c>
      <c r="E5" s="1" t="s">
        <v>6</v>
      </c>
      <c r="F5" s="1" t="s">
        <v>41</v>
      </c>
      <c r="G5" s="1" t="s">
        <v>5</v>
      </c>
      <c r="H5" s="1" t="s">
        <v>112</v>
      </c>
      <c r="I5" s="1" t="s">
        <v>149</v>
      </c>
      <c r="J5" s="1">
        <v>2</v>
      </c>
      <c r="K5" s="1" t="s">
        <v>172</v>
      </c>
      <c r="L5" s="1">
        <v>93</v>
      </c>
      <c r="M5" s="1">
        <f t="shared" si="0"/>
        <v>18</v>
      </c>
      <c r="N5" s="1">
        <f t="shared" ref="N5" si="13">IF(M5&gt;0,L5-M5,"")</f>
        <v>75</v>
      </c>
      <c r="O5" s="8"/>
      <c r="P5" s="8" t="s">
        <v>153</v>
      </c>
      <c r="Q5" s="8"/>
      <c r="R5" s="8"/>
      <c r="S5" s="8" t="s">
        <v>155</v>
      </c>
      <c r="T5" s="8"/>
      <c r="U5" s="8"/>
      <c r="V5" s="8"/>
      <c r="W5" s="8" t="str">
        <f t="shared" si="2"/>
        <v/>
      </c>
      <c r="X5" s="8"/>
      <c r="Y5" s="8" t="str">
        <f t="shared" si="3"/>
        <v/>
      </c>
      <c r="Z5" s="9"/>
      <c r="AA5" s="9" t="str">
        <f t="shared" si="4"/>
        <v/>
      </c>
      <c r="AB5" s="9"/>
      <c r="AD5" s="2" t="str">
        <f t="shared" ref="AD5:AD40" si="14">IF(R5&gt;0,R5,"")</f>
        <v/>
      </c>
      <c r="AE5" s="2" t="str">
        <f t="shared" ref="AE5:AE41" si="15">IF(W5&gt;0,W5,"")</f>
        <v/>
      </c>
      <c r="AH5" s="2" t="str">
        <f t="shared" ref="AH5:AH23" si="16">+P5</f>
        <v>TDK</v>
      </c>
      <c r="AI5" s="2" t="str">
        <f t="shared" si="5"/>
        <v>Non-polarized capacitor</v>
      </c>
      <c r="AJ5" s="2" t="str">
        <f t="shared" si="10"/>
        <v>C1608X8R1H104K080AB</v>
      </c>
      <c r="AK5" s="2" t="str">
        <f t="shared" si="6"/>
        <v>C2, C3</v>
      </c>
      <c r="AL5" s="23">
        <f t="shared" si="11"/>
        <v>2</v>
      </c>
      <c r="AM5" s="2">
        <f t="shared" si="12"/>
        <v>2</v>
      </c>
      <c r="AN5" s="24" t="str">
        <f t="shared" si="7"/>
        <v>SMD</v>
      </c>
      <c r="AO5" s="24"/>
      <c r="AP5" s="24"/>
      <c r="AQ5" s="2" t="str">
        <f t="shared" si="8"/>
        <v>C0603</v>
      </c>
    </row>
    <row r="6" spans="1:43" ht="42.75" x14ac:dyDescent="0.45">
      <c r="A6" s="16"/>
      <c r="B6" s="17"/>
      <c r="C6" s="20">
        <v>1</v>
      </c>
      <c r="D6" s="1" t="s">
        <v>36</v>
      </c>
      <c r="E6" s="1" t="s">
        <v>6</v>
      </c>
      <c r="F6" s="1" t="s">
        <v>42</v>
      </c>
      <c r="G6" s="1" t="s">
        <v>5</v>
      </c>
      <c r="H6" s="1" t="s">
        <v>74</v>
      </c>
      <c r="I6" s="1" t="s">
        <v>149</v>
      </c>
      <c r="J6" s="1">
        <v>2</v>
      </c>
      <c r="K6" s="10" t="s">
        <v>52</v>
      </c>
      <c r="L6" s="10">
        <v>34</v>
      </c>
      <c r="M6" s="1">
        <f t="shared" si="0"/>
        <v>12</v>
      </c>
      <c r="N6" s="10">
        <f t="shared" ref="N6" si="17">IF(M6&gt;0,L6-M6,"")</f>
        <v>22</v>
      </c>
      <c r="O6" s="8"/>
      <c r="P6" s="8" t="s">
        <v>157</v>
      </c>
      <c r="Q6" s="8"/>
      <c r="R6" s="8"/>
      <c r="S6" s="8" t="s">
        <v>156</v>
      </c>
      <c r="T6" s="8"/>
      <c r="U6" s="8"/>
      <c r="V6" s="8"/>
      <c r="W6" s="8" t="str">
        <f t="shared" si="2"/>
        <v/>
      </c>
      <c r="X6" s="8"/>
      <c r="Y6" s="8" t="str">
        <f t="shared" si="3"/>
        <v/>
      </c>
      <c r="Z6" s="9"/>
      <c r="AA6" s="9" t="str">
        <f t="shared" si="4"/>
        <v/>
      </c>
      <c r="AB6" s="9"/>
      <c r="AD6" s="2" t="str">
        <f t="shared" si="14"/>
        <v/>
      </c>
      <c r="AE6" s="2" t="str">
        <f t="shared" si="15"/>
        <v/>
      </c>
      <c r="AH6" s="2" t="str">
        <f t="shared" si="16"/>
        <v>Murata</v>
      </c>
      <c r="AI6" s="2" t="str">
        <f t="shared" si="5"/>
        <v>Non-polarized capacitor</v>
      </c>
      <c r="AJ6" s="2" t="str">
        <f t="shared" si="10"/>
        <v>GRM21BR71C334KA01L</v>
      </c>
      <c r="AK6" s="2" t="str">
        <f t="shared" si="6"/>
        <v>C4</v>
      </c>
      <c r="AL6" s="23">
        <f t="shared" si="11"/>
        <v>1</v>
      </c>
      <c r="AM6" s="2">
        <f t="shared" si="12"/>
        <v>2</v>
      </c>
      <c r="AN6" s="24" t="str">
        <f t="shared" si="7"/>
        <v>SMD</v>
      </c>
      <c r="AO6" s="24"/>
      <c r="AP6" s="24"/>
      <c r="AQ6" s="2" t="str">
        <f t="shared" si="8"/>
        <v>C0603</v>
      </c>
    </row>
    <row r="7" spans="1:43" ht="42.75" x14ac:dyDescent="0.45">
      <c r="A7" s="16"/>
      <c r="B7" s="17"/>
      <c r="C7" s="20">
        <v>1</v>
      </c>
      <c r="D7" s="1" t="s">
        <v>36</v>
      </c>
      <c r="E7" s="1" t="s">
        <v>6</v>
      </c>
      <c r="F7" s="1" t="s">
        <v>43</v>
      </c>
      <c r="G7" s="1" t="s">
        <v>5</v>
      </c>
      <c r="H7" s="1" t="s">
        <v>75</v>
      </c>
      <c r="I7" s="1" t="s">
        <v>149</v>
      </c>
      <c r="J7" s="1">
        <v>2</v>
      </c>
      <c r="K7" s="10" t="s">
        <v>173</v>
      </c>
      <c r="L7" s="10">
        <v>8</v>
      </c>
      <c r="M7" s="1">
        <f t="shared" si="0"/>
        <v>12</v>
      </c>
      <c r="N7" s="10">
        <f t="shared" ref="N7" si="18">IF(M7&gt;0,L7-M7,"")</f>
        <v>-4</v>
      </c>
      <c r="O7" s="8"/>
      <c r="P7" s="8" t="s">
        <v>153</v>
      </c>
      <c r="Q7" s="8"/>
      <c r="R7" s="8"/>
      <c r="S7" s="8" t="s">
        <v>158</v>
      </c>
      <c r="T7" s="8"/>
      <c r="U7" s="8"/>
      <c r="V7" s="8"/>
      <c r="W7" s="8" t="str">
        <f t="shared" si="2"/>
        <v/>
      </c>
      <c r="X7" s="8"/>
      <c r="Y7" s="8" t="str">
        <f t="shared" si="3"/>
        <v/>
      </c>
      <c r="Z7" s="9"/>
      <c r="AA7" s="9" t="str">
        <f t="shared" si="4"/>
        <v/>
      </c>
      <c r="AB7" s="9"/>
      <c r="AD7" s="2" t="str">
        <f t="shared" si="14"/>
        <v/>
      </c>
      <c r="AE7" s="2" t="str">
        <f t="shared" si="15"/>
        <v/>
      </c>
      <c r="AH7" s="2" t="str">
        <f t="shared" si="16"/>
        <v>TDK</v>
      </c>
      <c r="AI7" s="2" t="str">
        <f t="shared" si="5"/>
        <v>Non-polarized capacitor</v>
      </c>
      <c r="AJ7" s="2" t="str">
        <f t="shared" si="10"/>
        <v>CGA4J3X7R1H105K125AB</v>
      </c>
      <c r="AK7" s="2" t="str">
        <f t="shared" si="6"/>
        <v>C5</v>
      </c>
      <c r="AL7" s="23">
        <f t="shared" si="11"/>
        <v>1</v>
      </c>
      <c r="AM7" s="2">
        <f t="shared" si="12"/>
        <v>2</v>
      </c>
      <c r="AN7" s="24" t="str">
        <f t="shared" si="7"/>
        <v>SMD</v>
      </c>
      <c r="AO7" s="24"/>
      <c r="AP7" s="24"/>
      <c r="AQ7" s="2" t="str">
        <f t="shared" si="8"/>
        <v>C0603</v>
      </c>
    </row>
    <row r="8" spans="1:43" ht="42.75" x14ac:dyDescent="0.45">
      <c r="A8" s="16"/>
      <c r="B8" s="17"/>
      <c r="C8" s="20">
        <v>1</v>
      </c>
      <c r="D8" s="1" t="s">
        <v>36</v>
      </c>
      <c r="E8" s="1" t="s">
        <v>6</v>
      </c>
      <c r="F8" s="1" t="s">
        <v>44</v>
      </c>
      <c r="G8" s="1" t="s">
        <v>5</v>
      </c>
      <c r="H8" s="1" t="s">
        <v>76</v>
      </c>
      <c r="I8" s="1" t="s">
        <v>149</v>
      </c>
      <c r="J8" s="1">
        <v>2</v>
      </c>
      <c r="K8" s="10" t="s">
        <v>174</v>
      </c>
      <c r="L8" s="10">
        <v>32</v>
      </c>
      <c r="M8" s="1">
        <f t="shared" si="0"/>
        <v>12</v>
      </c>
      <c r="N8" s="10">
        <f t="shared" ref="N8" si="19">IF(M8&gt;0,L8-M8,"")</f>
        <v>20</v>
      </c>
      <c r="O8" s="8"/>
      <c r="P8" s="8" t="s">
        <v>157</v>
      </c>
      <c r="Q8" s="8"/>
      <c r="R8" s="8"/>
      <c r="S8" s="8" t="s">
        <v>159</v>
      </c>
      <c r="T8" s="8"/>
      <c r="U8" s="8"/>
      <c r="V8" s="8"/>
      <c r="W8" s="8" t="str">
        <f t="shared" si="2"/>
        <v/>
      </c>
      <c r="X8" s="8"/>
      <c r="Y8" s="8" t="str">
        <f t="shared" si="3"/>
        <v/>
      </c>
      <c r="Z8" s="9"/>
      <c r="AA8" s="9" t="str">
        <f t="shared" si="4"/>
        <v/>
      </c>
      <c r="AB8" s="9"/>
      <c r="AD8" s="2" t="str">
        <f t="shared" si="14"/>
        <v/>
      </c>
      <c r="AE8" s="2" t="str">
        <f t="shared" si="15"/>
        <v/>
      </c>
      <c r="AH8" s="2" t="str">
        <f t="shared" si="16"/>
        <v>Murata</v>
      </c>
      <c r="AI8" s="2" t="str">
        <f t="shared" si="5"/>
        <v>Non-polarized capacitor</v>
      </c>
      <c r="AJ8" s="2" t="str">
        <f t="shared" si="10"/>
        <v>GRM188R61E106MA73D</v>
      </c>
      <c r="AK8" s="2" t="str">
        <f t="shared" si="6"/>
        <v>C6</v>
      </c>
      <c r="AL8" s="23">
        <f t="shared" si="11"/>
        <v>1</v>
      </c>
      <c r="AM8" s="2">
        <f t="shared" si="12"/>
        <v>2</v>
      </c>
      <c r="AN8" s="24" t="str">
        <f t="shared" si="7"/>
        <v>SMD</v>
      </c>
      <c r="AO8" s="24"/>
      <c r="AP8" s="24"/>
      <c r="AQ8" s="2" t="str">
        <f t="shared" si="8"/>
        <v>C0603</v>
      </c>
    </row>
    <row r="9" spans="1:43" ht="28.5" x14ac:dyDescent="0.45">
      <c r="A9" s="16"/>
      <c r="B9" s="17"/>
      <c r="C9" s="20">
        <v>2</v>
      </c>
      <c r="D9" s="1" t="s">
        <v>78</v>
      </c>
      <c r="E9" s="1" t="s">
        <v>77</v>
      </c>
      <c r="F9" s="1"/>
      <c r="G9" s="1"/>
      <c r="H9" s="1" t="s">
        <v>79</v>
      </c>
      <c r="I9" s="1" t="s">
        <v>150</v>
      </c>
      <c r="J9" s="1">
        <v>2</v>
      </c>
      <c r="K9" s="10" t="s">
        <v>80</v>
      </c>
      <c r="L9" s="10">
        <v>12</v>
      </c>
      <c r="M9" s="1">
        <f>C9*3+3</f>
        <v>9</v>
      </c>
      <c r="N9" s="10">
        <f t="shared" ref="N9:N10" si="20">IF(M9&gt;0,L9-M9,"")</f>
        <v>3</v>
      </c>
      <c r="O9" s="8"/>
      <c r="P9" s="8" t="s">
        <v>161</v>
      </c>
      <c r="Q9" s="8"/>
      <c r="R9" s="8"/>
      <c r="S9" s="8" t="s">
        <v>160</v>
      </c>
      <c r="T9" s="8"/>
      <c r="U9" s="8"/>
      <c r="V9" s="8"/>
      <c r="W9" s="8" t="str">
        <f t="shared" si="2"/>
        <v/>
      </c>
      <c r="X9" s="8"/>
      <c r="Y9" s="8" t="str">
        <f t="shared" si="3"/>
        <v/>
      </c>
      <c r="Z9" s="9"/>
      <c r="AA9" s="9" t="str">
        <f t="shared" si="4"/>
        <v/>
      </c>
      <c r="AB9" s="9"/>
      <c r="AD9" s="2" t="str">
        <f t="shared" si="14"/>
        <v/>
      </c>
      <c r="AE9" s="2" t="str">
        <f t="shared" si="15"/>
        <v/>
      </c>
      <c r="AH9" s="2" t="str">
        <f t="shared" si="16"/>
        <v>Keystone</v>
      </c>
      <c r="AI9" s="2" t="str">
        <f t="shared" si="5"/>
        <v>Li-Ion cell holder</v>
      </c>
      <c r="AJ9" s="2" t="str">
        <f t="shared" si="10"/>
        <v>1049P</v>
      </c>
      <c r="AK9" s="2" t="str">
        <f t="shared" si="6"/>
        <v>CH1, CH2</v>
      </c>
      <c r="AL9" s="23">
        <f t="shared" si="11"/>
        <v>2</v>
      </c>
      <c r="AM9" s="2">
        <f t="shared" si="12"/>
        <v>2</v>
      </c>
      <c r="AN9" s="24" t="str">
        <f t="shared" si="7"/>
        <v>DIP</v>
      </c>
      <c r="AO9" s="24"/>
      <c r="AP9" s="24"/>
      <c r="AQ9" s="2" t="str">
        <f t="shared" si="8"/>
        <v/>
      </c>
    </row>
    <row r="10" spans="1:43" ht="71.25" x14ac:dyDescent="0.45">
      <c r="A10" s="16"/>
      <c r="B10" s="17"/>
      <c r="C10" s="20">
        <v>2</v>
      </c>
      <c r="D10" s="1" t="s">
        <v>123</v>
      </c>
      <c r="E10" s="1" t="s">
        <v>124</v>
      </c>
      <c r="F10" s="1"/>
      <c r="G10" s="1"/>
      <c r="H10" s="1" t="s">
        <v>79</v>
      </c>
      <c r="I10" s="1" t="s">
        <v>150</v>
      </c>
      <c r="J10" s="1">
        <v>2</v>
      </c>
      <c r="K10" s="8"/>
      <c r="L10" s="8"/>
      <c r="M10" s="8"/>
      <c r="N10" s="8" t="str">
        <f t="shared" si="20"/>
        <v/>
      </c>
      <c r="O10" s="1" t="s">
        <v>125</v>
      </c>
      <c r="P10" s="1" t="s">
        <v>126</v>
      </c>
      <c r="Q10" s="1" t="s">
        <v>13</v>
      </c>
      <c r="R10" s="1" t="s">
        <v>127</v>
      </c>
      <c r="S10" s="1" t="s">
        <v>128</v>
      </c>
      <c r="T10" s="1"/>
      <c r="U10" s="1">
        <f>C10*3+3</f>
        <v>9</v>
      </c>
      <c r="V10" s="1">
        <v>1</v>
      </c>
      <c r="W10" s="1">
        <f t="shared" ref="W10" si="21">IF(U10&gt;0, IF(V10&gt;U10,V10,U10), "")</f>
        <v>9</v>
      </c>
      <c r="X10" s="1">
        <v>0</v>
      </c>
      <c r="Y10" s="1">
        <f>IF(U10&gt;0, IF(W10&gt;U10,W10-U10+X10,0), "")</f>
        <v>0</v>
      </c>
      <c r="Z10" s="11">
        <v>392</v>
      </c>
      <c r="AA10" s="11">
        <f t="shared" ref="AA10" si="22">IF(U10&gt;0,IF(V10&gt;U10,V10*Z10,U10*Z10),"")</f>
        <v>3528</v>
      </c>
      <c r="AB10" s="15" t="s">
        <v>129</v>
      </c>
      <c r="AD10" s="2" t="str">
        <f t="shared" si="14"/>
        <v>489-908</v>
      </c>
      <c r="AE10" s="2">
        <f t="shared" si="15"/>
        <v>9</v>
      </c>
      <c r="AH10" s="2" t="str">
        <f t="shared" si="16"/>
        <v>Bulgin</v>
      </c>
      <c r="AI10" s="2" t="str">
        <f t="shared" si="5"/>
        <v>Ni-MH cell holder</v>
      </c>
      <c r="AJ10" s="2" t="str">
        <f t="shared" si="10"/>
        <v>BX0035</v>
      </c>
      <c r="AK10" s="2" t="str">
        <f t="shared" si="6"/>
        <v>CH1, CH2</v>
      </c>
      <c r="AL10" s="23">
        <f t="shared" si="11"/>
        <v>2</v>
      </c>
      <c r="AM10" s="2">
        <f t="shared" si="12"/>
        <v>2</v>
      </c>
      <c r="AN10" s="24" t="str">
        <f t="shared" si="7"/>
        <v>DIP</v>
      </c>
      <c r="AO10" s="24"/>
      <c r="AP10" s="24"/>
      <c r="AQ10" s="2" t="str">
        <f t="shared" si="8"/>
        <v/>
      </c>
    </row>
    <row r="11" spans="1:43" ht="71.25" x14ac:dyDescent="0.45">
      <c r="A11" s="16"/>
      <c r="B11" s="17"/>
      <c r="C11" s="20">
        <v>1</v>
      </c>
      <c r="D11" s="1" t="s">
        <v>53</v>
      </c>
      <c r="E11" s="1" t="s">
        <v>81</v>
      </c>
      <c r="F11" s="1"/>
      <c r="G11" s="1"/>
      <c r="H11" s="1" t="s">
        <v>54</v>
      </c>
      <c r="I11" s="1" t="s">
        <v>150</v>
      </c>
      <c r="J11" s="1">
        <v>20</v>
      </c>
      <c r="K11" s="8"/>
      <c r="L11" s="8"/>
      <c r="M11" s="8"/>
      <c r="N11" s="8" t="str">
        <f t="shared" si="1"/>
        <v/>
      </c>
      <c r="O11" s="1" t="s">
        <v>82</v>
      </c>
      <c r="P11" s="1" t="s">
        <v>55</v>
      </c>
      <c r="Q11" s="1" t="s">
        <v>59</v>
      </c>
      <c r="R11" s="1" t="s">
        <v>83</v>
      </c>
      <c r="S11" s="1" t="s">
        <v>84</v>
      </c>
      <c r="T11" s="1"/>
      <c r="U11" s="1">
        <f>C11*6+6</f>
        <v>12</v>
      </c>
      <c r="V11" s="1">
        <v>1</v>
      </c>
      <c r="W11" s="1">
        <f t="shared" ref="W11" si="23">IF(U11&gt;0, IF(V11&gt;U11,V11,U11), "")</f>
        <v>12</v>
      </c>
      <c r="X11" s="1">
        <v>0</v>
      </c>
      <c r="Y11" s="1">
        <f>IF(U11&gt;0, IF(W11&gt;U11,W11-U11+X11,0), "")</f>
        <v>0</v>
      </c>
      <c r="Z11" s="11">
        <v>229</v>
      </c>
      <c r="AA11" s="11">
        <f t="shared" ref="AA11:AA13" si="24">IF(U11&gt;0,IF(V11&gt;U11,V11*Z11,U11*Z11),"")</f>
        <v>2748</v>
      </c>
      <c r="AB11" s="15" t="s">
        <v>85</v>
      </c>
      <c r="AD11" s="2" t="str">
        <f t="shared" si="14"/>
        <v>TMM-110-01-FD-RA-ND</v>
      </c>
      <c r="AE11" s="2">
        <f t="shared" si="15"/>
        <v>12</v>
      </c>
      <c r="AH11" s="2" t="str">
        <f t="shared" si="16"/>
        <v>SAMTEC</v>
      </c>
      <c r="AI11" s="2" t="str">
        <f t="shared" si="5"/>
        <v>Connector</v>
      </c>
      <c r="AJ11" s="2" t="str">
        <f t="shared" si="10"/>
        <v>TMM-110-01-FD-RA</v>
      </c>
      <c r="AK11" s="2" t="str">
        <f t="shared" si="6"/>
        <v>CON1</v>
      </c>
      <c r="AL11" s="23">
        <f t="shared" si="11"/>
        <v>1</v>
      </c>
      <c r="AM11" s="2">
        <f t="shared" si="12"/>
        <v>20</v>
      </c>
      <c r="AN11" s="24" t="str">
        <f t="shared" si="7"/>
        <v>DIP</v>
      </c>
      <c r="AO11" s="24"/>
      <c r="AP11" s="24"/>
      <c r="AQ11" s="2" t="str">
        <f t="shared" si="8"/>
        <v/>
      </c>
    </row>
    <row r="12" spans="1:43" ht="28.5" x14ac:dyDescent="0.45">
      <c r="A12" s="16"/>
      <c r="B12" s="17"/>
      <c r="C12" s="20">
        <v>4</v>
      </c>
      <c r="D12" s="1" t="s">
        <v>35</v>
      </c>
      <c r="E12" s="1" t="s">
        <v>56</v>
      </c>
      <c r="F12" s="1"/>
      <c r="G12" s="1" t="s">
        <v>57</v>
      </c>
      <c r="H12" s="1" t="s">
        <v>86</v>
      </c>
      <c r="I12" s="1" t="s">
        <v>149</v>
      </c>
      <c r="J12" s="1">
        <v>2</v>
      </c>
      <c r="K12" s="10" t="s">
        <v>58</v>
      </c>
      <c r="L12" s="10">
        <v>78</v>
      </c>
      <c r="M12" s="1">
        <f t="shared" ref="M12:M18" si="25">C12*6+6</f>
        <v>30</v>
      </c>
      <c r="N12" s="10">
        <f t="shared" si="1"/>
        <v>48</v>
      </c>
      <c r="O12" s="8"/>
      <c r="P12" s="8" t="s">
        <v>162</v>
      </c>
      <c r="Q12" s="8"/>
      <c r="R12" s="8"/>
      <c r="S12" s="8" t="s">
        <v>56</v>
      </c>
      <c r="T12" s="8"/>
      <c r="U12" s="8"/>
      <c r="V12" s="8"/>
      <c r="W12" s="8" t="str">
        <f>IF(U12&gt;0, IF(V12&gt;U12,V12,U12), "")</f>
        <v/>
      </c>
      <c r="X12" s="8"/>
      <c r="Y12" s="8" t="str">
        <f>IF(U12&gt;0, IF(W12&gt;U12,W12-U12,0), "")</f>
        <v/>
      </c>
      <c r="Z12" s="9"/>
      <c r="AA12" s="9" t="str">
        <f t="shared" si="24"/>
        <v/>
      </c>
      <c r="AB12" s="9"/>
      <c r="AD12" s="2" t="str">
        <f t="shared" si="14"/>
        <v/>
      </c>
      <c r="AE12" s="2" t="str">
        <f t="shared" si="15"/>
        <v/>
      </c>
      <c r="AH12" s="2" t="str">
        <f t="shared" si="16"/>
        <v>Vishay</v>
      </c>
      <c r="AI12" s="2" t="str">
        <f t="shared" si="5"/>
        <v>Switching diode</v>
      </c>
      <c r="AJ12" s="2" t="str">
        <f t="shared" si="10"/>
        <v>BAQ133-GS08</v>
      </c>
      <c r="AK12" s="2" t="str">
        <f t="shared" si="6"/>
        <v>D1, D2, D3, D4</v>
      </c>
      <c r="AL12" s="23">
        <f t="shared" si="11"/>
        <v>4</v>
      </c>
      <c r="AM12" s="2">
        <f t="shared" si="12"/>
        <v>2</v>
      </c>
      <c r="AN12" s="24" t="str">
        <f t="shared" si="7"/>
        <v>SMD</v>
      </c>
      <c r="AO12" s="24"/>
      <c r="AP12" s="24"/>
      <c r="AQ12" s="2" t="str">
        <f t="shared" si="8"/>
        <v>SOD08</v>
      </c>
    </row>
    <row r="13" spans="1:43" ht="85.5" x14ac:dyDescent="0.45">
      <c r="A13" s="16"/>
      <c r="B13" s="17"/>
      <c r="C13" s="20">
        <v>1</v>
      </c>
      <c r="D13" s="1" t="s">
        <v>60</v>
      </c>
      <c r="E13" s="1" t="s">
        <v>62</v>
      </c>
      <c r="F13" s="1"/>
      <c r="G13" s="1"/>
      <c r="H13" s="1" t="s">
        <v>87</v>
      </c>
      <c r="I13" s="1" t="s">
        <v>150</v>
      </c>
      <c r="J13" s="1">
        <v>2</v>
      </c>
      <c r="K13" s="1" t="s">
        <v>61</v>
      </c>
      <c r="L13" s="1">
        <v>10</v>
      </c>
      <c r="M13" s="1">
        <f t="shared" si="25"/>
        <v>12</v>
      </c>
      <c r="N13" s="1">
        <f t="shared" si="1"/>
        <v>-2</v>
      </c>
      <c r="O13" s="1" t="s">
        <v>132</v>
      </c>
      <c r="P13" s="1" t="s">
        <v>131</v>
      </c>
      <c r="Q13" s="1" t="s">
        <v>13</v>
      </c>
      <c r="R13" s="1" t="s">
        <v>130</v>
      </c>
      <c r="S13" s="1">
        <v>31.8201</v>
      </c>
      <c r="T13" s="1"/>
      <c r="U13" s="1">
        <f>-N13</f>
        <v>2</v>
      </c>
      <c r="V13" s="1">
        <v>10</v>
      </c>
      <c r="W13" s="1">
        <f t="shared" ref="W13" si="26">IF(U13&gt;0, IF(V13&gt;U13,V13,U13), "")</f>
        <v>10</v>
      </c>
      <c r="X13" s="1">
        <v>0</v>
      </c>
      <c r="Y13" s="1">
        <f>IF(U13&gt;0, IF(W13&gt;U13,W13-U13+X13,0), "")</f>
        <v>8</v>
      </c>
      <c r="Z13" s="11">
        <v>97.4</v>
      </c>
      <c r="AA13" s="11">
        <f t="shared" si="24"/>
        <v>974</v>
      </c>
      <c r="AB13" s="15" t="s">
        <v>133</v>
      </c>
      <c r="AD13" s="2" t="str">
        <f t="shared" si="14"/>
        <v>176-9047</v>
      </c>
      <c r="AE13" s="2">
        <f t="shared" si="15"/>
        <v>10</v>
      </c>
      <c r="AH13" s="2" t="str">
        <f t="shared" si="16"/>
        <v>Schurter</v>
      </c>
      <c r="AI13" s="2" t="str">
        <f t="shared" si="5"/>
        <v>Fuse holder</v>
      </c>
      <c r="AJ13" s="2">
        <f t="shared" si="10"/>
        <v>31.8201</v>
      </c>
      <c r="AK13" s="2" t="str">
        <f t="shared" si="6"/>
        <v>F1</v>
      </c>
      <c r="AL13" s="23">
        <f t="shared" si="11"/>
        <v>1</v>
      </c>
      <c r="AM13" s="2">
        <f t="shared" si="12"/>
        <v>2</v>
      </c>
      <c r="AN13" s="24" t="str">
        <f t="shared" si="7"/>
        <v>DIP</v>
      </c>
      <c r="AO13" s="24"/>
      <c r="AP13" s="24"/>
      <c r="AQ13" s="2" t="str">
        <f t="shared" si="8"/>
        <v/>
      </c>
    </row>
    <row r="14" spans="1:43" ht="57" x14ac:dyDescent="0.45">
      <c r="A14" s="6"/>
      <c r="B14" s="7"/>
      <c r="C14" s="20">
        <v>4</v>
      </c>
      <c r="D14" s="1" t="s">
        <v>63</v>
      </c>
      <c r="E14" s="1" t="s">
        <v>88</v>
      </c>
      <c r="F14" s="1"/>
      <c r="G14" s="1"/>
      <c r="H14" s="1" t="s">
        <v>89</v>
      </c>
      <c r="I14" s="1" t="s">
        <v>150</v>
      </c>
      <c r="J14" s="1">
        <v>8</v>
      </c>
      <c r="K14" s="1" t="s">
        <v>90</v>
      </c>
      <c r="L14" s="1">
        <v>24</v>
      </c>
      <c r="M14" s="1">
        <f t="shared" si="25"/>
        <v>30</v>
      </c>
      <c r="N14" s="1">
        <f t="shared" ref="N14" si="27">IF(M14&gt;0,L14-M14,"")</f>
        <v>-6</v>
      </c>
      <c r="O14" s="1" t="s">
        <v>134</v>
      </c>
      <c r="P14" s="1" t="s">
        <v>64</v>
      </c>
      <c r="Q14" s="1" t="s">
        <v>13</v>
      </c>
      <c r="R14" s="1" t="s">
        <v>135</v>
      </c>
      <c r="S14" s="1" t="s">
        <v>88</v>
      </c>
      <c r="T14" s="1"/>
      <c r="U14" s="1">
        <f>-N14</f>
        <v>6</v>
      </c>
      <c r="V14" s="1">
        <v>1</v>
      </c>
      <c r="W14" s="1">
        <f t="shared" ref="W14" si="28">IF(U14&gt;0, IF(V14&gt;U14,V14,U14), "")</f>
        <v>6</v>
      </c>
      <c r="X14" s="1">
        <v>0</v>
      </c>
      <c r="Y14" s="1">
        <f>IF(U14&gt;0, IF(W14&gt;U14,W14-U14+X14,0), "")</f>
        <v>0</v>
      </c>
      <c r="Z14" s="11">
        <v>316</v>
      </c>
      <c r="AA14" s="11">
        <f t="shared" ref="AA14" si="29">IF(U14&gt;0,IF(V14&gt;U14,V14*Z14,U14*Z14),"")</f>
        <v>1896</v>
      </c>
      <c r="AB14" s="15" t="s">
        <v>133</v>
      </c>
      <c r="AD14" s="2" t="str">
        <f t="shared" si="14"/>
        <v>782-1261</v>
      </c>
      <c r="AE14" s="2">
        <f t="shared" si="15"/>
        <v>6</v>
      </c>
      <c r="AH14" s="2" t="str">
        <f t="shared" si="16"/>
        <v>TE Connectivity</v>
      </c>
      <c r="AI14" s="2" t="str">
        <f t="shared" si="5"/>
        <v>Relay</v>
      </c>
      <c r="AJ14" s="2" t="str">
        <f t="shared" si="10"/>
        <v>RTE24005F</v>
      </c>
      <c r="AK14" s="2" t="str">
        <f t="shared" si="6"/>
        <v>K1, K2, K3, K4</v>
      </c>
      <c r="AL14" s="23">
        <f t="shared" si="11"/>
        <v>4</v>
      </c>
      <c r="AM14" s="2">
        <f t="shared" si="12"/>
        <v>8</v>
      </c>
      <c r="AN14" s="24" t="str">
        <f t="shared" si="7"/>
        <v>DIP</v>
      </c>
      <c r="AO14" s="24"/>
      <c r="AP14" s="24"/>
      <c r="AQ14" s="2" t="str">
        <f t="shared" si="8"/>
        <v/>
      </c>
    </row>
    <row r="15" spans="1:43" ht="57" x14ac:dyDescent="0.45">
      <c r="A15" s="6"/>
      <c r="B15" s="7"/>
      <c r="C15" s="20">
        <v>4</v>
      </c>
      <c r="D15" s="1" t="s">
        <v>66</v>
      </c>
      <c r="E15" s="1" t="s">
        <v>65</v>
      </c>
      <c r="F15" s="1"/>
      <c r="G15" s="1" t="s">
        <v>67</v>
      </c>
      <c r="H15" s="1" t="s">
        <v>113</v>
      </c>
      <c r="I15" s="1" t="s">
        <v>149</v>
      </c>
      <c r="J15" s="1">
        <v>2</v>
      </c>
      <c r="K15" s="1" t="s">
        <v>176</v>
      </c>
      <c r="L15" s="1">
        <v>32</v>
      </c>
      <c r="M15" s="1">
        <f t="shared" si="25"/>
        <v>30</v>
      </c>
      <c r="N15" s="1">
        <f t="shared" ref="N15" si="30">IF(M15&gt;0,L15-M15,"")</f>
        <v>2</v>
      </c>
      <c r="O15" s="8"/>
      <c r="P15" s="8" t="s">
        <v>175</v>
      </c>
      <c r="Q15" s="8"/>
      <c r="R15" s="8"/>
      <c r="S15" s="8" t="s">
        <v>65</v>
      </c>
      <c r="T15" s="8"/>
      <c r="U15" s="8"/>
      <c r="V15" s="8"/>
      <c r="W15" s="8" t="str">
        <f>IF(U15&gt;0, IF(V15&gt;U15,V15,U15), "")</f>
        <v/>
      </c>
      <c r="X15" s="8"/>
      <c r="Y15" s="8" t="str">
        <f>IF(U15&gt;0, IF(W15&gt;U15,W15-U15,0), "")</f>
        <v/>
      </c>
      <c r="Z15" s="9"/>
      <c r="AA15" s="9" t="str">
        <f t="shared" ref="AA15:AA16" si="31">IF(U15&gt;0,IF(V15&gt;U15,V15*Z15,U15*Z15),"")</f>
        <v/>
      </c>
      <c r="AB15" s="9"/>
      <c r="AD15" s="2" t="str">
        <f t="shared" si="14"/>
        <v/>
      </c>
      <c r="AE15" s="2" t="str">
        <f t="shared" si="15"/>
        <v/>
      </c>
      <c r="AH15" s="2" t="str">
        <f t="shared" si="16"/>
        <v>OSRAM Opto Semiconductors</v>
      </c>
      <c r="AI15" s="2" t="str">
        <f t="shared" si="5"/>
        <v>LED</v>
      </c>
      <c r="AJ15" s="2" t="str">
        <f t="shared" si="10"/>
        <v>LGR971</v>
      </c>
      <c r="AK15" s="2" t="str">
        <f t="shared" si="6"/>
        <v>LED1, LED2, LED3, LED4</v>
      </c>
      <c r="AL15" s="23">
        <f t="shared" si="11"/>
        <v>4</v>
      </c>
      <c r="AM15" s="2">
        <f t="shared" si="12"/>
        <v>2</v>
      </c>
      <c r="AN15" s="24" t="str">
        <f t="shared" si="7"/>
        <v>SMD</v>
      </c>
      <c r="AO15" s="24"/>
      <c r="AP15" s="24"/>
      <c r="AQ15" s="2" t="str">
        <f t="shared" si="8"/>
        <v>SML0805</v>
      </c>
    </row>
    <row r="16" spans="1:43" ht="57" x14ac:dyDescent="0.45">
      <c r="A16" s="6"/>
      <c r="B16" s="7"/>
      <c r="C16" s="20">
        <v>1</v>
      </c>
      <c r="D16" s="1" t="s">
        <v>92</v>
      </c>
      <c r="E16" s="1" t="s">
        <v>91</v>
      </c>
      <c r="F16" s="1"/>
      <c r="G16" s="1" t="s">
        <v>95</v>
      </c>
      <c r="H16" s="1" t="s">
        <v>97</v>
      </c>
      <c r="I16" s="1" t="s">
        <v>149</v>
      </c>
      <c r="J16" s="1">
        <v>10</v>
      </c>
      <c r="K16" s="1" t="s">
        <v>99</v>
      </c>
      <c r="L16" s="1">
        <v>7</v>
      </c>
      <c r="M16" s="1">
        <f t="shared" si="25"/>
        <v>12</v>
      </c>
      <c r="N16" s="1">
        <f t="shared" ref="N16" si="32">IF(M16&gt;0,L16-M16,"")</f>
        <v>-5</v>
      </c>
      <c r="O16" s="1" t="s">
        <v>136</v>
      </c>
      <c r="P16" s="1" t="s">
        <v>71</v>
      </c>
      <c r="Q16" s="1" t="s">
        <v>13</v>
      </c>
      <c r="R16" s="1" t="s">
        <v>137</v>
      </c>
      <c r="S16" s="1" t="s">
        <v>138</v>
      </c>
      <c r="T16" s="1"/>
      <c r="U16" s="1">
        <f>-N16</f>
        <v>5</v>
      </c>
      <c r="V16" s="1">
        <v>1</v>
      </c>
      <c r="W16" s="1">
        <f t="shared" ref="W16" si="33">IF(U16&gt;0, IF(V16&gt;U16,V16,U16), "")</f>
        <v>5</v>
      </c>
      <c r="X16" s="1">
        <v>0</v>
      </c>
      <c r="Y16" s="1">
        <f>IF(U16&gt;0, IF(W16&gt;U16,W16-U16+X16,0), "")</f>
        <v>0</v>
      </c>
      <c r="Z16" s="11">
        <v>327</v>
      </c>
      <c r="AA16" s="11">
        <f t="shared" si="31"/>
        <v>1635</v>
      </c>
      <c r="AB16" s="15" t="s">
        <v>139</v>
      </c>
      <c r="AD16" s="2" t="str">
        <f t="shared" si="14"/>
        <v>523-8761</v>
      </c>
      <c r="AE16" s="2">
        <f t="shared" si="15"/>
        <v>5</v>
      </c>
      <c r="AH16" s="2" t="str">
        <f t="shared" si="16"/>
        <v>Analog Devices</v>
      </c>
      <c r="AI16" s="2" t="str">
        <f t="shared" si="5"/>
        <v>Muxer</v>
      </c>
      <c r="AJ16" s="2" t="str">
        <f t="shared" si="10"/>
        <v>ADG704BRMZ</v>
      </c>
      <c r="AK16" s="2" t="str">
        <f t="shared" si="6"/>
        <v>MUX1</v>
      </c>
      <c r="AL16" s="23">
        <f t="shared" si="11"/>
        <v>1</v>
      </c>
      <c r="AM16" s="2">
        <f t="shared" si="12"/>
        <v>10</v>
      </c>
      <c r="AN16" s="24" t="str">
        <f t="shared" si="7"/>
        <v>SMD</v>
      </c>
      <c r="AO16" s="24"/>
      <c r="AP16" s="24"/>
      <c r="AQ16" s="2" t="str">
        <f t="shared" si="8"/>
        <v>MSOP10</v>
      </c>
    </row>
    <row r="17" spans="1:43" ht="42.75" x14ac:dyDescent="0.45">
      <c r="A17" s="6"/>
      <c r="B17" s="7"/>
      <c r="C17" s="20">
        <v>1</v>
      </c>
      <c r="D17" s="1" t="s">
        <v>93</v>
      </c>
      <c r="E17" s="1" t="s">
        <v>94</v>
      </c>
      <c r="F17" s="1"/>
      <c r="G17" s="1" t="s">
        <v>96</v>
      </c>
      <c r="H17" s="1" t="s">
        <v>98</v>
      </c>
      <c r="I17" s="1" t="s">
        <v>149</v>
      </c>
      <c r="J17" s="1">
        <v>8</v>
      </c>
      <c r="K17" s="1" t="s">
        <v>100</v>
      </c>
      <c r="L17" s="1">
        <v>16</v>
      </c>
      <c r="M17" s="1">
        <f t="shared" si="25"/>
        <v>12</v>
      </c>
      <c r="N17" s="1">
        <f t="shared" ref="N17" si="34">IF(M17&gt;0,L17-M17,"")</f>
        <v>4</v>
      </c>
      <c r="O17" s="8"/>
      <c r="P17" s="8" t="s">
        <v>163</v>
      </c>
      <c r="Q17" s="8"/>
      <c r="R17" s="8"/>
      <c r="S17" s="8" t="s">
        <v>94</v>
      </c>
      <c r="T17" s="8"/>
      <c r="U17" s="8"/>
      <c r="V17" s="8"/>
      <c r="W17" s="8" t="str">
        <f>IF(U17&gt;0, IF(V17&gt;U17,V17,U17), "")</f>
        <v/>
      </c>
      <c r="X17" s="8"/>
      <c r="Y17" s="8" t="str">
        <f>IF(U17&gt;0, IF(W17&gt;U17,W17-U17,0), "")</f>
        <v/>
      </c>
      <c r="Z17" s="9"/>
      <c r="AA17" s="9" t="str">
        <f t="shared" ref="AA17" si="35">IF(U17&gt;0,IF(V17&gt;U17,V17*Z17,U17*Z17),"")</f>
        <v/>
      </c>
      <c r="AB17" s="9"/>
      <c r="AD17" s="2" t="str">
        <f t="shared" si="14"/>
        <v/>
      </c>
      <c r="AE17" s="2" t="str">
        <f t="shared" si="15"/>
        <v/>
      </c>
      <c r="AH17" s="2" t="str">
        <f t="shared" si="16"/>
        <v>Texas Instruments</v>
      </c>
      <c r="AI17" s="2" t="str">
        <f t="shared" si="5"/>
        <v>NAND gate</v>
      </c>
      <c r="AJ17" s="2" t="str">
        <f t="shared" si="10"/>
        <v>SN74LVC2G00DCUT</v>
      </c>
      <c r="AK17" s="2" t="str">
        <f t="shared" si="6"/>
        <v>NAND1</v>
      </c>
      <c r="AL17" s="23">
        <f t="shared" si="11"/>
        <v>1</v>
      </c>
      <c r="AM17" s="2">
        <f t="shared" si="12"/>
        <v>8</v>
      </c>
      <c r="AN17" s="24" t="str">
        <f t="shared" si="7"/>
        <v>SMD</v>
      </c>
      <c r="AO17" s="24"/>
      <c r="AP17" s="24"/>
      <c r="AQ17" s="2" t="str">
        <f t="shared" si="8"/>
        <v>VSSOP-8</v>
      </c>
    </row>
    <row r="18" spans="1:43" ht="42.75" x14ac:dyDescent="0.45">
      <c r="A18" s="6"/>
      <c r="B18" s="7"/>
      <c r="C18" s="20">
        <v>1</v>
      </c>
      <c r="D18" s="1" t="s">
        <v>68</v>
      </c>
      <c r="E18" s="1" t="s">
        <v>101</v>
      </c>
      <c r="F18" s="1"/>
      <c r="G18" s="1" t="s">
        <v>102</v>
      </c>
      <c r="H18" s="1" t="s">
        <v>103</v>
      </c>
      <c r="I18" s="1" t="s">
        <v>150</v>
      </c>
      <c r="J18" s="1">
        <v>16</v>
      </c>
      <c r="K18" s="1" t="s">
        <v>104</v>
      </c>
      <c r="L18" s="1">
        <v>12</v>
      </c>
      <c r="M18" s="1">
        <f t="shared" si="25"/>
        <v>12</v>
      </c>
      <c r="N18" s="1">
        <f t="shared" ref="N18:N19" si="36">IF(M18&gt;0,L18-M18,"")</f>
        <v>0</v>
      </c>
      <c r="O18" s="8"/>
      <c r="P18" s="8" t="s">
        <v>165</v>
      </c>
      <c r="Q18" s="8"/>
      <c r="R18" s="8"/>
      <c r="S18" s="8" t="s">
        <v>164</v>
      </c>
      <c r="T18" s="8"/>
      <c r="U18" s="8"/>
      <c r="V18" s="8"/>
      <c r="W18" s="8" t="str">
        <f>IF(U18&gt;0, IF(V18&gt;U18,V18,U18), "")</f>
        <v/>
      </c>
      <c r="X18" s="8"/>
      <c r="Y18" s="8" t="str">
        <f>IF(U18&gt;0, IF(W18&gt;U18,W18-U18,0), "")</f>
        <v/>
      </c>
      <c r="Z18" s="9"/>
      <c r="AA18" s="9" t="str">
        <f t="shared" ref="AA18:AA19" si="37">IF(U18&gt;0,IF(V18&gt;U18,V18*Z18,U18*Z18),"")</f>
        <v/>
      </c>
      <c r="AB18" s="9"/>
      <c r="AD18" s="2" t="str">
        <f t="shared" si="14"/>
        <v/>
      </c>
      <c r="AE18" s="2" t="str">
        <f t="shared" si="15"/>
        <v/>
      </c>
      <c r="AH18" s="2" t="str">
        <f t="shared" si="16"/>
        <v>Renesas Electronics</v>
      </c>
      <c r="AI18" s="2" t="str">
        <f t="shared" si="5"/>
        <v>OptoCoupler</v>
      </c>
      <c r="AJ18" s="2" t="str">
        <f t="shared" si="10"/>
        <v>PS2502-4-A</v>
      </c>
      <c r="AK18" s="2" t="str">
        <f t="shared" si="6"/>
        <v>OK1</v>
      </c>
      <c r="AL18" s="23">
        <f t="shared" si="11"/>
        <v>1</v>
      </c>
      <c r="AM18" s="2">
        <f t="shared" si="12"/>
        <v>16</v>
      </c>
      <c r="AN18" s="24" t="str">
        <f t="shared" si="7"/>
        <v>DIP</v>
      </c>
      <c r="AO18" s="24"/>
      <c r="AP18" s="24"/>
      <c r="AQ18" s="2" t="str">
        <f t="shared" si="8"/>
        <v>DIL16</v>
      </c>
    </row>
    <row r="19" spans="1:43" ht="57" x14ac:dyDescent="0.45">
      <c r="A19" s="6"/>
      <c r="B19" s="7"/>
      <c r="C19" s="20">
        <v>4</v>
      </c>
      <c r="D19" s="1" t="s">
        <v>37</v>
      </c>
      <c r="E19" s="1" t="s">
        <v>7</v>
      </c>
      <c r="F19" s="1" t="s">
        <v>69</v>
      </c>
      <c r="G19" s="1" t="s">
        <v>8</v>
      </c>
      <c r="H19" s="1" t="s">
        <v>105</v>
      </c>
      <c r="I19" s="1" t="s">
        <v>149</v>
      </c>
      <c r="J19" s="1">
        <v>2</v>
      </c>
      <c r="K19" s="8"/>
      <c r="L19" s="8"/>
      <c r="M19" s="8"/>
      <c r="N19" s="8" t="str">
        <f t="shared" si="36"/>
        <v/>
      </c>
      <c r="O19" s="1" t="s">
        <v>106</v>
      </c>
      <c r="P19" s="1" t="s">
        <v>64</v>
      </c>
      <c r="Q19" s="1" t="s">
        <v>13</v>
      </c>
      <c r="R19" s="1" t="s">
        <v>108</v>
      </c>
      <c r="S19" s="1" t="s">
        <v>107</v>
      </c>
      <c r="T19" s="1"/>
      <c r="U19" s="1">
        <f>C19*6+6</f>
        <v>30</v>
      </c>
      <c r="V19" s="1">
        <v>50</v>
      </c>
      <c r="W19" s="1">
        <f t="shared" ref="W19" si="38">IF(U19&gt;0, IF(V19&gt;U19,V19,U19), "")</f>
        <v>50</v>
      </c>
      <c r="X19" s="1">
        <v>0</v>
      </c>
      <c r="Y19" s="1">
        <f>IF(U19&gt;0, IF(W19&gt;U19,W19-U19+X19,0), "")</f>
        <v>20</v>
      </c>
      <c r="Z19" s="11">
        <v>3.9</v>
      </c>
      <c r="AA19" s="11">
        <f t="shared" si="37"/>
        <v>195</v>
      </c>
      <c r="AB19" s="15" t="s">
        <v>109</v>
      </c>
      <c r="AD19" s="2" t="str">
        <f t="shared" si="14"/>
        <v>213-2266</v>
      </c>
      <c r="AE19" s="2">
        <f t="shared" si="15"/>
        <v>50</v>
      </c>
      <c r="AH19" s="2" t="str">
        <f t="shared" si="16"/>
        <v>TE Connectivity</v>
      </c>
      <c r="AI19" s="2" t="str">
        <f t="shared" si="5"/>
        <v>Resistor</v>
      </c>
      <c r="AJ19" s="2" t="str">
        <f t="shared" si="10"/>
        <v>CRG0603F1K0</v>
      </c>
      <c r="AK19" s="2" t="str">
        <f t="shared" si="6"/>
        <v>R1, R2, R3, R4</v>
      </c>
      <c r="AL19" s="23">
        <f t="shared" si="11"/>
        <v>4</v>
      </c>
      <c r="AM19" s="2">
        <f t="shared" si="12"/>
        <v>2</v>
      </c>
      <c r="AN19" s="24" t="str">
        <f t="shared" si="7"/>
        <v>SMD</v>
      </c>
      <c r="AO19" s="24"/>
      <c r="AP19" s="24"/>
      <c r="AQ19" s="2" t="str">
        <f t="shared" si="8"/>
        <v>R0603</v>
      </c>
    </row>
    <row r="20" spans="1:43" ht="42.75" x14ac:dyDescent="0.45">
      <c r="A20" s="6"/>
      <c r="B20" s="7"/>
      <c r="C20" s="20">
        <v>4</v>
      </c>
      <c r="D20" s="1" t="s">
        <v>37</v>
      </c>
      <c r="E20" s="1" t="s">
        <v>7</v>
      </c>
      <c r="F20" s="1">
        <v>510</v>
      </c>
      <c r="G20" s="1" t="s">
        <v>8</v>
      </c>
      <c r="H20" s="1" t="s">
        <v>111</v>
      </c>
      <c r="I20" s="1" t="s">
        <v>149</v>
      </c>
      <c r="J20" s="1">
        <v>2</v>
      </c>
      <c r="K20" s="1" t="s">
        <v>70</v>
      </c>
      <c r="L20" s="1">
        <v>29</v>
      </c>
      <c r="M20" s="1">
        <f>C20*6+6</f>
        <v>30</v>
      </c>
      <c r="N20" s="1">
        <f t="shared" ref="N20" si="39">IF(M20&gt;0,L20-M20,"")</f>
        <v>-1</v>
      </c>
      <c r="O20" s="8"/>
      <c r="P20" s="8" t="s">
        <v>162</v>
      </c>
      <c r="Q20" s="8"/>
      <c r="R20" s="8"/>
      <c r="S20" s="8" t="s">
        <v>166</v>
      </c>
      <c r="T20" s="8"/>
      <c r="U20" s="8"/>
      <c r="V20" s="8"/>
      <c r="W20" s="8" t="str">
        <f t="shared" ref="W20" si="40">IF(U20&gt;0, IF(V20&gt;U20,V20,U20), "")</f>
        <v/>
      </c>
      <c r="X20" s="8"/>
      <c r="Y20" s="8" t="str">
        <f t="shared" ref="Y20" si="41">IF(U20&gt;0, IF(W20&gt;U20,W20-U20,0), "")</f>
        <v/>
      </c>
      <c r="Z20" s="9"/>
      <c r="AA20" s="9" t="str">
        <f t="shared" ref="AA20" si="42">IF(U20&gt;0,IF(V20&gt;U20,V20*Z20,U20*Z20),"")</f>
        <v/>
      </c>
      <c r="AB20" s="9"/>
      <c r="AD20" s="2" t="str">
        <f t="shared" si="14"/>
        <v/>
      </c>
      <c r="AE20" s="2" t="str">
        <f t="shared" si="15"/>
        <v/>
      </c>
      <c r="AH20" s="2" t="str">
        <f t="shared" si="16"/>
        <v>Vishay</v>
      </c>
      <c r="AI20" s="2" t="str">
        <f t="shared" si="5"/>
        <v>Resistor</v>
      </c>
      <c r="AJ20" s="2" t="str">
        <f t="shared" si="10"/>
        <v>CRCW0603510RFKEA</v>
      </c>
      <c r="AK20" s="2" t="str">
        <f t="shared" si="6"/>
        <v>R1.1, R2.1, R3.1, R4.1</v>
      </c>
      <c r="AL20" s="23">
        <f t="shared" si="11"/>
        <v>4</v>
      </c>
      <c r="AM20" s="2">
        <f t="shared" si="12"/>
        <v>2</v>
      </c>
      <c r="AN20" s="24" t="str">
        <f t="shared" si="7"/>
        <v>SMD</v>
      </c>
      <c r="AO20" s="24"/>
      <c r="AP20" s="24"/>
      <c r="AQ20" s="2" t="str">
        <f t="shared" si="8"/>
        <v>R0603</v>
      </c>
    </row>
    <row r="21" spans="1:43" ht="42.75" x14ac:dyDescent="0.45">
      <c r="A21" s="6"/>
      <c r="B21" s="7"/>
      <c r="C21" s="20">
        <v>1</v>
      </c>
      <c r="D21" s="1" t="s">
        <v>37</v>
      </c>
      <c r="E21" s="1" t="s">
        <v>7</v>
      </c>
      <c r="F21" s="1">
        <v>0</v>
      </c>
      <c r="G21" s="1" t="s">
        <v>8</v>
      </c>
      <c r="H21" s="1" t="s">
        <v>110</v>
      </c>
      <c r="I21" s="1" t="s">
        <v>149</v>
      </c>
      <c r="J21" s="1">
        <v>2</v>
      </c>
      <c r="K21" s="1" t="s">
        <v>177</v>
      </c>
      <c r="L21" s="1">
        <v>27</v>
      </c>
      <c r="M21" s="1">
        <f>C21*6+6</f>
        <v>12</v>
      </c>
      <c r="N21" s="1">
        <f t="shared" ref="N21" si="43">IF(M21&gt;0,L21-M21,"")</f>
        <v>15</v>
      </c>
      <c r="O21" s="8"/>
      <c r="P21" s="8" t="s">
        <v>162</v>
      </c>
      <c r="Q21" s="8"/>
      <c r="R21" s="8"/>
      <c r="S21" s="8" t="s">
        <v>167</v>
      </c>
      <c r="T21" s="8"/>
      <c r="U21" s="8"/>
      <c r="V21" s="8"/>
      <c r="W21" s="8" t="str">
        <f t="shared" ref="W21" si="44">IF(U21&gt;0, IF(V21&gt;U21,V21,U21), "")</f>
        <v/>
      </c>
      <c r="X21" s="8"/>
      <c r="Y21" s="8" t="str">
        <f t="shared" ref="Y21" si="45">IF(U21&gt;0, IF(W21&gt;U21,W21-U21,0), "")</f>
        <v/>
      </c>
      <c r="Z21" s="9"/>
      <c r="AA21" s="9" t="str">
        <f t="shared" ref="AA21" si="46">IF(U21&gt;0,IF(V21&gt;U21,V21*Z21,U21*Z21),"")</f>
        <v/>
      </c>
      <c r="AB21" s="9"/>
      <c r="AD21" s="2" t="str">
        <f t="shared" si="14"/>
        <v/>
      </c>
      <c r="AE21" s="2" t="str">
        <f t="shared" si="15"/>
        <v/>
      </c>
      <c r="AH21" s="2" t="str">
        <f t="shared" si="16"/>
        <v>Vishay</v>
      </c>
      <c r="AI21" s="2" t="str">
        <f t="shared" si="5"/>
        <v>Resistor</v>
      </c>
      <c r="AJ21" s="2" t="str">
        <f t="shared" si="10"/>
        <v xml:space="preserve">CRCW06030000Z0EB </v>
      </c>
      <c r="AK21" s="2" t="str">
        <f t="shared" si="6"/>
        <v>R5</v>
      </c>
      <c r="AL21" s="23">
        <f t="shared" si="11"/>
        <v>1</v>
      </c>
      <c r="AM21" s="2">
        <f t="shared" si="12"/>
        <v>2</v>
      </c>
      <c r="AN21" s="24" t="str">
        <f t="shared" si="7"/>
        <v>SMD</v>
      </c>
      <c r="AO21" s="24"/>
      <c r="AP21" s="24"/>
      <c r="AQ21" s="2" t="str">
        <f t="shared" si="8"/>
        <v>R0603</v>
      </c>
    </row>
    <row r="22" spans="1:43" ht="42.75" x14ac:dyDescent="0.45">
      <c r="A22" s="6"/>
      <c r="B22" s="7"/>
      <c r="C22" s="20">
        <v>1</v>
      </c>
      <c r="D22" s="1" t="s">
        <v>46</v>
      </c>
      <c r="E22" s="1" t="s">
        <v>47</v>
      </c>
      <c r="F22" s="1"/>
      <c r="G22" s="1" t="s">
        <v>48</v>
      </c>
      <c r="H22" s="1" t="s">
        <v>117</v>
      </c>
      <c r="I22" s="1" t="s">
        <v>149</v>
      </c>
      <c r="J22" s="1">
        <v>3</v>
      </c>
      <c r="K22" s="1" t="s">
        <v>178</v>
      </c>
      <c r="L22" s="1">
        <v>27</v>
      </c>
      <c r="M22" s="1">
        <f>C22*6+6</f>
        <v>12</v>
      </c>
      <c r="N22" s="1">
        <f t="shared" ref="N22" si="47">IF(M22&gt;0,L22-M22,"")</f>
        <v>15</v>
      </c>
      <c r="O22" s="8"/>
      <c r="P22" s="8" t="s">
        <v>168</v>
      </c>
      <c r="Q22" s="8"/>
      <c r="R22" s="8"/>
      <c r="S22" s="8" t="s">
        <v>47</v>
      </c>
      <c r="T22" s="8"/>
      <c r="U22" s="8"/>
      <c r="V22" s="8"/>
      <c r="W22" s="8" t="str">
        <f t="shared" ref="W22" si="48">IF(U22&gt;0, IF(V22&gt;U22,V22,U22), "")</f>
        <v/>
      </c>
      <c r="X22" s="8"/>
      <c r="Y22" s="8" t="str">
        <f t="shared" ref="Y22" si="49">IF(U22&gt;0, IF(W22&gt;U22,W22-U22,0), "")</f>
        <v/>
      </c>
      <c r="Z22" s="9"/>
      <c r="AA22" s="9" t="str">
        <f t="shared" ref="AA22" si="50">IF(U22&gt;0,IF(V22&gt;U22,V22*Z22,U22*Z22),"")</f>
        <v/>
      </c>
      <c r="AB22" s="9"/>
      <c r="AD22" s="2" t="str">
        <f t="shared" si="14"/>
        <v/>
      </c>
      <c r="AE22" s="2" t="str">
        <f t="shared" si="15"/>
        <v/>
      </c>
      <c r="AH22" s="2" t="str">
        <f t="shared" si="16"/>
        <v>ON Semiconductor</v>
      </c>
      <c r="AI22" s="2" t="str">
        <f t="shared" si="5"/>
        <v>Regulator</v>
      </c>
      <c r="AJ22" s="2" t="str">
        <f t="shared" si="10"/>
        <v>NCV7805BD2TG</v>
      </c>
      <c r="AK22" s="2" t="str">
        <f t="shared" si="6"/>
        <v>REG2</v>
      </c>
      <c r="AL22" s="23">
        <f t="shared" si="11"/>
        <v>1</v>
      </c>
      <c r="AM22" s="2">
        <f t="shared" si="12"/>
        <v>3</v>
      </c>
      <c r="AN22" s="24" t="str">
        <f t="shared" si="7"/>
        <v>SMD</v>
      </c>
      <c r="AO22" s="24"/>
      <c r="AP22" s="24"/>
      <c r="AQ22" s="2" t="str">
        <f t="shared" si="8"/>
        <v>D2PAK-3</v>
      </c>
    </row>
    <row r="23" spans="1:43" ht="85.9" thickBot="1" x14ac:dyDescent="0.5">
      <c r="A23" s="13"/>
      <c r="B23" s="14"/>
      <c r="C23" s="20">
        <v>4</v>
      </c>
      <c r="D23" s="1" t="s">
        <v>114</v>
      </c>
      <c r="E23" s="1" t="s">
        <v>115</v>
      </c>
      <c r="F23" s="1"/>
      <c r="G23" s="1" t="s">
        <v>116</v>
      </c>
      <c r="H23" s="1" t="s">
        <v>118</v>
      </c>
      <c r="I23" s="1" t="s">
        <v>149</v>
      </c>
      <c r="J23" s="1">
        <v>4</v>
      </c>
      <c r="K23" s="12"/>
      <c r="L23" s="12"/>
      <c r="M23" s="12"/>
      <c r="N23" s="12"/>
      <c r="O23" s="1" t="s">
        <v>119</v>
      </c>
      <c r="P23" s="1" t="s">
        <v>120</v>
      </c>
      <c r="Q23" s="1" t="s">
        <v>13</v>
      </c>
      <c r="R23" s="1" t="s">
        <v>121</v>
      </c>
      <c r="S23" s="1" t="s">
        <v>115</v>
      </c>
      <c r="T23" s="10" t="str">
        <f>+G23</f>
        <v>UDFN-4L</v>
      </c>
      <c r="U23" s="1">
        <f>C23*6+6</f>
        <v>30</v>
      </c>
      <c r="V23" s="1">
        <v>5</v>
      </c>
      <c r="W23" s="1">
        <f t="shared" ref="W23:W24" si="51">IF(U23&gt;0, IF(V23&gt;U23,V23,U23), "")</f>
        <v>30</v>
      </c>
      <c r="X23" s="1">
        <v>0</v>
      </c>
      <c r="Y23" s="1">
        <f t="shared" ref="Y23:Y25" si="52">IF(U23&gt;0, IF(W23&gt;U23,W23-U23+X23,0), "")</f>
        <v>0</v>
      </c>
      <c r="Z23" s="11">
        <v>90.8</v>
      </c>
      <c r="AA23" s="11">
        <f t="shared" ref="AA23:AA24" si="53">IF(U23&gt;0,IF(V23&gt;U23,V23*Z23,U23*Z23),"")</f>
        <v>2724</v>
      </c>
      <c r="AB23" s="15" t="s">
        <v>122</v>
      </c>
      <c r="AD23" s="2" t="str">
        <f t="shared" si="14"/>
        <v>686-4973</v>
      </c>
      <c r="AE23" s="2">
        <f t="shared" si="15"/>
        <v>30</v>
      </c>
      <c r="AH23" s="2" t="str">
        <f t="shared" si="16"/>
        <v>STMicroelectronics</v>
      </c>
      <c r="AI23" s="2" t="str">
        <f t="shared" si="5"/>
        <v>Temperature sensor</v>
      </c>
      <c r="AJ23" s="2" t="str">
        <f t="shared" si="10"/>
        <v>STLM20DD9F</v>
      </c>
      <c r="AK23" s="2" t="str">
        <f t="shared" si="6"/>
        <v>TS1, TS2, TS3, TS4</v>
      </c>
      <c r="AL23" s="23">
        <f t="shared" si="11"/>
        <v>4</v>
      </c>
      <c r="AM23" s="2">
        <f t="shared" si="12"/>
        <v>4</v>
      </c>
      <c r="AN23" s="24" t="str">
        <f t="shared" si="7"/>
        <v>SMD</v>
      </c>
      <c r="AO23" s="24"/>
      <c r="AP23" s="24"/>
      <c r="AQ23" s="2" t="str">
        <f t="shared" si="8"/>
        <v>UDFN-4L</v>
      </c>
    </row>
    <row r="24" spans="1:43" ht="57.4" thickBot="1" x14ac:dyDescent="0.5">
      <c r="A24" s="13"/>
      <c r="B24" s="14"/>
      <c r="C24" s="20">
        <v>3</v>
      </c>
      <c r="D24" s="1" t="s">
        <v>140</v>
      </c>
      <c r="E24" s="1"/>
      <c r="F24" s="1" t="s">
        <v>141</v>
      </c>
      <c r="G24" s="1"/>
      <c r="H24" s="1"/>
      <c r="I24" s="1"/>
      <c r="J24" s="1"/>
      <c r="K24" s="12"/>
      <c r="L24" s="12"/>
      <c r="M24" s="12"/>
      <c r="N24" s="12"/>
      <c r="O24" s="1" t="s">
        <v>142</v>
      </c>
      <c r="P24" s="1" t="s">
        <v>143</v>
      </c>
      <c r="Q24" s="1" t="s">
        <v>13</v>
      </c>
      <c r="R24" s="1" t="s">
        <v>144</v>
      </c>
      <c r="S24" s="1" t="s">
        <v>145</v>
      </c>
      <c r="T24" s="10"/>
      <c r="U24" s="1">
        <f>+C24*6+6</f>
        <v>24</v>
      </c>
      <c r="V24" s="1">
        <v>30</v>
      </c>
      <c r="W24" s="1">
        <f t="shared" si="51"/>
        <v>30</v>
      </c>
      <c r="X24" s="1">
        <v>0</v>
      </c>
      <c r="Y24" s="1">
        <f t="shared" ref="Y24" si="54">IF(U24&gt;0, IF(W24&gt;U24,W24-U24+X24,0), "")</f>
        <v>6</v>
      </c>
      <c r="Z24" s="11">
        <v>81.400000000000006</v>
      </c>
      <c r="AA24" s="11">
        <f t="shared" si="53"/>
        <v>2442</v>
      </c>
      <c r="AB24" s="15" t="s">
        <v>146</v>
      </c>
      <c r="AD24" s="2" t="str">
        <f t="shared" si="14"/>
        <v>523-4725</v>
      </c>
      <c r="AE24" s="2">
        <f t="shared" si="15"/>
        <v>30</v>
      </c>
      <c r="AN24" s="24"/>
      <c r="AO24" s="24"/>
      <c r="AP24" s="24"/>
    </row>
    <row r="25" spans="1:43" ht="43.15" thickBot="1" x14ac:dyDescent="0.5">
      <c r="A25" s="13"/>
      <c r="B25" s="14"/>
      <c r="C25" s="21">
        <v>1</v>
      </c>
      <c r="D25" s="1" t="s">
        <v>38</v>
      </c>
      <c r="E25" s="1"/>
      <c r="F25" s="1"/>
      <c r="G25" s="1"/>
      <c r="H25" s="1"/>
      <c r="I25" s="1"/>
      <c r="J25" s="1"/>
      <c r="K25" s="12"/>
      <c r="L25" s="12"/>
      <c r="M25" s="12"/>
      <c r="N25" s="12"/>
      <c r="O25" s="1" t="s">
        <v>72</v>
      </c>
      <c r="P25" s="1" t="s">
        <v>39</v>
      </c>
      <c r="Q25" s="1" t="s">
        <v>39</v>
      </c>
      <c r="R25" s="1"/>
      <c r="S25" s="1"/>
      <c r="T25" s="10"/>
      <c r="U25" s="1">
        <v>1</v>
      </c>
      <c r="V25" s="1">
        <v>1</v>
      </c>
      <c r="W25" s="1">
        <f t="shared" ref="W25" si="55">IF(U25&gt;0, IF(V25&gt;U25,V25,U25), "")</f>
        <v>1</v>
      </c>
      <c r="X25" s="1">
        <v>0</v>
      </c>
      <c r="Y25" s="1">
        <f t="shared" si="52"/>
        <v>0</v>
      </c>
      <c r="Z25" s="11"/>
      <c r="AA25" s="11">
        <f t="shared" ref="AA25" si="56">IF(U25&gt;0,IF(V25&gt;U25,V25*Z25,U25*Z25),"")</f>
        <v>0</v>
      </c>
      <c r="AB25" s="15"/>
      <c r="AD25" s="2" t="str">
        <f t="shared" si="14"/>
        <v/>
      </c>
      <c r="AN25" s="24"/>
      <c r="AO25" s="24"/>
      <c r="AP25" s="24"/>
    </row>
    <row r="26" spans="1:43" x14ac:dyDescent="0.45">
      <c r="AD26" s="2" t="str">
        <f t="shared" si="14"/>
        <v/>
      </c>
      <c r="AE26" s="2" t="str">
        <f t="shared" si="15"/>
        <v/>
      </c>
      <c r="AN26" s="24"/>
      <c r="AO26" s="24"/>
      <c r="AP26" s="24"/>
    </row>
    <row r="27" spans="1:43" ht="18" x14ac:dyDescent="0.45">
      <c r="C27" s="28" t="s">
        <v>20</v>
      </c>
      <c r="D27" s="29"/>
      <c r="E27" s="31">
        <f>+SUM(AA3:AA25)</f>
        <v>16142</v>
      </c>
      <c r="F27" s="31"/>
      <c r="AD27" s="2" t="str">
        <f t="shared" si="14"/>
        <v/>
      </c>
      <c r="AE27" s="2" t="str">
        <f t="shared" si="15"/>
        <v/>
      </c>
      <c r="AN27" s="24"/>
      <c r="AO27" s="24"/>
      <c r="AP27" s="24"/>
    </row>
    <row r="28" spans="1:43" x14ac:dyDescent="0.45">
      <c r="AD28" s="2" t="str">
        <f t="shared" si="14"/>
        <v/>
      </c>
      <c r="AE28" s="2" t="str">
        <f t="shared" si="15"/>
        <v/>
      </c>
      <c r="AN28" s="24"/>
      <c r="AO28" s="24"/>
      <c r="AP28" s="24"/>
    </row>
    <row r="29" spans="1:43" x14ac:dyDescent="0.45">
      <c r="AD29" s="2" t="str">
        <f t="shared" si="14"/>
        <v/>
      </c>
      <c r="AE29" s="2" t="str">
        <f t="shared" si="15"/>
        <v/>
      </c>
      <c r="AN29" s="24"/>
      <c r="AO29" s="24"/>
      <c r="AP29" s="24"/>
    </row>
    <row r="30" spans="1:43" x14ac:dyDescent="0.45">
      <c r="AD30" s="2" t="str">
        <f t="shared" si="14"/>
        <v/>
      </c>
      <c r="AE30" s="2" t="str">
        <f t="shared" si="15"/>
        <v/>
      </c>
      <c r="AN30" s="24"/>
      <c r="AO30" s="24"/>
      <c r="AP30" s="24"/>
    </row>
    <row r="31" spans="1:43" x14ac:dyDescent="0.45">
      <c r="AD31" s="2" t="str">
        <f t="shared" si="14"/>
        <v/>
      </c>
      <c r="AE31" s="2" t="str">
        <f t="shared" si="15"/>
        <v/>
      </c>
      <c r="AN31" s="24"/>
      <c r="AO31" s="24"/>
      <c r="AP31" s="24"/>
    </row>
    <row r="32" spans="1:43" x14ac:dyDescent="0.45">
      <c r="AD32" s="2" t="str">
        <f t="shared" si="14"/>
        <v/>
      </c>
      <c r="AE32" s="2" t="str">
        <f t="shared" si="15"/>
        <v/>
      </c>
      <c r="AN32" s="24"/>
      <c r="AO32" s="24"/>
      <c r="AP32" s="24"/>
    </row>
    <row r="33" spans="30:42" x14ac:dyDescent="0.45">
      <c r="AD33" s="2" t="str">
        <f t="shared" si="14"/>
        <v/>
      </c>
      <c r="AE33" s="2" t="str">
        <f t="shared" si="15"/>
        <v/>
      </c>
      <c r="AN33" s="24"/>
      <c r="AO33" s="24"/>
      <c r="AP33" s="24"/>
    </row>
    <row r="34" spans="30:42" x14ac:dyDescent="0.45">
      <c r="AD34" s="2" t="str">
        <f t="shared" si="14"/>
        <v/>
      </c>
      <c r="AE34" s="2" t="str">
        <f t="shared" si="15"/>
        <v/>
      </c>
      <c r="AN34" s="24"/>
      <c r="AO34" s="24"/>
      <c r="AP34" s="24"/>
    </row>
    <row r="35" spans="30:42" x14ac:dyDescent="0.45">
      <c r="AD35" s="2" t="str">
        <f t="shared" si="14"/>
        <v/>
      </c>
      <c r="AE35" s="2" t="str">
        <f t="shared" si="15"/>
        <v/>
      </c>
      <c r="AN35" s="24"/>
      <c r="AO35" s="24"/>
      <c r="AP35" s="24"/>
    </row>
    <row r="36" spans="30:42" x14ac:dyDescent="0.45">
      <c r="AD36" s="2" t="str">
        <f t="shared" si="14"/>
        <v/>
      </c>
      <c r="AE36" s="2" t="str">
        <f t="shared" si="15"/>
        <v/>
      </c>
      <c r="AN36" s="24"/>
      <c r="AO36" s="24"/>
      <c r="AP36" s="24"/>
    </row>
    <row r="37" spans="30:42" x14ac:dyDescent="0.45">
      <c r="AD37" s="2" t="str">
        <f t="shared" si="14"/>
        <v/>
      </c>
      <c r="AE37" s="2" t="str">
        <f t="shared" si="15"/>
        <v/>
      </c>
      <c r="AN37" s="24"/>
      <c r="AO37" s="24"/>
      <c r="AP37" s="24"/>
    </row>
    <row r="38" spans="30:42" x14ac:dyDescent="0.45">
      <c r="AD38" s="2" t="str">
        <f t="shared" si="14"/>
        <v/>
      </c>
      <c r="AE38" s="2" t="str">
        <f t="shared" si="15"/>
        <v/>
      </c>
      <c r="AN38" s="24"/>
      <c r="AO38" s="24"/>
      <c r="AP38" s="24"/>
    </row>
    <row r="39" spans="30:42" x14ac:dyDescent="0.45">
      <c r="AD39" s="2" t="str">
        <f t="shared" si="14"/>
        <v/>
      </c>
      <c r="AE39" s="2" t="str">
        <f t="shared" si="15"/>
        <v/>
      </c>
    </row>
    <row r="40" spans="30:42" x14ac:dyDescent="0.45">
      <c r="AD40" s="2" t="str">
        <f t="shared" si="14"/>
        <v/>
      </c>
      <c r="AE40" s="2" t="str">
        <f t="shared" si="15"/>
        <v/>
      </c>
    </row>
    <row r="41" spans="30:42" x14ac:dyDescent="0.45">
      <c r="AD41" s="2" t="str">
        <f>IF(R41&gt;0,R41,"")</f>
        <v/>
      </c>
      <c r="AE41" s="2" t="str">
        <f t="shared" si="15"/>
        <v/>
      </c>
    </row>
  </sheetData>
  <autoFilter ref="A2:AB25" xr:uid="{978F8BCD-D293-470A-90A7-C10C783BCA12}"/>
  <mergeCells count="46">
    <mergeCell ref="A1:B1"/>
    <mergeCell ref="C27:D27"/>
    <mergeCell ref="Q1:AB1"/>
    <mergeCell ref="E27:F27"/>
    <mergeCell ref="K1:N1"/>
    <mergeCell ref="C1:H1"/>
    <mergeCell ref="AN27:AP27"/>
    <mergeCell ref="AN28:AP28"/>
    <mergeCell ref="AN29:AP29"/>
    <mergeCell ref="AN12:AP12"/>
    <mergeCell ref="AN13:AP13"/>
    <mergeCell ref="AN14:AP14"/>
    <mergeCell ref="AN15:AP15"/>
    <mergeCell ref="AN16:AP16"/>
    <mergeCell ref="AN17:AP17"/>
    <mergeCell ref="AN18:AP18"/>
    <mergeCell ref="AN19:AP19"/>
    <mergeCell ref="AN20:AP20"/>
    <mergeCell ref="AN21:AP21"/>
    <mergeCell ref="AQ1:AQ2"/>
    <mergeCell ref="AN3:AP3"/>
    <mergeCell ref="AN4:AP4"/>
    <mergeCell ref="AN5:AP5"/>
    <mergeCell ref="AN6:AP6"/>
    <mergeCell ref="AD1:AE2"/>
    <mergeCell ref="AN1:AP2"/>
    <mergeCell ref="AN7:AP7"/>
    <mergeCell ref="AN8:AP8"/>
    <mergeCell ref="AN9:AP9"/>
    <mergeCell ref="AH1:AM2"/>
    <mergeCell ref="AN35:AP35"/>
    <mergeCell ref="AN36:AP36"/>
    <mergeCell ref="AN37:AP37"/>
    <mergeCell ref="AN38:AP38"/>
    <mergeCell ref="AN10:AP10"/>
    <mergeCell ref="AN11:AP11"/>
    <mergeCell ref="AN30:AP30"/>
    <mergeCell ref="AN31:AP31"/>
    <mergeCell ref="AN32:AP32"/>
    <mergeCell ref="AN33:AP33"/>
    <mergeCell ref="AN22:AP22"/>
    <mergeCell ref="AN23:AP23"/>
    <mergeCell ref="AN24:AP24"/>
    <mergeCell ref="AN34:AP34"/>
    <mergeCell ref="AN25:AP25"/>
    <mergeCell ref="AN26:AP26"/>
  </mergeCells>
  <hyperlinks>
    <hyperlink ref="AB11" r:id="rId1" xr:uid="{05B23343-A1C5-44EE-9117-7B9985EAC752}"/>
    <hyperlink ref="AB19" r:id="rId2" xr:uid="{77F6A69B-5E31-496B-9371-EB5B47E14EA1}"/>
    <hyperlink ref="AB23" r:id="rId3" xr:uid="{777DCDF1-5A38-4C6A-B02C-442A13BF3F70}"/>
    <hyperlink ref="AB10" r:id="rId4" xr:uid="{78F8F6CF-0D1F-404D-8690-220FEC19197A}"/>
    <hyperlink ref="AB13" r:id="rId5" xr:uid="{0636EB95-8AB4-497A-B176-5C9EEA1F07D4}"/>
    <hyperlink ref="AB14" r:id="rId6" xr:uid="{105D4790-025B-4A34-94E5-F64476F23CA9}"/>
    <hyperlink ref="AB16" r:id="rId7" xr:uid="{6E59F074-7863-40EE-A71F-1D15DCD91EFF}"/>
    <hyperlink ref="AB24" r:id="rId8" xr:uid="{C0334FC7-62F1-4EEE-9CF7-B9DBE04359AE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Charger_dischargerV5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José Rojas Hernández</cp:lastModifiedBy>
  <dcterms:created xsi:type="dcterms:W3CDTF">2018-08-28T05:18:42Z</dcterms:created>
  <dcterms:modified xsi:type="dcterms:W3CDTF">2019-10-28T21:40:26Z</dcterms:modified>
</cp:coreProperties>
</file>