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j\OneDrive - TEC\EagleProjects\chargerDischarger\"/>
    </mc:Choice>
  </mc:AlternateContent>
  <xr:revisionPtr revIDLastSave="1006" documentId="8_{F637D767-94D8-421E-A96F-C1B0C0889898}" xr6:coauthVersionLast="43" xr6:coauthVersionMax="43" xr10:uidLastSave="{33E97915-CF10-4A1A-8796-5B601A058376}"/>
  <bookViews>
    <workbookView xWindow="-98" yWindow="-98" windowWidth="19396" windowHeight="10546" xr2:uid="{00000000-000D-0000-FFFF-FFFF00000000}"/>
  </bookViews>
  <sheets>
    <sheet name="Charger_dischargerV5" sheetId="1" r:id="rId1"/>
  </sheets>
  <definedNames>
    <definedName name="_xlnm._FilterDatabase" localSheetId="0" hidden="1">Charger_dischargerV5!$A$2:$AB$42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" i="1"/>
  <c r="AM4" i="1" l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" i="1"/>
  <c r="AD3" i="1"/>
  <c r="AQ4" i="1" l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" i="1"/>
  <c r="T34" i="1"/>
  <c r="T33" i="1"/>
  <c r="T32" i="1"/>
  <c r="T25" i="1"/>
  <c r="T22" i="1"/>
  <c r="T20" i="1"/>
  <c r="T17" i="1"/>
  <c r="T16" i="1"/>
  <c r="T11" i="1"/>
  <c r="T10" i="1"/>
  <c r="T8" i="1"/>
  <c r="T3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5" i="1"/>
  <c r="AN4" i="1"/>
  <c r="AD41" i="1"/>
  <c r="AD4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" i="1"/>
  <c r="AN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J3" i="1"/>
  <c r="AI3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T42" i="1"/>
  <c r="T41" i="1"/>
  <c r="T40" i="1"/>
  <c r="T39" i="1"/>
  <c r="T38" i="1"/>
  <c r="T37" i="1"/>
  <c r="T36" i="1"/>
  <c r="T35" i="1"/>
  <c r="T31" i="1"/>
  <c r="T30" i="1"/>
  <c r="T29" i="1"/>
  <c r="T28" i="1"/>
  <c r="T27" i="1"/>
  <c r="T26" i="1"/>
  <c r="T24" i="1"/>
  <c r="T23" i="1"/>
  <c r="T21" i="1"/>
  <c r="T19" i="1"/>
  <c r="T18" i="1"/>
  <c r="T15" i="1"/>
  <c r="T14" i="1"/>
  <c r="T13" i="1"/>
  <c r="T12" i="1"/>
  <c r="T9" i="1"/>
  <c r="T7" i="1"/>
  <c r="T6" i="1"/>
  <c r="T5" i="1"/>
  <c r="T4" i="1"/>
  <c r="N6" i="1"/>
  <c r="U6" i="1"/>
  <c r="AA6" i="1" s="1"/>
  <c r="W6" i="1" l="1"/>
  <c r="Y6" i="1" l="1"/>
  <c r="AE6" i="1"/>
  <c r="AH4" i="1" l="1"/>
  <c r="W42" i="1" l="1"/>
  <c r="AE42" i="1" s="1"/>
  <c r="U41" i="1"/>
  <c r="U40" i="1"/>
  <c r="U39" i="1"/>
  <c r="AA39" i="1" s="1"/>
  <c r="U38" i="1"/>
  <c r="U37" i="1"/>
  <c r="U36" i="1"/>
  <c r="U31" i="1"/>
  <c r="W31" i="1" s="1"/>
  <c r="AE31" i="1" s="1"/>
  <c r="M34" i="1"/>
  <c r="N34" i="1" s="1"/>
  <c r="U35" i="1"/>
  <c r="W35" i="1" s="1"/>
  <c r="AE35" i="1" s="1"/>
  <c r="U30" i="1"/>
  <c r="W30" i="1" s="1"/>
  <c r="AE30" i="1" s="1"/>
  <c r="U29" i="1"/>
  <c r="U27" i="1"/>
  <c r="U28" i="1"/>
  <c r="U26" i="1"/>
  <c r="U24" i="1"/>
  <c r="AA33" i="1"/>
  <c r="Y33" i="1"/>
  <c r="W33" i="1"/>
  <c r="AE33" i="1" s="1"/>
  <c r="M33" i="1"/>
  <c r="N33" i="1" s="1"/>
  <c r="AA32" i="1"/>
  <c r="Y32" i="1"/>
  <c r="W32" i="1"/>
  <c r="AE32" i="1" s="1"/>
  <c r="M32" i="1"/>
  <c r="N32" i="1" s="1"/>
  <c r="M25" i="1"/>
  <c r="M22" i="1"/>
  <c r="M20" i="1"/>
  <c r="M18" i="1"/>
  <c r="M17" i="1"/>
  <c r="M16" i="1"/>
  <c r="Y30" i="1" l="1"/>
  <c r="W41" i="1"/>
  <c r="AE41" i="1" s="1"/>
  <c r="AA41" i="1"/>
  <c r="W39" i="1"/>
  <c r="AE39" i="1" s="1"/>
  <c r="AA36" i="1"/>
  <c r="W36" i="1"/>
  <c r="AE36" i="1" s="1"/>
  <c r="AA31" i="1"/>
  <c r="Y35" i="1"/>
  <c r="AA30" i="1"/>
  <c r="AA35" i="1"/>
  <c r="Y31" i="1"/>
  <c r="Y41" i="1" l="1"/>
  <c r="Y36" i="1"/>
  <c r="Y39" i="1"/>
  <c r="AA25" i="1"/>
  <c r="Y25" i="1"/>
  <c r="W25" i="1"/>
  <c r="AE25" i="1" s="1"/>
  <c r="N25" i="1"/>
  <c r="AA28" i="1"/>
  <c r="W27" i="1"/>
  <c r="AE27" i="1" s="1"/>
  <c r="AA40" i="1"/>
  <c r="W40" i="1"/>
  <c r="AE40" i="1" s="1"/>
  <c r="U23" i="1"/>
  <c r="W23" i="1" s="1"/>
  <c r="AE23" i="1" s="1"/>
  <c r="U21" i="1"/>
  <c r="AA21" i="1" s="1"/>
  <c r="AA20" i="1"/>
  <c r="Y20" i="1"/>
  <c r="W20" i="1"/>
  <c r="AE20" i="1" s="1"/>
  <c r="N20" i="1"/>
  <c r="U19" i="1"/>
  <c r="AA17" i="1"/>
  <c r="Y17" i="1"/>
  <c r="W17" i="1"/>
  <c r="AE17" i="1" s="1"/>
  <c r="N17" i="1"/>
  <c r="AA16" i="1"/>
  <c r="Y16" i="1"/>
  <c r="W16" i="1"/>
  <c r="AE16" i="1" s="1"/>
  <c r="N16" i="1"/>
  <c r="U15" i="1"/>
  <c r="M14" i="1"/>
  <c r="N14" i="1" s="1"/>
  <c r="U14" i="1" s="1"/>
  <c r="M13" i="1"/>
  <c r="N13" i="1" s="1"/>
  <c r="U13" i="1" s="1"/>
  <c r="AA11" i="1"/>
  <c r="Y11" i="1"/>
  <c r="W11" i="1"/>
  <c r="AE11" i="1" s="1"/>
  <c r="M11" i="1"/>
  <c r="N11" i="1" s="1"/>
  <c r="U12" i="1"/>
  <c r="AA12" i="1" s="1"/>
  <c r="AA10" i="1"/>
  <c r="Y10" i="1"/>
  <c r="W10" i="1"/>
  <c r="AE10" i="1" s="1"/>
  <c r="M10" i="1"/>
  <c r="N10" i="1" s="1"/>
  <c r="U9" i="1"/>
  <c r="AA9" i="1" s="1"/>
  <c r="AA8" i="1"/>
  <c r="Y8" i="1"/>
  <c r="W8" i="1"/>
  <c r="AE8" i="1" s="1"/>
  <c r="M8" i="1"/>
  <c r="N8" i="1" s="1"/>
  <c r="U7" i="1"/>
  <c r="N5" i="1"/>
  <c r="U5" i="1"/>
  <c r="AA5" i="1" s="1"/>
  <c r="U4" i="1"/>
  <c r="N4" i="1"/>
  <c r="M3" i="1"/>
  <c r="Y23" i="1" l="1"/>
  <c r="Y27" i="1"/>
  <c r="Y40" i="1"/>
  <c r="W28" i="1"/>
  <c r="AE28" i="1" s="1"/>
  <c r="AA27" i="1"/>
  <c r="W9" i="1"/>
  <c r="AE9" i="1" s="1"/>
  <c r="AA23" i="1"/>
  <c r="W21" i="1"/>
  <c r="AE21" i="1" s="1"/>
  <c r="AA15" i="1"/>
  <c r="W15" i="1"/>
  <c r="AE15" i="1" s="1"/>
  <c r="W12" i="1"/>
  <c r="AE12" i="1" s="1"/>
  <c r="W5" i="1"/>
  <c r="AE5" i="1" s="1"/>
  <c r="W4" i="1"/>
  <c r="AE4" i="1" s="1"/>
  <c r="AA4" i="1"/>
  <c r="Y4" i="1" l="1"/>
  <c r="Y5" i="1"/>
  <c r="Y15" i="1"/>
  <c r="Y28" i="1"/>
  <c r="Y12" i="1"/>
  <c r="Y21" i="1"/>
  <c r="Y9" i="1"/>
  <c r="AA38" i="1"/>
  <c r="AA37" i="1"/>
  <c r="AA34" i="1"/>
  <c r="Y34" i="1"/>
  <c r="W34" i="1"/>
  <c r="AE34" i="1" s="1"/>
  <c r="W38" i="1" l="1"/>
  <c r="AE38" i="1" s="1"/>
  <c r="W37" i="1"/>
  <c r="AE37" i="1" s="1"/>
  <c r="AA19" i="1"/>
  <c r="N18" i="1"/>
  <c r="U18" i="1" s="1"/>
  <c r="W7" i="1"/>
  <c r="AE7" i="1" s="1"/>
  <c r="N7" i="1"/>
  <c r="Y37" i="1" l="1"/>
  <c r="Y38" i="1"/>
  <c r="AA18" i="1"/>
  <c r="W18" i="1"/>
  <c r="AE18" i="1" s="1"/>
  <c r="AA14" i="1"/>
  <c r="W14" i="1"/>
  <c r="AE14" i="1" s="1"/>
  <c r="W19" i="1"/>
  <c r="AE19" i="1" s="1"/>
  <c r="Y7" i="1"/>
  <c r="AA7" i="1"/>
  <c r="AA3" i="1"/>
  <c r="Y3" i="1"/>
  <c r="W3" i="1"/>
  <c r="AE3" i="1" s="1"/>
  <c r="N3" i="1"/>
  <c r="Y14" i="1" l="1"/>
  <c r="Y18" i="1"/>
  <c r="Y19" i="1"/>
  <c r="W29" i="1"/>
  <c r="AE29" i="1" s="1"/>
  <c r="W24" i="1"/>
  <c r="AE24" i="1" s="1"/>
  <c r="AA13" i="1"/>
  <c r="X29" i="1"/>
  <c r="Y22" i="1"/>
  <c r="AA22" i="1"/>
  <c r="W22" i="1"/>
  <c r="AE22" i="1" s="1"/>
  <c r="Y29" i="1" l="1"/>
  <c r="W13" i="1"/>
  <c r="AE13" i="1" s="1"/>
  <c r="AA42" i="1"/>
  <c r="AA24" i="1"/>
  <c r="AA26" i="1"/>
  <c r="Y42" i="1"/>
  <c r="Y24" i="1"/>
  <c r="AA29" i="1"/>
  <c r="W26" i="1"/>
  <c r="AE26" i="1" s="1"/>
  <c r="Y26" i="1" l="1"/>
  <c r="Y13" i="1"/>
  <c r="E44" i="1"/>
  <c r="N22" i="1"/>
</calcChain>
</file>

<file path=xl/sharedStrings.xml><?xml version="1.0" encoding="utf-8"?>
<sst xmlns="http://schemas.openxmlformats.org/spreadsheetml/2006/main" count="429" uniqueCount="306">
  <si>
    <t>Qty</t>
  </si>
  <si>
    <t>Value</t>
  </si>
  <si>
    <t>Device</t>
  </si>
  <si>
    <t>Package</t>
  </si>
  <si>
    <t>Parts</t>
  </si>
  <si>
    <t>C0603</t>
  </si>
  <si>
    <t>NONPOL_CAP-0603</t>
  </si>
  <si>
    <t>RESISTOR-0603</t>
  </si>
  <si>
    <t>R0603</t>
  </si>
  <si>
    <t>POL_CAP-7343</t>
  </si>
  <si>
    <t>C7343</t>
  </si>
  <si>
    <t>722RA</t>
  </si>
  <si>
    <t>ACS723-05AB-T</t>
  </si>
  <si>
    <t>SOIC-8</t>
  </si>
  <si>
    <t>Bag</t>
  </si>
  <si>
    <t>Available</t>
  </si>
  <si>
    <t>Balance</t>
  </si>
  <si>
    <t>To buy</t>
  </si>
  <si>
    <t>RS</t>
  </si>
  <si>
    <t>Unit cost</t>
  </si>
  <si>
    <t>Total</t>
  </si>
  <si>
    <t>Minimum</t>
  </si>
  <si>
    <t>Needed</t>
  </si>
  <si>
    <t>121-3317</t>
  </si>
  <si>
    <t>866-0767</t>
  </si>
  <si>
    <t>Part List</t>
  </si>
  <si>
    <t>To take from inventory</t>
  </si>
  <si>
    <t>TOTAL</t>
  </si>
  <si>
    <t>Need</t>
  </si>
  <si>
    <t>Actual</t>
  </si>
  <si>
    <t>Vendor SN</t>
  </si>
  <si>
    <t>Vendor</t>
  </si>
  <si>
    <t>KEMET 33μF 25V dc Tantalum Capacitor Polymer Solid ±20% Tolerance T521 Series</t>
  </si>
  <si>
    <t>PBAN #</t>
  </si>
  <si>
    <t>Name</t>
  </si>
  <si>
    <t># of units</t>
  </si>
  <si>
    <t>Pban bags</t>
  </si>
  <si>
    <t>Specifications</t>
  </si>
  <si>
    <t>Manufacturer</t>
  </si>
  <si>
    <t>Murata</t>
  </si>
  <si>
    <t>Manufacurer PN</t>
  </si>
  <si>
    <t>Package type</t>
  </si>
  <si>
    <t>Inventory now</t>
  </si>
  <si>
    <t>Inventory before</t>
  </si>
  <si>
    <t>Switching diode</t>
  </si>
  <si>
    <t>Non-polarized capacitor</t>
  </si>
  <si>
    <t>Polarized capacitor</t>
  </si>
  <si>
    <t>PC1</t>
  </si>
  <si>
    <t>Power jack</t>
  </si>
  <si>
    <t>Resistor</t>
  </si>
  <si>
    <t>Hall-effect current sensor</t>
  </si>
  <si>
    <t>KEMET</t>
  </si>
  <si>
    <t>TDK</t>
  </si>
  <si>
    <t>T521D336M025ATE040</t>
  </si>
  <si>
    <t>https://jp.rs-online.com/web/p/tantalum-capacitors/1213317/</t>
  </si>
  <si>
    <t>Allegro Microsystems</t>
  </si>
  <si>
    <t>ACS723LLCTR-05AB-T</t>
  </si>
  <si>
    <t>Hall-effect current sensor IC, 8-pin SOIC</t>
  </si>
  <si>
    <t>https://jp.rs-online.com/web/p/current-sensors/8660767/</t>
  </si>
  <si>
    <t>PCB fabrication</t>
  </si>
  <si>
    <t>P-ban</t>
  </si>
  <si>
    <t>33u</t>
  </si>
  <si>
    <t>1n</t>
  </si>
  <si>
    <t>0.1u</t>
  </si>
  <si>
    <t>0.33u</t>
  </si>
  <si>
    <t>1u</t>
  </si>
  <si>
    <t>10u</t>
  </si>
  <si>
    <t>N-Channel MOSFET</t>
  </si>
  <si>
    <t>SOT-23</t>
  </si>
  <si>
    <t>PIC16F1786-I/SS</t>
  </si>
  <si>
    <t>8-bit MCU</t>
  </si>
  <si>
    <t>Regulator</t>
  </si>
  <si>
    <t>NCV7805BD2TG</t>
  </si>
  <si>
    <t>D2PAK-3</t>
  </si>
  <si>
    <t>REF195GSZ</t>
  </si>
  <si>
    <t>Voltage reference</t>
  </si>
  <si>
    <t>BC818K-40</t>
  </si>
  <si>
    <t>BJT101, BJT102, BJT103</t>
  </si>
  <si>
    <t>NPN transistor</t>
  </si>
  <si>
    <t>A28</t>
  </si>
  <si>
    <t>https://jp.rs-online.com/web/p/mlccs-multilayer-ceramic-capacitors/9038720/</t>
  </si>
  <si>
    <t>CGA4J3X7R1H105K125AB</t>
  </si>
  <si>
    <t>C2, C10, C303, C405</t>
  </si>
  <si>
    <t>Murata MLCC 10μF 25V dc ± 20%</t>
  </si>
  <si>
    <t>790-2723</t>
  </si>
  <si>
    <t>GRM188R61E106MA73D</t>
  </si>
  <si>
    <t>C201, C202, C203</t>
  </si>
  <si>
    <t>C1210</t>
  </si>
  <si>
    <t>C204, C205, C206, C215, C216, C217</t>
  </si>
  <si>
    <t>A82</t>
  </si>
  <si>
    <t>10n</t>
  </si>
  <si>
    <t>A85</t>
  </si>
  <si>
    <t>C211</t>
  </si>
  <si>
    <t>C4, C207, C218, C305, C501, C502</t>
  </si>
  <si>
    <t>TDK MLCC 100nF 50V dc ± 10%</t>
  </si>
  <si>
    <t>C1608X8R1H104K080AB</t>
  </si>
  <si>
    <t>915-9237</t>
  </si>
  <si>
    <t>https://jp.rs-online.com/web/p/mlccs-multilayer-ceramic-capacitors/9159237</t>
  </si>
  <si>
    <t>C401</t>
  </si>
  <si>
    <t>A25</t>
  </si>
  <si>
    <t>100u</t>
  </si>
  <si>
    <t>D6.3_AEC</t>
  </si>
  <si>
    <t>C601</t>
  </si>
  <si>
    <t>Audio jack</t>
  </si>
  <si>
    <t>AUDIO_JACK-3.5MM</t>
  </si>
  <si>
    <t>COMM</t>
  </si>
  <si>
    <t>TDK MLCC 1nF 50V dc ± 10%</t>
  </si>
  <si>
    <t>915-9211</t>
  </si>
  <si>
    <t>C1608X7R1H102K080AE</t>
  </si>
  <si>
    <t>https://jp.rs-online.com/web/p/mlccs-multilayer-ceramic-capacitors/9159211</t>
  </si>
  <si>
    <t>A86</t>
  </si>
  <si>
    <t>A87</t>
  </si>
  <si>
    <t>Lumberg phone jack (female) 3.5 mm through-hole stereo</t>
  </si>
  <si>
    <t>Lumberg</t>
  </si>
  <si>
    <t>505-1479</t>
  </si>
  <si>
    <t xml:space="preserve"> KLBR 4</t>
  </si>
  <si>
    <t>https://jp.rs-online.com/web/p/jack-plugs/5051479</t>
  </si>
  <si>
    <t>Connector</t>
  </si>
  <si>
    <t>B6B-EH-A</t>
  </si>
  <si>
    <t>CON1</t>
  </si>
  <si>
    <t>A88</t>
  </si>
  <si>
    <t>515-1434</t>
  </si>
  <si>
    <t>Pin header for JST board connection EH series 6 poles 2.5 mm single row straight</t>
  </si>
  <si>
    <t>JST</t>
  </si>
  <si>
    <t>B6B-EH-A (LF) (SN)</t>
  </si>
  <si>
    <t>https://jp.rs-online.com/web/p/pcb-headers/5151434</t>
  </si>
  <si>
    <t>SQT-110-01-F-D-RA</t>
  </si>
  <si>
    <t>CON2</t>
  </si>
  <si>
    <t xml:space="preserve"> 180-1847 </t>
  </si>
  <si>
    <t>SAMTEC</t>
  </si>
  <si>
    <t>Samtec Discrete Socket SQT Series 2mm 20 Pole 2 Row Through Hole SQT-110-01-FD-RA</t>
  </si>
  <si>
    <t>SQT-110-01-FD-RA</t>
  </si>
  <si>
    <t>https://jp.rs-online.com/web/p/pcb-sockets/1801847/</t>
  </si>
  <si>
    <t>BAQ133-GS08</t>
  </si>
  <si>
    <t>D101, D102, D103</t>
  </si>
  <si>
    <t>SOD08</t>
  </si>
  <si>
    <t>A44</t>
  </si>
  <si>
    <t>Schottky diode</t>
  </si>
  <si>
    <t>SCHOTTKY_DIODE-BAT42W</t>
  </si>
  <si>
    <t>SOD123</t>
  </si>
  <si>
    <t>D202</t>
  </si>
  <si>
    <t>MAX4198</t>
  </si>
  <si>
    <t>Op-Amp</t>
  </si>
  <si>
    <t>DA501</t>
  </si>
  <si>
    <t>Dual MOSFET Driver</t>
  </si>
  <si>
    <t>MCP14628-E/SN</t>
  </si>
  <si>
    <t>DR200</t>
  </si>
  <si>
    <t>A92</t>
  </si>
  <si>
    <t>Microchip MOSFET Driver Dual 2A, 4.5-5.5V 8-Pin SOIC Inverted, Non-Inverted MCP14628-E / SN</t>
  </si>
  <si>
    <t>Digi-Key</t>
  </si>
  <si>
    <t>https://www.digikey.com/product-detail/en/maxim-integrated/MAX4198ESA/MAX4198ESA-ND/1702090</t>
  </si>
  <si>
    <t>MAX4198ESA+-ND</t>
  </si>
  <si>
    <t>Microchip</t>
  </si>
  <si>
    <t>MCP14628-E / SN</t>
  </si>
  <si>
    <t>668-4219</t>
  </si>
  <si>
    <t>https://jp.rs-online.com/web/p/mosfet-drivers/6684219</t>
  </si>
  <si>
    <t>Fuse holder</t>
  </si>
  <si>
    <t>A38</t>
  </si>
  <si>
    <t>FUSEHOLDER</t>
  </si>
  <si>
    <t>F1,F2</t>
  </si>
  <si>
    <t>ACM9070-701</t>
  </si>
  <si>
    <t>FIL601</t>
  </si>
  <si>
    <t>TDK common mode choke coil ACM 10 mΩ</t>
  </si>
  <si>
    <t>Common mode choke</t>
  </si>
  <si>
    <t>916-4144</t>
  </si>
  <si>
    <t>ACM9070-701-2PL-TL01</t>
  </si>
  <si>
    <t>https://jp.rs-online.com/web/p/emi-rfi-inductor-components/9164144/</t>
  </si>
  <si>
    <t>Relay</t>
  </si>
  <si>
    <t>ORWH</t>
  </si>
  <si>
    <t>K101</t>
  </si>
  <si>
    <t>A72</t>
  </si>
  <si>
    <t>RT424F05054</t>
  </si>
  <si>
    <t>K102</t>
  </si>
  <si>
    <t>TE Connectivity Latching Relay DPDT 5V dc</t>
  </si>
  <si>
    <t>TE Connectivity</t>
  </si>
  <si>
    <t>RT424F05</t>
  </si>
  <si>
    <t>680-3883P</t>
  </si>
  <si>
    <t>https://jp.rs-online.com/web/p/latching-relays/6803883P/</t>
  </si>
  <si>
    <t>Power Inductor</t>
  </si>
  <si>
    <t>INDUCTOR-60B8683C</t>
  </si>
  <si>
    <t>68u</t>
  </si>
  <si>
    <t>L203, L204</t>
  </si>
  <si>
    <t>Murata Power Solutions Wirewound Inductors (face mount), 68 μH, 9A, 27 x 19.5 x 20 mm</t>
  </si>
  <si>
    <t>749-6405</t>
  </si>
  <si>
    <t>60B683C</t>
  </si>
  <si>
    <t>https://jp.rs-online.com/web/p/wire-wound-surface-mount-inductors/7496405/</t>
  </si>
  <si>
    <t>LGR971</t>
  </si>
  <si>
    <t>LED</t>
  </si>
  <si>
    <t>SML0805</t>
  </si>
  <si>
    <t>LED101, LED102, LED103</t>
  </si>
  <si>
    <t>SI4154DY</t>
  </si>
  <si>
    <t>N-Ch MOSFET SO-8 BWL 40 V 3.3 mohm @ 10 V-</t>
  </si>
  <si>
    <t>Vishay</t>
  </si>
  <si>
    <t>180-7965</t>
  </si>
  <si>
    <t>Adaptor</t>
  </si>
  <si>
    <t>FTDI chip</t>
  </si>
  <si>
    <t>SI4154DY-T1-GE3</t>
  </si>
  <si>
    <t>https://jp.rs-online.com/web/p/mosfets/1807965/</t>
  </si>
  <si>
    <t>MF201, MF202</t>
  </si>
  <si>
    <t>OptoCoupler</t>
  </si>
  <si>
    <t>PS2502-1</t>
  </si>
  <si>
    <t>DIL04</t>
  </si>
  <si>
    <t>OK101, OK102, OK103</t>
  </si>
  <si>
    <t>Isocom Photocoupler AC input 1, 4-Pin through hole mounting</t>
  </si>
  <si>
    <t>Isocom</t>
  </si>
  <si>
    <t>161-1266</t>
  </si>
  <si>
    <t>PS2502-1X</t>
  </si>
  <si>
    <t>https://jp.rs-online.com/web/p/optocouplers/1611266/</t>
  </si>
  <si>
    <t>Switchcraft DC Power Socket 2mm 5A Through Hole 12 V dc 722RA</t>
  </si>
  <si>
    <t>Switchcraft</t>
  </si>
  <si>
    <t>705-1516</t>
  </si>
  <si>
    <t>SPDIP-28</t>
  </si>
  <si>
    <t>PIC1</t>
  </si>
  <si>
    <t>Microchip Microcomputer PIC16F 8-bit RISC, 28-Pin SDPIP</t>
  </si>
  <si>
    <t>803-2434</t>
  </si>
  <si>
    <t>PIC16F1786-I / SP</t>
  </si>
  <si>
    <t>https://jp.rs-online.com/web/p/microcontrollers/8032434</t>
  </si>
  <si>
    <t>Power Resistor</t>
  </si>
  <si>
    <t>TO-220_RESISTOR</t>
  </si>
  <si>
    <t>TO-220</t>
  </si>
  <si>
    <t>PR701, PR702, PR703</t>
  </si>
  <si>
    <t>Vishay Power Resistor LTO 50 Series 1 Ω 50 W ą 5%</t>
  </si>
  <si>
    <t>532-8369</t>
  </si>
  <si>
    <t>LTO 050 F 1 R 000 JTE 3</t>
  </si>
  <si>
    <t>https://jp.rs-online.com/web/p/through-hole-fixed-resistors/5328369/</t>
  </si>
  <si>
    <t>Heatsink</t>
  </si>
  <si>
    <t>1k</t>
  </si>
  <si>
    <t>R101, R103, R106, R202</t>
  </si>
  <si>
    <t>A21</t>
  </si>
  <si>
    <t>R102, R104, R107</t>
  </si>
  <si>
    <t>A93</t>
  </si>
  <si>
    <t>C1, C3, C5, C6, C7, C101, C102, C103, C210, C214, C302, C304, C403</t>
  </si>
  <si>
    <t>C8</t>
  </si>
  <si>
    <t>10M</t>
  </si>
  <si>
    <t>R105</t>
  </si>
  <si>
    <t>A22</t>
  </si>
  <si>
    <t>https://jp.rs-online.com/web/p/surface-mount-fixed-resistors/6789670/</t>
  </si>
  <si>
    <t>Vishay thick film surface mount resistor, 0.1 W, 0 Ω, ± 1%</t>
  </si>
  <si>
    <t>678-9670</t>
  </si>
  <si>
    <t xml:space="preserve">CRCW06030000Z0EB </t>
  </si>
  <si>
    <t>REG402</t>
  </si>
  <si>
    <t>R1, R2</t>
  </si>
  <si>
    <t>R4</t>
  </si>
  <si>
    <t>ON Semiconductor Positive Voltage 3-Terminal Regulator 5 V 1A Fixed Output Surface Mount D2PAK 3-Pin</t>
  </si>
  <si>
    <t>785-7428</t>
  </si>
  <si>
    <t>https://jp.rs-online.com/web/p/linear-voltage-regulators/7857428</t>
  </si>
  <si>
    <t>SEN301</t>
  </si>
  <si>
    <t>VREF1, VREF302</t>
  </si>
  <si>
    <t>Analog Devices Reference Voltage IC, Output: 5V Surface Mount, 8-pin SOIC</t>
  </si>
  <si>
    <t>Analog Devices</t>
  </si>
  <si>
    <t>523-7011</t>
  </si>
  <si>
    <t>https://jp.rs-online.com/web/p/voltage-references/5237011/</t>
  </si>
  <si>
    <t>For RS Pro heat sink transistor, 20 x 35 x 20 mm</t>
  </si>
  <si>
    <t xml:space="preserve">RS Pro </t>
  </si>
  <si>
    <t>263-251</t>
  </si>
  <si>
    <t>https://jp.rs-online.com/web/p/heatsinks/0263251/</t>
  </si>
  <si>
    <t>FTDI Chip Interface Development Kit 5 V TTL 3.5 mm Jack USB-UART Cable</t>
  </si>
  <si>
    <t>687-7774</t>
  </si>
  <si>
    <t>FTDI Chip</t>
  </si>
  <si>
    <t>TTL-232R-5V-AJ</t>
  </si>
  <si>
    <t>https://jp.rs-online.com/web/p/interface-development-kits/6877774/</t>
  </si>
  <si>
    <t>https://www.digikey.jp/products/en?keywords=237-1391-ND</t>
  </si>
  <si>
    <t>237-1391-ND</t>
  </si>
  <si>
    <t>WSU075-3200</t>
  </si>
  <si>
    <t>7.5V 24W AC/DC External Wall Mount Adapter Fixed Blade Input</t>
  </si>
  <si>
    <t>Triad Magnetics</t>
  </si>
  <si>
    <t>PCB fabrication - 2 layers - With soldering service</t>
  </si>
  <si>
    <t>IC OPAMP DIFF 1 CIRCUIT 8SOIC</t>
  </si>
  <si>
    <t>Maxim Integrated</t>
  </si>
  <si>
    <t>TDK MLCC 1μF 50V dc ± 10%</t>
  </si>
  <si>
    <t>903-8720</t>
  </si>
  <si>
    <t>https://jp.rs-online.com/web/p/mlccs-multilayer-ceramic-capacitors/7902723/</t>
  </si>
  <si>
    <t>KOA Thick Film Surface Mount Resistors, 0.125 W, 200 Ω, ± 1%</t>
  </si>
  <si>
    <t>KOA</t>
  </si>
  <si>
    <t>631-6222</t>
  </si>
  <si>
    <t>RK73H1JTTD2000F</t>
  </si>
  <si>
    <t>https://jp.rs-online.com/web/p/surface-mount-fixed-resistors/6316222/</t>
  </si>
  <si>
    <t>TDK MLCC 10μF 50V dc ± 10%</t>
  </si>
  <si>
    <t>915-5446</t>
  </si>
  <si>
    <t>CGA6P3X7S1H106K250AE</t>
  </si>
  <si>
    <t>https://jp.rs-online.com/web/p/mlccs-multilayer-ceramic-capacitors/9155446/</t>
  </si>
  <si>
    <t>GRM1885C1H103JA01D</t>
  </si>
  <si>
    <t>GRM21BR71C334KA01L</t>
  </si>
  <si>
    <t>UWT1C101MCL1GB</t>
  </si>
  <si>
    <t>Nichicon</t>
  </si>
  <si>
    <t>Schurter</t>
  </si>
  <si>
    <t>ORWH-SH-105D1F</t>
  </si>
  <si>
    <t>A49</t>
  </si>
  <si>
    <t>OSRAM</t>
  </si>
  <si>
    <t>CRCW0603510RFKEA</t>
  </si>
  <si>
    <t>CRCW060310M0FKEA</t>
  </si>
  <si>
    <t>BC818K40E6327HTSA1</t>
  </si>
  <si>
    <t>Infineon</t>
  </si>
  <si>
    <t>FOR PBAN</t>
  </si>
  <si>
    <t>SMD / DIP</t>
  </si>
  <si>
    <t>SMD</t>
  </si>
  <si>
    <t>DIP</t>
  </si>
  <si>
    <t>ON Semiconductor</t>
  </si>
  <si>
    <t>FOR RS</t>
  </si>
  <si>
    <t>Leads / Pins</t>
  </si>
  <si>
    <t>B33</t>
  </si>
  <si>
    <t>A26</t>
  </si>
  <si>
    <t>BAT42W-7-F</t>
  </si>
  <si>
    <t>DiodesZetex</t>
  </si>
  <si>
    <t>B22</t>
  </si>
  <si>
    <t xml:space="preserve">CRG0603F1K0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</si>
</sst>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¥-411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34" borderId="14" xfId="0" applyFill="1" applyBorder="1" applyAlignment="1">
      <alignment horizontal="center" vertical="center" wrapText="1"/>
    </xf>
    <xf numFmtId="0" fontId="0" fillId="34" borderId="13" xfId="0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horizontal="center" vertical="center" wrapText="1"/>
    </xf>
    <xf numFmtId="0" fontId="0" fillId="35" borderId="10" xfId="0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4" borderId="15" xfId="0" applyFill="1" applyBorder="1" applyAlignment="1">
      <alignment horizontal="center" vertical="center" wrapText="1"/>
    </xf>
    <xf numFmtId="0" fontId="0" fillId="34" borderId="18" xfId="0" applyFill="1" applyBorder="1" applyAlignment="1">
      <alignment horizontal="center" vertical="center" wrapText="1"/>
    </xf>
    <xf numFmtId="164" fontId="19" fillId="0" borderId="10" xfId="42" applyNumberFormat="1" applyBorder="1" applyAlignment="1">
      <alignment horizontal="center" vertical="center" wrapText="1"/>
    </xf>
    <xf numFmtId="164" fontId="0" fillId="35" borderId="10" xfId="0" applyNumberFormat="1" applyFill="1" applyBorder="1" applyAlignment="1">
      <alignment horizontal="center" vertical="center" wrapText="1"/>
    </xf>
    <xf numFmtId="164" fontId="19" fillId="35" borderId="10" xfId="42" applyNumberFormat="1" applyFill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35" borderId="10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13" xfId="0" applyFont="1" applyFill="1" applyBorder="1" applyAlignment="1">
      <alignment horizontal="center" vertical="center" wrapText="1"/>
    </xf>
    <xf numFmtId="0" fontId="21" fillId="35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p.rs-online.com/web/p/jack-plugs/5051479" TargetMode="External"/><Relationship Id="rId13" Type="http://schemas.openxmlformats.org/officeDocument/2006/relationships/hyperlink" Target="https://jp.rs-online.com/web/p/latching-relays/6803883P/" TargetMode="External"/><Relationship Id="rId18" Type="http://schemas.openxmlformats.org/officeDocument/2006/relationships/hyperlink" Target="https://jp.rs-online.com/web/p/microcontrollers/8032434" TargetMode="External"/><Relationship Id="rId26" Type="http://schemas.openxmlformats.org/officeDocument/2006/relationships/hyperlink" Target="https://www.digikey.jp/products/en?keywords=237-1391-ND" TargetMode="External"/><Relationship Id="rId3" Type="http://schemas.openxmlformats.org/officeDocument/2006/relationships/hyperlink" Target="https://jp.rs-online.com/web/p/current-sensors/8660767/" TargetMode="External"/><Relationship Id="rId21" Type="http://schemas.openxmlformats.org/officeDocument/2006/relationships/hyperlink" Target="https://jp.rs-online.com/web/p/surface-mount-fixed-resistors/6789670/" TargetMode="External"/><Relationship Id="rId7" Type="http://schemas.openxmlformats.org/officeDocument/2006/relationships/hyperlink" Target="https://jp.rs-online.com/web/p/mlccs-multilayer-ceramic-capacitors/9159211" TargetMode="External"/><Relationship Id="rId12" Type="http://schemas.openxmlformats.org/officeDocument/2006/relationships/hyperlink" Target="https://jp.rs-online.com/web/p/emi-rfi-inductor-components/9164144/" TargetMode="External"/><Relationship Id="rId17" Type="http://schemas.openxmlformats.org/officeDocument/2006/relationships/hyperlink" Target="https://jp.rs-online.com/web/p/optocouplers/1611266/" TargetMode="External"/><Relationship Id="rId25" Type="http://schemas.openxmlformats.org/officeDocument/2006/relationships/hyperlink" Target="https://jp.rs-online.com/web/p/interface-development-kits/6877774/" TargetMode="External"/><Relationship Id="rId2" Type="http://schemas.openxmlformats.org/officeDocument/2006/relationships/hyperlink" Target="https://jp.rs-online.com/web/p/mosfet-drivers/6684219" TargetMode="External"/><Relationship Id="rId16" Type="http://schemas.openxmlformats.org/officeDocument/2006/relationships/hyperlink" Target="https://jp.rs-online.com/web/p/optocouplers/1611266/" TargetMode="External"/><Relationship Id="rId20" Type="http://schemas.openxmlformats.org/officeDocument/2006/relationships/hyperlink" Target="https://jp.rs-online.com/web/p/surface-mount-fixed-resistors/6316222/" TargetMode="External"/><Relationship Id="rId1" Type="http://schemas.openxmlformats.org/officeDocument/2006/relationships/hyperlink" Target="https://jp.rs-online.com/web/p/tantalum-capacitors/1213317/" TargetMode="External"/><Relationship Id="rId6" Type="http://schemas.openxmlformats.org/officeDocument/2006/relationships/hyperlink" Target="https://jp.rs-online.com/web/p/mlccs-multilayer-ceramic-capacitors/9159237" TargetMode="External"/><Relationship Id="rId11" Type="http://schemas.openxmlformats.org/officeDocument/2006/relationships/hyperlink" Target="https://www.digikey.com/product-detail/en/maxim-integrated/MAX4198ESA/MAX4198ESA-ND/1702090" TargetMode="External"/><Relationship Id="rId24" Type="http://schemas.openxmlformats.org/officeDocument/2006/relationships/hyperlink" Target="https://jp.rs-online.com/web/p/heatsinks/0263251/" TargetMode="External"/><Relationship Id="rId5" Type="http://schemas.openxmlformats.org/officeDocument/2006/relationships/hyperlink" Target="https://jp.rs-online.com/web/p/mlccs-multilayer-ceramic-capacitors/7902723/" TargetMode="External"/><Relationship Id="rId15" Type="http://schemas.openxmlformats.org/officeDocument/2006/relationships/hyperlink" Target="https://jp.rs-online.com/web/p/mosfets/1807965/" TargetMode="External"/><Relationship Id="rId23" Type="http://schemas.openxmlformats.org/officeDocument/2006/relationships/hyperlink" Target="https://jp.rs-online.com/web/p/voltage-references/5237011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jp.rs-online.com/web/p/pcb-sockets/1801847/" TargetMode="External"/><Relationship Id="rId19" Type="http://schemas.openxmlformats.org/officeDocument/2006/relationships/hyperlink" Target="https://jp.rs-online.com/web/p/through-hole-fixed-resistors/5328369/" TargetMode="External"/><Relationship Id="rId4" Type="http://schemas.openxmlformats.org/officeDocument/2006/relationships/hyperlink" Target="https://jp.rs-online.com/web/p/mlccs-multilayer-ceramic-capacitors/9038720/" TargetMode="External"/><Relationship Id="rId9" Type="http://schemas.openxmlformats.org/officeDocument/2006/relationships/hyperlink" Target="https://jp.rs-online.com/web/p/pcb-headers/5151434" TargetMode="External"/><Relationship Id="rId14" Type="http://schemas.openxmlformats.org/officeDocument/2006/relationships/hyperlink" Target="https://jp.rs-online.com/web/p/wire-wound-surface-mount-inductors/7496405/" TargetMode="External"/><Relationship Id="rId22" Type="http://schemas.openxmlformats.org/officeDocument/2006/relationships/hyperlink" Target="https://jp.rs-online.com/web/p/linear-voltage-regulators/7857428" TargetMode="External"/><Relationship Id="rId27" Type="http://schemas.openxmlformats.org/officeDocument/2006/relationships/hyperlink" Target="https://jp.rs-online.com/web/p/mlccs-multilayer-ceramic-capacitors/915544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4"/>
  <sheetViews>
    <sheetView tabSelected="1" topLeftCell="H29" zoomScale="70" zoomScaleNormal="70" workbookViewId="0">
      <selection activeCell="R35" sqref="R35"/>
    </sheetView>
  </sheetViews>
  <sheetFormatPr defaultColWidth="8.86328125" defaultRowHeight="14.25" x14ac:dyDescent="0.45"/>
  <cols>
    <col min="1" max="2" width="8.86328125" style="2" hidden="1" customWidth="1"/>
    <col min="3" max="3" width="8.86328125" style="2"/>
    <col min="4" max="4" width="16.33203125" style="2" customWidth="1"/>
    <col min="5" max="5" width="24.33203125" style="2" customWidth="1"/>
    <col min="6" max="6" width="18.53125" style="2" customWidth="1"/>
    <col min="7" max="7" width="16.1328125" style="2" customWidth="1"/>
    <col min="8" max="10" width="23.19921875" style="2" customWidth="1"/>
    <col min="11" max="11" width="8.86328125" style="2" customWidth="1"/>
    <col min="12" max="12" width="9.53125" style="2" customWidth="1"/>
    <col min="13" max="14" width="8.86328125" style="2" customWidth="1"/>
    <col min="15" max="15" width="16.53125" style="2" customWidth="1"/>
    <col min="16" max="16" width="18.796875" style="2" bestFit="1" customWidth="1"/>
    <col min="17" max="17" width="8.86328125" style="2"/>
    <col min="18" max="18" width="16.53125" style="2" customWidth="1"/>
    <col min="19" max="19" width="23.6640625" style="2" customWidth="1"/>
    <col min="20" max="20" width="16.53125" style="2" customWidth="1"/>
    <col min="21" max="22" width="8.86328125" style="2" customWidth="1"/>
    <col min="23" max="23" width="8.86328125" style="2"/>
    <col min="24" max="24" width="19.19921875" style="2" bestFit="1" customWidth="1"/>
    <col min="25" max="25" width="17.19921875" style="2" bestFit="1" customWidth="1"/>
    <col min="26" max="26" width="13.6640625" style="2" customWidth="1"/>
    <col min="27" max="27" width="13" style="2" bestFit="1" customWidth="1"/>
    <col min="28" max="28" width="67.46484375" style="2" bestFit="1" customWidth="1"/>
    <col min="29" max="16384" width="8.86328125" style="2"/>
  </cols>
  <sheetData>
    <row r="1" spans="1:43" ht="18" customHeight="1" x14ac:dyDescent="0.45">
      <c r="A1" s="28" t="s">
        <v>36</v>
      </c>
      <c r="B1" s="29"/>
      <c r="C1" s="32" t="s">
        <v>25</v>
      </c>
      <c r="D1" s="32"/>
      <c r="E1" s="32"/>
      <c r="F1" s="32"/>
      <c r="G1" s="32"/>
      <c r="H1" s="32"/>
      <c r="I1" s="24"/>
      <c r="J1" s="24"/>
      <c r="K1" s="32" t="s">
        <v>26</v>
      </c>
      <c r="L1" s="32"/>
      <c r="M1" s="32"/>
      <c r="N1" s="32"/>
      <c r="O1" s="3"/>
      <c r="P1" s="3"/>
      <c r="Q1" s="32" t="s">
        <v>17</v>
      </c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D1" s="27" t="s">
        <v>298</v>
      </c>
      <c r="AE1" s="27"/>
      <c r="AH1" s="27" t="s">
        <v>293</v>
      </c>
      <c r="AI1" s="27"/>
      <c r="AJ1" s="27"/>
      <c r="AK1" s="27"/>
      <c r="AL1" s="27"/>
      <c r="AM1" s="27"/>
      <c r="AN1" s="27" t="s">
        <v>294</v>
      </c>
      <c r="AO1" s="27"/>
      <c r="AP1" s="27"/>
      <c r="AQ1" s="27" t="s">
        <v>3</v>
      </c>
    </row>
    <row r="2" spans="1:43" x14ac:dyDescent="0.45">
      <c r="A2" s="4" t="s">
        <v>33</v>
      </c>
      <c r="B2" s="5" t="s">
        <v>35</v>
      </c>
      <c r="C2" s="1" t="s">
        <v>0</v>
      </c>
      <c r="D2" s="1" t="s">
        <v>34</v>
      </c>
      <c r="E2" s="1" t="s">
        <v>2</v>
      </c>
      <c r="F2" s="1" t="s">
        <v>1</v>
      </c>
      <c r="G2" s="1" t="s">
        <v>3</v>
      </c>
      <c r="H2" s="1" t="s">
        <v>4</v>
      </c>
      <c r="I2" s="1" t="s">
        <v>294</v>
      </c>
      <c r="J2" s="1" t="s">
        <v>299</v>
      </c>
      <c r="K2" s="1" t="s">
        <v>14</v>
      </c>
      <c r="L2" s="1" t="s">
        <v>15</v>
      </c>
      <c r="M2" s="1" t="s">
        <v>28</v>
      </c>
      <c r="N2" s="1" t="s">
        <v>16</v>
      </c>
      <c r="O2" s="1" t="s">
        <v>37</v>
      </c>
      <c r="P2" s="1" t="s">
        <v>38</v>
      </c>
      <c r="Q2" s="1" t="s">
        <v>31</v>
      </c>
      <c r="R2" s="1" t="s">
        <v>30</v>
      </c>
      <c r="S2" s="1" t="s">
        <v>40</v>
      </c>
      <c r="T2" s="1" t="s">
        <v>41</v>
      </c>
      <c r="U2" s="1" t="s">
        <v>22</v>
      </c>
      <c r="V2" s="1" t="s">
        <v>21</v>
      </c>
      <c r="W2" s="1" t="s">
        <v>29</v>
      </c>
      <c r="X2" s="1" t="s">
        <v>43</v>
      </c>
      <c r="Y2" s="1" t="s">
        <v>42</v>
      </c>
      <c r="Z2" s="1" t="s">
        <v>19</v>
      </c>
      <c r="AA2" s="1" t="s">
        <v>20</v>
      </c>
      <c r="AB2" s="1"/>
      <c r="AD2" s="27"/>
      <c r="AE2" s="27"/>
      <c r="AH2" s="27"/>
      <c r="AI2" s="27"/>
      <c r="AJ2" s="27"/>
      <c r="AK2" s="27"/>
      <c r="AL2" s="27"/>
      <c r="AM2" s="27"/>
      <c r="AN2" s="27"/>
      <c r="AO2" s="27"/>
      <c r="AP2" s="27"/>
      <c r="AQ2" s="27"/>
    </row>
    <row r="3" spans="1:43" ht="42.75" x14ac:dyDescent="0.45">
      <c r="A3" s="21"/>
      <c r="B3" s="22"/>
      <c r="C3" s="19">
        <v>3</v>
      </c>
      <c r="D3" s="1" t="s">
        <v>78</v>
      </c>
      <c r="E3" s="1" t="s">
        <v>76</v>
      </c>
      <c r="F3" s="1"/>
      <c r="G3" s="1" t="s">
        <v>68</v>
      </c>
      <c r="H3" s="1" t="s">
        <v>77</v>
      </c>
      <c r="I3" s="1" t="s">
        <v>295</v>
      </c>
      <c r="J3" s="1">
        <v>3</v>
      </c>
      <c r="K3" s="1" t="s">
        <v>79</v>
      </c>
      <c r="L3" s="1">
        <v>105</v>
      </c>
      <c r="M3" s="1">
        <f>C3*3+3</f>
        <v>12</v>
      </c>
      <c r="N3" s="1">
        <f t="shared" ref="N3:N8" si="0">IF(M3&gt;0,L3-M3,"")</f>
        <v>93</v>
      </c>
      <c r="O3" s="8"/>
      <c r="P3" s="8" t="s">
        <v>292</v>
      </c>
      <c r="Q3" s="8"/>
      <c r="R3" s="8"/>
      <c r="S3" s="8" t="s">
        <v>291</v>
      </c>
      <c r="T3" s="8" t="str">
        <f>IF(G3&gt;0,G3,"")</f>
        <v>SOT-23</v>
      </c>
      <c r="U3" s="8"/>
      <c r="V3" s="8"/>
      <c r="W3" s="8" t="str">
        <f>IF(U3&gt;0, IF(V3&gt;U3,V3,U3), "")</f>
        <v/>
      </c>
      <c r="X3" s="8"/>
      <c r="Y3" s="8" t="str">
        <f>IF(U3&gt;0, IF(W3&gt;U3,W3-U3,0), "")</f>
        <v/>
      </c>
      <c r="Z3" s="9"/>
      <c r="AA3" s="9" t="str">
        <f>IF(U3&gt;0,IF(V3&gt;U3,V3*Z3,U3*Z3),"")</f>
        <v/>
      </c>
      <c r="AB3" s="9"/>
      <c r="AD3" s="2" t="str">
        <f>IF(R3&gt;0,R3,"")</f>
        <v/>
      </c>
      <c r="AE3" s="2" t="str">
        <f>IF(W3&gt;0,W3,"")</f>
        <v/>
      </c>
      <c r="AH3" s="2" t="str">
        <f>+P3</f>
        <v>Infineon</v>
      </c>
      <c r="AI3" s="2" t="str">
        <f>+D3</f>
        <v>NPN transistor</v>
      </c>
      <c r="AJ3" s="2" t="str">
        <f>+S3</f>
        <v>BC818K40E6327HTSA1</v>
      </c>
      <c r="AK3" s="2" t="str">
        <f>+H3</f>
        <v>BJT101, BJT102, BJT103</v>
      </c>
      <c r="AL3" s="2">
        <f>+C3</f>
        <v>3</v>
      </c>
      <c r="AM3" s="2">
        <f>+J3</f>
        <v>3</v>
      </c>
      <c r="AN3" s="26" t="str">
        <f>+I3</f>
        <v>SMD</v>
      </c>
      <c r="AO3" s="26"/>
      <c r="AP3" s="26"/>
      <c r="AQ3" s="2" t="str">
        <f>IF(G3&gt;0,G3,"")</f>
        <v>SOT-23</v>
      </c>
    </row>
    <row r="4" spans="1:43" ht="142.5" x14ac:dyDescent="0.45">
      <c r="A4" s="21"/>
      <c r="B4" s="22"/>
      <c r="C4" s="20">
        <v>13</v>
      </c>
      <c r="D4" s="1" t="s">
        <v>45</v>
      </c>
      <c r="E4" s="1" t="s">
        <v>6</v>
      </c>
      <c r="F4" s="1" t="s">
        <v>65</v>
      </c>
      <c r="G4" s="1" t="s">
        <v>5</v>
      </c>
      <c r="H4" s="1" t="s">
        <v>231</v>
      </c>
      <c r="I4" s="1" t="s">
        <v>295</v>
      </c>
      <c r="J4" s="1">
        <v>2</v>
      </c>
      <c r="K4" s="8" t="s">
        <v>300</v>
      </c>
      <c r="L4" s="8"/>
      <c r="M4" s="8"/>
      <c r="N4" s="8" t="str">
        <f t="shared" ref="N4" si="1">IF(M4&gt;0,L4-M4,"")</f>
        <v/>
      </c>
      <c r="O4" s="1" t="s">
        <v>269</v>
      </c>
      <c r="P4" s="1" t="s">
        <v>52</v>
      </c>
      <c r="Q4" s="1" t="s">
        <v>18</v>
      </c>
      <c r="R4" s="1" t="s">
        <v>270</v>
      </c>
      <c r="S4" s="1" t="s">
        <v>81</v>
      </c>
      <c r="T4" s="1" t="str">
        <f>IF(G4&gt;0,G4,"")</f>
        <v>C0603</v>
      </c>
      <c r="U4" s="1">
        <f>C4*3+3</f>
        <v>42</v>
      </c>
      <c r="V4" s="1">
        <v>50</v>
      </c>
      <c r="W4" s="1">
        <f t="shared" ref="W4" si="2">IF(U4&gt;0, IF(V4&gt;U4,V4,U4), "")</f>
        <v>50</v>
      </c>
      <c r="X4" s="1">
        <v>0</v>
      </c>
      <c r="Y4" s="1">
        <f>IF(U4&gt;0, IF(W4&gt;U4,W4-U4+X4,0), "")</f>
        <v>8</v>
      </c>
      <c r="Z4" s="11">
        <v>26.76</v>
      </c>
      <c r="AA4" s="11">
        <f t="shared" ref="AA4" si="3">IF(U4&gt;0,IF(V4&gt;U4,V4*Z4,U4*Z4),"")</f>
        <v>1338</v>
      </c>
      <c r="AB4" s="16" t="s">
        <v>80</v>
      </c>
      <c r="AD4" s="2" t="str">
        <f>IF(R4&gt;0,R4,"")</f>
        <v>903-8720</v>
      </c>
      <c r="AE4" s="2">
        <f>IF(W4&gt;0,W4,"")</f>
        <v>50</v>
      </c>
      <c r="AH4" s="2" t="str">
        <f>+P4</f>
        <v>TDK</v>
      </c>
      <c r="AI4" s="2" t="str">
        <f t="shared" ref="AI4:AI38" si="4">+D4</f>
        <v>Non-polarized capacitor</v>
      </c>
      <c r="AJ4" s="2" t="str">
        <f t="shared" ref="AJ4:AJ38" si="5">+S4</f>
        <v>CGA4J3X7R1H105K125AB</v>
      </c>
      <c r="AK4" s="2" t="str">
        <f t="shared" ref="AK4:AK38" si="6">+H4</f>
        <v>C1, C3, C5, C6, C7, C101, C102, C103, C210, C214, C302, C304, C403</v>
      </c>
      <c r="AL4" s="25">
        <f t="shared" ref="AL4:AL38" si="7">+C4</f>
        <v>13</v>
      </c>
      <c r="AM4" s="2">
        <f t="shared" ref="AM4:AM38" si="8">+J4</f>
        <v>2</v>
      </c>
      <c r="AN4" s="26" t="str">
        <f>+I4</f>
        <v>SMD</v>
      </c>
      <c r="AO4" s="26"/>
      <c r="AP4" s="26"/>
      <c r="AQ4" s="2" t="str">
        <f t="shared" ref="AQ4:AQ38" si="9">IF(G4&gt;0,G4,"")</f>
        <v>C0603</v>
      </c>
    </row>
    <row r="5" spans="1:43" ht="42.75" x14ac:dyDescent="0.45">
      <c r="A5" s="21"/>
      <c r="B5" s="22"/>
      <c r="C5" s="20">
        <v>4</v>
      </c>
      <c r="D5" s="1" t="s">
        <v>45</v>
      </c>
      <c r="E5" s="1" t="s">
        <v>6</v>
      </c>
      <c r="F5" s="1" t="s">
        <v>66</v>
      </c>
      <c r="G5" s="1" t="s">
        <v>5</v>
      </c>
      <c r="H5" s="1" t="s">
        <v>82</v>
      </c>
      <c r="I5" s="1" t="s">
        <v>295</v>
      </c>
      <c r="J5" s="1">
        <v>2</v>
      </c>
      <c r="K5" s="8"/>
      <c r="L5" s="8"/>
      <c r="M5" s="8"/>
      <c r="N5" s="8" t="str">
        <f t="shared" ref="N5" si="10">IF(M5&gt;0,L5-M5,"")</f>
        <v/>
      </c>
      <c r="O5" s="1" t="s">
        <v>83</v>
      </c>
      <c r="P5" s="1" t="s">
        <v>39</v>
      </c>
      <c r="Q5" s="1" t="s">
        <v>18</v>
      </c>
      <c r="R5" s="1" t="s">
        <v>84</v>
      </c>
      <c r="S5" s="1" t="s">
        <v>85</v>
      </c>
      <c r="T5" s="1" t="str">
        <f t="shared" ref="T5:T7" si="11">IF(G5&gt;0,G5,"")</f>
        <v>C0603</v>
      </c>
      <c r="U5" s="1">
        <f>C5*3+3</f>
        <v>15</v>
      </c>
      <c r="V5" s="1">
        <v>25</v>
      </c>
      <c r="W5" s="1">
        <f t="shared" ref="W5" si="12">IF(U5&gt;0, IF(V5&gt;U5,V5,U5), "")</f>
        <v>25</v>
      </c>
      <c r="X5" s="1">
        <v>0</v>
      </c>
      <c r="Y5" s="1">
        <f>IF(U5&gt;0, IF(W5&gt;U5,W5-U5+X5,0), "")</f>
        <v>10</v>
      </c>
      <c r="Z5" s="11">
        <v>29.12</v>
      </c>
      <c r="AA5" s="11">
        <f t="shared" ref="AA5" si="13">IF(U5&gt;0,IF(V5&gt;U5,V5*Z5,U5*Z5),"")</f>
        <v>728</v>
      </c>
      <c r="AB5" s="16" t="s">
        <v>271</v>
      </c>
      <c r="AD5" s="2" t="str">
        <f t="shared" ref="AD5:AD42" si="14">IF(R5&gt;0,R5,"")</f>
        <v>790-2723</v>
      </c>
      <c r="AE5" s="2">
        <f t="shared" ref="AE5:AE42" si="15">IF(W5&gt;0,W5,"")</f>
        <v>25</v>
      </c>
      <c r="AH5" s="2" t="str">
        <f t="shared" ref="AH5:AH38" si="16">+P5</f>
        <v>Murata</v>
      </c>
      <c r="AI5" s="2" t="str">
        <f t="shared" si="4"/>
        <v>Non-polarized capacitor</v>
      </c>
      <c r="AJ5" s="2" t="str">
        <f t="shared" si="5"/>
        <v>GRM188R61E106MA73D</v>
      </c>
      <c r="AK5" s="2" t="str">
        <f t="shared" si="6"/>
        <v>C2, C10, C303, C405</v>
      </c>
      <c r="AL5" s="25">
        <f t="shared" si="7"/>
        <v>4</v>
      </c>
      <c r="AM5" s="2">
        <f t="shared" si="8"/>
        <v>2</v>
      </c>
      <c r="AN5" s="26" t="str">
        <f>+I5</f>
        <v>SMD</v>
      </c>
      <c r="AO5" s="26"/>
      <c r="AP5" s="26"/>
      <c r="AQ5" s="2" t="str">
        <f t="shared" si="9"/>
        <v>C0603</v>
      </c>
    </row>
    <row r="6" spans="1:43" ht="42.75" x14ac:dyDescent="0.45">
      <c r="A6" s="21"/>
      <c r="B6" s="22"/>
      <c r="C6" s="20">
        <v>3</v>
      </c>
      <c r="D6" s="1" t="s">
        <v>45</v>
      </c>
      <c r="E6" s="1" t="s">
        <v>6</v>
      </c>
      <c r="F6" s="1" t="s">
        <v>66</v>
      </c>
      <c r="G6" s="1" t="s">
        <v>87</v>
      </c>
      <c r="H6" s="1" t="s">
        <v>86</v>
      </c>
      <c r="I6" s="1" t="s">
        <v>295</v>
      </c>
      <c r="J6" s="1">
        <v>2</v>
      </c>
      <c r="K6" s="8"/>
      <c r="L6" s="8"/>
      <c r="M6" s="8"/>
      <c r="N6" s="8" t="str">
        <f t="shared" ref="N6" si="17">IF(M6&gt;0,L6-M6,"")</f>
        <v/>
      </c>
      <c r="O6" s="1" t="s">
        <v>277</v>
      </c>
      <c r="P6" s="1" t="s">
        <v>52</v>
      </c>
      <c r="Q6" s="1" t="s">
        <v>18</v>
      </c>
      <c r="R6" s="1" t="s">
        <v>278</v>
      </c>
      <c r="S6" s="1" t="s">
        <v>279</v>
      </c>
      <c r="T6" s="1" t="str">
        <f t="shared" si="11"/>
        <v>C1210</v>
      </c>
      <c r="U6" s="1">
        <f>C6*3+3</f>
        <v>12</v>
      </c>
      <c r="V6" s="1">
        <v>25</v>
      </c>
      <c r="W6" s="1">
        <f t="shared" ref="W6" si="18">IF(U6&gt;0, IF(V6&gt;U6,V6,U6), "")</f>
        <v>25</v>
      </c>
      <c r="X6" s="1">
        <v>0</v>
      </c>
      <c r="Y6" s="1">
        <f>IF(U6&gt;0, IF(W6&gt;U6,W6-U6+X6,0), "")</f>
        <v>13</v>
      </c>
      <c r="Z6" s="11">
        <v>210.2</v>
      </c>
      <c r="AA6" s="11">
        <f t="shared" ref="AA6" si="19">IF(U6&gt;0,IF(V6&gt;U6,V6*Z6,U6*Z6),"")</f>
        <v>5255</v>
      </c>
      <c r="AB6" s="16" t="s">
        <v>280</v>
      </c>
      <c r="AD6" s="2" t="str">
        <f t="shared" si="14"/>
        <v>915-5446</v>
      </c>
      <c r="AE6" s="2">
        <f t="shared" si="15"/>
        <v>25</v>
      </c>
      <c r="AH6" s="2" t="str">
        <f t="shared" si="16"/>
        <v>TDK</v>
      </c>
      <c r="AI6" s="2" t="str">
        <f t="shared" si="4"/>
        <v>Non-polarized capacitor</v>
      </c>
      <c r="AJ6" s="2" t="str">
        <f t="shared" si="5"/>
        <v>CGA6P3X7S1H106K250AE</v>
      </c>
      <c r="AK6" s="2" t="str">
        <f t="shared" si="6"/>
        <v>C201, C202, C203</v>
      </c>
      <c r="AL6" s="25">
        <f t="shared" si="7"/>
        <v>3</v>
      </c>
      <c r="AM6" s="2">
        <f t="shared" si="8"/>
        <v>2</v>
      </c>
      <c r="AN6" s="26" t="str">
        <f t="shared" ref="AN6:AN38" si="20">+I6</f>
        <v>SMD</v>
      </c>
      <c r="AO6" s="26"/>
      <c r="AP6" s="26"/>
      <c r="AQ6" s="2" t="str">
        <f t="shared" si="9"/>
        <v>C1210</v>
      </c>
    </row>
    <row r="7" spans="1:43" ht="85.5" x14ac:dyDescent="0.45">
      <c r="A7" s="21"/>
      <c r="B7" s="22"/>
      <c r="C7" s="20">
        <v>6</v>
      </c>
      <c r="D7" s="1" t="s">
        <v>46</v>
      </c>
      <c r="E7" s="1" t="s">
        <v>9</v>
      </c>
      <c r="F7" s="1" t="s">
        <v>61</v>
      </c>
      <c r="G7" s="1" t="s">
        <v>10</v>
      </c>
      <c r="H7" s="1" t="s">
        <v>88</v>
      </c>
      <c r="I7" s="1" t="s">
        <v>295</v>
      </c>
      <c r="J7" s="1">
        <v>2</v>
      </c>
      <c r="K7" s="8" t="s">
        <v>89</v>
      </c>
      <c r="L7" s="8"/>
      <c r="M7" s="8"/>
      <c r="N7" s="8" t="str">
        <f t="shared" si="0"/>
        <v/>
      </c>
      <c r="O7" s="1" t="s">
        <v>32</v>
      </c>
      <c r="P7" s="1" t="s">
        <v>51</v>
      </c>
      <c r="Q7" s="1" t="s">
        <v>18</v>
      </c>
      <c r="R7" s="1" t="s">
        <v>23</v>
      </c>
      <c r="S7" s="1" t="s">
        <v>53</v>
      </c>
      <c r="T7" s="1" t="str">
        <f t="shared" si="11"/>
        <v>C7343</v>
      </c>
      <c r="U7" s="1">
        <f>C7*3+3</f>
        <v>21</v>
      </c>
      <c r="V7" s="1">
        <v>50</v>
      </c>
      <c r="W7" s="1">
        <f t="shared" ref="W7" si="21">IF(U7&gt;0, IF(V7&gt;U7,V7,U7), "")</f>
        <v>50</v>
      </c>
      <c r="X7" s="1">
        <v>0</v>
      </c>
      <c r="Y7" s="1">
        <f>IF(U7&gt;0, IF(W7&gt;U7,W7-U7+X7,0), "")</f>
        <v>29</v>
      </c>
      <c r="Z7" s="11">
        <v>121.4</v>
      </c>
      <c r="AA7" s="11">
        <f t="shared" ref="AA7" si="22">IF(U7&gt;0,IF(V7&gt;U7,V7*Z7,U7*Z7),"")</f>
        <v>6070</v>
      </c>
      <c r="AB7" s="16" t="s">
        <v>54</v>
      </c>
      <c r="AD7" s="2" t="str">
        <f t="shared" si="14"/>
        <v>121-3317</v>
      </c>
      <c r="AE7" s="2">
        <f t="shared" si="15"/>
        <v>50</v>
      </c>
      <c r="AH7" s="2" t="str">
        <f t="shared" si="16"/>
        <v>KEMET</v>
      </c>
      <c r="AI7" s="2" t="str">
        <f t="shared" si="4"/>
        <v>Polarized capacitor</v>
      </c>
      <c r="AJ7" s="2" t="str">
        <f t="shared" si="5"/>
        <v>T521D336M025ATE040</v>
      </c>
      <c r="AK7" s="2" t="str">
        <f t="shared" si="6"/>
        <v>C204, C205, C206, C215, C216, C217</v>
      </c>
      <c r="AL7" s="25">
        <f t="shared" si="7"/>
        <v>6</v>
      </c>
      <c r="AM7" s="2">
        <f t="shared" si="8"/>
        <v>2</v>
      </c>
      <c r="AN7" s="26" t="str">
        <f t="shared" si="20"/>
        <v>SMD</v>
      </c>
      <c r="AO7" s="26"/>
      <c r="AP7" s="26"/>
      <c r="AQ7" s="2" t="str">
        <f t="shared" si="9"/>
        <v>C7343</v>
      </c>
    </row>
    <row r="8" spans="1:43" ht="42.75" x14ac:dyDescent="0.45">
      <c r="A8" s="21"/>
      <c r="B8" s="22"/>
      <c r="C8" s="20">
        <v>1</v>
      </c>
      <c r="D8" s="1" t="s">
        <v>45</v>
      </c>
      <c r="E8" s="1" t="s">
        <v>6</v>
      </c>
      <c r="F8" s="1" t="s">
        <v>90</v>
      </c>
      <c r="G8" s="1" t="s">
        <v>5</v>
      </c>
      <c r="H8" s="1" t="s">
        <v>92</v>
      </c>
      <c r="I8" s="1" t="s">
        <v>295</v>
      </c>
      <c r="J8" s="1">
        <v>2</v>
      </c>
      <c r="K8" s="10" t="s">
        <v>91</v>
      </c>
      <c r="L8" s="10">
        <v>95</v>
      </c>
      <c r="M8" s="10">
        <f>C8*3+3</f>
        <v>6</v>
      </c>
      <c r="N8" s="10">
        <f t="shared" si="0"/>
        <v>89</v>
      </c>
      <c r="O8" s="8"/>
      <c r="P8" s="8" t="s">
        <v>39</v>
      </c>
      <c r="Q8" s="8"/>
      <c r="R8" s="8"/>
      <c r="S8" s="8" t="s">
        <v>281</v>
      </c>
      <c r="T8" s="8" t="str">
        <f>IF(G8&gt;0,G8,"")</f>
        <v>C0603</v>
      </c>
      <c r="U8" s="8"/>
      <c r="V8" s="8"/>
      <c r="W8" s="8" t="str">
        <f>IF(U8&gt;0, IF(V8&gt;U8,V8,U8), "")</f>
        <v/>
      </c>
      <c r="X8" s="8"/>
      <c r="Y8" s="8" t="str">
        <f>IF(U8&gt;0, IF(W8&gt;U8,W8-U8,0), "")</f>
        <v/>
      </c>
      <c r="Z8" s="9"/>
      <c r="AA8" s="9" t="str">
        <f>IF(U8&gt;0,IF(V8&gt;U8,V8*Z8,U8*Z8),"")</f>
        <v/>
      </c>
      <c r="AB8" s="9"/>
      <c r="AD8" s="2" t="str">
        <f t="shared" si="14"/>
        <v/>
      </c>
      <c r="AE8" s="2" t="str">
        <f t="shared" si="15"/>
        <v/>
      </c>
      <c r="AH8" s="2" t="str">
        <f t="shared" si="16"/>
        <v>Murata</v>
      </c>
      <c r="AI8" s="2" t="str">
        <f t="shared" si="4"/>
        <v>Non-polarized capacitor</v>
      </c>
      <c r="AJ8" s="2" t="str">
        <f t="shared" si="5"/>
        <v>GRM1885C1H103JA01D</v>
      </c>
      <c r="AK8" s="2" t="str">
        <f t="shared" si="6"/>
        <v>C211</v>
      </c>
      <c r="AL8" s="25">
        <f t="shared" si="7"/>
        <v>1</v>
      </c>
      <c r="AM8" s="2">
        <f t="shared" si="8"/>
        <v>2</v>
      </c>
      <c r="AN8" s="26" t="str">
        <f t="shared" si="20"/>
        <v>SMD</v>
      </c>
      <c r="AO8" s="26"/>
      <c r="AP8" s="26"/>
      <c r="AQ8" s="2" t="str">
        <f t="shared" si="9"/>
        <v>C0603</v>
      </c>
    </row>
    <row r="9" spans="1:43" ht="71.25" x14ac:dyDescent="0.45">
      <c r="A9" s="21"/>
      <c r="B9" s="22"/>
      <c r="C9" s="20">
        <v>6</v>
      </c>
      <c r="D9" s="1" t="s">
        <v>45</v>
      </c>
      <c r="E9" s="1" t="s">
        <v>6</v>
      </c>
      <c r="F9" s="1" t="s">
        <v>63</v>
      </c>
      <c r="G9" s="1" t="s">
        <v>5</v>
      </c>
      <c r="H9" s="1" t="s">
        <v>93</v>
      </c>
      <c r="I9" s="1" t="s">
        <v>295</v>
      </c>
      <c r="J9" s="1">
        <v>2</v>
      </c>
      <c r="K9" s="8"/>
      <c r="L9" s="8"/>
      <c r="M9" s="8"/>
      <c r="N9" s="8"/>
      <c r="O9" s="10" t="s">
        <v>94</v>
      </c>
      <c r="P9" s="10" t="s">
        <v>52</v>
      </c>
      <c r="Q9" s="10" t="s">
        <v>18</v>
      </c>
      <c r="R9" s="10" t="s">
        <v>96</v>
      </c>
      <c r="S9" s="10" t="s">
        <v>95</v>
      </c>
      <c r="T9" s="1" t="str">
        <f>IF(G9&gt;0,G9,"")</f>
        <v>C0603</v>
      </c>
      <c r="U9" s="1">
        <f>C9*3+3</f>
        <v>21</v>
      </c>
      <c r="V9" s="10">
        <v>100</v>
      </c>
      <c r="W9" s="10">
        <f>IF(U9&gt;0, IF(V9&gt;U9,V9,U9), "")</f>
        <v>100</v>
      </c>
      <c r="X9" s="10">
        <v>0</v>
      </c>
      <c r="Y9" s="10">
        <f>IF(U9&gt;0, IF(W9&gt;U9,W9-U9,0), "")</f>
        <v>79</v>
      </c>
      <c r="Z9" s="17">
        <v>7.74</v>
      </c>
      <c r="AA9" s="17">
        <f t="shared" ref="AA9" si="23">IF(U9&gt;0,IF(V9&gt;U9,V9*Z9,U9*Z9),"")</f>
        <v>774</v>
      </c>
      <c r="AB9" s="18" t="s">
        <v>97</v>
      </c>
      <c r="AD9" s="2" t="str">
        <f t="shared" si="14"/>
        <v>915-9237</v>
      </c>
      <c r="AE9" s="2">
        <f t="shared" si="15"/>
        <v>100</v>
      </c>
      <c r="AH9" s="2" t="str">
        <f t="shared" si="16"/>
        <v>TDK</v>
      </c>
      <c r="AI9" s="2" t="str">
        <f t="shared" si="4"/>
        <v>Non-polarized capacitor</v>
      </c>
      <c r="AJ9" s="2" t="str">
        <f t="shared" si="5"/>
        <v>C1608X8R1H104K080AB</v>
      </c>
      <c r="AK9" s="2" t="str">
        <f t="shared" si="6"/>
        <v>C4, C207, C218, C305, C501, C502</v>
      </c>
      <c r="AL9" s="25">
        <f t="shared" si="7"/>
        <v>6</v>
      </c>
      <c r="AM9" s="2">
        <f t="shared" si="8"/>
        <v>2</v>
      </c>
      <c r="AN9" s="26" t="str">
        <f t="shared" si="20"/>
        <v>SMD</v>
      </c>
      <c r="AO9" s="26"/>
      <c r="AP9" s="26"/>
      <c r="AQ9" s="2" t="str">
        <f t="shared" si="9"/>
        <v>C0603</v>
      </c>
    </row>
    <row r="10" spans="1:43" ht="42.75" x14ac:dyDescent="0.45">
      <c r="A10" s="21"/>
      <c r="B10" s="22"/>
      <c r="C10" s="20">
        <v>1</v>
      </c>
      <c r="D10" s="1" t="s">
        <v>45</v>
      </c>
      <c r="E10" s="1" t="s">
        <v>6</v>
      </c>
      <c r="F10" s="1" t="s">
        <v>64</v>
      </c>
      <c r="G10" s="1" t="s">
        <v>5</v>
      </c>
      <c r="H10" s="1" t="s">
        <v>98</v>
      </c>
      <c r="I10" s="1" t="s">
        <v>295</v>
      </c>
      <c r="J10" s="1">
        <v>2</v>
      </c>
      <c r="K10" s="10" t="s">
        <v>99</v>
      </c>
      <c r="L10" s="10">
        <v>95</v>
      </c>
      <c r="M10" s="10">
        <f>C10*3+3</f>
        <v>6</v>
      </c>
      <c r="N10" s="10">
        <f t="shared" ref="N10" si="24">IF(M10&gt;0,L10-M10,"")</f>
        <v>89</v>
      </c>
      <c r="O10" s="8"/>
      <c r="P10" s="8" t="s">
        <v>39</v>
      </c>
      <c r="Q10" s="8"/>
      <c r="R10" s="8"/>
      <c r="S10" s="8" t="s">
        <v>282</v>
      </c>
      <c r="T10" s="8" t="str">
        <f>IF(G10&gt;0,G10,"")</f>
        <v>C0603</v>
      </c>
      <c r="U10" s="8"/>
      <c r="V10" s="8"/>
      <c r="W10" s="8" t="str">
        <f>IF(U10&gt;0, IF(V10&gt;U10,V10,U10), "")</f>
        <v/>
      </c>
      <c r="X10" s="8"/>
      <c r="Y10" s="8" t="str">
        <f>IF(U10&gt;0, IF(W10&gt;U10,W10-U10,0), "")</f>
        <v/>
      </c>
      <c r="Z10" s="9"/>
      <c r="AA10" s="9" t="str">
        <f>IF(U10&gt;0,IF(V10&gt;U10,V10*Z10,U10*Z10),"")</f>
        <v/>
      </c>
      <c r="AB10" s="9"/>
      <c r="AD10" s="2" t="str">
        <f t="shared" si="14"/>
        <v/>
      </c>
      <c r="AE10" s="2" t="str">
        <f t="shared" si="15"/>
        <v/>
      </c>
      <c r="AH10" s="2" t="str">
        <f t="shared" si="16"/>
        <v>Murata</v>
      </c>
      <c r="AI10" s="2" t="str">
        <f t="shared" si="4"/>
        <v>Non-polarized capacitor</v>
      </c>
      <c r="AJ10" s="2" t="str">
        <f t="shared" si="5"/>
        <v>GRM21BR71C334KA01L</v>
      </c>
      <c r="AK10" s="2" t="str">
        <f t="shared" si="6"/>
        <v>C401</v>
      </c>
      <c r="AL10" s="25">
        <f t="shared" si="7"/>
        <v>1</v>
      </c>
      <c r="AM10" s="2">
        <f t="shared" si="8"/>
        <v>2</v>
      </c>
      <c r="AN10" s="26" t="str">
        <f t="shared" si="20"/>
        <v>SMD</v>
      </c>
      <c r="AO10" s="26"/>
      <c r="AP10" s="26"/>
      <c r="AQ10" s="2" t="str">
        <f t="shared" si="9"/>
        <v>C0603</v>
      </c>
    </row>
    <row r="11" spans="1:43" ht="42.75" x14ac:dyDescent="0.45">
      <c r="A11" s="21"/>
      <c r="B11" s="22"/>
      <c r="C11" s="20">
        <v>1</v>
      </c>
      <c r="D11" s="1" t="s">
        <v>45</v>
      </c>
      <c r="E11" s="1" t="s">
        <v>9</v>
      </c>
      <c r="F11" s="1" t="s">
        <v>100</v>
      </c>
      <c r="G11" s="1" t="s">
        <v>101</v>
      </c>
      <c r="H11" s="1" t="s">
        <v>102</v>
      </c>
      <c r="I11" s="1" t="s">
        <v>295</v>
      </c>
      <c r="J11" s="1">
        <v>2</v>
      </c>
      <c r="K11" s="10" t="s">
        <v>110</v>
      </c>
      <c r="L11" s="10">
        <v>6</v>
      </c>
      <c r="M11" s="10">
        <f>C11*3+3</f>
        <v>6</v>
      </c>
      <c r="N11" s="10">
        <f t="shared" ref="N11" si="25">IF(M11&gt;0,L11-M11,"")</f>
        <v>0</v>
      </c>
      <c r="O11" s="8"/>
      <c r="P11" s="8" t="s">
        <v>284</v>
      </c>
      <c r="Q11" s="8"/>
      <c r="R11" s="8"/>
      <c r="S11" s="8" t="s">
        <v>283</v>
      </c>
      <c r="T11" s="8" t="str">
        <f>IF(G11&gt;0,G11,"")</f>
        <v>D6.3_AEC</v>
      </c>
      <c r="U11" s="8"/>
      <c r="V11" s="8"/>
      <c r="W11" s="8" t="str">
        <f>IF(U11&gt;0, IF(V11&gt;U11,V11,U11), "")</f>
        <v/>
      </c>
      <c r="X11" s="8"/>
      <c r="Y11" s="8" t="str">
        <f>IF(U11&gt;0, IF(W11&gt;U11,W11-U11,0), "")</f>
        <v/>
      </c>
      <c r="Z11" s="9"/>
      <c r="AA11" s="9" t="str">
        <f>IF(U11&gt;0,IF(V11&gt;U11,V11*Z11,U11*Z11),"")</f>
        <v/>
      </c>
      <c r="AB11" s="9"/>
      <c r="AD11" s="2" t="str">
        <f t="shared" si="14"/>
        <v/>
      </c>
      <c r="AE11" s="2" t="str">
        <f t="shared" si="15"/>
        <v/>
      </c>
      <c r="AH11" s="2" t="str">
        <f t="shared" si="16"/>
        <v>Nichicon</v>
      </c>
      <c r="AI11" s="2" t="str">
        <f t="shared" si="4"/>
        <v>Non-polarized capacitor</v>
      </c>
      <c r="AJ11" s="2" t="str">
        <f t="shared" si="5"/>
        <v>UWT1C101MCL1GB</v>
      </c>
      <c r="AK11" s="2" t="str">
        <f t="shared" si="6"/>
        <v>C601</v>
      </c>
      <c r="AL11" s="25">
        <f t="shared" si="7"/>
        <v>1</v>
      </c>
      <c r="AM11" s="2">
        <f t="shared" si="8"/>
        <v>2</v>
      </c>
      <c r="AN11" s="26" t="str">
        <f t="shared" si="20"/>
        <v>SMD</v>
      </c>
      <c r="AO11" s="26"/>
      <c r="AP11" s="26"/>
      <c r="AQ11" s="2" t="str">
        <f t="shared" si="9"/>
        <v>D6.3_AEC</v>
      </c>
    </row>
    <row r="12" spans="1:43" ht="42.75" x14ac:dyDescent="0.45">
      <c r="A12" s="21"/>
      <c r="B12" s="22"/>
      <c r="C12" s="20">
        <v>1</v>
      </c>
      <c r="D12" s="1" t="s">
        <v>45</v>
      </c>
      <c r="E12" s="1" t="s">
        <v>6</v>
      </c>
      <c r="F12" s="1" t="s">
        <v>62</v>
      </c>
      <c r="G12" s="1" t="s">
        <v>5</v>
      </c>
      <c r="H12" s="1" t="s">
        <v>232</v>
      </c>
      <c r="I12" s="1" t="s">
        <v>295</v>
      </c>
      <c r="J12" s="1">
        <v>2</v>
      </c>
      <c r="K12" s="8"/>
      <c r="L12" s="8"/>
      <c r="M12" s="8"/>
      <c r="N12" s="8"/>
      <c r="O12" s="10" t="s">
        <v>106</v>
      </c>
      <c r="P12" s="10" t="s">
        <v>52</v>
      </c>
      <c r="Q12" s="10" t="s">
        <v>18</v>
      </c>
      <c r="R12" s="10" t="s">
        <v>107</v>
      </c>
      <c r="S12" s="10" t="s">
        <v>108</v>
      </c>
      <c r="T12" s="1" t="str">
        <f t="shared" ref="T12:T15" si="26">IF(G12&gt;0,G12,"")</f>
        <v>C0603</v>
      </c>
      <c r="U12" s="1">
        <f>C12*3+3</f>
        <v>6</v>
      </c>
      <c r="V12" s="10">
        <v>100</v>
      </c>
      <c r="W12" s="10">
        <f>IF(U12&gt;0, IF(V12&gt;U12,V12,U12), "")</f>
        <v>100</v>
      </c>
      <c r="X12" s="10">
        <v>0</v>
      </c>
      <c r="Y12" s="10">
        <f>IF(U12&gt;0, IF(W12&gt;U12,W12-U12,0), "")</f>
        <v>94</v>
      </c>
      <c r="Z12" s="17">
        <v>5.98</v>
      </c>
      <c r="AA12" s="17">
        <f t="shared" ref="AA12" si="27">IF(U12&gt;0,IF(V12&gt;U12,V12*Z12,U12*Z12),"")</f>
        <v>598</v>
      </c>
      <c r="AB12" s="18" t="s">
        <v>109</v>
      </c>
      <c r="AD12" s="2" t="str">
        <f t="shared" si="14"/>
        <v>915-9211</v>
      </c>
      <c r="AE12" s="2">
        <f t="shared" si="15"/>
        <v>100</v>
      </c>
      <c r="AH12" s="2" t="str">
        <f t="shared" si="16"/>
        <v>TDK</v>
      </c>
      <c r="AI12" s="2" t="str">
        <f t="shared" si="4"/>
        <v>Non-polarized capacitor</v>
      </c>
      <c r="AJ12" s="2" t="str">
        <f t="shared" si="5"/>
        <v>C1608X7R1H102K080AE</v>
      </c>
      <c r="AK12" s="2" t="str">
        <f t="shared" si="6"/>
        <v>C8</v>
      </c>
      <c r="AL12" s="25">
        <f t="shared" si="7"/>
        <v>1</v>
      </c>
      <c r="AM12" s="2">
        <f t="shared" si="8"/>
        <v>2</v>
      </c>
      <c r="AN12" s="26" t="str">
        <f t="shared" si="20"/>
        <v>SMD</v>
      </c>
      <c r="AO12" s="26"/>
      <c r="AP12" s="26"/>
      <c r="AQ12" s="2" t="str">
        <f t="shared" si="9"/>
        <v>C0603</v>
      </c>
    </row>
    <row r="13" spans="1:43" ht="57" x14ac:dyDescent="0.45">
      <c r="A13" s="21"/>
      <c r="B13" s="22"/>
      <c r="C13" s="20">
        <v>1</v>
      </c>
      <c r="D13" s="1" t="s">
        <v>103</v>
      </c>
      <c r="E13" s="1" t="s">
        <v>104</v>
      </c>
      <c r="F13" s="1"/>
      <c r="G13" s="1"/>
      <c r="H13" s="1" t="s">
        <v>105</v>
      </c>
      <c r="I13" s="1" t="s">
        <v>296</v>
      </c>
      <c r="J13" s="1">
        <v>4</v>
      </c>
      <c r="K13" s="10" t="s">
        <v>111</v>
      </c>
      <c r="L13" s="10">
        <v>2</v>
      </c>
      <c r="M13" s="10">
        <f>C13*3+3</f>
        <v>6</v>
      </c>
      <c r="N13" s="10">
        <f t="shared" ref="N13" si="28">IF(M13&gt;0,L13-M13,"")</f>
        <v>-4</v>
      </c>
      <c r="O13" s="1" t="s">
        <v>112</v>
      </c>
      <c r="P13" s="1" t="s">
        <v>113</v>
      </c>
      <c r="Q13" s="1" t="s">
        <v>18</v>
      </c>
      <c r="R13" s="1" t="s">
        <v>114</v>
      </c>
      <c r="S13" s="1" t="s">
        <v>115</v>
      </c>
      <c r="T13" s="1" t="str">
        <f t="shared" si="26"/>
        <v/>
      </c>
      <c r="U13" s="1">
        <f>-N13</f>
        <v>4</v>
      </c>
      <c r="V13" s="1">
        <v>1</v>
      </c>
      <c r="W13" s="1">
        <f t="shared" ref="W13:W30" si="29">IF(U13&gt;0, IF(V13&gt;U13,V13,U13), "")</f>
        <v>4</v>
      </c>
      <c r="X13" s="1">
        <v>0</v>
      </c>
      <c r="Y13" s="1">
        <f>IF(U13&gt;0, IF(W13&gt;U13,W13-U13+X13,0), "")</f>
        <v>0</v>
      </c>
      <c r="Z13" s="11">
        <v>280</v>
      </c>
      <c r="AA13" s="11">
        <f t="shared" ref="AA13:AA42" si="30">IF(U13&gt;0,IF(V13&gt;U13,V13*Z13,U13*Z13),"")</f>
        <v>1120</v>
      </c>
      <c r="AB13" s="16" t="s">
        <v>116</v>
      </c>
      <c r="AD13" s="2" t="str">
        <f t="shared" si="14"/>
        <v>505-1479</v>
      </c>
      <c r="AE13" s="2">
        <f t="shared" si="15"/>
        <v>4</v>
      </c>
      <c r="AH13" s="2" t="str">
        <f t="shared" si="16"/>
        <v>Lumberg</v>
      </c>
      <c r="AI13" s="2" t="str">
        <f t="shared" si="4"/>
        <v>Audio jack</v>
      </c>
      <c r="AJ13" s="2" t="str">
        <f t="shared" si="5"/>
        <v xml:space="preserve"> KLBR 4</v>
      </c>
      <c r="AK13" s="2" t="str">
        <f t="shared" si="6"/>
        <v>COMM</v>
      </c>
      <c r="AL13" s="25">
        <f t="shared" si="7"/>
        <v>1</v>
      </c>
      <c r="AM13" s="2">
        <f t="shared" si="8"/>
        <v>4</v>
      </c>
      <c r="AN13" s="26" t="str">
        <f t="shared" si="20"/>
        <v>DIP</v>
      </c>
      <c r="AO13" s="26"/>
      <c r="AP13" s="26"/>
      <c r="AQ13" s="2" t="str">
        <f t="shared" si="9"/>
        <v/>
      </c>
    </row>
    <row r="14" spans="1:43" ht="71.25" x14ac:dyDescent="0.45">
      <c r="A14" s="21"/>
      <c r="B14" s="22"/>
      <c r="C14" s="20">
        <v>1</v>
      </c>
      <c r="D14" s="1" t="s">
        <v>117</v>
      </c>
      <c r="E14" s="1" t="s">
        <v>118</v>
      </c>
      <c r="F14" s="1"/>
      <c r="G14" s="1"/>
      <c r="H14" s="1" t="s">
        <v>119</v>
      </c>
      <c r="I14" s="1" t="s">
        <v>296</v>
      </c>
      <c r="J14" s="1">
        <v>6</v>
      </c>
      <c r="K14" s="10" t="s">
        <v>120</v>
      </c>
      <c r="L14" s="10">
        <v>2</v>
      </c>
      <c r="M14" s="10">
        <f>C14*3+3</f>
        <v>6</v>
      </c>
      <c r="N14" s="10">
        <f t="shared" ref="N14" si="31">IF(M14&gt;0,L14-M14,"")</f>
        <v>-4</v>
      </c>
      <c r="O14" s="1" t="s">
        <v>122</v>
      </c>
      <c r="P14" s="1" t="s">
        <v>123</v>
      </c>
      <c r="Q14" s="1" t="s">
        <v>18</v>
      </c>
      <c r="R14" s="1" t="s">
        <v>121</v>
      </c>
      <c r="S14" s="1" t="s">
        <v>124</v>
      </c>
      <c r="T14" s="1" t="str">
        <f t="shared" si="26"/>
        <v/>
      </c>
      <c r="U14" s="1">
        <f>-N14</f>
        <v>4</v>
      </c>
      <c r="V14" s="1">
        <v>10</v>
      </c>
      <c r="W14" s="1">
        <f t="shared" si="29"/>
        <v>10</v>
      </c>
      <c r="X14" s="1">
        <v>0</v>
      </c>
      <c r="Y14" s="1">
        <f>IF(U14&gt;0, IF(W14&gt;U14,W14-U14+X14,0), "")</f>
        <v>6</v>
      </c>
      <c r="Z14" s="11">
        <v>25.5</v>
      </c>
      <c r="AA14" s="11">
        <f t="shared" si="30"/>
        <v>255</v>
      </c>
      <c r="AB14" s="16" t="s">
        <v>125</v>
      </c>
      <c r="AD14" s="2" t="str">
        <f t="shared" si="14"/>
        <v>515-1434</v>
      </c>
      <c r="AE14" s="2">
        <f t="shared" si="15"/>
        <v>10</v>
      </c>
      <c r="AH14" s="2" t="str">
        <f t="shared" si="16"/>
        <v>JST</v>
      </c>
      <c r="AI14" s="2" t="str">
        <f t="shared" si="4"/>
        <v>Connector</v>
      </c>
      <c r="AJ14" s="2" t="str">
        <f t="shared" si="5"/>
        <v>B6B-EH-A (LF) (SN)</v>
      </c>
      <c r="AK14" s="2" t="str">
        <f t="shared" si="6"/>
        <v>CON1</v>
      </c>
      <c r="AL14" s="25">
        <f t="shared" si="7"/>
        <v>1</v>
      </c>
      <c r="AM14" s="2">
        <f t="shared" si="8"/>
        <v>6</v>
      </c>
      <c r="AN14" s="26" t="str">
        <f t="shared" si="20"/>
        <v>DIP</v>
      </c>
      <c r="AO14" s="26"/>
      <c r="AP14" s="26"/>
      <c r="AQ14" s="2" t="str">
        <f t="shared" si="9"/>
        <v/>
      </c>
    </row>
    <row r="15" spans="1:43" ht="71.25" x14ac:dyDescent="0.45">
      <c r="A15" s="21"/>
      <c r="B15" s="22"/>
      <c r="C15" s="20">
        <v>1</v>
      </c>
      <c r="D15" s="1" t="s">
        <v>117</v>
      </c>
      <c r="E15" s="1" t="s">
        <v>126</v>
      </c>
      <c r="F15" s="1"/>
      <c r="G15" s="1"/>
      <c r="H15" s="1" t="s">
        <v>127</v>
      </c>
      <c r="I15" s="1" t="s">
        <v>296</v>
      </c>
      <c r="J15" s="1">
        <v>20</v>
      </c>
      <c r="K15" s="8"/>
      <c r="L15" s="8"/>
      <c r="M15" s="8"/>
      <c r="N15" s="8"/>
      <c r="O15" s="1" t="s">
        <v>130</v>
      </c>
      <c r="P15" s="1" t="s">
        <v>129</v>
      </c>
      <c r="Q15" s="1" t="s">
        <v>18</v>
      </c>
      <c r="R15" s="1" t="s">
        <v>128</v>
      </c>
      <c r="S15" s="1" t="s">
        <v>131</v>
      </c>
      <c r="T15" s="1" t="str">
        <f t="shared" si="26"/>
        <v/>
      </c>
      <c r="U15" s="1">
        <f>C15*3+3</f>
        <v>6</v>
      </c>
      <c r="V15" s="1">
        <v>1</v>
      </c>
      <c r="W15" s="1">
        <f t="shared" ref="W15" si="32">IF(U15&gt;0, IF(V15&gt;U15,V15,U15), "")</f>
        <v>6</v>
      </c>
      <c r="X15" s="1">
        <v>0</v>
      </c>
      <c r="Y15" s="1">
        <f>IF(U15&gt;0, IF(W15&gt;U15,W15-U15+X15,0), "")</f>
        <v>0</v>
      </c>
      <c r="Z15" s="11">
        <v>467</v>
      </c>
      <c r="AA15" s="11">
        <f t="shared" ref="AA15:AA16" si="33">IF(U15&gt;0,IF(V15&gt;U15,V15*Z15,U15*Z15),"")</f>
        <v>2802</v>
      </c>
      <c r="AB15" s="16" t="s">
        <v>132</v>
      </c>
      <c r="AD15" s="2" t="str">
        <f t="shared" si="14"/>
        <v xml:space="preserve"> 180-1847 </v>
      </c>
      <c r="AE15" s="2">
        <f t="shared" si="15"/>
        <v>6</v>
      </c>
      <c r="AH15" s="2" t="str">
        <f t="shared" si="16"/>
        <v>SAMTEC</v>
      </c>
      <c r="AI15" s="2" t="str">
        <f t="shared" si="4"/>
        <v>Connector</v>
      </c>
      <c r="AJ15" s="2" t="str">
        <f t="shared" si="5"/>
        <v>SQT-110-01-FD-RA</v>
      </c>
      <c r="AK15" s="2" t="str">
        <f t="shared" si="6"/>
        <v>CON2</v>
      </c>
      <c r="AL15" s="25">
        <f t="shared" si="7"/>
        <v>1</v>
      </c>
      <c r="AM15" s="2">
        <f t="shared" si="8"/>
        <v>20</v>
      </c>
      <c r="AN15" s="26" t="str">
        <f t="shared" si="20"/>
        <v>DIP</v>
      </c>
      <c r="AO15" s="26"/>
      <c r="AP15" s="26"/>
      <c r="AQ15" s="2" t="str">
        <f t="shared" si="9"/>
        <v/>
      </c>
    </row>
    <row r="16" spans="1:43" ht="42.75" x14ac:dyDescent="0.45">
      <c r="A16" s="21"/>
      <c r="B16" s="22"/>
      <c r="C16" s="20">
        <v>3</v>
      </c>
      <c r="D16" s="1" t="s">
        <v>44</v>
      </c>
      <c r="E16" s="1" t="s">
        <v>133</v>
      </c>
      <c r="F16" s="1"/>
      <c r="G16" s="1" t="s">
        <v>135</v>
      </c>
      <c r="H16" s="1" t="s">
        <v>134</v>
      </c>
      <c r="I16" s="1" t="s">
        <v>295</v>
      </c>
      <c r="J16" s="1">
        <v>2</v>
      </c>
      <c r="K16" s="10" t="s">
        <v>136</v>
      </c>
      <c r="L16" s="10">
        <v>90</v>
      </c>
      <c r="M16" s="10">
        <f>C16*3+3</f>
        <v>12</v>
      </c>
      <c r="N16" s="10">
        <f t="shared" ref="N16" si="34">IF(M16&gt;0,L16-M16,"")</f>
        <v>78</v>
      </c>
      <c r="O16" s="8"/>
      <c r="P16" s="8" t="s">
        <v>192</v>
      </c>
      <c r="Q16" s="8"/>
      <c r="R16" s="8"/>
      <c r="S16" s="8" t="s">
        <v>133</v>
      </c>
      <c r="T16" s="8" t="str">
        <f>IF(G16&gt;0,G16,"")</f>
        <v>SOD08</v>
      </c>
      <c r="U16" s="8"/>
      <c r="V16" s="8"/>
      <c r="W16" s="8" t="str">
        <f>IF(U16&gt;0, IF(V16&gt;U16,V16,U16), "")</f>
        <v/>
      </c>
      <c r="X16" s="8"/>
      <c r="Y16" s="8" t="str">
        <f>IF(U16&gt;0, IF(W16&gt;U16,W16-U16,0), "")</f>
        <v/>
      </c>
      <c r="Z16" s="9"/>
      <c r="AA16" s="9" t="str">
        <f t="shared" si="33"/>
        <v/>
      </c>
      <c r="AB16" s="9"/>
      <c r="AD16" s="2" t="str">
        <f t="shared" si="14"/>
        <v/>
      </c>
      <c r="AE16" s="2" t="str">
        <f t="shared" si="15"/>
        <v/>
      </c>
      <c r="AH16" s="2" t="str">
        <f t="shared" si="16"/>
        <v>Vishay</v>
      </c>
      <c r="AI16" s="2" t="str">
        <f t="shared" si="4"/>
        <v>Switching diode</v>
      </c>
      <c r="AJ16" s="2" t="str">
        <f t="shared" si="5"/>
        <v>BAQ133-GS08</v>
      </c>
      <c r="AK16" s="2" t="str">
        <f t="shared" si="6"/>
        <v>D101, D102, D103</v>
      </c>
      <c r="AL16" s="25">
        <f t="shared" si="7"/>
        <v>3</v>
      </c>
      <c r="AM16" s="2">
        <f t="shared" si="8"/>
        <v>2</v>
      </c>
      <c r="AN16" s="26" t="str">
        <f t="shared" si="20"/>
        <v>SMD</v>
      </c>
      <c r="AO16" s="26"/>
      <c r="AP16" s="26"/>
      <c r="AQ16" s="2" t="str">
        <f t="shared" si="9"/>
        <v>SOD08</v>
      </c>
    </row>
    <row r="17" spans="1:43" ht="28.5" x14ac:dyDescent="0.45">
      <c r="A17" s="21"/>
      <c r="B17" s="22"/>
      <c r="C17" s="20">
        <v>1</v>
      </c>
      <c r="D17" s="1" t="s">
        <v>137</v>
      </c>
      <c r="E17" s="1" t="s">
        <v>138</v>
      </c>
      <c r="F17" s="1"/>
      <c r="G17" s="1" t="s">
        <v>139</v>
      </c>
      <c r="H17" s="1" t="s">
        <v>140</v>
      </c>
      <c r="I17" s="1" t="s">
        <v>295</v>
      </c>
      <c r="J17" s="1">
        <v>2</v>
      </c>
      <c r="K17" s="10" t="s">
        <v>301</v>
      </c>
      <c r="L17" s="10">
        <v>97</v>
      </c>
      <c r="M17" s="10">
        <f>C17*3+3</f>
        <v>6</v>
      </c>
      <c r="N17" s="10">
        <f t="shared" ref="N17" si="35">IF(M17&gt;0,L17-M17,"")</f>
        <v>91</v>
      </c>
      <c r="O17" s="8"/>
      <c r="P17" s="8" t="s">
        <v>303</v>
      </c>
      <c r="Q17" s="8"/>
      <c r="R17" s="8"/>
      <c r="S17" s="8" t="s">
        <v>302</v>
      </c>
      <c r="T17" s="8" t="str">
        <f>IF(G17&gt;0,G17,"")</f>
        <v>SOD123</v>
      </c>
      <c r="U17" s="8"/>
      <c r="V17" s="8"/>
      <c r="W17" s="8" t="str">
        <f>IF(U17&gt;0, IF(V17&gt;U17,V17,U17), "")</f>
        <v/>
      </c>
      <c r="X17" s="8"/>
      <c r="Y17" s="8" t="str">
        <f>IF(U17&gt;0, IF(W17&gt;U17,W17-U17,0), "")</f>
        <v/>
      </c>
      <c r="Z17" s="9"/>
      <c r="AA17" s="9" t="str">
        <f t="shared" ref="AA17:AA18" si="36">IF(U17&gt;0,IF(V17&gt;U17,V17*Z17,U17*Z17),"")</f>
        <v/>
      </c>
      <c r="AB17" s="9"/>
      <c r="AD17" s="2" t="str">
        <f t="shared" si="14"/>
        <v/>
      </c>
      <c r="AE17" s="2" t="str">
        <f t="shared" si="15"/>
        <v/>
      </c>
      <c r="AH17" s="2" t="str">
        <f t="shared" si="16"/>
        <v>DiodesZetex</v>
      </c>
      <c r="AI17" s="2" t="str">
        <f t="shared" si="4"/>
        <v>Schottky diode</v>
      </c>
      <c r="AJ17" s="2" t="str">
        <f t="shared" si="5"/>
        <v>BAT42W-7-F</v>
      </c>
      <c r="AK17" s="2" t="str">
        <f t="shared" si="6"/>
        <v>D202</v>
      </c>
      <c r="AL17" s="25">
        <f t="shared" si="7"/>
        <v>1</v>
      </c>
      <c r="AM17" s="2">
        <f t="shared" si="8"/>
        <v>2</v>
      </c>
      <c r="AN17" s="26" t="str">
        <f t="shared" si="20"/>
        <v>SMD</v>
      </c>
      <c r="AO17" s="26"/>
      <c r="AP17" s="26"/>
      <c r="AQ17" s="2" t="str">
        <f t="shared" si="9"/>
        <v>SOD123</v>
      </c>
    </row>
    <row r="18" spans="1:43" ht="42.75" x14ac:dyDescent="0.45">
      <c r="A18" s="21"/>
      <c r="B18" s="22"/>
      <c r="C18" s="20">
        <v>1</v>
      </c>
      <c r="D18" s="1" t="s">
        <v>142</v>
      </c>
      <c r="E18" s="1" t="s">
        <v>141</v>
      </c>
      <c r="F18" s="1"/>
      <c r="G18" s="1" t="s">
        <v>13</v>
      </c>
      <c r="H18" s="1" t="s">
        <v>143</v>
      </c>
      <c r="I18" s="1" t="s">
        <v>295</v>
      </c>
      <c r="J18" s="1">
        <v>8</v>
      </c>
      <c r="K18" s="1" t="s">
        <v>147</v>
      </c>
      <c r="L18" s="1">
        <v>3</v>
      </c>
      <c r="M18" s="10">
        <f>C18*3+3</f>
        <v>6</v>
      </c>
      <c r="N18" s="1">
        <f t="shared" ref="N18" si="37">IF(M18&gt;0,L18-M18,"")</f>
        <v>-3</v>
      </c>
      <c r="O18" s="1" t="s">
        <v>267</v>
      </c>
      <c r="P18" s="1" t="s">
        <v>268</v>
      </c>
      <c r="Q18" s="1" t="s">
        <v>149</v>
      </c>
      <c r="R18" s="1" t="s">
        <v>151</v>
      </c>
      <c r="S18" s="1" t="s">
        <v>151</v>
      </c>
      <c r="T18" s="1" t="str">
        <f t="shared" ref="T18:T31" si="38">IF(G18&gt;0,G18,"")</f>
        <v>SOIC-8</v>
      </c>
      <c r="U18" s="1">
        <f>-N18</f>
        <v>3</v>
      </c>
      <c r="V18" s="1">
        <v>1</v>
      </c>
      <c r="W18" s="1">
        <f t="shared" ref="W18" si="39">IF(U18&gt;0, IF(V18&gt;U18,V18,U18), "")</f>
        <v>3</v>
      </c>
      <c r="X18" s="1">
        <v>0</v>
      </c>
      <c r="Y18" s="1">
        <f>IF(U18&gt;0, IF(W18&gt;U18,W18-U18+X18,0), "")</f>
        <v>0</v>
      </c>
      <c r="Z18" s="11">
        <v>347</v>
      </c>
      <c r="AA18" s="11">
        <f t="shared" si="36"/>
        <v>1041</v>
      </c>
      <c r="AB18" s="16" t="s">
        <v>150</v>
      </c>
      <c r="AD18" s="2" t="str">
        <f t="shared" si="14"/>
        <v>MAX4198ESA+-ND</v>
      </c>
      <c r="AE18" s="2">
        <f t="shared" si="15"/>
        <v>3</v>
      </c>
      <c r="AH18" s="2" t="str">
        <f t="shared" si="16"/>
        <v>Maxim Integrated</v>
      </c>
      <c r="AI18" s="2" t="str">
        <f t="shared" si="4"/>
        <v>Op-Amp</v>
      </c>
      <c r="AJ18" s="2" t="str">
        <f t="shared" si="5"/>
        <v>MAX4198ESA+-ND</v>
      </c>
      <c r="AK18" s="2" t="str">
        <f t="shared" si="6"/>
        <v>DA501</v>
      </c>
      <c r="AL18" s="25">
        <f t="shared" si="7"/>
        <v>1</v>
      </c>
      <c r="AM18" s="2">
        <f t="shared" si="8"/>
        <v>8</v>
      </c>
      <c r="AN18" s="26" t="str">
        <f t="shared" si="20"/>
        <v>SMD</v>
      </c>
      <c r="AO18" s="26"/>
      <c r="AP18" s="26"/>
      <c r="AQ18" s="2" t="str">
        <f t="shared" si="9"/>
        <v>SOIC-8</v>
      </c>
    </row>
    <row r="19" spans="1:43" ht="85.5" x14ac:dyDescent="0.45">
      <c r="A19" s="21"/>
      <c r="B19" s="22"/>
      <c r="C19" s="20">
        <v>1</v>
      </c>
      <c r="D19" s="1" t="s">
        <v>144</v>
      </c>
      <c r="E19" s="1" t="s">
        <v>145</v>
      </c>
      <c r="F19" s="1"/>
      <c r="G19" s="1" t="s">
        <v>13</v>
      </c>
      <c r="H19" s="1" t="s">
        <v>146</v>
      </c>
      <c r="I19" s="1" t="s">
        <v>295</v>
      </c>
      <c r="J19" s="1">
        <v>8</v>
      </c>
      <c r="K19" s="8"/>
      <c r="L19" s="8"/>
      <c r="M19" s="8"/>
      <c r="N19" s="8"/>
      <c r="O19" s="1" t="s">
        <v>148</v>
      </c>
      <c r="P19" s="1" t="s">
        <v>152</v>
      </c>
      <c r="Q19" s="1" t="s">
        <v>18</v>
      </c>
      <c r="R19" s="1" t="s">
        <v>154</v>
      </c>
      <c r="S19" s="1" t="s">
        <v>153</v>
      </c>
      <c r="T19" s="1" t="str">
        <f t="shared" si="38"/>
        <v>SOIC-8</v>
      </c>
      <c r="U19" s="1">
        <f>C19*3+3</f>
        <v>6</v>
      </c>
      <c r="V19" s="1">
        <v>2</v>
      </c>
      <c r="W19" s="1">
        <f t="shared" ref="W19" si="40">IF(U19&gt;0, IF(V19&gt;U19,V19,U19), "")</f>
        <v>6</v>
      </c>
      <c r="X19" s="1">
        <v>0</v>
      </c>
      <c r="Y19" s="1">
        <f>IF(U19&gt;0, IF(W19&gt;U19,W19-U19+X19,0), "")</f>
        <v>0</v>
      </c>
      <c r="Z19" s="11">
        <v>205.5</v>
      </c>
      <c r="AA19" s="11">
        <f t="shared" ref="AA19:AA20" si="41">IF(U19&gt;0,IF(V19&gt;U19,V19*Z19,U19*Z19),"")</f>
        <v>1233</v>
      </c>
      <c r="AB19" s="16" t="s">
        <v>155</v>
      </c>
      <c r="AD19" s="2" t="str">
        <f t="shared" si="14"/>
        <v>668-4219</v>
      </c>
      <c r="AE19" s="2">
        <f t="shared" si="15"/>
        <v>6</v>
      </c>
      <c r="AH19" s="2" t="str">
        <f t="shared" si="16"/>
        <v>Microchip</v>
      </c>
      <c r="AI19" s="2" t="str">
        <f t="shared" si="4"/>
        <v>Dual MOSFET Driver</v>
      </c>
      <c r="AJ19" s="2" t="str">
        <f t="shared" si="5"/>
        <v>MCP14628-E / SN</v>
      </c>
      <c r="AK19" s="2" t="str">
        <f t="shared" si="6"/>
        <v>DR200</v>
      </c>
      <c r="AL19" s="25">
        <f t="shared" si="7"/>
        <v>1</v>
      </c>
      <c r="AM19" s="2">
        <f t="shared" si="8"/>
        <v>8</v>
      </c>
      <c r="AN19" s="26" t="str">
        <f t="shared" si="20"/>
        <v>SMD</v>
      </c>
      <c r="AO19" s="26"/>
      <c r="AP19" s="26"/>
      <c r="AQ19" s="2" t="str">
        <f t="shared" si="9"/>
        <v>SOIC-8</v>
      </c>
    </row>
    <row r="20" spans="1:43" ht="28.5" x14ac:dyDescent="0.45">
      <c r="A20" s="21"/>
      <c r="B20" s="22"/>
      <c r="C20" s="23">
        <v>2</v>
      </c>
      <c r="D20" s="1" t="s">
        <v>156</v>
      </c>
      <c r="E20" s="1" t="s">
        <v>158</v>
      </c>
      <c r="F20" s="1"/>
      <c r="G20" s="1"/>
      <c r="H20" s="1" t="s">
        <v>159</v>
      </c>
      <c r="I20" s="1" t="s">
        <v>296</v>
      </c>
      <c r="J20" s="1">
        <v>2</v>
      </c>
      <c r="K20" s="1" t="s">
        <v>157</v>
      </c>
      <c r="L20" s="1">
        <v>19</v>
      </c>
      <c r="M20" s="10">
        <f>C20*3+3</f>
        <v>9</v>
      </c>
      <c r="N20" s="1">
        <f t="shared" ref="N20" si="42">IF(M20&gt;0,L20-M20,"")</f>
        <v>10</v>
      </c>
      <c r="O20" s="8"/>
      <c r="P20" s="8" t="s">
        <v>285</v>
      </c>
      <c r="Q20" s="8"/>
      <c r="R20" s="8"/>
      <c r="S20" s="8">
        <v>31.8201</v>
      </c>
      <c r="T20" s="8" t="str">
        <f>IF(G20&gt;0,G20,"")</f>
        <v/>
      </c>
      <c r="U20" s="8"/>
      <c r="V20" s="8"/>
      <c r="W20" s="8" t="str">
        <f>IF(U20&gt;0, IF(V20&gt;U20,V20,U20), "")</f>
        <v/>
      </c>
      <c r="X20" s="8"/>
      <c r="Y20" s="8" t="str">
        <f>IF(U20&gt;0, IF(W20&gt;U20,W20-U20,0), "")</f>
        <v/>
      </c>
      <c r="Z20" s="9"/>
      <c r="AA20" s="9" t="str">
        <f t="shared" si="41"/>
        <v/>
      </c>
      <c r="AB20" s="9"/>
      <c r="AD20" s="2" t="str">
        <f t="shared" si="14"/>
        <v/>
      </c>
      <c r="AE20" s="2" t="str">
        <f t="shared" si="15"/>
        <v/>
      </c>
      <c r="AH20" s="2" t="str">
        <f t="shared" si="16"/>
        <v>Schurter</v>
      </c>
      <c r="AI20" s="2" t="str">
        <f t="shared" si="4"/>
        <v>Fuse holder</v>
      </c>
      <c r="AJ20" s="2">
        <f t="shared" si="5"/>
        <v>31.8201</v>
      </c>
      <c r="AK20" s="2" t="str">
        <f t="shared" si="6"/>
        <v>F1,F2</v>
      </c>
      <c r="AL20" s="25">
        <f t="shared" si="7"/>
        <v>2</v>
      </c>
      <c r="AM20" s="2">
        <f t="shared" si="8"/>
        <v>2</v>
      </c>
      <c r="AN20" s="26" t="str">
        <f t="shared" si="20"/>
        <v>DIP</v>
      </c>
      <c r="AO20" s="26"/>
      <c r="AP20" s="26"/>
      <c r="AQ20" s="2" t="str">
        <f t="shared" si="9"/>
        <v/>
      </c>
    </row>
    <row r="21" spans="1:43" ht="42.75" x14ac:dyDescent="0.45">
      <c r="A21" s="6"/>
      <c r="B21" s="7"/>
      <c r="C21" s="23">
        <v>1</v>
      </c>
      <c r="D21" s="1" t="s">
        <v>163</v>
      </c>
      <c r="E21" s="1" t="s">
        <v>160</v>
      </c>
      <c r="F21" s="1"/>
      <c r="G21" s="1"/>
      <c r="H21" s="1" t="s">
        <v>161</v>
      </c>
      <c r="I21" s="1" t="s">
        <v>295</v>
      </c>
      <c r="J21" s="1">
        <v>4</v>
      </c>
      <c r="K21" s="8"/>
      <c r="L21" s="8"/>
      <c r="M21" s="8"/>
      <c r="N21" s="8"/>
      <c r="O21" s="1" t="s">
        <v>162</v>
      </c>
      <c r="P21" s="1" t="s">
        <v>52</v>
      </c>
      <c r="Q21" s="1" t="s">
        <v>18</v>
      </c>
      <c r="R21" s="1" t="s">
        <v>164</v>
      </c>
      <c r="S21" s="1" t="s">
        <v>165</v>
      </c>
      <c r="T21" s="1" t="str">
        <f t="shared" si="38"/>
        <v/>
      </c>
      <c r="U21" s="1">
        <f>C21*3+3</f>
        <v>6</v>
      </c>
      <c r="V21" s="1">
        <v>2</v>
      </c>
      <c r="W21" s="1">
        <f t="shared" ref="W21" si="43">IF(U21&gt;0, IF(V21&gt;U21,V21,U21), "")</f>
        <v>6</v>
      </c>
      <c r="X21" s="1">
        <v>0</v>
      </c>
      <c r="Y21" s="1">
        <f>IF(U21&gt;0, IF(W21&gt;U21,W21-U21+X21,0), "")</f>
        <v>0</v>
      </c>
      <c r="Z21" s="11">
        <v>247</v>
      </c>
      <c r="AA21" s="11">
        <f t="shared" ref="AA21" si="44">IF(U21&gt;0,IF(V21&gt;U21,V21*Z21,U21*Z21),"")</f>
        <v>1482</v>
      </c>
      <c r="AB21" s="16" t="s">
        <v>166</v>
      </c>
      <c r="AD21" s="2" t="str">
        <f t="shared" si="14"/>
        <v>916-4144</v>
      </c>
      <c r="AE21" s="2">
        <f t="shared" si="15"/>
        <v>6</v>
      </c>
      <c r="AH21" s="2" t="str">
        <f t="shared" si="16"/>
        <v>TDK</v>
      </c>
      <c r="AI21" s="2" t="str">
        <f t="shared" si="4"/>
        <v>Common mode choke</v>
      </c>
      <c r="AJ21" s="2" t="str">
        <f t="shared" si="5"/>
        <v>ACM9070-701-2PL-TL01</v>
      </c>
      <c r="AK21" s="2" t="str">
        <f t="shared" si="6"/>
        <v>FIL601</v>
      </c>
      <c r="AL21" s="25">
        <f t="shared" si="7"/>
        <v>1</v>
      </c>
      <c r="AM21" s="2">
        <f t="shared" si="8"/>
        <v>4</v>
      </c>
      <c r="AN21" s="26" t="str">
        <f t="shared" si="20"/>
        <v>SMD</v>
      </c>
      <c r="AO21" s="26"/>
      <c r="AP21" s="26"/>
      <c r="AQ21" s="2" t="str">
        <f t="shared" si="9"/>
        <v/>
      </c>
    </row>
    <row r="22" spans="1:43" ht="42.75" x14ac:dyDescent="0.45">
      <c r="A22" s="6"/>
      <c r="B22" s="7"/>
      <c r="C22" s="23">
        <v>1</v>
      </c>
      <c r="D22" s="1" t="s">
        <v>167</v>
      </c>
      <c r="E22" s="1" t="s">
        <v>168</v>
      </c>
      <c r="F22" s="1"/>
      <c r="G22" s="1"/>
      <c r="H22" s="1" t="s">
        <v>169</v>
      </c>
      <c r="I22" s="1" t="s">
        <v>296</v>
      </c>
      <c r="J22" s="1">
        <v>5</v>
      </c>
      <c r="K22" s="1" t="s">
        <v>170</v>
      </c>
      <c r="L22" s="1">
        <v>8</v>
      </c>
      <c r="M22" s="10">
        <f>C22*3+3</f>
        <v>6</v>
      </c>
      <c r="N22" s="1">
        <f t="shared" ref="N22" si="45">IF(M22&gt;0,L22-M22,"")</f>
        <v>2</v>
      </c>
      <c r="O22" s="8"/>
      <c r="P22" s="8" t="s">
        <v>174</v>
      </c>
      <c r="Q22" s="8"/>
      <c r="R22" s="8"/>
      <c r="S22" s="8" t="s">
        <v>286</v>
      </c>
      <c r="T22" s="8" t="str">
        <f>IF(G22&gt;0,G22,"")</f>
        <v/>
      </c>
      <c r="U22" s="8"/>
      <c r="V22" s="8"/>
      <c r="W22" s="8" t="str">
        <f>IF(U22&gt;0, IF(V22&gt;U22,V22,U22), "")</f>
        <v/>
      </c>
      <c r="X22" s="8"/>
      <c r="Y22" s="8" t="str">
        <f>IF(U22&gt;0, IF(W22&gt;U22,W22-U22,0), "")</f>
        <v/>
      </c>
      <c r="Z22" s="9"/>
      <c r="AA22" s="9" t="str">
        <f t="shared" si="30"/>
        <v/>
      </c>
      <c r="AB22" s="9"/>
      <c r="AD22" s="2" t="str">
        <f t="shared" si="14"/>
        <v/>
      </c>
      <c r="AE22" s="2" t="str">
        <f t="shared" si="15"/>
        <v/>
      </c>
      <c r="AH22" s="2" t="str">
        <f t="shared" si="16"/>
        <v>TE Connectivity</v>
      </c>
      <c r="AI22" s="2" t="str">
        <f t="shared" si="4"/>
        <v>Relay</v>
      </c>
      <c r="AJ22" s="2" t="str">
        <f t="shared" si="5"/>
        <v>ORWH-SH-105D1F</v>
      </c>
      <c r="AK22" s="2" t="str">
        <f t="shared" si="6"/>
        <v>K101</v>
      </c>
      <c r="AL22" s="25">
        <f t="shared" si="7"/>
        <v>1</v>
      </c>
      <c r="AM22" s="2">
        <f t="shared" si="8"/>
        <v>5</v>
      </c>
      <c r="AN22" s="26" t="str">
        <f t="shared" si="20"/>
        <v>DIP</v>
      </c>
      <c r="AO22" s="26"/>
      <c r="AP22" s="26"/>
      <c r="AQ22" s="2" t="str">
        <f t="shared" si="9"/>
        <v/>
      </c>
    </row>
    <row r="23" spans="1:43" ht="42.75" x14ac:dyDescent="0.45">
      <c r="A23" s="6"/>
      <c r="B23" s="7"/>
      <c r="C23" s="23">
        <v>1</v>
      </c>
      <c r="D23" s="1" t="s">
        <v>167</v>
      </c>
      <c r="E23" s="1" t="s">
        <v>171</v>
      </c>
      <c r="F23" s="1"/>
      <c r="G23" s="1"/>
      <c r="H23" s="1" t="s">
        <v>172</v>
      </c>
      <c r="I23" s="1" t="s">
        <v>296</v>
      </c>
      <c r="J23" s="1">
        <v>9</v>
      </c>
      <c r="K23" s="8"/>
      <c r="L23" s="8"/>
      <c r="M23" s="8"/>
      <c r="N23" s="8"/>
      <c r="O23" s="1" t="s">
        <v>173</v>
      </c>
      <c r="P23" s="1" t="s">
        <v>174</v>
      </c>
      <c r="Q23" s="1" t="s">
        <v>18</v>
      </c>
      <c r="R23" s="1" t="s">
        <v>176</v>
      </c>
      <c r="S23" s="1" t="s">
        <v>175</v>
      </c>
      <c r="T23" s="1" t="str">
        <f t="shared" si="38"/>
        <v/>
      </c>
      <c r="U23" s="1">
        <f>C23*3+3</f>
        <v>6</v>
      </c>
      <c r="V23" s="1">
        <v>1</v>
      </c>
      <c r="W23" s="1">
        <f t="shared" ref="W23" si="46">IF(U23&gt;0, IF(V23&gt;U23,V23,U23), "")</f>
        <v>6</v>
      </c>
      <c r="X23" s="1">
        <v>0</v>
      </c>
      <c r="Y23" s="1">
        <f>IF(U23&gt;0, IF(W23&gt;U23,W23-U23+X23,0), "")</f>
        <v>0</v>
      </c>
      <c r="Z23" s="11">
        <v>870</v>
      </c>
      <c r="AA23" s="11">
        <f t="shared" si="30"/>
        <v>5220</v>
      </c>
      <c r="AB23" s="16" t="s">
        <v>177</v>
      </c>
      <c r="AD23" s="2" t="str">
        <f t="shared" si="14"/>
        <v>680-3883P</v>
      </c>
      <c r="AE23" s="2">
        <f t="shared" si="15"/>
        <v>6</v>
      </c>
      <c r="AH23" s="2" t="str">
        <f t="shared" si="16"/>
        <v>TE Connectivity</v>
      </c>
      <c r="AI23" s="2" t="str">
        <f t="shared" si="4"/>
        <v>Relay</v>
      </c>
      <c r="AJ23" s="2" t="str">
        <f t="shared" si="5"/>
        <v>RT424F05</v>
      </c>
      <c r="AK23" s="2" t="str">
        <f t="shared" si="6"/>
        <v>K102</v>
      </c>
      <c r="AL23" s="25">
        <f t="shared" si="7"/>
        <v>1</v>
      </c>
      <c r="AM23" s="2">
        <f t="shared" si="8"/>
        <v>9</v>
      </c>
      <c r="AN23" s="26" t="str">
        <f t="shared" si="20"/>
        <v>DIP</v>
      </c>
      <c r="AO23" s="26"/>
      <c r="AP23" s="26"/>
      <c r="AQ23" s="2" t="str">
        <f t="shared" si="9"/>
        <v/>
      </c>
    </row>
    <row r="24" spans="1:43" ht="85.5" x14ac:dyDescent="0.45">
      <c r="A24" s="6"/>
      <c r="B24" s="7"/>
      <c r="C24" s="23">
        <v>2</v>
      </c>
      <c r="D24" s="1" t="s">
        <v>178</v>
      </c>
      <c r="E24" s="1" t="s">
        <v>179</v>
      </c>
      <c r="F24" s="1" t="s">
        <v>180</v>
      </c>
      <c r="G24" s="1"/>
      <c r="H24" s="1" t="s">
        <v>181</v>
      </c>
      <c r="I24" s="1" t="s">
        <v>295</v>
      </c>
      <c r="J24" s="1">
        <v>2</v>
      </c>
      <c r="K24" s="8"/>
      <c r="L24" s="8"/>
      <c r="M24" s="8"/>
      <c r="N24" s="8"/>
      <c r="O24" s="1" t="s">
        <v>182</v>
      </c>
      <c r="P24" s="1" t="s">
        <v>39</v>
      </c>
      <c r="Q24" s="1" t="s">
        <v>18</v>
      </c>
      <c r="R24" s="1" t="s">
        <v>183</v>
      </c>
      <c r="S24" s="1" t="s">
        <v>184</v>
      </c>
      <c r="T24" s="1" t="str">
        <f t="shared" si="38"/>
        <v/>
      </c>
      <c r="U24" s="1">
        <f>C24*3+3</f>
        <v>9</v>
      </c>
      <c r="V24" s="1">
        <v>1</v>
      </c>
      <c r="W24" s="1">
        <f t="shared" si="29"/>
        <v>9</v>
      </c>
      <c r="X24" s="1">
        <v>0</v>
      </c>
      <c r="Y24" s="1">
        <f>IF(U24&gt;0, IF(W24&gt;U24,W24-U24+X24,0), "")</f>
        <v>0</v>
      </c>
      <c r="Z24" s="11">
        <v>356</v>
      </c>
      <c r="AA24" s="11">
        <f t="shared" si="30"/>
        <v>3204</v>
      </c>
      <c r="AB24" s="16" t="s">
        <v>185</v>
      </c>
      <c r="AD24" s="2" t="str">
        <f t="shared" si="14"/>
        <v>749-6405</v>
      </c>
      <c r="AE24" s="2">
        <f t="shared" si="15"/>
        <v>9</v>
      </c>
      <c r="AH24" s="2" t="str">
        <f t="shared" si="16"/>
        <v>Murata</v>
      </c>
      <c r="AI24" s="2" t="str">
        <f t="shared" si="4"/>
        <v>Power Inductor</v>
      </c>
      <c r="AJ24" s="2" t="str">
        <f t="shared" si="5"/>
        <v>60B683C</v>
      </c>
      <c r="AK24" s="2" t="str">
        <f t="shared" si="6"/>
        <v>L203, L204</v>
      </c>
      <c r="AL24" s="25">
        <f t="shared" si="7"/>
        <v>2</v>
      </c>
      <c r="AM24" s="2">
        <f t="shared" si="8"/>
        <v>2</v>
      </c>
      <c r="AN24" s="26" t="str">
        <f t="shared" si="20"/>
        <v>SMD</v>
      </c>
      <c r="AO24" s="26"/>
      <c r="AP24" s="26"/>
      <c r="AQ24" s="2" t="str">
        <f t="shared" si="9"/>
        <v/>
      </c>
    </row>
    <row r="25" spans="1:43" ht="42.75" x14ac:dyDescent="0.45">
      <c r="A25" s="6"/>
      <c r="B25" s="7"/>
      <c r="C25" s="23">
        <v>3</v>
      </c>
      <c r="D25" s="1" t="s">
        <v>187</v>
      </c>
      <c r="E25" s="1" t="s">
        <v>186</v>
      </c>
      <c r="F25" s="1"/>
      <c r="G25" s="1" t="s">
        <v>188</v>
      </c>
      <c r="H25" s="1" t="s">
        <v>189</v>
      </c>
      <c r="I25" s="1" t="s">
        <v>295</v>
      </c>
      <c r="J25" s="1">
        <v>2</v>
      </c>
      <c r="K25" s="1" t="s">
        <v>287</v>
      </c>
      <c r="L25" s="1">
        <v>44</v>
      </c>
      <c r="M25" s="10">
        <f>C25*3+3</f>
        <v>12</v>
      </c>
      <c r="N25" s="1">
        <f t="shared" ref="N25" si="47">IF(M25&gt;0,L25-M25,"")</f>
        <v>32</v>
      </c>
      <c r="O25" s="8"/>
      <c r="P25" s="8" t="s">
        <v>288</v>
      </c>
      <c r="Q25" s="8"/>
      <c r="R25" s="8"/>
      <c r="S25" s="8" t="s">
        <v>186</v>
      </c>
      <c r="T25" s="8" t="str">
        <f>IF(G25&gt;0,G25,"")</f>
        <v>SML0805</v>
      </c>
      <c r="U25" s="8"/>
      <c r="V25" s="8"/>
      <c r="W25" s="8" t="str">
        <f>IF(U25&gt;0, IF(V25&gt;U25,V25,U25), "")</f>
        <v/>
      </c>
      <c r="X25" s="8"/>
      <c r="Y25" s="8" t="str">
        <f>IF(U25&gt;0, IF(W25&gt;U25,W25-U25,0), "")</f>
        <v/>
      </c>
      <c r="Z25" s="9"/>
      <c r="AA25" s="9" t="str">
        <f t="shared" ref="AA25" si="48">IF(U25&gt;0,IF(V25&gt;U25,V25*Z25,U25*Z25),"")</f>
        <v/>
      </c>
      <c r="AB25" s="9"/>
      <c r="AD25" s="2" t="str">
        <f t="shared" si="14"/>
        <v/>
      </c>
      <c r="AE25" s="2" t="str">
        <f t="shared" si="15"/>
        <v/>
      </c>
      <c r="AH25" s="2" t="str">
        <f t="shared" si="16"/>
        <v>OSRAM</v>
      </c>
      <c r="AI25" s="2" t="str">
        <f t="shared" si="4"/>
        <v>LED</v>
      </c>
      <c r="AJ25" s="2" t="str">
        <f t="shared" si="5"/>
        <v>LGR971</v>
      </c>
      <c r="AK25" s="2" t="str">
        <f t="shared" si="6"/>
        <v>LED101, LED102, LED103</v>
      </c>
      <c r="AL25" s="25">
        <f t="shared" si="7"/>
        <v>3</v>
      </c>
      <c r="AM25" s="2">
        <f t="shared" si="8"/>
        <v>2</v>
      </c>
      <c r="AN25" s="26" t="str">
        <f t="shared" si="20"/>
        <v>SMD</v>
      </c>
      <c r="AO25" s="26"/>
      <c r="AP25" s="26"/>
      <c r="AQ25" s="2" t="str">
        <f t="shared" si="9"/>
        <v>SML0805</v>
      </c>
    </row>
    <row r="26" spans="1:43" ht="42.75" x14ac:dyDescent="0.45">
      <c r="A26" s="6"/>
      <c r="B26" s="7"/>
      <c r="C26" s="23">
        <v>2</v>
      </c>
      <c r="D26" s="1" t="s">
        <v>67</v>
      </c>
      <c r="E26" s="1" t="s">
        <v>190</v>
      </c>
      <c r="F26" s="1"/>
      <c r="G26" s="1" t="s">
        <v>13</v>
      </c>
      <c r="H26" s="1" t="s">
        <v>198</v>
      </c>
      <c r="I26" s="1" t="s">
        <v>295</v>
      </c>
      <c r="J26" s="1">
        <v>8</v>
      </c>
      <c r="K26" s="8"/>
      <c r="L26" s="8"/>
      <c r="M26" s="8"/>
      <c r="N26" s="8"/>
      <c r="O26" s="1" t="s">
        <v>191</v>
      </c>
      <c r="P26" s="1" t="s">
        <v>192</v>
      </c>
      <c r="Q26" s="1" t="s">
        <v>18</v>
      </c>
      <c r="R26" s="1" t="s">
        <v>193</v>
      </c>
      <c r="S26" s="1" t="s">
        <v>196</v>
      </c>
      <c r="T26" s="1" t="str">
        <f t="shared" si="38"/>
        <v>SOIC-8</v>
      </c>
      <c r="U26" s="1">
        <f t="shared" ref="U26:U31" si="49">C26*3+3</f>
        <v>9</v>
      </c>
      <c r="V26" s="1">
        <v>10</v>
      </c>
      <c r="W26" s="1">
        <f t="shared" si="29"/>
        <v>10</v>
      </c>
      <c r="X26" s="1">
        <v>0</v>
      </c>
      <c r="Y26" s="1">
        <f>IF(U26&gt;0, IF(W26&gt;U26,W26-U26+X26,0), "")</f>
        <v>1</v>
      </c>
      <c r="Z26" s="11">
        <v>175.8</v>
      </c>
      <c r="AA26" s="11">
        <f t="shared" si="30"/>
        <v>1758</v>
      </c>
      <c r="AB26" s="16" t="s">
        <v>197</v>
      </c>
      <c r="AD26" s="2" t="str">
        <f t="shared" si="14"/>
        <v>180-7965</v>
      </c>
      <c r="AE26" s="2">
        <f t="shared" si="15"/>
        <v>10</v>
      </c>
      <c r="AH26" s="2" t="str">
        <f t="shared" si="16"/>
        <v>Vishay</v>
      </c>
      <c r="AI26" s="2" t="str">
        <f t="shared" si="4"/>
        <v>N-Channel MOSFET</v>
      </c>
      <c r="AJ26" s="2" t="str">
        <f t="shared" si="5"/>
        <v>SI4154DY-T1-GE3</v>
      </c>
      <c r="AK26" s="2" t="str">
        <f t="shared" si="6"/>
        <v>MF201, MF202</v>
      </c>
      <c r="AL26" s="25">
        <f t="shared" si="7"/>
        <v>2</v>
      </c>
      <c r="AM26" s="2">
        <f t="shared" si="8"/>
        <v>8</v>
      </c>
      <c r="AN26" s="26" t="str">
        <f t="shared" si="20"/>
        <v>SMD</v>
      </c>
      <c r="AO26" s="26"/>
      <c r="AP26" s="26"/>
      <c r="AQ26" s="2" t="str">
        <f t="shared" si="9"/>
        <v>SOIC-8</v>
      </c>
    </row>
    <row r="27" spans="1:43" ht="71.25" x14ac:dyDescent="0.45">
      <c r="A27" s="6"/>
      <c r="B27" s="7"/>
      <c r="C27" s="23">
        <v>3</v>
      </c>
      <c r="D27" s="1" t="s">
        <v>199</v>
      </c>
      <c r="E27" s="1" t="s">
        <v>200</v>
      </c>
      <c r="F27" s="1"/>
      <c r="G27" s="1" t="s">
        <v>201</v>
      </c>
      <c r="H27" s="1" t="s">
        <v>202</v>
      </c>
      <c r="I27" s="1" t="s">
        <v>296</v>
      </c>
      <c r="J27" s="1">
        <v>4</v>
      </c>
      <c r="K27" s="8"/>
      <c r="L27" s="8"/>
      <c r="M27" s="8"/>
      <c r="N27" s="8"/>
      <c r="O27" s="1" t="s">
        <v>203</v>
      </c>
      <c r="P27" s="1" t="s">
        <v>204</v>
      </c>
      <c r="Q27" s="1" t="s">
        <v>18</v>
      </c>
      <c r="R27" s="1" t="s">
        <v>205</v>
      </c>
      <c r="S27" s="1" t="s">
        <v>206</v>
      </c>
      <c r="T27" s="1" t="str">
        <f t="shared" si="38"/>
        <v>DIL04</v>
      </c>
      <c r="U27" s="1">
        <f t="shared" si="49"/>
        <v>12</v>
      </c>
      <c r="V27" s="1">
        <v>20</v>
      </c>
      <c r="W27" s="1">
        <f t="shared" ref="W27" si="50">IF(U27&gt;0, IF(V27&gt;U27,V27,U27), "")</f>
        <v>20</v>
      </c>
      <c r="X27" s="1">
        <v>0</v>
      </c>
      <c r="Y27" s="1">
        <f>IF(U27&gt;0, IF(W27&gt;U27,W27-U27+X27,0), "")</f>
        <v>8</v>
      </c>
      <c r="Z27" s="11">
        <v>64.650000000000006</v>
      </c>
      <c r="AA27" s="11">
        <f t="shared" ref="AA27" si="51">IF(U27&gt;0,IF(V27&gt;U27,V27*Z27,U27*Z27),"")</f>
        <v>1293</v>
      </c>
      <c r="AB27" s="16" t="s">
        <v>207</v>
      </c>
      <c r="AD27" s="2" t="str">
        <f t="shared" si="14"/>
        <v>161-1266</v>
      </c>
      <c r="AE27" s="2">
        <f t="shared" si="15"/>
        <v>20</v>
      </c>
      <c r="AH27" s="2" t="str">
        <f t="shared" si="16"/>
        <v>Isocom</v>
      </c>
      <c r="AI27" s="2" t="str">
        <f t="shared" si="4"/>
        <v>OptoCoupler</v>
      </c>
      <c r="AJ27" s="2" t="str">
        <f t="shared" si="5"/>
        <v>PS2502-1X</v>
      </c>
      <c r="AK27" s="2" t="str">
        <f t="shared" si="6"/>
        <v>OK101, OK102, OK103</v>
      </c>
      <c r="AL27" s="25">
        <f t="shared" si="7"/>
        <v>3</v>
      </c>
      <c r="AM27" s="2">
        <f t="shared" si="8"/>
        <v>4</v>
      </c>
      <c r="AN27" s="26" t="str">
        <f t="shared" si="20"/>
        <v>DIP</v>
      </c>
      <c r="AO27" s="26"/>
      <c r="AP27" s="26"/>
      <c r="AQ27" s="2" t="str">
        <f t="shared" si="9"/>
        <v>DIL04</v>
      </c>
    </row>
    <row r="28" spans="1:43" ht="57" x14ac:dyDescent="0.45">
      <c r="A28" s="6"/>
      <c r="B28" s="7"/>
      <c r="C28" s="23">
        <v>1</v>
      </c>
      <c r="D28" s="1" t="s">
        <v>48</v>
      </c>
      <c r="E28" s="1" t="s">
        <v>11</v>
      </c>
      <c r="F28" s="1"/>
      <c r="G28" s="1"/>
      <c r="H28" s="1" t="s">
        <v>47</v>
      </c>
      <c r="I28" s="1" t="s">
        <v>296</v>
      </c>
      <c r="J28" s="1">
        <v>3</v>
      </c>
      <c r="K28" s="8"/>
      <c r="L28" s="8"/>
      <c r="M28" s="8"/>
      <c r="N28" s="8"/>
      <c r="O28" s="1" t="s">
        <v>208</v>
      </c>
      <c r="P28" s="1" t="s">
        <v>209</v>
      </c>
      <c r="Q28" s="1" t="s">
        <v>18</v>
      </c>
      <c r="R28" s="1" t="s">
        <v>210</v>
      </c>
      <c r="S28" s="1" t="s">
        <v>11</v>
      </c>
      <c r="T28" s="1" t="str">
        <f t="shared" si="38"/>
        <v/>
      </c>
      <c r="U28" s="1">
        <f t="shared" si="49"/>
        <v>6</v>
      </c>
      <c r="V28" s="1">
        <v>1</v>
      </c>
      <c r="W28" s="1">
        <f t="shared" ref="W28" si="52">IF(U28&gt;0, IF(V28&gt;U28,V28,U28), "")</f>
        <v>6</v>
      </c>
      <c r="X28" s="1">
        <v>0</v>
      </c>
      <c r="Y28" s="1">
        <f t="shared" ref="Y28:Y30" si="53">IF(U28&gt;0, IF(W28&gt;U28,W28-U28+X28,0), "")</f>
        <v>0</v>
      </c>
      <c r="Z28" s="11">
        <v>345</v>
      </c>
      <c r="AA28" s="11">
        <f t="shared" ref="AA28" si="54">IF(U28&gt;0,IF(V28&gt;U28,V28*Z28,U28*Z28),"")</f>
        <v>2070</v>
      </c>
      <c r="AB28" s="16" t="s">
        <v>207</v>
      </c>
      <c r="AD28" s="2" t="str">
        <f t="shared" si="14"/>
        <v>705-1516</v>
      </c>
      <c r="AE28" s="2">
        <f t="shared" si="15"/>
        <v>6</v>
      </c>
      <c r="AH28" s="2" t="str">
        <f t="shared" si="16"/>
        <v>Switchcraft</v>
      </c>
      <c r="AI28" s="2" t="str">
        <f t="shared" si="4"/>
        <v>Power jack</v>
      </c>
      <c r="AJ28" s="2" t="str">
        <f t="shared" si="5"/>
        <v>722RA</v>
      </c>
      <c r="AK28" s="2" t="str">
        <f t="shared" si="6"/>
        <v>PC1</v>
      </c>
      <c r="AL28" s="25">
        <f t="shared" si="7"/>
        <v>1</v>
      </c>
      <c r="AM28" s="2">
        <f t="shared" si="8"/>
        <v>3</v>
      </c>
      <c r="AN28" s="26" t="str">
        <f t="shared" si="20"/>
        <v>DIP</v>
      </c>
      <c r="AO28" s="26"/>
      <c r="AP28" s="26"/>
      <c r="AQ28" s="2" t="str">
        <f t="shared" si="9"/>
        <v/>
      </c>
    </row>
    <row r="29" spans="1:43" ht="57" x14ac:dyDescent="0.45">
      <c r="A29" s="6"/>
      <c r="B29" s="7"/>
      <c r="C29" s="23">
        <v>1</v>
      </c>
      <c r="D29" s="1" t="s">
        <v>70</v>
      </c>
      <c r="E29" s="1" t="s">
        <v>69</v>
      </c>
      <c r="F29" s="1"/>
      <c r="G29" s="1" t="s">
        <v>211</v>
      </c>
      <c r="H29" s="1" t="s">
        <v>212</v>
      </c>
      <c r="I29" s="1" t="s">
        <v>296</v>
      </c>
      <c r="J29" s="1">
        <v>28</v>
      </c>
      <c r="K29" s="8"/>
      <c r="L29" s="8"/>
      <c r="M29" s="8"/>
      <c r="N29" s="8"/>
      <c r="O29" s="1" t="s">
        <v>213</v>
      </c>
      <c r="P29" s="1" t="s">
        <v>152</v>
      </c>
      <c r="Q29" s="1" t="s">
        <v>18</v>
      </c>
      <c r="R29" s="1" t="s">
        <v>214</v>
      </c>
      <c r="S29" s="1" t="s">
        <v>215</v>
      </c>
      <c r="T29" s="1" t="str">
        <f t="shared" si="38"/>
        <v>SPDIP-28</v>
      </c>
      <c r="U29" s="1">
        <f t="shared" si="49"/>
        <v>6</v>
      </c>
      <c r="V29" s="1">
        <v>10</v>
      </c>
      <c r="W29" s="1">
        <f t="shared" si="29"/>
        <v>10</v>
      </c>
      <c r="X29" s="1">
        <f>+L29:L29</f>
        <v>0</v>
      </c>
      <c r="Y29" s="1">
        <f t="shared" si="53"/>
        <v>4</v>
      </c>
      <c r="Z29" s="11">
        <v>311</v>
      </c>
      <c r="AA29" s="11">
        <f t="shared" si="30"/>
        <v>3110</v>
      </c>
      <c r="AB29" s="16" t="s">
        <v>216</v>
      </c>
      <c r="AD29" s="2" t="str">
        <f t="shared" si="14"/>
        <v>803-2434</v>
      </c>
      <c r="AE29" s="2">
        <f t="shared" si="15"/>
        <v>10</v>
      </c>
      <c r="AH29" s="2" t="str">
        <f t="shared" si="16"/>
        <v>Microchip</v>
      </c>
      <c r="AI29" s="2" t="str">
        <f t="shared" si="4"/>
        <v>8-bit MCU</v>
      </c>
      <c r="AJ29" s="2" t="str">
        <f t="shared" si="5"/>
        <v>PIC16F1786-I / SP</v>
      </c>
      <c r="AK29" s="2" t="str">
        <f t="shared" si="6"/>
        <v>PIC1</v>
      </c>
      <c r="AL29" s="25">
        <f t="shared" si="7"/>
        <v>1</v>
      </c>
      <c r="AM29" s="2">
        <f t="shared" si="8"/>
        <v>28</v>
      </c>
      <c r="AN29" s="26" t="str">
        <f t="shared" si="20"/>
        <v>DIP</v>
      </c>
      <c r="AO29" s="26"/>
      <c r="AP29" s="26"/>
      <c r="AQ29" s="2" t="str">
        <f t="shared" si="9"/>
        <v>SPDIP-28</v>
      </c>
    </row>
    <row r="30" spans="1:43" ht="57" x14ac:dyDescent="0.45">
      <c r="A30" s="6"/>
      <c r="B30" s="7"/>
      <c r="C30" s="23">
        <v>3</v>
      </c>
      <c r="D30" s="1" t="s">
        <v>217</v>
      </c>
      <c r="E30" s="1" t="s">
        <v>218</v>
      </c>
      <c r="F30" s="1">
        <v>1</v>
      </c>
      <c r="G30" s="1" t="s">
        <v>219</v>
      </c>
      <c r="H30" s="1" t="s">
        <v>220</v>
      </c>
      <c r="I30" s="1" t="s">
        <v>296</v>
      </c>
      <c r="J30" s="1">
        <v>4</v>
      </c>
      <c r="K30" s="8"/>
      <c r="L30" s="8"/>
      <c r="M30" s="8"/>
      <c r="N30" s="8"/>
      <c r="O30" s="1" t="s">
        <v>221</v>
      </c>
      <c r="P30" s="1" t="s">
        <v>192</v>
      </c>
      <c r="Q30" s="1" t="s">
        <v>18</v>
      </c>
      <c r="R30" s="1" t="s">
        <v>222</v>
      </c>
      <c r="S30" s="1" t="s">
        <v>223</v>
      </c>
      <c r="T30" s="1" t="str">
        <f t="shared" si="38"/>
        <v>TO-220</v>
      </c>
      <c r="U30" s="1">
        <f t="shared" si="49"/>
        <v>12</v>
      </c>
      <c r="V30" s="1">
        <v>1</v>
      </c>
      <c r="W30" s="1">
        <f t="shared" si="29"/>
        <v>12</v>
      </c>
      <c r="X30" s="1">
        <v>0</v>
      </c>
      <c r="Y30" s="1">
        <f t="shared" si="53"/>
        <v>0</v>
      </c>
      <c r="Z30" s="11">
        <v>838</v>
      </c>
      <c r="AA30" s="11">
        <f t="shared" si="30"/>
        <v>10056</v>
      </c>
      <c r="AB30" s="16" t="s">
        <v>224</v>
      </c>
      <c r="AD30" s="2" t="str">
        <f t="shared" si="14"/>
        <v>532-8369</v>
      </c>
      <c r="AE30" s="2">
        <f t="shared" si="15"/>
        <v>12</v>
      </c>
      <c r="AH30" s="2" t="str">
        <f t="shared" si="16"/>
        <v>Vishay</v>
      </c>
      <c r="AI30" s="2" t="str">
        <f t="shared" si="4"/>
        <v>Power Resistor</v>
      </c>
      <c r="AJ30" s="2" t="str">
        <f t="shared" si="5"/>
        <v>LTO 050 F 1 R 000 JTE 3</v>
      </c>
      <c r="AK30" s="2" t="str">
        <f t="shared" si="6"/>
        <v>PR701, PR702, PR703</v>
      </c>
      <c r="AL30" s="25">
        <f t="shared" si="7"/>
        <v>3</v>
      </c>
      <c r="AM30" s="2">
        <f t="shared" si="8"/>
        <v>4</v>
      </c>
      <c r="AN30" s="26" t="str">
        <f t="shared" si="20"/>
        <v>DIP</v>
      </c>
      <c r="AO30" s="26"/>
      <c r="AP30" s="26"/>
      <c r="AQ30" s="2" t="str">
        <f t="shared" si="9"/>
        <v>TO-220</v>
      </c>
    </row>
    <row r="31" spans="1:43" ht="57" x14ac:dyDescent="0.45">
      <c r="A31" s="6"/>
      <c r="B31" s="7"/>
      <c r="C31" s="23">
        <v>2</v>
      </c>
      <c r="D31" s="1" t="s">
        <v>49</v>
      </c>
      <c r="E31" s="1" t="s">
        <v>7</v>
      </c>
      <c r="F31" s="1">
        <v>0</v>
      </c>
      <c r="G31" s="1" t="s">
        <v>8</v>
      </c>
      <c r="H31" s="1" t="s">
        <v>241</v>
      </c>
      <c r="I31" s="1" t="s">
        <v>295</v>
      </c>
      <c r="J31" s="1">
        <v>2</v>
      </c>
      <c r="K31" s="8" t="s">
        <v>304</v>
      </c>
      <c r="L31" s="8"/>
      <c r="M31" s="8"/>
      <c r="N31" s="8"/>
      <c r="O31" s="1" t="s">
        <v>237</v>
      </c>
      <c r="P31" s="1" t="s">
        <v>192</v>
      </c>
      <c r="Q31" s="1" t="s">
        <v>18</v>
      </c>
      <c r="R31" s="1" t="s">
        <v>238</v>
      </c>
      <c r="S31" s="1" t="s">
        <v>239</v>
      </c>
      <c r="T31" s="1" t="str">
        <f t="shared" si="38"/>
        <v>R0603</v>
      </c>
      <c r="U31" s="1">
        <f t="shared" si="49"/>
        <v>9</v>
      </c>
      <c r="V31" s="1">
        <v>50</v>
      </c>
      <c r="W31" s="1">
        <f>IF(U31&gt;0, IF(V31&gt;U31,V31,U31), "")</f>
        <v>50</v>
      </c>
      <c r="X31" s="1">
        <v>0</v>
      </c>
      <c r="Y31" s="1">
        <f t="shared" ref="Y31" si="55">IF(U31&gt;0, IF(W31&gt;U31,W31-U31+X31,0), "")</f>
        <v>41</v>
      </c>
      <c r="Z31" s="11">
        <v>1.34</v>
      </c>
      <c r="AA31" s="11">
        <f>IF(U31&gt;0,IF(V31&gt;U31,V31*Z31,U31*Z31),"")</f>
        <v>67</v>
      </c>
      <c r="AB31" s="16" t="s">
        <v>236</v>
      </c>
      <c r="AD31" s="2" t="str">
        <f t="shared" si="14"/>
        <v>678-9670</v>
      </c>
      <c r="AE31" s="2">
        <f t="shared" si="15"/>
        <v>50</v>
      </c>
      <c r="AH31" s="2" t="str">
        <f t="shared" si="16"/>
        <v>Vishay</v>
      </c>
      <c r="AI31" s="2" t="str">
        <f t="shared" si="4"/>
        <v>Resistor</v>
      </c>
      <c r="AJ31" s="2" t="str">
        <f t="shared" si="5"/>
        <v xml:space="preserve">CRCW06030000Z0EB </v>
      </c>
      <c r="AK31" s="2" t="str">
        <f t="shared" si="6"/>
        <v>R1, R2</v>
      </c>
      <c r="AL31" s="25">
        <f t="shared" si="7"/>
        <v>2</v>
      </c>
      <c r="AM31" s="2">
        <f t="shared" si="8"/>
        <v>2</v>
      </c>
      <c r="AN31" s="26" t="str">
        <f t="shared" si="20"/>
        <v>SMD</v>
      </c>
      <c r="AO31" s="26"/>
      <c r="AP31" s="26"/>
      <c r="AQ31" s="2" t="str">
        <f t="shared" si="9"/>
        <v>R0603</v>
      </c>
    </row>
    <row r="32" spans="1:43" ht="57" x14ac:dyDescent="0.45">
      <c r="A32" s="6"/>
      <c r="B32" s="7"/>
      <c r="C32" s="23">
        <v>4</v>
      </c>
      <c r="D32" s="1" t="s">
        <v>49</v>
      </c>
      <c r="E32" s="1" t="s">
        <v>7</v>
      </c>
      <c r="F32" s="1" t="s">
        <v>226</v>
      </c>
      <c r="G32" s="1" t="s">
        <v>8</v>
      </c>
      <c r="H32" s="1" t="s">
        <v>227</v>
      </c>
      <c r="I32" s="1" t="s">
        <v>295</v>
      </c>
      <c r="J32" s="1">
        <v>2</v>
      </c>
      <c r="K32" s="1" t="s">
        <v>228</v>
      </c>
      <c r="L32" s="1">
        <v>26</v>
      </c>
      <c r="M32" s="10">
        <f>C32*3+3</f>
        <v>15</v>
      </c>
      <c r="N32" s="1">
        <f t="shared" ref="N32" si="56">IF(M32&gt;0,L32-M32,"")</f>
        <v>11</v>
      </c>
      <c r="O32" s="8"/>
      <c r="P32" s="8" t="s">
        <v>174</v>
      </c>
      <c r="Q32" s="8"/>
      <c r="R32" s="8"/>
      <c r="S32" s="8" t="s">
        <v>305</v>
      </c>
      <c r="T32" s="8" t="str">
        <f>IF(G32&gt;0,G32,"")</f>
        <v>R0603</v>
      </c>
      <c r="U32" s="8"/>
      <c r="V32" s="8"/>
      <c r="W32" s="8" t="str">
        <f t="shared" ref="W32" si="57">IF(U32&gt;0, IF(V32&gt;U32,V32,U32), "")</f>
        <v/>
      </c>
      <c r="X32" s="8"/>
      <c r="Y32" s="8" t="str">
        <f t="shared" ref="Y32" si="58">IF(U32&gt;0, IF(W32&gt;U32,W32-U32,0), "")</f>
        <v/>
      </c>
      <c r="Z32" s="9"/>
      <c r="AA32" s="9" t="str">
        <f t="shared" ref="AA32" si="59">IF(U32&gt;0,IF(V32&gt;U32,V32*Z32,U32*Z32),"")</f>
        <v/>
      </c>
      <c r="AB32" s="9"/>
      <c r="AD32" s="2" t="str">
        <f t="shared" si="14"/>
        <v/>
      </c>
      <c r="AE32" s="2" t="str">
        <f t="shared" si="15"/>
        <v/>
      </c>
      <c r="AH32" s="2" t="str">
        <f t="shared" si="16"/>
        <v>TE Connectivity</v>
      </c>
      <c r="AI32" s="2" t="str">
        <f t="shared" si="4"/>
        <v>Resistor</v>
      </c>
      <c r="AJ32" s="2" t="str">
        <f t="shared" si="5"/>
        <v xml:space="preserve">CRG0603F1K0 </v>
      </c>
      <c r="AK32" s="2" t="str">
        <f t="shared" si="6"/>
        <v>R101, R103, R106, R202</v>
      </c>
      <c r="AL32" s="25">
        <f t="shared" si="7"/>
        <v>4</v>
      </c>
      <c r="AM32" s="2">
        <f t="shared" si="8"/>
        <v>2</v>
      </c>
      <c r="AN32" s="26" t="str">
        <f t="shared" si="20"/>
        <v>SMD</v>
      </c>
      <c r="AO32" s="26"/>
      <c r="AP32" s="26"/>
      <c r="AQ32" s="2" t="str">
        <f t="shared" si="9"/>
        <v>R0603</v>
      </c>
    </row>
    <row r="33" spans="1:43" ht="42.75" x14ac:dyDescent="0.45">
      <c r="A33" s="6"/>
      <c r="B33" s="7"/>
      <c r="C33" s="23">
        <v>3</v>
      </c>
      <c r="D33" s="1" t="s">
        <v>49</v>
      </c>
      <c r="E33" s="1" t="s">
        <v>7</v>
      </c>
      <c r="F33" s="1">
        <v>510</v>
      </c>
      <c r="G33" s="1" t="s">
        <v>8</v>
      </c>
      <c r="H33" s="1" t="s">
        <v>229</v>
      </c>
      <c r="I33" s="1" t="s">
        <v>295</v>
      </c>
      <c r="J33" s="1">
        <v>2</v>
      </c>
      <c r="K33" s="1" t="s">
        <v>230</v>
      </c>
      <c r="L33" s="1">
        <v>41</v>
      </c>
      <c r="M33" s="10">
        <f>C33*3+3</f>
        <v>12</v>
      </c>
      <c r="N33" s="1">
        <f t="shared" ref="N33" si="60">IF(M33&gt;0,L33-M33,"")</f>
        <v>29</v>
      </c>
      <c r="O33" s="8"/>
      <c r="P33" s="8" t="s">
        <v>192</v>
      </c>
      <c r="Q33" s="8"/>
      <c r="R33" s="8"/>
      <c r="S33" s="8" t="s">
        <v>289</v>
      </c>
      <c r="T33" s="8" t="str">
        <f>IF(G33&gt;0,G33,"")</f>
        <v>R0603</v>
      </c>
      <c r="U33" s="8"/>
      <c r="V33" s="8"/>
      <c r="W33" s="8" t="str">
        <f t="shared" ref="W33" si="61">IF(U33&gt;0, IF(V33&gt;U33,V33,U33), "")</f>
        <v/>
      </c>
      <c r="X33" s="8"/>
      <c r="Y33" s="8" t="str">
        <f t="shared" ref="Y33" si="62">IF(U33&gt;0, IF(W33&gt;U33,W33-U33,0), "")</f>
        <v/>
      </c>
      <c r="Z33" s="9"/>
      <c r="AA33" s="9" t="str">
        <f t="shared" ref="AA33" si="63">IF(U33&gt;0,IF(V33&gt;U33,V33*Z33,U33*Z33),"")</f>
        <v/>
      </c>
      <c r="AB33" s="9"/>
      <c r="AD33" s="2" t="str">
        <f t="shared" si="14"/>
        <v/>
      </c>
      <c r="AE33" s="2" t="str">
        <f t="shared" si="15"/>
        <v/>
      </c>
      <c r="AH33" s="2" t="str">
        <f t="shared" si="16"/>
        <v>Vishay</v>
      </c>
      <c r="AI33" s="2" t="str">
        <f t="shared" si="4"/>
        <v>Resistor</v>
      </c>
      <c r="AJ33" s="2" t="str">
        <f t="shared" si="5"/>
        <v>CRCW0603510RFKEA</v>
      </c>
      <c r="AK33" s="2" t="str">
        <f t="shared" si="6"/>
        <v>R102, R104, R107</v>
      </c>
      <c r="AL33" s="25">
        <f t="shared" si="7"/>
        <v>3</v>
      </c>
      <c r="AM33" s="2">
        <f t="shared" si="8"/>
        <v>2</v>
      </c>
      <c r="AN33" s="26" t="str">
        <f t="shared" si="20"/>
        <v>SMD</v>
      </c>
      <c r="AO33" s="26"/>
      <c r="AP33" s="26"/>
      <c r="AQ33" s="2" t="str">
        <f t="shared" si="9"/>
        <v>R0603</v>
      </c>
    </row>
    <row r="34" spans="1:43" ht="42.75" x14ac:dyDescent="0.45">
      <c r="A34" s="6"/>
      <c r="B34" s="7"/>
      <c r="C34" s="23">
        <v>1</v>
      </c>
      <c r="D34" s="1" t="s">
        <v>49</v>
      </c>
      <c r="E34" s="1" t="s">
        <v>7</v>
      </c>
      <c r="F34" s="1" t="s">
        <v>233</v>
      </c>
      <c r="G34" s="1" t="s">
        <v>8</v>
      </c>
      <c r="H34" s="1" t="s">
        <v>234</v>
      </c>
      <c r="I34" s="1" t="s">
        <v>295</v>
      </c>
      <c r="J34" s="1">
        <v>2</v>
      </c>
      <c r="K34" s="1" t="s">
        <v>235</v>
      </c>
      <c r="L34" s="1">
        <v>40</v>
      </c>
      <c r="M34" s="10">
        <f>C34*3+3</f>
        <v>6</v>
      </c>
      <c r="N34" s="1">
        <f t="shared" ref="N34" si="64">IF(M34&gt;0,L34-M34,"")</f>
        <v>34</v>
      </c>
      <c r="O34" s="8"/>
      <c r="P34" s="8" t="s">
        <v>192</v>
      </c>
      <c r="Q34" s="8"/>
      <c r="R34" s="8"/>
      <c r="S34" s="8" t="s">
        <v>290</v>
      </c>
      <c r="T34" s="8" t="str">
        <f>IF(G34&gt;0,G34,"")</f>
        <v>R0603</v>
      </c>
      <c r="U34" s="8"/>
      <c r="V34" s="8"/>
      <c r="W34" s="8" t="str">
        <f t="shared" ref="W34:W40" si="65">IF(U34&gt;0, IF(V34&gt;U34,V34,U34), "")</f>
        <v/>
      </c>
      <c r="X34" s="8"/>
      <c r="Y34" s="8" t="str">
        <f t="shared" ref="Y34" si="66">IF(U34&gt;0, IF(W34&gt;U34,W34-U34,0), "")</f>
        <v/>
      </c>
      <c r="Z34" s="9"/>
      <c r="AA34" s="9" t="str">
        <f t="shared" ref="AA34" si="67">IF(U34&gt;0,IF(V34&gt;U34,V34*Z34,U34*Z34),"")</f>
        <v/>
      </c>
      <c r="AB34" s="9"/>
      <c r="AD34" s="2" t="str">
        <f t="shared" si="14"/>
        <v/>
      </c>
      <c r="AE34" s="2" t="str">
        <f t="shared" si="15"/>
        <v/>
      </c>
      <c r="AH34" s="2" t="str">
        <f t="shared" si="16"/>
        <v>Vishay</v>
      </c>
      <c r="AI34" s="2" t="str">
        <f t="shared" si="4"/>
        <v>Resistor</v>
      </c>
      <c r="AJ34" s="2" t="str">
        <f t="shared" si="5"/>
        <v>CRCW060310M0FKEA</v>
      </c>
      <c r="AK34" s="2" t="str">
        <f t="shared" si="6"/>
        <v>R105</v>
      </c>
      <c r="AL34" s="25">
        <f t="shared" si="7"/>
        <v>1</v>
      </c>
      <c r="AM34" s="2">
        <f t="shared" si="8"/>
        <v>2</v>
      </c>
      <c r="AN34" s="26" t="str">
        <f t="shared" si="20"/>
        <v>SMD</v>
      </c>
      <c r="AO34" s="26"/>
      <c r="AP34" s="26"/>
      <c r="AQ34" s="2" t="str">
        <f t="shared" si="9"/>
        <v>R0603</v>
      </c>
    </row>
    <row r="35" spans="1:43" ht="57" x14ac:dyDescent="0.45">
      <c r="A35" s="6"/>
      <c r="B35" s="7"/>
      <c r="C35" s="23">
        <v>1</v>
      </c>
      <c r="D35" s="1" t="s">
        <v>49</v>
      </c>
      <c r="E35" s="1" t="s">
        <v>7</v>
      </c>
      <c r="F35" s="1">
        <v>200</v>
      </c>
      <c r="G35" s="1" t="s">
        <v>8</v>
      </c>
      <c r="H35" s="1" t="s">
        <v>242</v>
      </c>
      <c r="I35" s="1" t="s">
        <v>295</v>
      </c>
      <c r="J35" s="1">
        <v>2</v>
      </c>
      <c r="K35" s="8"/>
      <c r="L35" s="8"/>
      <c r="M35" s="8"/>
      <c r="N35" s="8"/>
      <c r="O35" s="1" t="s">
        <v>272</v>
      </c>
      <c r="P35" s="1" t="s">
        <v>273</v>
      </c>
      <c r="Q35" s="1" t="s">
        <v>18</v>
      </c>
      <c r="R35" s="1" t="s">
        <v>274</v>
      </c>
      <c r="S35" s="1" t="s">
        <v>275</v>
      </c>
      <c r="T35" s="1" t="str">
        <f t="shared" ref="T35:T42" si="68">IF(G35&gt;0,G35,"")</f>
        <v>R0603</v>
      </c>
      <c r="U35" s="1">
        <f>C35*3+3</f>
        <v>6</v>
      </c>
      <c r="V35" s="1">
        <v>50</v>
      </c>
      <c r="W35" s="1">
        <f>IF(U35&gt;0, IF(V35&gt;U35,V35,U35), "")</f>
        <v>50</v>
      </c>
      <c r="X35" s="1">
        <v>0</v>
      </c>
      <c r="Y35" s="1">
        <f t="shared" ref="Y35:Y42" si="69">IF(U35&gt;0, IF(W35&gt;U35,W35-U35+X35,0), "")</f>
        <v>44</v>
      </c>
      <c r="Z35" s="11">
        <v>7.96</v>
      </c>
      <c r="AA35" s="11">
        <f>IF(U35&gt;0,IF(V35&gt;U35,V35*Z35,U35*Z35),"")</f>
        <v>398</v>
      </c>
      <c r="AB35" s="16" t="s">
        <v>276</v>
      </c>
      <c r="AD35" s="2" t="str">
        <f t="shared" si="14"/>
        <v>631-6222</v>
      </c>
      <c r="AE35" s="2">
        <f t="shared" si="15"/>
        <v>50</v>
      </c>
      <c r="AH35" s="2" t="str">
        <f t="shared" si="16"/>
        <v>KOA</v>
      </c>
      <c r="AI35" s="2" t="str">
        <f t="shared" si="4"/>
        <v>Resistor</v>
      </c>
      <c r="AJ35" s="2" t="str">
        <f t="shared" si="5"/>
        <v>RK73H1JTTD2000F</v>
      </c>
      <c r="AK35" s="2" t="str">
        <f t="shared" si="6"/>
        <v>R4</v>
      </c>
      <c r="AL35" s="25">
        <f t="shared" si="7"/>
        <v>1</v>
      </c>
      <c r="AM35" s="2">
        <f t="shared" si="8"/>
        <v>2</v>
      </c>
      <c r="AN35" s="26" t="str">
        <f t="shared" si="20"/>
        <v>SMD</v>
      </c>
      <c r="AO35" s="26"/>
      <c r="AP35" s="26"/>
      <c r="AQ35" s="2" t="str">
        <f t="shared" si="9"/>
        <v>R0603</v>
      </c>
    </row>
    <row r="36" spans="1:43" ht="85.5" x14ac:dyDescent="0.45">
      <c r="A36" s="6"/>
      <c r="B36" s="7"/>
      <c r="C36" s="10">
        <v>1</v>
      </c>
      <c r="D36" s="1" t="s">
        <v>71</v>
      </c>
      <c r="E36" s="1" t="s">
        <v>72</v>
      </c>
      <c r="F36" s="1"/>
      <c r="G36" s="1" t="s">
        <v>73</v>
      </c>
      <c r="H36" s="1" t="s">
        <v>240</v>
      </c>
      <c r="I36" s="1" t="s">
        <v>295</v>
      </c>
      <c r="J36" s="1">
        <v>3</v>
      </c>
      <c r="K36" s="8"/>
      <c r="L36" s="8"/>
      <c r="M36" s="8"/>
      <c r="N36" s="8"/>
      <c r="O36" s="1" t="s">
        <v>243</v>
      </c>
      <c r="P36" s="1" t="s">
        <v>297</v>
      </c>
      <c r="Q36" s="1" t="s">
        <v>18</v>
      </c>
      <c r="R36" s="1" t="s">
        <v>244</v>
      </c>
      <c r="S36" s="1" t="s">
        <v>72</v>
      </c>
      <c r="T36" s="1" t="str">
        <f t="shared" si="68"/>
        <v>D2PAK-3</v>
      </c>
      <c r="U36" s="1">
        <f>C36*3+3</f>
        <v>6</v>
      </c>
      <c r="V36" s="1">
        <v>10</v>
      </c>
      <c r="W36" s="1">
        <f>IF(U36&gt;0, IF(V36&gt;U36,V36,U36), "")</f>
        <v>10</v>
      </c>
      <c r="X36" s="1">
        <v>0</v>
      </c>
      <c r="Y36" s="1">
        <f t="shared" si="69"/>
        <v>4</v>
      </c>
      <c r="Z36" s="11">
        <v>82.2</v>
      </c>
      <c r="AA36" s="11">
        <f>IF(U36&gt;0,IF(V36&gt;U36,V36*Z36,U36*Z36),"")</f>
        <v>822</v>
      </c>
      <c r="AB36" s="16" t="s">
        <v>245</v>
      </c>
      <c r="AD36" s="2" t="str">
        <f t="shared" si="14"/>
        <v>785-7428</v>
      </c>
      <c r="AE36" s="2">
        <f t="shared" si="15"/>
        <v>10</v>
      </c>
      <c r="AH36" s="2" t="str">
        <f t="shared" si="16"/>
        <v>ON Semiconductor</v>
      </c>
      <c r="AI36" s="2" t="str">
        <f t="shared" si="4"/>
        <v>Regulator</v>
      </c>
      <c r="AJ36" s="2" t="str">
        <f t="shared" si="5"/>
        <v>NCV7805BD2TG</v>
      </c>
      <c r="AK36" s="2" t="str">
        <f t="shared" si="6"/>
        <v>REG402</v>
      </c>
      <c r="AL36" s="25">
        <f t="shared" si="7"/>
        <v>1</v>
      </c>
      <c r="AM36" s="2">
        <f t="shared" si="8"/>
        <v>3</v>
      </c>
      <c r="AN36" s="26" t="str">
        <f t="shared" si="20"/>
        <v>SMD</v>
      </c>
      <c r="AO36" s="26"/>
      <c r="AP36" s="26"/>
      <c r="AQ36" s="2" t="str">
        <f t="shared" si="9"/>
        <v>D2PAK-3</v>
      </c>
    </row>
    <row r="37" spans="1:43" ht="57.4" thickBot="1" x14ac:dyDescent="0.5">
      <c r="A37" s="14"/>
      <c r="B37" s="15"/>
      <c r="C37" s="10">
        <v>1</v>
      </c>
      <c r="D37" s="1" t="s">
        <v>50</v>
      </c>
      <c r="E37" s="1" t="s">
        <v>12</v>
      </c>
      <c r="F37" s="1"/>
      <c r="G37" s="1" t="s">
        <v>13</v>
      </c>
      <c r="H37" s="1" t="s">
        <v>246</v>
      </c>
      <c r="I37" s="1" t="s">
        <v>295</v>
      </c>
      <c r="J37" s="1">
        <v>8</v>
      </c>
      <c r="K37" s="13"/>
      <c r="L37" s="13"/>
      <c r="M37" s="13"/>
      <c r="N37" s="13"/>
      <c r="O37" s="1" t="s">
        <v>57</v>
      </c>
      <c r="P37" s="1" t="s">
        <v>55</v>
      </c>
      <c r="Q37" s="1" t="s">
        <v>18</v>
      </c>
      <c r="R37" s="1" t="s">
        <v>24</v>
      </c>
      <c r="S37" s="1" t="s">
        <v>56</v>
      </c>
      <c r="T37" s="1" t="str">
        <f t="shared" si="68"/>
        <v>SOIC-8</v>
      </c>
      <c r="U37" s="1">
        <f>C37*3+3</f>
        <v>6</v>
      </c>
      <c r="V37" s="1">
        <v>10</v>
      </c>
      <c r="W37" s="1">
        <f t="shared" si="65"/>
        <v>10</v>
      </c>
      <c r="X37" s="1">
        <v>0</v>
      </c>
      <c r="Y37" s="1">
        <f t="shared" si="69"/>
        <v>4</v>
      </c>
      <c r="Z37" s="11">
        <v>647</v>
      </c>
      <c r="AA37" s="11">
        <f t="shared" ref="AA37" si="70">IF(U37&gt;0,IF(V37&gt;U37,V37*Z37,U37*Z37),"")</f>
        <v>6470</v>
      </c>
      <c r="AB37" s="16" t="s">
        <v>58</v>
      </c>
      <c r="AD37" s="2" t="str">
        <f t="shared" si="14"/>
        <v>866-0767</v>
      </c>
      <c r="AE37" s="2">
        <f t="shared" si="15"/>
        <v>10</v>
      </c>
      <c r="AH37" s="2" t="str">
        <f t="shared" si="16"/>
        <v>Allegro Microsystems</v>
      </c>
      <c r="AI37" s="2" t="str">
        <f t="shared" si="4"/>
        <v>Hall-effect current sensor</v>
      </c>
      <c r="AJ37" s="2" t="str">
        <f t="shared" si="5"/>
        <v>ACS723LLCTR-05AB-T</v>
      </c>
      <c r="AK37" s="2" t="str">
        <f t="shared" si="6"/>
        <v>SEN301</v>
      </c>
      <c r="AL37" s="25">
        <f t="shared" si="7"/>
        <v>1</v>
      </c>
      <c r="AM37" s="2">
        <f t="shared" si="8"/>
        <v>8</v>
      </c>
      <c r="AN37" s="26" t="str">
        <f t="shared" si="20"/>
        <v>SMD</v>
      </c>
      <c r="AO37" s="26"/>
      <c r="AP37" s="26"/>
      <c r="AQ37" s="2" t="str">
        <f t="shared" si="9"/>
        <v>SOIC-8</v>
      </c>
    </row>
    <row r="38" spans="1:43" ht="71.650000000000006" thickBot="1" x14ac:dyDescent="0.5">
      <c r="A38" s="14"/>
      <c r="B38" s="15"/>
      <c r="C38" s="10">
        <v>2</v>
      </c>
      <c r="D38" s="1" t="s">
        <v>75</v>
      </c>
      <c r="E38" s="1" t="s">
        <v>74</v>
      </c>
      <c r="F38" s="1"/>
      <c r="G38" s="1" t="s">
        <v>13</v>
      </c>
      <c r="H38" s="1" t="s">
        <v>247</v>
      </c>
      <c r="I38" s="1" t="s">
        <v>295</v>
      </c>
      <c r="J38" s="1">
        <v>8</v>
      </c>
      <c r="K38" s="13"/>
      <c r="L38" s="13"/>
      <c r="M38" s="13"/>
      <c r="N38" s="13"/>
      <c r="O38" s="1" t="s">
        <v>248</v>
      </c>
      <c r="P38" s="1" t="s">
        <v>249</v>
      </c>
      <c r="Q38" s="1" t="s">
        <v>18</v>
      </c>
      <c r="R38" s="1" t="s">
        <v>250</v>
      </c>
      <c r="S38" s="1" t="s">
        <v>74</v>
      </c>
      <c r="T38" s="1" t="str">
        <f t="shared" si="68"/>
        <v>SOIC-8</v>
      </c>
      <c r="U38" s="1">
        <f>C38*3+3</f>
        <v>9</v>
      </c>
      <c r="V38" s="1">
        <v>10</v>
      </c>
      <c r="W38" s="1">
        <f t="shared" si="65"/>
        <v>10</v>
      </c>
      <c r="X38" s="1">
        <v>0</v>
      </c>
      <c r="Y38" s="1">
        <f t="shared" si="69"/>
        <v>1</v>
      </c>
      <c r="Z38" s="11">
        <v>400</v>
      </c>
      <c r="AA38" s="11">
        <f t="shared" ref="AA38:AA40" si="71">IF(U38&gt;0,IF(V38&gt;U38,V38*Z38,U38*Z38),"")</f>
        <v>4000</v>
      </c>
      <c r="AB38" s="16" t="s">
        <v>251</v>
      </c>
      <c r="AD38" s="2" t="str">
        <f t="shared" si="14"/>
        <v>523-7011</v>
      </c>
      <c r="AE38" s="2">
        <f t="shared" si="15"/>
        <v>10</v>
      </c>
      <c r="AH38" s="2" t="str">
        <f t="shared" si="16"/>
        <v>Analog Devices</v>
      </c>
      <c r="AI38" s="2" t="str">
        <f t="shared" si="4"/>
        <v>Voltage reference</v>
      </c>
      <c r="AJ38" s="2" t="str">
        <f t="shared" si="5"/>
        <v>REF195GSZ</v>
      </c>
      <c r="AK38" s="2" t="str">
        <f t="shared" si="6"/>
        <v>VREF1, VREF302</v>
      </c>
      <c r="AL38" s="25">
        <f t="shared" si="7"/>
        <v>2</v>
      </c>
      <c r="AM38" s="2">
        <f t="shared" si="8"/>
        <v>8</v>
      </c>
      <c r="AN38" s="26" t="str">
        <f t="shared" si="20"/>
        <v>SMD</v>
      </c>
      <c r="AO38" s="26"/>
      <c r="AP38" s="26"/>
      <c r="AQ38" s="2" t="str">
        <f t="shared" si="9"/>
        <v>SOIC-8</v>
      </c>
    </row>
    <row r="39" spans="1:43" ht="43.15" thickBot="1" x14ac:dyDescent="0.5">
      <c r="A39" s="14"/>
      <c r="B39" s="15"/>
      <c r="C39" s="10">
        <v>3</v>
      </c>
      <c r="D39" s="1" t="s">
        <v>225</v>
      </c>
      <c r="E39" s="1"/>
      <c r="F39" s="1"/>
      <c r="G39" s="1"/>
      <c r="H39" s="1"/>
      <c r="I39" s="1"/>
      <c r="J39" s="1"/>
      <c r="K39" s="13"/>
      <c r="L39" s="13"/>
      <c r="M39" s="13"/>
      <c r="N39" s="13"/>
      <c r="O39" s="1" t="s">
        <v>252</v>
      </c>
      <c r="P39" s="1" t="s">
        <v>253</v>
      </c>
      <c r="Q39" s="1" t="s">
        <v>18</v>
      </c>
      <c r="R39" s="1" t="s">
        <v>254</v>
      </c>
      <c r="S39" s="1" t="s">
        <v>254</v>
      </c>
      <c r="T39" s="1" t="str">
        <f t="shared" si="68"/>
        <v/>
      </c>
      <c r="U39" s="1">
        <f>C39*3+1</f>
        <v>10</v>
      </c>
      <c r="V39" s="1">
        <v>10</v>
      </c>
      <c r="W39" s="1">
        <f t="shared" ref="W39" si="72">IF(U39&gt;0, IF(V39&gt;U39,V39,U39), "")</f>
        <v>10</v>
      </c>
      <c r="X39" s="1">
        <v>0</v>
      </c>
      <c r="Y39" s="1">
        <f t="shared" si="69"/>
        <v>0</v>
      </c>
      <c r="Z39" s="11">
        <v>224</v>
      </c>
      <c r="AA39" s="11">
        <f t="shared" ref="AA39" si="73">IF(U39&gt;0,IF(V39&gt;U39,V39*Z39,U39*Z39),"")</f>
        <v>2240</v>
      </c>
      <c r="AB39" s="16" t="s">
        <v>255</v>
      </c>
      <c r="AD39" s="2" t="str">
        <f t="shared" si="14"/>
        <v>263-251</v>
      </c>
      <c r="AE39" s="2">
        <f t="shared" si="15"/>
        <v>10</v>
      </c>
    </row>
    <row r="40" spans="1:43" ht="57.4" thickBot="1" x14ac:dyDescent="0.5">
      <c r="A40" s="14"/>
      <c r="B40" s="15"/>
      <c r="C40" s="10">
        <v>1</v>
      </c>
      <c r="D40" s="1" t="s">
        <v>195</v>
      </c>
      <c r="E40" s="1"/>
      <c r="F40" s="1"/>
      <c r="G40" s="1"/>
      <c r="H40" s="1"/>
      <c r="I40" s="1"/>
      <c r="J40" s="1"/>
      <c r="K40" s="13"/>
      <c r="L40" s="13"/>
      <c r="M40" s="13"/>
      <c r="N40" s="13"/>
      <c r="O40" s="1" t="s">
        <v>256</v>
      </c>
      <c r="P40" s="1" t="s">
        <v>258</v>
      </c>
      <c r="Q40" s="1" t="s">
        <v>18</v>
      </c>
      <c r="R40" s="1" t="s">
        <v>257</v>
      </c>
      <c r="S40" s="1" t="s">
        <v>259</v>
      </c>
      <c r="T40" s="1" t="str">
        <f t="shared" si="68"/>
        <v/>
      </c>
      <c r="U40" s="1">
        <f>C40*3</f>
        <v>3</v>
      </c>
      <c r="V40" s="1">
        <v>1</v>
      </c>
      <c r="W40" s="1">
        <f t="shared" si="65"/>
        <v>3</v>
      </c>
      <c r="X40" s="1">
        <v>0</v>
      </c>
      <c r="Y40" s="1">
        <f t="shared" si="69"/>
        <v>0</v>
      </c>
      <c r="Z40" s="11">
        <v>2397</v>
      </c>
      <c r="AA40" s="11">
        <f t="shared" si="71"/>
        <v>7191</v>
      </c>
      <c r="AB40" s="16" t="s">
        <v>260</v>
      </c>
      <c r="AD40" s="2" t="str">
        <f t="shared" si="14"/>
        <v>687-7774</v>
      </c>
      <c r="AE40" s="2">
        <f t="shared" si="15"/>
        <v>3</v>
      </c>
    </row>
    <row r="41" spans="1:43" ht="57.4" thickBot="1" x14ac:dyDescent="0.5">
      <c r="A41" s="14"/>
      <c r="B41" s="15"/>
      <c r="C41" s="10">
        <v>1</v>
      </c>
      <c r="D41" s="1" t="s">
        <v>194</v>
      </c>
      <c r="E41" s="1"/>
      <c r="F41" s="1"/>
      <c r="G41" s="1"/>
      <c r="H41" s="1"/>
      <c r="I41" s="1"/>
      <c r="J41" s="1"/>
      <c r="K41" s="13"/>
      <c r="L41" s="13"/>
      <c r="M41" s="13"/>
      <c r="N41" s="13"/>
      <c r="O41" s="1" t="s">
        <v>264</v>
      </c>
      <c r="P41" s="1" t="s">
        <v>265</v>
      </c>
      <c r="Q41" s="1" t="s">
        <v>149</v>
      </c>
      <c r="R41" s="1" t="s">
        <v>262</v>
      </c>
      <c r="S41" s="1" t="s">
        <v>263</v>
      </c>
      <c r="T41" s="1" t="str">
        <f t="shared" si="68"/>
        <v/>
      </c>
      <c r="U41" s="1">
        <f>C41*3+1</f>
        <v>4</v>
      </c>
      <c r="V41" s="1">
        <v>1</v>
      </c>
      <c r="W41" s="1">
        <f t="shared" ref="W41:W42" si="74">IF(U41&gt;0, IF(V41&gt;U41,V41,U41), "")</f>
        <v>4</v>
      </c>
      <c r="X41" s="1">
        <v>0</v>
      </c>
      <c r="Y41" s="1">
        <f t="shared" si="69"/>
        <v>0</v>
      </c>
      <c r="Z41" s="11">
        <v>1891</v>
      </c>
      <c r="AA41" s="11">
        <f t="shared" ref="AA41" si="75">IF(U41&gt;0,IF(V41&gt;U41,V41*Z41,U41*Z41),"")</f>
        <v>7564</v>
      </c>
      <c r="AB41" s="16" t="s">
        <v>261</v>
      </c>
      <c r="AD41" s="2" t="str">
        <f>IF(R41&gt;0,R41,"")</f>
        <v>237-1391-ND</v>
      </c>
      <c r="AE41" s="2">
        <f t="shared" si="15"/>
        <v>4</v>
      </c>
    </row>
    <row r="42" spans="1:43" ht="43.15" thickBot="1" x14ac:dyDescent="0.5">
      <c r="A42" s="14"/>
      <c r="B42" s="15"/>
      <c r="C42" s="12">
        <v>1</v>
      </c>
      <c r="D42" s="1" t="s">
        <v>59</v>
      </c>
      <c r="E42" s="1"/>
      <c r="F42" s="1"/>
      <c r="G42" s="1"/>
      <c r="H42" s="1"/>
      <c r="I42" s="1"/>
      <c r="J42" s="1"/>
      <c r="K42" s="13"/>
      <c r="L42" s="13"/>
      <c r="M42" s="13"/>
      <c r="N42" s="13"/>
      <c r="O42" s="1" t="s">
        <v>266</v>
      </c>
      <c r="P42" s="1" t="s">
        <v>60</v>
      </c>
      <c r="Q42" s="1" t="s">
        <v>60</v>
      </c>
      <c r="R42" s="1"/>
      <c r="S42" s="1"/>
      <c r="T42" s="1" t="str">
        <f t="shared" si="68"/>
        <v/>
      </c>
      <c r="U42" s="1">
        <v>1</v>
      </c>
      <c r="V42" s="1">
        <v>1</v>
      </c>
      <c r="W42" s="1">
        <f t="shared" si="74"/>
        <v>1</v>
      </c>
      <c r="X42" s="1">
        <v>0</v>
      </c>
      <c r="Y42" s="1">
        <f t="shared" si="69"/>
        <v>0</v>
      </c>
      <c r="Z42" s="11"/>
      <c r="AA42" s="11">
        <f t="shared" si="30"/>
        <v>0</v>
      </c>
      <c r="AB42" s="16"/>
      <c r="AD42" s="2" t="str">
        <f t="shared" si="14"/>
        <v/>
      </c>
      <c r="AE42" s="2">
        <f t="shared" si="15"/>
        <v>1</v>
      </c>
    </row>
    <row r="44" spans="1:43" ht="18" x14ac:dyDescent="0.45">
      <c r="C44" s="30" t="s">
        <v>27</v>
      </c>
      <c r="D44" s="31"/>
      <c r="E44" s="33">
        <f>+SUM(AA3:AA42)</f>
        <v>78159</v>
      </c>
      <c r="F44" s="33"/>
    </row>
  </sheetData>
  <autoFilter ref="A2:AB42" xr:uid="{978F8BCD-D293-470A-90A7-C10C783BCA12}"/>
  <mergeCells count="46">
    <mergeCell ref="AQ1:AQ2"/>
    <mergeCell ref="AD1:AE2"/>
    <mergeCell ref="AN34:AP34"/>
    <mergeCell ref="AN35:AP35"/>
    <mergeCell ref="AN36:AP36"/>
    <mergeCell ref="AN24:AP24"/>
    <mergeCell ref="AN25:AP25"/>
    <mergeCell ref="AN26:AP26"/>
    <mergeCell ref="AN27:AP27"/>
    <mergeCell ref="AN28:AP28"/>
    <mergeCell ref="AN19:AP19"/>
    <mergeCell ref="AN20:AP20"/>
    <mergeCell ref="AN21:AP21"/>
    <mergeCell ref="AN22:AP22"/>
    <mergeCell ref="AN23:AP23"/>
    <mergeCell ref="AN14:AP14"/>
    <mergeCell ref="AN37:AP37"/>
    <mergeCell ref="AN38:AP38"/>
    <mergeCell ref="AN29:AP29"/>
    <mergeCell ref="AN30:AP30"/>
    <mergeCell ref="AN31:AP31"/>
    <mergeCell ref="AN32:AP32"/>
    <mergeCell ref="AN33:AP33"/>
    <mergeCell ref="AN17:AP17"/>
    <mergeCell ref="AN18:AP18"/>
    <mergeCell ref="AN9:AP9"/>
    <mergeCell ref="AN10:AP10"/>
    <mergeCell ref="AN11:AP11"/>
    <mergeCell ref="AN12:AP12"/>
    <mergeCell ref="AN13:AP13"/>
    <mergeCell ref="AN3:AP3"/>
    <mergeCell ref="AN1:AP2"/>
    <mergeCell ref="A1:B1"/>
    <mergeCell ref="C44:D44"/>
    <mergeCell ref="Q1:AB1"/>
    <mergeCell ref="E44:F44"/>
    <mergeCell ref="K1:N1"/>
    <mergeCell ref="C1:H1"/>
    <mergeCell ref="AH1:AM2"/>
    <mergeCell ref="AN4:AP4"/>
    <mergeCell ref="AN5:AP5"/>
    <mergeCell ref="AN6:AP6"/>
    <mergeCell ref="AN7:AP7"/>
    <mergeCell ref="AN8:AP8"/>
    <mergeCell ref="AN15:AP15"/>
    <mergeCell ref="AN16:AP16"/>
  </mergeCells>
  <hyperlinks>
    <hyperlink ref="AB7" r:id="rId1" xr:uid="{69FC6ED1-E9AF-437E-82DB-6AB274C88242}"/>
    <hyperlink ref="AB19" r:id="rId2" xr:uid="{DE238578-DAB6-4CFD-92DD-D21798A5176E}"/>
    <hyperlink ref="AB37" r:id="rId3" xr:uid="{3725D87E-7FFE-4F51-A397-489E5637AA53}"/>
    <hyperlink ref="AB4" r:id="rId4" xr:uid="{3A09ACFB-B6B5-41AD-8C06-0C11F3F80304}"/>
    <hyperlink ref="AB5" r:id="rId5" xr:uid="{A736BFB0-8E18-4D8D-B415-6002EC7585AB}"/>
    <hyperlink ref="AB9" r:id="rId6" xr:uid="{F96A0FB8-BDF9-465E-BFA2-91EF037CA3A1}"/>
    <hyperlink ref="AB12" r:id="rId7" xr:uid="{27D6792A-37C7-4DE2-B1D5-60FAF41E39B3}"/>
    <hyperlink ref="AB13" r:id="rId8" xr:uid="{1A1B3B16-6056-45AA-86D8-712AE4A609FA}"/>
    <hyperlink ref="AB14" r:id="rId9" xr:uid="{AE6C7742-6BEC-401D-BAB0-F531D0797D13}"/>
    <hyperlink ref="AB15" r:id="rId10" xr:uid="{7C5B73F7-6C24-464B-AD07-C2142C3ADEAB}"/>
    <hyperlink ref="AB18" r:id="rId11" xr:uid="{8650C100-B432-4DDD-AF7F-BE2F4C04776F}"/>
    <hyperlink ref="AB21" r:id="rId12" xr:uid="{CD3AFE67-4962-4EF3-A2AE-78B15BA65750}"/>
    <hyperlink ref="AB23" r:id="rId13" xr:uid="{F6B2B464-1382-4CE5-89F0-7CE86BD598A8}"/>
    <hyperlink ref="AB24" r:id="rId14" xr:uid="{95C214B4-C114-48AE-BB6A-F2FA126CAC61}"/>
    <hyperlink ref="AB26" r:id="rId15" xr:uid="{C5357070-904F-4DBE-A333-89C0F0D01B5B}"/>
    <hyperlink ref="AB27" r:id="rId16" xr:uid="{34826E96-DB61-4A2E-B69B-265ED67110A0}"/>
    <hyperlink ref="AB28" r:id="rId17" xr:uid="{74C46890-50A2-41D3-B46E-0B0A10436535}"/>
    <hyperlink ref="AB29" r:id="rId18" xr:uid="{6A89FFCA-9B25-4228-9A8F-43A3C872D33E}"/>
    <hyperlink ref="AB30" r:id="rId19" xr:uid="{2D05A288-80CF-40E9-8F5B-42AFCFD55521}"/>
    <hyperlink ref="AB35" r:id="rId20" xr:uid="{F5447FE5-B14D-4639-AA25-535F7C7FC174}"/>
    <hyperlink ref="AB31" r:id="rId21" xr:uid="{CEC322A3-F7D8-4ECB-B495-96069DE2E341}"/>
    <hyperlink ref="AB36" r:id="rId22" xr:uid="{0D7049F1-2417-4DF7-9590-D303AD2D9DA4}"/>
    <hyperlink ref="AB38" r:id="rId23" xr:uid="{E503ED42-C49E-4590-BEC9-74BDEA5A3F6B}"/>
    <hyperlink ref="AB39" r:id="rId24" xr:uid="{0437FD42-3342-4585-8FD8-BAD692807367}"/>
    <hyperlink ref="AB40" r:id="rId25" xr:uid="{904179C2-C9EB-491B-AC1B-7102493B9CE4}"/>
    <hyperlink ref="AB41" r:id="rId26" xr:uid="{C6335589-4044-46CF-A627-4D0303BD89A8}"/>
    <hyperlink ref="AB6" r:id="rId27" xr:uid="{15FA4884-3840-43A3-8DB8-6B254F442AC5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Charger_dischargerV5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Rojas Hernández</cp:lastModifiedBy>
  <dcterms:created xsi:type="dcterms:W3CDTF">2018-08-28T05:18:42Z</dcterms:created>
  <dcterms:modified xsi:type="dcterms:W3CDTF">2019-07-14T08:08:04Z</dcterms:modified>
</cp:coreProperties>
</file>