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PUBH6002/Excel/"/>
    </mc:Choice>
  </mc:AlternateContent>
  <xr:revisionPtr revIDLastSave="0" documentId="13_ncr:1_{AA1037EF-44D3-074C-9350-5FE54583CFA0}" xr6:coauthVersionLast="47" xr6:coauthVersionMax="47" xr10:uidLastSave="{00000000-0000-0000-0000-000000000000}"/>
  <bookViews>
    <workbookView xWindow="0" yWindow="0" windowWidth="33600" windowHeight="21000" xr2:uid="{A13D0A77-FE40-C341-B537-8CBD16D81474}"/>
  </bookViews>
  <sheets>
    <sheet name="SensSpecPPVNPV" sheetId="1" r:id="rId1"/>
    <sheet name="tTest" sheetId="2" r:id="rId2"/>
    <sheet name="ChiSquared" sheetId="3" r:id="rId3"/>
    <sheet name="FRatio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A4" i="2"/>
  <c r="F2" i="3"/>
  <c r="H2" i="3" s="1"/>
  <c r="I2" i="3" s="1"/>
  <c r="M2" i="4"/>
  <c r="L2" i="4"/>
  <c r="N2" i="4" s="1"/>
  <c r="K2" i="4"/>
  <c r="J2" i="4"/>
  <c r="I2" i="4"/>
  <c r="H2" i="4"/>
  <c r="C2" i="4"/>
  <c r="G2" i="3" l="1"/>
  <c r="K18" i="2"/>
  <c r="L18" i="2"/>
  <c r="I18" i="2"/>
  <c r="M18" i="2" s="1"/>
  <c r="G24" i="2"/>
  <c r="H24" i="2" s="1"/>
  <c r="J24" i="2" s="1"/>
  <c r="K24" i="2" s="1"/>
  <c r="F24" i="2"/>
  <c r="I24" i="2" s="1"/>
  <c r="J18" i="2"/>
  <c r="I11" i="2"/>
  <c r="M11" i="2" s="1"/>
  <c r="J11" i="2"/>
  <c r="K11" i="2" s="1"/>
  <c r="N11" i="2" s="1"/>
  <c r="O11" i="2" s="1"/>
  <c r="L11" i="2" l="1"/>
  <c r="N18" i="2"/>
  <c r="O18" i="2" s="1"/>
  <c r="C4" i="2" l="1"/>
  <c r="B7" i="1" l="1"/>
  <c r="B6" i="1"/>
  <c r="B9" i="1" l="1"/>
  <c r="B8" i="1"/>
</calcChain>
</file>

<file path=xl/sharedStrings.xml><?xml version="1.0" encoding="utf-8"?>
<sst xmlns="http://schemas.openxmlformats.org/spreadsheetml/2006/main" count="88" uniqueCount="58">
  <si>
    <t>Test positive</t>
  </si>
  <si>
    <t>Test negative</t>
  </si>
  <si>
    <t>Has disease</t>
  </si>
  <si>
    <t>Does not have diease</t>
  </si>
  <si>
    <t>Prevalence</t>
  </si>
  <si>
    <t>Sensitivity</t>
  </si>
  <si>
    <t>Specificity</t>
  </si>
  <si>
    <t>TP</t>
  </si>
  <si>
    <t>FP</t>
  </si>
  <si>
    <t>FN</t>
  </si>
  <si>
    <t>TN</t>
  </si>
  <si>
    <t>PPV</t>
  </si>
  <si>
    <t>NPV</t>
  </si>
  <si>
    <t>Variance Test</t>
  </si>
  <si>
    <t>Ratio</t>
  </si>
  <si>
    <t>Level of significance</t>
  </si>
  <si>
    <t>T statistic</t>
  </si>
  <si>
    <t>Critical T statistic</t>
  </si>
  <si>
    <t>p</t>
  </si>
  <si>
    <t>Degrees of freedom</t>
  </si>
  <si>
    <t>Sample 1 mean</t>
  </si>
  <si>
    <t>Sample 2 mean</t>
  </si>
  <si>
    <t>Sample 1 standard deviation</t>
  </si>
  <si>
    <t>Sample 2 standard deviation</t>
  </si>
  <si>
    <t>Sample 1 size</t>
  </si>
  <si>
    <t>Sample 2 size</t>
  </si>
  <si>
    <t>Standard error</t>
  </si>
  <si>
    <t>Test statistic</t>
  </si>
  <si>
    <t>Decimal places</t>
  </si>
  <si>
    <t>Sample 1 variance</t>
  </si>
  <si>
    <t>Sample 2 variance</t>
  </si>
  <si>
    <t>Test conclusion</t>
  </si>
  <si>
    <t>Two-tailed equal variance t test</t>
  </si>
  <si>
    <t>Two-tailed unequal variance t test</t>
  </si>
  <si>
    <t>Two-tailed paired t test</t>
  </si>
  <si>
    <t>Mean difference</t>
  </si>
  <si>
    <t>Standard deviation of difference</t>
  </si>
  <si>
    <t>Sample size</t>
  </si>
  <si>
    <t>Lower critical T statistic</t>
  </si>
  <si>
    <t>Upper critical T statistic</t>
  </si>
  <si>
    <t>Lower critical t statistic</t>
  </si>
  <si>
    <t>Sum or squares due to the residual (SSE)</t>
  </si>
  <si>
    <t>Sum of squares due to the regression (SSR)</t>
  </si>
  <si>
    <t>Total sum of squares (SST)</t>
  </si>
  <si>
    <t>Number of parameters in model</t>
  </si>
  <si>
    <t>MSE</t>
  </si>
  <si>
    <t>MSR</t>
  </si>
  <si>
    <t>Numerator degrees of freedom</t>
  </si>
  <si>
    <t>F statistic</t>
  </si>
  <si>
    <t>Critical F value</t>
  </si>
  <si>
    <t>p value</t>
  </si>
  <si>
    <t>Coefficient of determination</t>
  </si>
  <si>
    <t>Adjusted coefficient of determination</t>
  </si>
  <si>
    <t>Reject null hypothesis</t>
  </si>
  <si>
    <t>Denominator degrees of freedom</t>
  </si>
  <si>
    <t>Number of classes in explanatory variable</t>
  </si>
  <si>
    <t>Number of classes in response variable</t>
  </si>
  <si>
    <t>Critical test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</si>
</sst>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666666"/>
      </patternFill>
    </fill>
    <fill>
      <patternFill patternType="solid">
        <fgColor theme="0" tint="-0.249977111117893"/>
        <bgColor rgb="FFD9D9D9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FC00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3" fillId="6" borderId="0" xfId="0" applyFont="1" applyFill="1"/>
    <xf numFmtId="0" fontId="0" fillId="8" borderId="0" xfId="0" applyFill="1"/>
    <xf numFmtId="0" fontId="0" fillId="9" borderId="0" xfId="0" applyFill="1"/>
    <xf numFmtId="0" fontId="4" fillId="9" borderId="0" xfId="0" applyFont="1" applyFill="1"/>
    <xf numFmtId="0" fontId="1" fillId="11" borderId="0" xfId="0" applyFont="1" applyFill="1"/>
    <xf numFmtId="0" fontId="4" fillId="12" borderId="0" xfId="0" applyFont="1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9FEF-4ACF-C44D-997D-AA864121DB31}">
  <dimension ref="A1:G9"/>
  <sheetViews>
    <sheetView tabSelected="1" zoomScale="150" zoomScaleNormal="150" workbookViewId="0">
      <selection activeCell="B6" sqref="B6"/>
    </sheetView>
  </sheetViews>
  <sheetFormatPr baseColWidth="10" defaultRowHeight="16" x14ac:dyDescent="0.2"/>
  <cols>
    <col min="1" max="1" width="12.1640625" bestFit="1" customWidth="1"/>
    <col min="2" max="2" width="10.83203125" bestFit="1" customWidth="1"/>
    <col min="3" max="3" width="18.6640625" bestFit="1" customWidth="1"/>
  </cols>
  <sheetData>
    <row r="1" spans="1:7" x14ac:dyDescent="0.2">
      <c r="B1" s="5" t="s">
        <v>2</v>
      </c>
      <c r="C1" s="5" t="s">
        <v>3</v>
      </c>
    </row>
    <row r="2" spans="1:7" x14ac:dyDescent="0.2">
      <c r="A2" s="5" t="s">
        <v>0</v>
      </c>
      <c r="B2" s="1">
        <v>220</v>
      </c>
      <c r="C2" s="1">
        <v>81</v>
      </c>
      <c r="F2" t="s">
        <v>7</v>
      </c>
      <c r="G2" t="s">
        <v>8</v>
      </c>
    </row>
    <row r="3" spans="1:7" x14ac:dyDescent="0.2">
      <c r="A3" s="5" t="s">
        <v>1</v>
      </c>
      <c r="B3" s="1">
        <v>98</v>
      </c>
      <c r="C3" s="1">
        <v>402</v>
      </c>
      <c r="F3" t="s">
        <v>9</v>
      </c>
      <c r="G3" t="s">
        <v>10</v>
      </c>
    </row>
    <row r="5" spans="1:7" x14ac:dyDescent="0.2">
      <c r="A5" s="4" t="s">
        <v>4</v>
      </c>
      <c r="B5" s="1">
        <v>0.05</v>
      </c>
    </row>
    <row r="6" spans="1:7" x14ac:dyDescent="0.2">
      <c r="A6" s="4" t="s">
        <v>5</v>
      </c>
      <c r="B6" s="2">
        <f>B2/(B2+B3)</f>
        <v>0.69182389937106914</v>
      </c>
    </row>
    <row r="7" spans="1:7" x14ac:dyDescent="0.2">
      <c r="A7" s="4" t="s">
        <v>6</v>
      </c>
      <c r="B7" s="2">
        <f>C3/(C3+C2)</f>
        <v>0.83229813664596275</v>
      </c>
    </row>
    <row r="8" spans="1:7" x14ac:dyDescent="0.2">
      <c r="A8" s="4" t="s">
        <v>11</v>
      </c>
      <c r="B8" s="3">
        <f>(B6*B5)/((B6*B5)+((1-B7)*(1-B5)))</f>
        <v>0.17838975794997836</v>
      </c>
    </row>
    <row r="9" spans="1:7" x14ac:dyDescent="0.2">
      <c r="A9" s="4" t="s">
        <v>12</v>
      </c>
      <c r="B9" s="2">
        <f>(B7*(1-B5))/((B7*(1-B5))+((1-B6)*(B5)))</f>
        <v>0.980884558629329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0B84-AD9B-114E-884F-A5FEC95226DF}">
  <dimension ref="A1:O24"/>
  <sheetViews>
    <sheetView zoomScale="110" zoomScaleNormal="110" workbookViewId="0">
      <selection activeCell="G11" sqref="G11"/>
    </sheetView>
  </sheetViews>
  <sheetFormatPr baseColWidth="10" defaultRowHeight="16" x14ac:dyDescent="0.2"/>
  <cols>
    <col min="1" max="1" width="29.6640625" bestFit="1" customWidth="1"/>
    <col min="2" max="2" width="16.33203125" bestFit="1" customWidth="1"/>
    <col min="3" max="4" width="24.83203125" bestFit="1" customWidth="1"/>
    <col min="5" max="5" width="12.5" bestFit="1" customWidth="1"/>
    <col min="6" max="6" width="17.6640625" bestFit="1" customWidth="1"/>
    <col min="7" max="7" width="17.83203125" customWidth="1"/>
    <col min="8" max="8" width="13.5" bestFit="1" customWidth="1"/>
    <col min="9" max="9" width="17.6640625" bestFit="1" customWidth="1"/>
    <col min="10" max="10" width="13" bestFit="1" customWidth="1"/>
    <col min="11" max="11" width="13.6640625" bestFit="1" customWidth="1"/>
    <col min="12" max="13" width="20.83203125" bestFit="1" customWidth="1"/>
    <col min="14" max="14" width="12.5" bestFit="1" customWidth="1"/>
    <col min="15" max="15" width="21.33203125" customWidth="1"/>
  </cols>
  <sheetData>
    <row r="1" spans="1:15" x14ac:dyDescent="0.2">
      <c r="A1" t="s">
        <v>13</v>
      </c>
    </row>
    <row r="3" spans="1:15" x14ac:dyDescent="0.2">
      <c r="A3" s="5" t="s">
        <v>29</v>
      </c>
      <c r="B3" s="5" t="s">
        <v>30</v>
      </c>
      <c r="C3" s="5" t="s">
        <v>14</v>
      </c>
    </row>
    <row r="4" spans="1:15" x14ac:dyDescent="0.2">
      <c r="A4" s="1">
        <f>4.1^2</f>
        <v>16.809999999999999</v>
      </c>
      <c r="B4" s="1">
        <f>4.3^2</f>
        <v>18.489999999999998</v>
      </c>
      <c r="C4" s="9">
        <f>A4/B4</f>
        <v>0.9091400757166036</v>
      </c>
    </row>
    <row r="8" spans="1:15" x14ac:dyDescent="0.2">
      <c r="A8" t="s">
        <v>32</v>
      </c>
    </row>
    <row r="10" spans="1:15" x14ac:dyDescent="0.2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15</v>
      </c>
      <c r="H10" s="6" t="s">
        <v>28</v>
      </c>
      <c r="I10" s="6" t="s">
        <v>19</v>
      </c>
      <c r="J10" s="6" t="s">
        <v>26</v>
      </c>
      <c r="K10" s="6" t="s">
        <v>16</v>
      </c>
      <c r="L10" s="6" t="s">
        <v>38</v>
      </c>
      <c r="M10" s="6" t="s">
        <v>39</v>
      </c>
      <c r="N10" s="6" t="s">
        <v>18</v>
      </c>
      <c r="O10" s="6" t="s">
        <v>31</v>
      </c>
    </row>
    <row r="11" spans="1:15" x14ac:dyDescent="0.2">
      <c r="A11" s="7">
        <v>33.4</v>
      </c>
      <c r="B11" s="7">
        <v>31.4</v>
      </c>
      <c r="C11" s="7">
        <v>4.0999999999999996</v>
      </c>
      <c r="D11" s="7">
        <v>4.3</v>
      </c>
      <c r="E11" s="7">
        <v>48</v>
      </c>
      <c r="F11" s="7">
        <v>52</v>
      </c>
      <c r="G11" s="7">
        <v>0.05</v>
      </c>
      <c r="H11" s="7">
        <v>5</v>
      </c>
      <c r="I11" s="10">
        <f>E11+F11-2</f>
        <v>98</v>
      </c>
      <c r="J11" s="10">
        <f>ROUND(SQRT(((((E11-1)*(C11^2))+((F11-1)*(D11^2)))/(E11+F11-2))*((1/E11)+(1/F11))),H11)</f>
        <v>0.84172999999999998</v>
      </c>
      <c r="K11" s="10">
        <f>ROUND((A11-B11)/J11,H11)</f>
        <v>2.3760599999999998</v>
      </c>
      <c r="L11" s="9">
        <f>ROUND(_xlfn.T.INV(G11/2,I11),H11)</f>
        <v>-1.98447</v>
      </c>
      <c r="M11" s="9">
        <f>ROUND(_xlfn.T.INV(1-G11/2,I11),H11)</f>
        <v>1.98447</v>
      </c>
      <c r="N11" s="9">
        <f>ROUND(_xlfn.T.DIST.2T(ABS(K11),I11),H11)</f>
        <v>1.9439999999999999E-2</v>
      </c>
      <c r="O11" s="9" t="str">
        <f>IF(N11&lt;G11,"Reject","Fail to reject")</f>
        <v>Reject</v>
      </c>
    </row>
    <row r="15" spans="1:15" x14ac:dyDescent="0.2">
      <c r="A15" t="s">
        <v>33</v>
      </c>
    </row>
    <row r="17" spans="1:15" x14ac:dyDescent="0.2">
      <c r="A17" s="8" t="s">
        <v>20</v>
      </c>
      <c r="B17" s="8" t="s">
        <v>21</v>
      </c>
      <c r="C17" s="8" t="s">
        <v>22</v>
      </c>
      <c r="D17" s="8" t="s">
        <v>23</v>
      </c>
      <c r="E17" s="8" t="s">
        <v>24</v>
      </c>
      <c r="F17" s="8" t="s">
        <v>25</v>
      </c>
      <c r="G17" s="8" t="s">
        <v>15</v>
      </c>
      <c r="H17" s="8" t="s">
        <v>28</v>
      </c>
      <c r="I17" s="8" t="s">
        <v>19</v>
      </c>
      <c r="J17" s="8" t="s">
        <v>26</v>
      </c>
      <c r="K17" s="8" t="s">
        <v>16</v>
      </c>
      <c r="L17" s="8" t="s">
        <v>40</v>
      </c>
      <c r="M17" s="8" t="s">
        <v>39</v>
      </c>
      <c r="N17" s="8" t="s">
        <v>18</v>
      </c>
      <c r="O17" s="8" t="s">
        <v>31</v>
      </c>
    </row>
    <row r="18" spans="1:15" x14ac:dyDescent="0.2">
      <c r="A18" s="7">
        <v>85</v>
      </c>
      <c r="B18" s="7">
        <v>80</v>
      </c>
      <c r="C18" s="7">
        <v>2.65</v>
      </c>
      <c r="D18" s="7">
        <v>1.73</v>
      </c>
      <c r="E18" s="7">
        <v>100</v>
      </c>
      <c r="F18" s="7">
        <v>100</v>
      </c>
      <c r="G18" s="7">
        <v>0.05</v>
      </c>
      <c r="H18" s="7">
        <v>5</v>
      </c>
      <c r="I18" s="9">
        <f>_xlfn.FLOOR.MATH(((((C18^2)/E18)+((D18^2)/F18))^2)/(((((C18^2)/E18)^2)/(E18-1))+((((D18^2)/F18)^2)/(F18-1))))</f>
        <v>170</v>
      </c>
      <c r="J18" s="9">
        <f>ROUND(SQRT(((C18^2)/A18)+((D18^2)/B18)),H18)</f>
        <v>0.34644999999999998</v>
      </c>
      <c r="K18" s="10">
        <f>ROUND((A18-B18)/(SQRT(((C18^2)/E18)+((D18^2)/F18))),H18)</f>
        <v>15.79923</v>
      </c>
      <c r="L18" s="9">
        <f>ROUND(_xlfn.T.INV(G18/2,I18),H18)</f>
        <v>-1.9740200000000001</v>
      </c>
      <c r="M18" s="9">
        <f>ROUND(_xlfn.T.INV(1-G18/2,I18),H18)</f>
        <v>1.9740200000000001</v>
      </c>
      <c r="N18" s="9">
        <f>ROUND(_xlfn.T.DIST.2T(ABS(K18),I18),H18)</f>
        <v>0</v>
      </c>
      <c r="O18" s="10" t="str">
        <f>IF(N18&lt;G18,"Reject","Fail to reject")</f>
        <v>Reject</v>
      </c>
    </row>
    <row r="21" spans="1:15" x14ac:dyDescent="0.2">
      <c r="A21" t="s">
        <v>34</v>
      </c>
    </row>
    <row r="23" spans="1:15" x14ac:dyDescent="0.2">
      <c r="A23" s="5" t="s">
        <v>35</v>
      </c>
      <c r="B23" s="5" t="s">
        <v>36</v>
      </c>
      <c r="C23" s="5" t="s">
        <v>37</v>
      </c>
      <c r="D23" s="5" t="s">
        <v>15</v>
      </c>
      <c r="E23" s="5" t="s">
        <v>28</v>
      </c>
      <c r="F23" s="5" t="s">
        <v>19</v>
      </c>
      <c r="G23" s="5" t="s">
        <v>26</v>
      </c>
      <c r="H23" s="5" t="s">
        <v>27</v>
      </c>
      <c r="I23" s="5" t="s">
        <v>17</v>
      </c>
      <c r="J23" s="5" t="s">
        <v>18</v>
      </c>
      <c r="K23" s="5" t="s">
        <v>31</v>
      </c>
    </row>
    <row r="24" spans="1:15" x14ac:dyDescent="0.2">
      <c r="A24" s="1">
        <v>1.1399999999999999</v>
      </c>
      <c r="B24" s="1">
        <v>12.22</v>
      </c>
      <c r="C24" s="1">
        <v>8</v>
      </c>
      <c r="D24" s="1">
        <v>0.05</v>
      </c>
      <c r="E24" s="1">
        <v>3</v>
      </c>
      <c r="F24" s="9">
        <f>C24-1</f>
        <v>7</v>
      </c>
      <c r="G24" s="9">
        <f>ROUND(B24/SQRT(C24),E24)</f>
        <v>4.32</v>
      </c>
      <c r="H24" s="9">
        <f>ROUND(A24/G24,E24)</f>
        <v>0.26400000000000001</v>
      </c>
      <c r="I24" s="9">
        <f>ROUND(_xlfn.T.INV(1-D24/2,F24),E24)</f>
        <v>2.3650000000000002</v>
      </c>
      <c r="J24" s="9">
        <f>ROUND(_xlfn.T.DIST.2T(ABS(H24),F24),E24)</f>
        <v>0.79900000000000004</v>
      </c>
      <c r="K24" s="9" t="str">
        <f>IF(J24&lt;D24,"Reject","Fail to reject")</f>
        <v>Fail to reject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A752-A868-5242-8184-B4EDE0B6D7C1}">
  <dimension ref="A1:I2"/>
  <sheetViews>
    <sheetView workbookViewId="0">
      <selection activeCell="F2" sqref="F2"/>
    </sheetView>
  </sheetViews>
  <sheetFormatPr baseColWidth="10" defaultRowHeight="16" x14ac:dyDescent="0.2"/>
  <cols>
    <col min="1" max="1" width="11.6640625" bestFit="1" customWidth="1"/>
    <col min="2" max="3" width="36" bestFit="1" customWidth="1"/>
    <col min="4" max="4" width="17.83203125" bestFit="1" customWidth="1"/>
    <col min="5" max="6" width="17.6640625" bestFit="1" customWidth="1"/>
    <col min="7" max="7" width="17.6640625" customWidth="1"/>
    <col min="8" max="8" width="7" bestFit="1" customWidth="1"/>
    <col min="9" max="9" width="24.5" bestFit="1" customWidth="1"/>
  </cols>
  <sheetData>
    <row r="1" spans="1:9" x14ac:dyDescent="0.2">
      <c r="A1" s="8" t="s">
        <v>27</v>
      </c>
      <c r="B1" s="8" t="s">
        <v>55</v>
      </c>
      <c r="C1" s="8" t="s">
        <v>56</v>
      </c>
      <c r="D1" s="8" t="s">
        <v>15</v>
      </c>
      <c r="E1" s="8" t="s">
        <v>28</v>
      </c>
      <c r="F1" s="8" t="s">
        <v>19</v>
      </c>
      <c r="G1" s="8" t="s">
        <v>57</v>
      </c>
      <c r="H1" s="8" t="s">
        <v>18</v>
      </c>
      <c r="I1" s="8" t="s">
        <v>31</v>
      </c>
    </row>
    <row r="2" spans="1:9" x14ac:dyDescent="0.2">
      <c r="A2" s="7">
        <v>6.3</v>
      </c>
      <c r="B2" s="7">
        <v>2</v>
      </c>
      <c r="C2" s="7">
        <v>2</v>
      </c>
      <c r="D2" s="7">
        <v>0.05</v>
      </c>
      <c r="E2" s="7">
        <v>3</v>
      </c>
      <c r="F2" s="9">
        <f>(B2-1)*(C2-1)</f>
        <v>1</v>
      </c>
      <c r="G2" s="9">
        <f>ROUND(_xlfn.CHISQ.INV(1-D2,F2),E2)</f>
        <v>3.8410000000000002</v>
      </c>
      <c r="H2" s="11">
        <f>ROUND(1-_xlfn.CHISQ.DIST(A2,F2,TRUE),E2)</f>
        <v>1.2E-2</v>
      </c>
      <c r="I2" s="10" t="str">
        <f>IF(H2&lt;D2,"Reject null hypothesis","Fail to reject null hypothesis")</f>
        <v>Reject null hypothesis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5FF0-AD0D-4144-914E-C63AE6BDCA84}">
  <dimension ref="A1:Q2"/>
  <sheetViews>
    <sheetView topLeftCell="N1" workbookViewId="0">
      <selection activeCell="M25" sqref="M25"/>
    </sheetView>
  </sheetViews>
  <sheetFormatPr baseColWidth="10" defaultRowHeight="16" x14ac:dyDescent="0.2"/>
  <cols>
    <col min="1" max="1" width="37.5" bestFit="1" customWidth="1"/>
    <col min="2" max="2" width="35.1640625" bestFit="1" customWidth="1"/>
    <col min="3" max="3" width="23.5" bestFit="1" customWidth="1"/>
    <col min="4" max="4" width="11" bestFit="1" customWidth="1"/>
    <col min="5" max="5" width="28.1640625" bestFit="1" customWidth="1"/>
    <col min="6" max="6" width="17.83203125" bestFit="1" customWidth="1"/>
    <col min="7" max="7" width="13.5" bestFit="1" customWidth="1"/>
    <col min="8" max="9" width="8.1640625" bestFit="1" customWidth="1"/>
    <col min="10" max="10" width="27.33203125" bestFit="1" customWidth="1"/>
    <col min="11" max="11" width="29" bestFit="1" customWidth="1"/>
    <col min="12" max="12" width="9.1640625" bestFit="1" customWidth="1"/>
    <col min="13" max="13" width="13.1640625" bestFit="1" customWidth="1"/>
    <col min="14" max="14" width="8.1640625" bestFit="1" customWidth="1"/>
    <col min="15" max="15" width="19.1640625" bestFit="1" customWidth="1"/>
    <col min="16" max="16" width="24.6640625" bestFit="1" customWidth="1"/>
    <col min="17" max="17" width="32.5" bestFit="1" customWidth="1"/>
  </cols>
  <sheetData>
    <row r="1" spans="1:17" x14ac:dyDescent="0.2">
      <c r="A1" s="12" t="s">
        <v>42</v>
      </c>
      <c r="B1" s="12" t="s">
        <v>41</v>
      </c>
      <c r="C1" s="12" t="s">
        <v>43</v>
      </c>
      <c r="D1" s="12" t="s">
        <v>37</v>
      </c>
      <c r="E1" s="12" t="s">
        <v>44</v>
      </c>
      <c r="F1" s="12" t="s">
        <v>15</v>
      </c>
      <c r="G1" s="12" t="s">
        <v>28</v>
      </c>
      <c r="H1" s="12" t="s">
        <v>46</v>
      </c>
      <c r="I1" s="12" t="s">
        <v>45</v>
      </c>
      <c r="J1" s="12" t="s">
        <v>47</v>
      </c>
      <c r="K1" s="12" t="s">
        <v>54</v>
      </c>
      <c r="L1" s="12" t="s">
        <v>48</v>
      </c>
      <c r="M1" s="12" t="s">
        <v>49</v>
      </c>
      <c r="N1" s="12" t="s">
        <v>50</v>
      </c>
      <c r="O1" s="12" t="s">
        <v>31</v>
      </c>
      <c r="P1" s="12" t="s">
        <v>51</v>
      </c>
      <c r="Q1" s="12" t="s">
        <v>52</v>
      </c>
    </row>
    <row r="2" spans="1:17" x14ac:dyDescent="0.2">
      <c r="A2" s="13">
        <v>13200.3</v>
      </c>
      <c r="B2" s="13">
        <v>34373.4</v>
      </c>
      <c r="C2" s="13">
        <f>A2+B2</f>
        <v>47573.7</v>
      </c>
      <c r="D2" s="13">
        <v>100</v>
      </c>
      <c r="E2" s="13">
        <v>2</v>
      </c>
      <c r="F2" s="13">
        <v>0.05</v>
      </c>
      <c r="G2" s="13">
        <v>5</v>
      </c>
      <c r="H2" s="14">
        <f>ROUND(A2-(E2-1),G2)</f>
        <v>13199.3</v>
      </c>
      <c r="I2" s="14">
        <f>ROUND(B2-(D2-E2),G2)</f>
        <v>34275.4</v>
      </c>
      <c r="J2" s="14">
        <f>E2-1</f>
        <v>1</v>
      </c>
      <c r="K2" s="14">
        <f>D2-E2</f>
        <v>98</v>
      </c>
      <c r="L2" s="14">
        <f>ROUND(H2/I2,G2)</f>
        <v>0.3851</v>
      </c>
      <c r="M2" s="14">
        <f>ROUND(_xlfn.F.INV(1-F2,J2,K2),G2)</f>
        <v>3.93811</v>
      </c>
      <c r="N2" s="14">
        <f>ROUND(_xlfn.F.DIST(L2,J2,K2,TRUE),G2)</f>
        <v>0.46367000000000003</v>
      </c>
      <c r="O2" s="14" t="s">
        <v>53</v>
      </c>
      <c r="P2" s="14">
        <v>0.27750000000000002</v>
      </c>
      <c r="Q2" s="14">
        <v>0.28489999999999999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SensSpecPPVNPV</vt:lpstr>
      <vt:lpstr>tTest</vt:lpstr>
      <vt:lpstr>ChiSquared</vt:lpstr>
      <vt:lpstr>FRatioTest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Klopper, Juan Hein</cp:lastModifiedBy>
  <dcterms:created xsi:type="dcterms:W3CDTF">2023-05-22T11:30:53Z</dcterms:created>
  <dcterms:modified xsi:type="dcterms:W3CDTF">2024-01-26T16:25:23Z</dcterms:modified>
</cp:coreProperties>
</file>