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18A0E8A-7ECB-4C7A-84DE-8544FC45F7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1" l="1"/>
  <c r="R24" i="1"/>
  <c r="T24" i="1"/>
  <c r="R22" i="1"/>
  <c r="T18" i="1"/>
  <c r="I1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AH5" i="1" l="1"/>
  <c r="AI5" i="1" s="1"/>
  <c r="AH6" i="1"/>
  <c r="AI6" i="1" s="1"/>
  <c r="AH7" i="1"/>
  <c r="AH8" i="1"/>
  <c r="AI8" i="1" s="1"/>
  <c r="AH9" i="1"/>
  <c r="AI9" i="1" s="1"/>
  <c r="AH4" i="1"/>
  <c r="AI4" i="1" s="1"/>
  <c r="AI3" i="1"/>
  <c r="AI7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" i="1"/>
  <c r="AD19" i="1" l="1"/>
  <c r="T16" i="1" l="1"/>
  <c r="T17" i="1"/>
  <c r="AD16" i="1"/>
  <c r="T15" i="1"/>
  <c r="T27" i="1" l="1"/>
  <c r="T26" i="1"/>
  <c r="AD26" i="1"/>
  <c r="AD27" i="1"/>
  <c r="P27" i="1"/>
  <c r="AJ27" i="1" s="1"/>
  <c r="J27" i="1"/>
  <c r="I27" i="1"/>
  <c r="I26" i="1"/>
  <c r="J26" i="1"/>
  <c r="V27" i="1"/>
  <c r="V26" i="1"/>
  <c r="M27" i="1"/>
  <c r="M26" i="1"/>
  <c r="P26" i="1"/>
  <c r="AJ26" i="1" s="1"/>
  <c r="T4" i="1" l="1"/>
  <c r="T5" i="1"/>
  <c r="T6" i="1"/>
  <c r="T7" i="1"/>
  <c r="T8" i="1"/>
  <c r="T9" i="1"/>
  <c r="AD3" i="1"/>
  <c r="AD10" i="1"/>
  <c r="AD11" i="1"/>
  <c r="AD12" i="1"/>
  <c r="AD13" i="1"/>
  <c r="AD14" i="1"/>
  <c r="AD15" i="1"/>
  <c r="AD17" i="1"/>
  <c r="AD18" i="1"/>
  <c r="AD20" i="1"/>
  <c r="AD21" i="1"/>
  <c r="AD22" i="1"/>
  <c r="AD23" i="1"/>
  <c r="AD24" i="1"/>
  <c r="AD25" i="1"/>
  <c r="AD2" i="1"/>
  <c r="T10" i="1"/>
  <c r="R25" i="1"/>
  <c r="T25" i="1" s="1"/>
  <c r="R23" i="1"/>
  <c r="T23" i="1" s="1"/>
  <c r="T22" i="1"/>
  <c r="R21" i="1"/>
  <c r="T21" i="1"/>
  <c r="R20" i="1"/>
  <c r="T20" i="1" s="1"/>
  <c r="J25" i="1" l="1"/>
  <c r="J24" i="1"/>
  <c r="V25" i="1"/>
  <c r="P25" i="1"/>
  <c r="AJ25" i="1" s="1"/>
  <c r="V24" i="1"/>
  <c r="P24" i="1"/>
  <c r="AJ24" i="1" s="1"/>
  <c r="M24" i="1"/>
  <c r="M25" i="1"/>
  <c r="J23" i="1"/>
  <c r="J22" i="1"/>
  <c r="J21" i="1"/>
  <c r="J20" i="1"/>
  <c r="P20" i="1"/>
  <c r="AJ20" i="1" s="1"/>
  <c r="P21" i="1"/>
  <c r="AJ21" i="1" s="1"/>
  <c r="P22" i="1"/>
  <c r="AJ22" i="1" s="1"/>
  <c r="P23" i="1"/>
  <c r="AJ23" i="1" s="1"/>
  <c r="V23" i="1"/>
  <c r="V22" i="1"/>
  <c r="V21" i="1"/>
  <c r="V20" i="1"/>
  <c r="M21" i="1"/>
  <c r="M22" i="1"/>
  <c r="M23" i="1"/>
  <c r="M20" i="1"/>
  <c r="V19" i="1" l="1"/>
  <c r="P19" i="1"/>
  <c r="AJ19" i="1" s="1"/>
  <c r="O19" i="1"/>
  <c r="T19" i="1" s="1"/>
  <c r="M19" i="1"/>
  <c r="J19" i="1"/>
  <c r="I19" i="1"/>
  <c r="J18" i="1"/>
  <c r="I18" i="1"/>
  <c r="P18" i="1"/>
  <c r="AJ18" i="1" s="1"/>
  <c r="V18" i="1"/>
  <c r="M18" i="1"/>
  <c r="V17" i="1"/>
  <c r="P17" i="1"/>
  <c r="AJ17" i="1" s="1"/>
  <c r="M17" i="1"/>
  <c r="J17" i="1"/>
  <c r="I17" i="1"/>
  <c r="V16" i="1"/>
  <c r="P16" i="1"/>
  <c r="AJ16" i="1" s="1"/>
  <c r="M16" i="1"/>
  <c r="I16" i="1"/>
  <c r="J16" i="1"/>
  <c r="V15" i="1"/>
  <c r="P15" i="1"/>
  <c r="AJ15" i="1" s="1"/>
  <c r="M15" i="1"/>
  <c r="J15" i="1"/>
  <c r="I15" i="1"/>
  <c r="V14" i="1"/>
  <c r="P14" i="1"/>
  <c r="AJ14" i="1" s="1"/>
  <c r="M14" i="1"/>
  <c r="J14" i="1"/>
  <c r="I14" i="1"/>
  <c r="V13" i="1"/>
  <c r="T13" i="1"/>
  <c r="P13" i="1"/>
  <c r="AJ13" i="1" s="1"/>
  <c r="M13" i="1"/>
  <c r="J13" i="1"/>
  <c r="I13" i="1"/>
  <c r="V12" i="1"/>
  <c r="T12" i="1"/>
  <c r="P12" i="1"/>
  <c r="AJ12" i="1" s="1"/>
  <c r="M12" i="1"/>
  <c r="J12" i="1"/>
  <c r="V11" i="1"/>
  <c r="P11" i="1"/>
  <c r="O11" i="1"/>
  <c r="T11" i="1" s="1"/>
  <c r="M11" i="1"/>
  <c r="I11" i="1"/>
  <c r="J11" i="1"/>
  <c r="P10" i="1"/>
  <c r="AJ10" i="1" s="1"/>
  <c r="I10" i="1"/>
  <c r="J10" i="1"/>
  <c r="V10" i="1"/>
  <c r="M10" i="1"/>
  <c r="V4" i="1"/>
  <c r="V5" i="1"/>
  <c r="V6" i="1"/>
  <c r="V7" i="1"/>
  <c r="V8" i="1"/>
  <c r="V9" i="1"/>
  <c r="P4" i="1"/>
  <c r="AJ4" i="1" s="1"/>
  <c r="P5" i="1"/>
  <c r="AJ5" i="1" s="1"/>
  <c r="P6" i="1"/>
  <c r="AJ6" i="1" s="1"/>
  <c r="P7" i="1"/>
  <c r="AJ7" i="1" s="1"/>
  <c r="P8" i="1"/>
  <c r="AJ8" i="1" s="1"/>
  <c r="P9" i="1"/>
  <c r="AJ9" i="1" s="1"/>
  <c r="M4" i="1"/>
  <c r="M5" i="1"/>
  <c r="M6" i="1"/>
  <c r="M7" i="1"/>
  <c r="M8" i="1"/>
  <c r="M9" i="1"/>
  <c r="J5" i="1"/>
  <c r="J4" i="1"/>
  <c r="J6" i="1"/>
  <c r="J7" i="1"/>
  <c r="J8" i="1"/>
  <c r="J9" i="1"/>
  <c r="P3" i="1"/>
  <c r="AJ3" i="1" s="1"/>
  <c r="P2" i="1"/>
  <c r="AJ2" i="1" s="1"/>
  <c r="J3" i="1"/>
  <c r="J2" i="1"/>
  <c r="V3" i="1"/>
  <c r="V2" i="1"/>
  <c r="M3" i="1"/>
  <c r="M2" i="1"/>
  <c r="AJ11" i="1" l="1"/>
</calcChain>
</file>

<file path=xl/sharedStrings.xml><?xml version="1.0" encoding="utf-8"?>
<sst xmlns="http://schemas.openxmlformats.org/spreadsheetml/2006/main" count="62" uniqueCount="62">
  <si>
    <t>No.</t>
  </si>
  <si>
    <t>TSN</t>
  </si>
  <si>
    <t>nsl</t>
  </si>
  <si>
    <t>esy</t>
  </si>
  <si>
    <t>esh</t>
  </si>
  <si>
    <t>esu</t>
  </si>
  <si>
    <t>L (in)</t>
  </si>
  <si>
    <t>D (in)</t>
  </si>
  <si>
    <t>dbl (in)</t>
  </si>
  <si>
    <t>Asl (in^2)</t>
  </si>
  <si>
    <t>dbt (in)</t>
  </si>
  <si>
    <t>Ast (in^2)</t>
  </si>
  <si>
    <t>c (in)</t>
  </si>
  <si>
    <t>P (kips)</t>
  </si>
  <si>
    <t>fyt (ksi)</t>
  </si>
  <si>
    <t>fyl (ksi)</t>
  </si>
  <si>
    <t>ful (ksi)</t>
  </si>
  <si>
    <t>Esl (ksi)</t>
  </si>
  <si>
    <t>Esh (ksi)</t>
  </si>
  <si>
    <t>Est (ksi)</t>
  </si>
  <si>
    <t>Test</t>
  </si>
  <si>
    <t>NIST_Full_Flexure</t>
  </si>
  <si>
    <t>NIST_Full_Shear</t>
  </si>
  <si>
    <t>NIST_N1</t>
  </si>
  <si>
    <t>NIST_N2</t>
  </si>
  <si>
    <t>NIST_N3</t>
  </si>
  <si>
    <t>NIST_N4</t>
  </si>
  <si>
    <t>NIST_N5</t>
  </si>
  <si>
    <t>NIST_N6</t>
  </si>
  <si>
    <t>Hose_SRPH1</t>
  </si>
  <si>
    <t>Vu_NH1</t>
  </si>
  <si>
    <t>Kowalsky_FL1</t>
  </si>
  <si>
    <t>Kowalsky_FL3</t>
  </si>
  <si>
    <t>Lehman_415</t>
  </si>
  <si>
    <t>Lehman_815</t>
  </si>
  <si>
    <t>Lehman_1015</t>
  </si>
  <si>
    <t>Lehman_407</t>
  </si>
  <si>
    <t>Calderone_328</t>
  </si>
  <si>
    <t>Henry_415p</t>
  </si>
  <si>
    <t>fc (ksi)</t>
  </si>
  <si>
    <t>ft (ksi)</t>
  </si>
  <si>
    <t>Ec (ksi)</t>
  </si>
  <si>
    <t>Et (ksi)</t>
  </si>
  <si>
    <t>s (in)</t>
  </si>
  <si>
    <t>bs</t>
  </si>
  <si>
    <t>R</t>
  </si>
  <si>
    <t>barlayout</t>
  </si>
  <si>
    <t>OSU_C1</t>
  </si>
  <si>
    <t>OSU_C2</t>
  </si>
  <si>
    <t>OSU_C3</t>
  </si>
  <si>
    <t>OSU_C4</t>
  </si>
  <si>
    <t>OSU_C5</t>
  </si>
  <si>
    <t>OSU_C6</t>
  </si>
  <si>
    <t>Sy</t>
  </si>
  <si>
    <t>CR</t>
  </si>
  <si>
    <t>ER</t>
  </si>
  <si>
    <t>Kunnath_A5</t>
  </si>
  <si>
    <t>Kunnath_A11</t>
  </si>
  <si>
    <t>ψ</t>
  </si>
  <si>
    <t>Sy_ACI</t>
  </si>
  <si>
    <t>k*sqrt(fc)</t>
  </si>
  <si>
    <t>Su_ACI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</si>
</sst>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zoomScale="70" zoomScaleNormal="70" workbookViewId="0">
      <selection activeCell="AG14" sqref="AG14"/>
    </sheetView>
  </sheetViews>
  <sheetFormatPr defaultRowHeight="15" x14ac:dyDescent="0.25"/>
  <cols>
    <col min="2" max="2" width="19.140625" customWidth="1"/>
    <col min="3" max="3" width="11.140625" bestFit="1" customWidth="1"/>
  </cols>
  <sheetData>
    <row r="1" spans="1:36" x14ac:dyDescent="0.25">
      <c r="A1" t="s">
        <v>0</v>
      </c>
      <c r="B1" t="s">
        <v>20</v>
      </c>
      <c r="C1" t="s">
        <v>1</v>
      </c>
      <c r="D1" t="s">
        <v>6</v>
      </c>
      <c r="E1" t="s">
        <v>7</v>
      </c>
      <c r="F1" t="s">
        <v>12</v>
      </c>
      <c r="G1" t="s">
        <v>39</v>
      </c>
      <c r="H1" t="s">
        <v>40</v>
      </c>
      <c r="I1" t="s">
        <v>41</v>
      </c>
      <c r="J1" t="s">
        <v>42</v>
      </c>
      <c r="K1" t="s">
        <v>2</v>
      </c>
      <c r="L1" t="s">
        <v>8</v>
      </c>
      <c r="M1" t="s">
        <v>9</v>
      </c>
      <c r="N1" t="s">
        <v>15</v>
      </c>
      <c r="O1" t="s">
        <v>16</v>
      </c>
      <c r="P1" t="s">
        <v>3</v>
      </c>
      <c r="Q1" t="s">
        <v>4</v>
      </c>
      <c r="R1" t="s">
        <v>5</v>
      </c>
      <c r="S1" t="s">
        <v>17</v>
      </c>
      <c r="T1" t="s">
        <v>18</v>
      </c>
      <c r="U1" t="s">
        <v>10</v>
      </c>
      <c r="V1" t="s">
        <v>11</v>
      </c>
      <c r="W1" t="s">
        <v>14</v>
      </c>
      <c r="X1" t="s">
        <v>19</v>
      </c>
      <c r="Y1" t="s">
        <v>43</v>
      </c>
      <c r="Z1" t="s">
        <v>13</v>
      </c>
      <c r="AA1" t="s">
        <v>44</v>
      </c>
      <c r="AB1" t="s">
        <v>45</v>
      </c>
      <c r="AC1" t="s">
        <v>46</v>
      </c>
      <c r="AD1" t="s">
        <v>53</v>
      </c>
      <c r="AE1" t="s">
        <v>54</v>
      </c>
      <c r="AF1" t="s">
        <v>55</v>
      </c>
      <c r="AG1" s="1" t="s">
        <v>58</v>
      </c>
      <c r="AH1" s="1" t="s">
        <v>60</v>
      </c>
      <c r="AI1" t="s">
        <v>59</v>
      </c>
      <c r="AJ1" t="s">
        <v>61</v>
      </c>
    </row>
    <row r="2" spans="1:36" x14ac:dyDescent="0.25">
      <c r="A2">
        <v>1</v>
      </c>
      <c r="B2" t="s">
        <v>21</v>
      </c>
      <c r="C2">
        <v>2003</v>
      </c>
      <c r="D2">
        <v>360</v>
      </c>
      <c r="E2">
        <v>60</v>
      </c>
      <c r="F2">
        <v>2</v>
      </c>
      <c r="G2">
        <v>-5.2</v>
      </c>
      <c r="H2">
        <f>4*SQRT(-G2*1000)/1000</f>
        <v>0.28844410203711912</v>
      </c>
      <c r="I2">
        <v>4110</v>
      </c>
      <c r="J2">
        <f>H2/0.002</f>
        <v>144.22205101855957</v>
      </c>
      <c r="K2">
        <v>25</v>
      </c>
      <c r="L2">
        <v>1.69</v>
      </c>
      <c r="M2">
        <f>0.25*3.1416*L2^2</f>
        <v>2.2431809399999998</v>
      </c>
      <c r="N2">
        <v>68.900000000000006</v>
      </c>
      <c r="O2">
        <v>103.6</v>
      </c>
      <c r="P2">
        <f>N2/S2</f>
        <v>2.5111159705517895E-3</v>
      </c>
      <c r="Q2">
        <v>1.2200000000000001E-2</v>
      </c>
      <c r="R2">
        <v>0.1</v>
      </c>
      <c r="S2">
        <v>27438</v>
      </c>
      <c r="T2">
        <v>1454</v>
      </c>
      <c r="U2">
        <v>0.625</v>
      </c>
      <c r="V2">
        <f>0.25*3.1416*U2^2</f>
        <v>0.30679687499999997</v>
      </c>
      <c r="W2">
        <v>71.5</v>
      </c>
      <c r="X2">
        <v>29000</v>
      </c>
      <c r="Y2">
        <v>3.5</v>
      </c>
      <c r="Z2">
        <v>1000</v>
      </c>
      <c r="AA2">
        <v>0.3</v>
      </c>
      <c r="AB2">
        <v>0.5</v>
      </c>
      <c r="AC2">
        <v>2</v>
      </c>
      <c r="AD2">
        <f>0.1*(L2/4000*N2*1000/SQRT(-G2*1000)*(2*0.4+1))^(1/0.4)+0.013</f>
        <v>5.8008228657907571E-2</v>
      </c>
      <c r="AE2">
        <v>0.2</v>
      </c>
      <c r="AF2">
        <v>1</v>
      </c>
      <c r="AG2">
        <v>2.33648681640625</v>
      </c>
      <c r="AH2">
        <v>8</v>
      </c>
      <c r="AI2">
        <f>0.5*N2/S2*N2*1000*L2/4/AH2/SQRT(ABS(G2*1000))</f>
        <v>6.3356481520593089E-2</v>
      </c>
      <c r="AJ2">
        <f>AI2+0.5*(P2+R2)*(O2-N2)*1000*L2/4/0.5/AH2/SQRT(ABS(G2)*1000)</f>
        <v>2.6685230161302407</v>
      </c>
    </row>
    <row r="3" spans="1:36" x14ac:dyDescent="0.25">
      <c r="A3">
        <v>2</v>
      </c>
      <c r="B3" t="s">
        <v>22</v>
      </c>
      <c r="C3">
        <v>2004</v>
      </c>
      <c r="D3">
        <v>180</v>
      </c>
      <c r="E3">
        <v>60</v>
      </c>
      <c r="F3">
        <v>2</v>
      </c>
      <c r="G3">
        <v>-4.9800000000000004</v>
      </c>
      <c r="H3">
        <f t="shared" ref="H3:H27" si="0">4*SQRT(-G3*1000)/1000</f>
        <v>0.28227646023003761</v>
      </c>
      <c r="I3">
        <v>4022</v>
      </c>
      <c r="J3">
        <f>H3/0.002</f>
        <v>141.13823011501881</v>
      </c>
      <c r="K3">
        <v>25</v>
      </c>
      <c r="L3">
        <v>1.69</v>
      </c>
      <c r="M3">
        <f>0.25*3.1416*L3^2</f>
        <v>2.2431809399999998</v>
      </c>
      <c r="N3">
        <v>68.900000000000006</v>
      </c>
      <c r="O3">
        <v>103.6</v>
      </c>
      <c r="P3">
        <f>N3/S3</f>
        <v>2.5111159705517895E-3</v>
      </c>
      <c r="Q3">
        <v>1.2200000000000001E-2</v>
      </c>
      <c r="R3">
        <v>0.1</v>
      </c>
      <c r="S3">
        <v>27438</v>
      </c>
      <c r="T3">
        <v>1454</v>
      </c>
      <c r="U3">
        <v>0.75</v>
      </c>
      <c r="V3">
        <f>0.25*3.1416*U3^2</f>
        <v>0.4417875</v>
      </c>
      <c r="W3">
        <v>63.1</v>
      </c>
      <c r="X3">
        <v>29000</v>
      </c>
      <c r="Y3">
        <v>2.125</v>
      </c>
      <c r="Z3">
        <v>2000</v>
      </c>
      <c r="AA3">
        <v>0.3</v>
      </c>
      <c r="AB3">
        <v>0.5</v>
      </c>
      <c r="AC3">
        <v>2</v>
      </c>
      <c r="AD3">
        <f t="shared" ref="AD3:AD27" si="1">0.1*(L3/4000*N3*1000/SQRT(-G3*1000)*(2*0.4+1))^(1/0.4)+0.013</f>
        <v>6.0507198660569694E-2</v>
      </c>
      <c r="AE3">
        <v>0.8</v>
      </c>
      <c r="AF3">
        <v>1</v>
      </c>
      <c r="AG3">
        <v>3.69219970703125</v>
      </c>
      <c r="AH3">
        <v>5.5</v>
      </c>
      <c r="AI3">
        <f t="shared" ref="AI3:AI27" si="2">0.5*N3/S3*N3*1000*L3/4/AH3/SQRT(ABS(G3*1000))</f>
        <v>9.4168434116853772E-2</v>
      </c>
      <c r="AJ3">
        <f t="shared" ref="AJ3:AJ27" si="3">AI3+0.5*(P3+R3)*(O3-N3)*1000*L3/4/0.5/AH3/SQRT(ABS(G3)*1000)</f>
        <v>3.9662971775364477</v>
      </c>
    </row>
    <row r="4" spans="1:36" x14ac:dyDescent="0.25">
      <c r="A4">
        <v>3</v>
      </c>
      <c r="B4" t="s">
        <v>23</v>
      </c>
      <c r="C4">
        <v>2005</v>
      </c>
      <c r="D4">
        <v>29.5</v>
      </c>
      <c r="E4">
        <v>9.8000000000000007</v>
      </c>
      <c r="F4">
        <v>0.33</v>
      </c>
      <c r="G4">
        <v>-3.49</v>
      </c>
      <c r="H4">
        <f t="shared" si="0"/>
        <v>0.23630488780387088</v>
      </c>
      <c r="I4">
        <v>3367</v>
      </c>
      <c r="J4">
        <f t="shared" ref="J4:J14" si="4">H4/0.002</f>
        <v>118.15244390193544</v>
      </c>
      <c r="K4">
        <v>25</v>
      </c>
      <c r="L4">
        <v>0.27600000000000002</v>
      </c>
      <c r="M4">
        <f t="shared" ref="M4:M27" si="5">0.25*3.1416*L4^2</f>
        <v>5.9828630400000006E-2</v>
      </c>
      <c r="N4">
        <v>64.7</v>
      </c>
      <c r="O4">
        <v>78.2</v>
      </c>
      <c r="P4">
        <f t="shared" ref="P4:P9" si="6">N4/S4</f>
        <v>2.1847036974506164E-3</v>
      </c>
      <c r="Q4">
        <v>1.2800000000000001E-2</v>
      </c>
      <c r="R4">
        <v>0.1</v>
      </c>
      <c r="S4">
        <v>29615</v>
      </c>
      <c r="T4">
        <f t="shared" ref="T4:T8" si="7">(O4-N4)/(R4-Q4)*3</f>
        <v>464.44954128440367</v>
      </c>
      <c r="U4">
        <v>0.12</v>
      </c>
      <c r="V4">
        <f t="shared" ref="V4:V23" si="8">0.25*3.1416*U4^2</f>
        <v>1.130976E-2</v>
      </c>
      <c r="W4">
        <v>64</v>
      </c>
      <c r="X4">
        <v>29000</v>
      </c>
      <c r="Y4">
        <v>0.35</v>
      </c>
      <c r="Z4">
        <v>26.87</v>
      </c>
      <c r="AA4">
        <v>0.3</v>
      </c>
      <c r="AB4">
        <v>0.5</v>
      </c>
      <c r="AC4">
        <v>2</v>
      </c>
      <c r="AD4">
        <v>3.2000000000000002E-3</v>
      </c>
      <c r="AE4">
        <v>0.8</v>
      </c>
      <c r="AF4">
        <v>1</v>
      </c>
      <c r="AG4">
        <v>1.98822021484375</v>
      </c>
      <c r="AH4">
        <f>0.5*N4/S4*N4*1000*L4/4/SQRT(ABS(G4*1000))/AD4</f>
        <v>25.796051044402642</v>
      </c>
      <c r="AI4">
        <f t="shared" si="2"/>
        <v>3.1999999999999997E-3</v>
      </c>
      <c r="AJ4">
        <f t="shared" si="3"/>
        <v>6.5660119108762585E-2</v>
      </c>
    </row>
    <row r="5" spans="1:36" x14ac:dyDescent="0.25">
      <c r="A5">
        <v>4</v>
      </c>
      <c r="B5" t="s">
        <v>24</v>
      </c>
      <c r="C5">
        <v>2006</v>
      </c>
      <c r="D5">
        <v>29.5</v>
      </c>
      <c r="E5">
        <v>9.8000000000000007</v>
      </c>
      <c r="F5">
        <v>0.33</v>
      </c>
      <c r="G5">
        <v>-3.3490000000000002</v>
      </c>
      <c r="H5">
        <f t="shared" si="0"/>
        <v>0.2314821807396846</v>
      </c>
      <c r="I5">
        <v>3299</v>
      </c>
      <c r="J5">
        <f t="shared" si="4"/>
        <v>115.7410903698423</v>
      </c>
      <c r="K5">
        <v>25</v>
      </c>
      <c r="L5">
        <v>0.27600000000000002</v>
      </c>
      <c r="M5">
        <f t="shared" si="5"/>
        <v>5.9828630400000006E-2</v>
      </c>
      <c r="N5">
        <v>64.7</v>
      </c>
      <c r="O5">
        <v>78.2</v>
      </c>
      <c r="P5">
        <f t="shared" si="6"/>
        <v>2.1847036974506164E-3</v>
      </c>
      <c r="Q5">
        <v>1.2800000000000001E-2</v>
      </c>
      <c r="R5">
        <v>0.1</v>
      </c>
      <c r="S5">
        <v>29615</v>
      </c>
      <c r="T5">
        <f t="shared" si="7"/>
        <v>464.44954128440367</v>
      </c>
      <c r="U5">
        <v>0.12</v>
      </c>
      <c r="V5">
        <f t="shared" si="8"/>
        <v>1.130976E-2</v>
      </c>
      <c r="W5">
        <v>64</v>
      </c>
      <c r="X5">
        <v>29000</v>
      </c>
      <c r="Y5">
        <v>0.35</v>
      </c>
      <c r="Z5">
        <v>53.75</v>
      </c>
      <c r="AA5">
        <v>0.3</v>
      </c>
      <c r="AB5">
        <v>0.5</v>
      </c>
      <c r="AC5">
        <v>2</v>
      </c>
      <c r="AD5">
        <v>3.0000000000000001E-3</v>
      </c>
      <c r="AE5">
        <v>0.8</v>
      </c>
      <c r="AF5">
        <v>1</v>
      </c>
      <c r="AG5">
        <v>2.1260986328125</v>
      </c>
      <c r="AH5">
        <f t="shared" ref="AH5:AH9" si="9">0.5*N5/S5*N5*1000*L5/4/SQRT(ABS(G5*1000))/AD5</f>
        <v>28.089052572321055</v>
      </c>
      <c r="AI5">
        <f t="shared" si="2"/>
        <v>3.0000000000000001E-3</v>
      </c>
      <c r="AJ5">
        <f t="shared" si="3"/>
        <v>6.1556361664464938E-2</v>
      </c>
    </row>
    <row r="6" spans="1:36" x14ac:dyDescent="0.25">
      <c r="A6">
        <v>5</v>
      </c>
      <c r="B6" t="s">
        <v>25</v>
      </c>
      <c r="C6">
        <v>2007</v>
      </c>
      <c r="D6">
        <v>59</v>
      </c>
      <c r="E6">
        <v>9.8000000000000007</v>
      </c>
      <c r="F6">
        <v>0.33</v>
      </c>
      <c r="G6">
        <v>-3.681</v>
      </c>
      <c r="H6">
        <f t="shared" si="0"/>
        <v>0.24268498099388019</v>
      </c>
      <c r="I6">
        <v>3458</v>
      </c>
      <c r="J6">
        <f t="shared" si="4"/>
        <v>121.3424904969401</v>
      </c>
      <c r="K6">
        <v>25</v>
      </c>
      <c r="L6">
        <v>0.27600000000000002</v>
      </c>
      <c r="M6">
        <f t="shared" si="5"/>
        <v>5.9828630400000006E-2</v>
      </c>
      <c r="N6">
        <v>64.7</v>
      </c>
      <c r="O6">
        <v>78.2</v>
      </c>
      <c r="P6">
        <f t="shared" si="6"/>
        <v>2.1847036974506164E-3</v>
      </c>
      <c r="Q6">
        <v>1.2800000000000001E-2</v>
      </c>
      <c r="R6">
        <v>0.1</v>
      </c>
      <c r="S6">
        <v>29615</v>
      </c>
      <c r="T6">
        <f t="shared" si="7"/>
        <v>464.44954128440367</v>
      </c>
      <c r="U6">
        <v>0.106</v>
      </c>
      <c r="V6">
        <f t="shared" si="8"/>
        <v>8.824754399999999E-3</v>
      </c>
      <c r="W6">
        <v>69</v>
      </c>
      <c r="X6">
        <v>29000</v>
      </c>
      <c r="Y6">
        <v>0.56999999999999995</v>
      </c>
      <c r="Z6">
        <v>26.87</v>
      </c>
      <c r="AA6">
        <v>0.3</v>
      </c>
      <c r="AB6">
        <v>0.5</v>
      </c>
      <c r="AC6">
        <v>2</v>
      </c>
      <c r="AD6">
        <v>1.1999999999999999E-3</v>
      </c>
      <c r="AE6">
        <v>0.8</v>
      </c>
      <c r="AF6">
        <v>1</v>
      </c>
      <c r="AG6">
        <v>1.5152587890625</v>
      </c>
      <c r="AH6">
        <f t="shared" si="9"/>
        <v>66.981021216517817</v>
      </c>
      <c r="AI6">
        <f t="shared" si="2"/>
        <v>1.2000000000000001E-3</v>
      </c>
      <c r="AJ6">
        <f t="shared" si="3"/>
        <v>2.4622544665785971E-2</v>
      </c>
    </row>
    <row r="7" spans="1:36" x14ac:dyDescent="0.25">
      <c r="A7">
        <v>6</v>
      </c>
      <c r="B7" t="s">
        <v>26</v>
      </c>
      <c r="C7">
        <v>2008</v>
      </c>
      <c r="D7">
        <v>29.5</v>
      </c>
      <c r="E7">
        <v>9.8000000000000007</v>
      </c>
      <c r="F7">
        <v>0.33</v>
      </c>
      <c r="G7">
        <v>-3.5449999999999999</v>
      </c>
      <c r="H7">
        <f t="shared" si="0"/>
        <v>0.23815961034566716</v>
      </c>
      <c r="I7">
        <v>3391</v>
      </c>
      <c r="J7">
        <f t="shared" si="4"/>
        <v>119.07980517283357</v>
      </c>
      <c r="K7">
        <v>25</v>
      </c>
      <c r="L7">
        <v>0.27600000000000002</v>
      </c>
      <c r="M7">
        <f t="shared" si="5"/>
        <v>5.9828630400000006E-2</v>
      </c>
      <c r="N7">
        <v>64.7</v>
      </c>
      <c r="O7">
        <v>78.2</v>
      </c>
      <c r="P7">
        <f t="shared" si="6"/>
        <v>2.1847036974506164E-3</v>
      </c>
      <c r="Q7">
        <v>1.2800000000000001E-2</v>
      </c>
      <c r="R7">
        <v>0.1</v>
      </c>
      <c r="S7">
        <v>29615</v>
      </c>
      <c r="T7">
        <f t="shared" si="7"/>
        <v>464.44954128440367</v>
      </c>
      <c r="U7">
        <v>0.12</v>
      </c>
      <c r="V7">
        <f t="shared" si="8"/>
        <v>1.130976E-2</v>
      </c>
      <c r="W7">
        <v>64</v>
      </c>
      <c r="X7">
        <v>29000</v>
      </c>
      <c r="Y7">
        <v>0.35</v>
      </c>
      <c r="Z7">
        <v>26.87</v>
      </c>
      <c r="AA7">
        <v>0.3</v>
      </c>
      <c r="AB7">
        <v>0.5</v>
      </c>
      <c r="AC7">
        <v>2</v>
      </c>
      <c r="AD7">
        <v>2.5000000000000001E-3</v>
      </c>
      <c r="AE7">
        <v>0.8</v>
      </c>
      <c r="AF7">
        <v>1</v>
      </c>
      <c r="AG7">
        <v>2.13433837890625</v>
      </c>
      <c r="AH7">
        <f t="shared" si="9"/>
        <v>32.761802733462453</v>
      </c>
      <c r="AI7">
        <f t="shared" si="2"/>
        <v>2.4999999999999996E-3</v>
      </c>
      <c r="AJ7">
        <f t="shared" si="3"/>
        <v>5.1296968053720783E-2</v>
      </c>
    </row>
    <row r="8" spans="1:36" x14ac:dyDescent="0.25">
      <c r="A8">
        <v>7</v>
      </c>
      <c r="B8" t="s">
        <v>27</v>
      </c>
      <c r="C8">
        <v>2009</v>
      </c>
      <c r="D8">
        <v>29.5</v>
      </c>
      <c r="E8">
        <v>9.8000000000000007</v>
      </c>
      <c r="F8">
        <v>0.33</v>
      </c>
      <c r="G8">
        <v>-3.5339999999999998</v>
      </c>
      <c r="H8">
        <f t="shared" si="0"/>
        <v>0.23778982316322958</v>
      </c>
      <c r="I8">
        <v>3387</v>
      </c>
      <c r="J8">
        <f t="shared" si="4"/>
        <v>118.89491158161479</v>
      </c>
      <c r="K8">
        <v>25</v>
      </c>
      <c r="L8">
        <v>0.27600000000000002</v>
      </c>
      <c r="M8">
        <f t="shared" si="5"/>
        <v>5.9828630400000006E-2</v>
      </c>
      <c r="N8">
        <v>64.7</v>
      </c>
      <c r="O8">
        <v>78.2</v>
      </c>
      <c r="P8">
        <f t="shared" si="6"/>
        <v>2.1847036974506164E-3</v>
      </c>
      <c r="Q8">
        <v>1.2800000000000001E-2</v>
      </c>
      <c r="R8">
        <v>0.1</v>
      </c>
      <c r="S8">
        <v>29615</v>
      </c>
      <c r="T8">
        <f t="shared" si="7"/>
        <v>464.44954128440367</v>
      </c>
      <c r="U8">
        <v>0.12</v>
      </c>
      <c r="V8">
        <f t="shared" si="8"/>
        <v>1.130976E-2</v>
      </c>
      <c r="W8">
        <v>64</v>
      </c>
      <c r="X8">
        <v>29000</v>
      </c>
      <c r="Y8">
        <v>0.35</v>
      </c>
      <c r="Z8">
        <v>53.75</v>
      </c>
      <c r="AA8">
        <v>0.3</v>
      </c>
      <c r="AB8">
        <v>0.5</v>
      </c>
      <c r="AC8">
        <v>2</v>
      </c>
      <c r="AD8">
        <v>2.7343958870305299E-3</v>
      </c>
      <c r="AE8">
        <v>0.8</v>
      </c>
      <c r="AF8">
        <v>1</v>
      </c>
      <c r="AG8">
        <v>1.98602294921875</v>
      </c>
      <c r="AH8">
        <f t="shared" si="9"/>
        <v>30.000000000000025</v>
      </c>
      <c r="AI8">
        <f t="shared" si="2"/>
        <v>2.7343958870305295E-3</v>
      </c>
      <c r="AJ8">
        <f t="shared" si="3"/>
        <v>5.6106487385292225E-2</v>
      </c>
    </row>
    <row r="9" spans="1:36" x14ac:dyDescent="0.25">
      <c r="A9">
        <v>8</v>
      </c>
      <c r="B9" t="s">
        <v>28</v>
      </c>
      <c r="C9">
        <v>2010</v>
      </c>
      <c r="D9">
        <v>59</v>
      </c>
      <c r="E9">
        <v>9.8000000000000007</v>
      </c>
      <c r="F9">
        <v>0.33</v>
      </c>
      <c r="G9">
        <v>-3.367</v>
      </c>
      <c r="H9">
        <f t="shared" si="0"/>
        <v>0.23210342522246413</v>
      </c>
      <c r="I9">
        <v>3352</v>
      </c>
      <c r="J9">
        <f t="shared" si="4"/>
        <v>116.05171261123206</v>
      </c>
      <c r="K9">
        <v>25</v>
      </c>
      <c r="L9">
        <v>0.27600000000000002</v>
      </c>
      <c r="M9">
        <f t="shared" si="5"/>
        <v>5.9828630400000006E-2</v>
      </c>
      <c r="N9">
        <v>64.7</v>
      </c>
      <c r="O9">
        <v>78.2</v>
      </c>
      <c r="P9">
        <f t="shared" si="6"/>
        <v>2.1847036974506164E-3</v>
      </c>
      <c r="Q9">
        <v>1.2800000000000001E-2</v>
      </c>
      <c r="R9">
        <v>0.1</v>
      </c>
      <c r="S9">
        <v>29615</v>
      </c>
      <c r="T9">
        <f>(O9-N9)/(R9-Q9)*3</f>
        <v>464.44954128440367</v>
      </c>
      <c r="U9">
        <v>0.106</v>
      </c>
      <c r="V9">
        <f t="shared" si="8"/>
        <v>8.824754399999999E-3</v>
      </c>
      <c r="W9">
        <v>69</v>
      </c>
      <c r="X9">
        <v>29000</v>
      </c>
      <c r="Y9">
        <v>0.56999999999999995</v>
      </c>
      <c r="Z9">
        <v>26.87</v>
      </c>
      <c r="AA9">
        <v>0.3</v>
      </c>
      <c r="AB9">
        <v>0.35</v>
      </c>
      <c r="AC9">
        <v>2</v>
      </c>
      <c r="AD9">
        <v>1.5E-3</v>
      </c>
      <c r="AE9">
        <v>0.8</v>
      </c>
      <c r="AF9">
        <v>1</v>
      </c>
      <c r="AG9">
        <v>1.441650390625</v>
      </c>
      <c r="AH9">
        <f t="shared" si="9"/>
        <v>56.027739686481958</v>
      </c>
      <c r="AI9">
        <f t="shared" si="2"/>
        <v>1.5E-3</v>
      </c>
      <c r="AJ9">
        <f t="shared" si="3"/>
        <v>3.0778180832232466E-2</v>
      </c>
    </row>
    <row r="10" spans="1:36" x14ac:dyDescent="0.25">
      <c r="A10">
        <v>9</v>
      </c>
      <c r="B10" t="s">
        <v>29</v>
      </c>
      <c r="C10">
        <v>2013</v>
      </c>
      <c r="D10">
        <v>144</v>
      </c>
      <c r="E10">
        <v>24</v>
      </c>
      <c r="F10">
        <v>1</v>
      </c>
      <c r="G10">
        <v>-6.01</v>
      </c>
      <c r="H10">
        <f t="shared" si="0"/>
        <v>0.31009675909302886</v>
      </c>
      <c r="I10">
        <f t="shared" ref="I10:I19" si="10">57*SQRT(-G10*1000)</f>
        <v>4418.8788170756616</v>
      </c>
      <c r="J10">
        <f t="shared" si="4"/>
        <v>155.04837954651444</v>
      </c>
      <c r="K10">
        <v>20</v>
      </c>
      <c r="L10">
        <v>0.875</v>
      </c>
      <c r="M10">
        <f t="shared" si="5"/>
        <v>0.60132187500000001</v>
      </c>
      <c r="N10">
        <v>66</v>
      </c>
      <c r="O10">
        <v>108</v>
      </c>
      <c r="P10">
        <f t="shared" ref="P10:P12" si="11">N10/S10</f>
        <v>2.2758620689655173E-3</v>
      </c>
      <c r="Q10">
        <v>8.0000000000000002E-3</v>
      </c>
      <c r="R10">
        <v>0.1</v>
      </c>
      <c r="S10">
        <v>29000</v>
      </c>
      <c r="T10">
        <f>(O10-N10)/(R10-Q10)*1.5</f>
        <v>684.78260869565224</v>
      </c>
      <c r="U10">
        <v>0.375</v>
      </c>
      <c r="V10">
        <f t="shared" si="8"/>
        <v>0.110446875</v>
      </c>
      <c r="W10">
        <v>60</v>
      </c>
      <c r="X10">
        <v>29000</v>
      </c>
      <c r="Y10">
        <v>2.25</v>
      </c>
      <c r="Z10">
        <v>400</v>
      </c>
      <c r="AA10">
        <v>0.3</v>
      </c>
      <c r="AB10">
        <v>0.5</v>
      </c>
      <c r="AC10">
        <v>1</v>
      </c>
      <c r="AD10">
        <f t="shared" si="1"/>
        <v>1.9506061524186824E-2</v>
      </c>
      <c r="AE10">
        <v>0.8</v>
      </c>
      <c r="AF10">
        <v>1</v>
      </c>
      <c r="AG10">
        <v>1.15875244140625</v>
      </c>
      <c r="AH10">
        <v>12</v>
      </c>
      <c r="AI10">
        <f t="shared" si="2"/>
        <v>1.7659949492749748E-2</v>
      </c>
      <c r="AJ10">
        <f t="shared" si="3"/>
        <v>1.0277312204802713</v>
      </c>
    </row>
    <row r="11" spans="1:36" x14ac:dyDescent="0.25">
      <c r="A11">
        <v>10</v>
      </c>
      <c r="B11" t="s">
        <v>30</v>
      </c>
      <c r="C11">
        <v>2014</v>
      </c>
      <c r="D11">
        <v>35.83</v>
      </c>
      <c r="E11">
        <v>18</v>
      </c>
      <c r="F11">
        <v>0.8</v>
      </c>
      <c r="G11">
        <v>-5.55</v>
      </c>
      <c r="H11">
        <f t="shared" si="0"/>
        <v>0.29799328851502677</v>
      </c>
      <c r="I11">
        <f t="shared" si="10"/>
        <v>4246.4043613391314</v>
      </c>
      <c r="J11">
        <f t="shared" si="4"/>
        <v>148.99664425751337</v>
      </c>
      <c r="K11">
        <v>20</v>
      </c>
      <c r="L11">
        <v>0.625</v>
      </c>
      <c r="M11">
        <f t="shared" si="5"/>
        <v>0.30679687499999997</v>
      </c>
      <c r="N11">
        <v>62</v>
      </c>
      <c r="O11">
        <f>N11*1.5</f>
        <v>93</v>
      </c>
      <c r="P11">
        <f t="shared" si="11"/>
        <v>2.1379310344827587E-3</v>
      </c>
      <c r="Q11">
        <v>8.0000000000000002E-3</v>
      </c>
      <c r="R11">
        <v>0.12</v>
      </c>
      <c r="S11">
        <v>29000</v>
      </c>
      <c r="T11">
        <f>(O11-N11)/(R11-Q11)*1.5</f>
        <v>415.1785714285715</v>
      </c>
      <c r="U11">
        <v>0.375</v>
      </c>
      <c r="V11">
        <f t="shared" si="8"/>
        <v>0.110446875</v>
      </c>
      <c r="W11">
        <v>62.4</v>
      </c>
      <c r="X11">
        <v>29000</v>
      </c>
      <c r="Y11">
        <v>2.36</v>
      </c>
      <c r="Z11">
        <v>433.43</v>
      </c>
      <c r="AA11">
        <v>0.3</v>
      </c>
      <c r="AB11">
        <v>0.5</v>
      </c>
      <c r="AC11">
        <v>1</v>
      </c>
      <c r="AD11">
        <f t="shared" si="1"/>
        <v>1.5650600787366176E-2</v>
      </c>
      <c r="AE11">
        <v>0.8</v>
      </c>
      <c r="AF11">
        <v>1</v>
      </c>
      <c r="AG11">
        <v>0.88925781250000002</v>
      </c>
      <c r="AH11">
        <v>7</v>
      </c>
      <c r="AI11">
        <f t="shared" si="2"/>
        <v>1.9857788456301647E-2</v>
      </c>
      <c r="AJ11">
        <f t="shared" si="3"/>
        <v>1.1543140257501792</v>
      </c>
    </row>
    <row r="12" spans="1:36" x14ac:dyDescent="0.25">
      <c r="A12">
        <v>11</v>
      </c>
      <c r="B12" t="s">
        <v>31</v>
      </c>
      <c r="C12">
        <v>2015</v>
      </c>
      <c r="D12">
        <v>144</v>
      </c>
      <c r="E12">
        <v>18</v>
      </c>
      <c r="F12">
        <v>1</v>
      </c>
      <c r="G12">
        <v>-5.25</v>
      </c>
      <c r="H12">
        <f t="shared" si="0"/>
        <v>0.28982753492378877</v>
      </c>
      <c r="I12">
        <f>57*SQRT(-G12*1000)</f>
        <v>4130.0423726639901</v>
      </c>
      <c r="J12">
        <f t="shared" si="4"/>
        <v>144.91376746189437</v>
      </c>
      <c r="K12">
        <v>30</v>
      </c>
      <c r="L12">
        <v>0.625</v>
      </c>
      <c r="M12">
        <f t="shared" si="5"/>
        <v>0.30679687499999997</v>
      </c>
      <c r="N12">
        <v>69.2</v>
      </c>
      <c r="O12">
        <v>112.7</v>
      </c>
      <c r="P12">
        <f t="shared" si="11"/>
        <v>2.3862068965517244E-3</v>
      </c>
      <c r="Q12">
        <v>8.0000000000000002E-3</v>
      </c>
      <c r="R12">
        <v>0.1</v>
      </c>
      <c r="S12">
        <v>29000</v>
      </c>
      <c r="T12">
        <f t="shared" ref="T12:T19" si="12">(O12-N12)/(R12-Q12)*2</f>
        <v>945.6521739130435</v>
      </c>
      <c r="U12">
        <v>0.375</v>
      </c>
      <c r="V12">
        <f t="shared" si="8"/>
        <v>0.110446875</v>
      </c>
      <c r="W12">
        <v>65</v>
      </c>
      <c r="X12">
        <v>29000</v>
      </c>
      <c r="Y12">
        <v>3</v>
      </c>
      <c r="Z12">
        <v>400</v>
      </c>
      <c r="AA12">
        <v>0.3</v>
      </c>
      <c r="AB12">
        <v>0.5</v>
      </c>
      <c r="AC12">
        <v>1</v>
      </c>
      <c r="AD12">
        <f t="shared" si="1"/>
        <v>1.6739361348479715E-2</v>
      </c>
      <c r="AE12">
        <v>0.8</v>
      </c>
      <c r="AF12">
        <v>1</v>
      </c>
      <c r="AG12">
        <v>0.76533203125000004</v>
      </c>
      <c r="AH12">
        <v>10</v>
      </c>
      <c r="AI12">
        <f t="shared" si="2"/>
        <v>1.7804286315135621E-2</v>
      </c>
      <c r="AJ12">
        <f t="shared" si="3"/>
        <v>0.97824615762731604</v>
      </c>
    </row>
    <row r="13" spans="1:36" x14ac:dyDescent="0.25">
      <c r="A13">
        <v>12</v>
      </c>
      <c r="B13" t="s">
        <v>32</v>
      </c>
      <c r="C13">
        <v>2016</v>
      </c>
      <c r="D13">
        <v>144</v>
      </c>
      <c r="E13">
        <v>18</v>
      </c>
      <c r="F13">
        <v>1</v>
      </c>
      <c r="G13">
        <v>-5.6</v>
      </c>
      <c r="H13">
        <f t="shared" si="0"/>
        <v>0.29933259094191533</v>
      </c>
      <c r="I13">
        <f t="shared" si="10"/>
        <v>4265.489420922293</v>
      </c>
      <c r="J13">
        <f t="shared" si="4"/>
        <v>149.66629547095766</v>
      </c>
      <c r="K13">
        <v>30</v>
      </c>
      <c r="L13">
        <v>0.625</v>
      </c>
      <c r="M13">
        <f t="shared" si="5"/>
        <v>0.30679687499999997</v>
      </c>
      <c r="N13">
        <v>69.2</v>
      </c>
      <c r="O13">
        <v>112.7</v>
      </c>
      <c r="P13">
        <f t="shared" ref="P13" si="13">N13/S13</f>
        <v>2.3862068965517244E-3</v>
      </c>
      <c r="Q13">
        <v>8.0000000000000002E-3</v>
      </c>
      <c r="R13">
        <v>0.1</v>
      </c>
      <c r="S13">
        <v>29000</v>
      </c>
      <c r="T13">
        <f t="shared" si="12"/>
        <v>945.6521739130435</v>
      </c>
      <c r="U13">
        <v>0.375</v>
      </c>
      <c r="V13">
        <f t="shared" si="8"/>
        <v>0.110446875</v>
      </c>
      <c r="W13">
        <v>65</v>
      </c>
      <c r="X13">
        <v>29000</v>
      </c>
      <c r="Y13">
        <v>3</v>
      </c>
      <c r="Z13">
        <v>400</v>
      </c>
      <c r="AA13">
        <v>0.3</v>
      </c>
      <c r="AB13">
        <v>0.5</v>
      </c>
      <c r="AC13">
        <v>1</v>
      </c>
      <c r="AD13">
        <f t="shared" si="1"/>
        <v>1.6449542739501836E-2</v>
      </c>
      <c r="AE13">
        <v>0.8</v>
      </c>
      <c r="AF13">
        <v>1</v>
      </c>
      <c r="AG13">
        <v>0.86201171875000004</v>
      </c>
      <c r="AH13">
        <v>10</v>
      </c>
      <c r="AI13">
        <f t="shared" si="2"/>
        <v>1.7238926097407219E-2</v>
      </c>
      <c r="AJ13">
        <f t="shared" si="3"/>
        <v>0.9471827692454976</v>
      </c>
    </row>
    <row r="14" spans="1:36" x14ac:dyDescent="0.25">
      <c r="A14">
        <v>13</v>
      </c>
      <c r="B14" t="s">
        <v>33</v>
      </c>
      <c r="C14">
        <v>2017</v>
      </c>
      <c r="D14">
        <v>96</v>
      </c>
      <c r="E14">
        <v>24</v>
      </c>
      <c r="F14">
        <v>0.6</v>
      </c>
      <c r="G14">
        <v>-4.5</v>
      </c>
      <c r="H14">
        <f t="shared" si="0"/>
        <v>0.26832815729997472</v>
      </c>
      <c r="I14">
        <f t="shared" si="10"/>
        <v>3823.6762415246403</v>
      </c>
      <c r="J14">
        <f t="shared" si="4"/>
        <v>134.16407864998735</v>
      </c>
      <c r="K14">
        <v>22</v>
      </c>
      <c r="L14">
        <v>0.625</v>
      </c>
      <c r="M14">
        <f t="shared" si="5"/>
        <v>0.30679687499999997</v>
      </c>
      <c r="N14">
        <v>67</v>
      </c>
      <c r="O14">
        <v>91.4</v>
      </c>
      <c r="P14">
        <f t="shared" ref="P14" si="14">N14/S14</f>
        <v>2.3103448275862068E-3</v>
      </c>
      <c r="Q14">
        <v>8.0000000000000002E-3</v>
      </c>
      <c r="R14">
        <v>0.1</v>
      </c>
      <c r="S14">
        <v>29000</v>
      </c>
      <c r="T14">
        <f>(O14-N14)/(R14-Q14)*3</f>
        <v>795.65217391304361</v>
      </c>
      <c r="U14">
        <v>0.25</v>
      </c>
      <c r="V14">
        <f t="shared" si="8"/>
        <v>4.9087499999999999E-2</v>
      </c>
      <c r="W14">
        <v>88</v>
      </c>
      <c r="X14">
        <v>29000</v>
      </c>
      <c r="Y14">
        <v>1.25</v>
      </c>
      <c r="Z14">
        <v>147</v>
      </c>
      <c r="AA14">
        <v>0.3</v>
      </c>
      <c r="AB14">
        <v>0.5</v>
      </c>
      <c r="AC14">
        <v>2</v>
      </c>
      <c r="AD14">
        <f t="shared" si="1"/>
        <v>1.7182179725739585E-2</v>
      </c>
      <c r="AE14">
        <v>0.8</v>
      </c>
      <c r="AF14">
        <v>1</v>
      </c>
      <c r="AG14">
        <v>1.863525390625</v>
      </c>
      <c r="AH14">
        <v>10</v>
      </c>
      <c r="AI14">
        <f t="shared" si="2"/>
        <v>1.8027494883255307E-2</v>
      </c>
      <c r="AJ14">
        <f t="shared" si="3"/>
        <v>0.59949191304956939</v>
      </c>
    </row>
    <row r="15" spans="1:36" x14ac:dyDescent="0.25">
      <c r="A15">
        <v>14</v>
      </c>
      <c r="B15" t="s">
        <v>34</v>
      </c>
      <c r="C15">
        <v>2018</v>
      </c>
      <c r="D15">
        <v>192</v>
      </c>
      <c r="E15">
        <v>24</v>
      </c>
      <c r="F15">
        <v>0.6</v>
      </c>
      <c r="G15">
        <v>-4.5</v>
      </c>
      <c r="H15">
        <f t="shared" si="0"/>
        <v>0.26832815729997472</v>
      </c>
      <c r="I15">
        <f t="shared" si="10"/>
        <v>3823.6762415246403</v>
      </c>
      <c r="J15">
        <f t="shared" ref="J15" si="15">H15/0.002</f>
        <v>134.16407864998735</v>
      </c>
      <c r="K15">
        <v>22</v>
      </c>
      <c r="L15">
        <v>0.625</v>
      </c>
      <c r="M15">
        <f t="shared" si="5"/>
        <v>0.30679687499999997</v>
      </c>
      <c r="N15">
        <v>67</v>
      </c>
      <c r="O15">
        <v>91.4</v>
      </c>
      <c r="P15">
        <f t="shared" ref="P15" si="16">N15/S15</f>
        <v>2.3103448275862068E-3</v>
      </c>
      <c r="Q15">
        <v>8.0000000000000002E-3</v>
      </c>
      <c r="R15">
        <v>0.1</v>
      </c>
      <c r="S15">
        <v>29000</v>
      </c>
      <c r="T15">
        <f t="shared" si="12"/>
        <v>530.43478260869574</v>
      </c>
      <c r="U15">
        <v>0.25</v>
      </c>
      <c r="V15">
        <f t="shared" si="8"/>
        <v>4.9087499999999999E-2</v>
      </c>
      <c r="W15">
        <v>88</v>
      </c>
      <c r="X15">
        <v>29000</v>
      </c>
      <c r="Y15">
        <v>1.25</v>
      </c>
      <c r="Z15">
        <v>147</v>
      </c>
      <c r="AA15">
        <v>0.3</v>
      </c>
      <c r="AB15">
        <v>0.5</v>
      </c>
      <c r="AC15">
        <v>2</v>
      </c>
      <c r="AD15">
        <f t="shared" si="1"/>
        <v>1.7182179725739585E-2</v>
      </c>
      <c r="AE15">
        <v>0.8</v>
      </c>
      <c r="AF15">
        <v>1</v>
      </c>
      <c r="AG15">
        <v>2.77703857421875</v>
      </c>
      <c r="AH15">
        <v>10</v>
      </c>
      <c r="AI15">
        <f t="shared" si="2"/>
        <v>1.8027494883255307E-2</v>
      </c>
      <c r="AJ15">
        <f t="shared" si="3"/>
        <v>0.59949191304956939</v>
      </c>
    </row>
    <row r="16" spans="1:36" x14ac:dyDescent="0.25">
      <c r="A16">
        <v>15</v>
      </c>
      <c r="B16" t="s">
        <v>35</v>
      </c>
      <c r="C16">
        <v>2019</v>
      </c>
      <c r="D16">
        <v>240</v>
      </c>
      <c r="E16">
        <v>24</v>
      </c>
      <c r="F16">
        <v>0.6</v>
      </c>
      <c r="G16">
        <v>-4.5</v>
      </c>
      <c r="H16">
        <f t="shared" si="0"/>
        <v>0.26832815729997472</v>
      </c>
      <c r="I16">
        <f t="shared" si="10"/>
        <v>3823.6762415246403</v>
      </c>
      <c r="J16">
        <f t="shared" ref="J16" si="17">H16/0.002</f>
        <v>134.16407864998735</v>
      </c>
      <c r="K16">
        <v>22</v>
      </c>
      <c r="L16">
        <v>0.625</v>
      </c>
      <c r="M16">
        <f t="shared" si="5"/>
        <v>0.30679687499999997</v>
      </c>
      <c r="N16">
        <v>67</v>
      </c>
      <c r="O16">
        <v>91.4</v>
      </c>
      <c r="P16">
        <f t="shared" ref="P16" si="18">N16/S16</f>
        <v>2.3103448275862068E-3</v>
      </c>
      <c r="Q16">
        <v>8.0000000000000002E-3</v>
      </c>
      <c r="R16">
        <v>0.1</v>
      </c>
      <c r="S16">
        <v>29000</v>
      </c>
      <c r="T16">
        <f>(O16-N16)/(R16-Q16)*1.8</f>
        <v>477.39130434782618</v>
      </c>
      <c r="U16">
        <v>0.25</v>
      </c>
      <c r="V16">
        <f t="shared" si="8"/>
        <v>4.9087499999999999E-2</v>
      </c>
      <c r="W16">
        <v>88</v>
      </c>
      <c r="X16">
        <v>29000</v>
      </c>
      <c r="Y16">
        <v>1.25</v>
      </c>
      <c r="Z16">
        <v>147</v>
      </c>
      <c r="AA16">
        <v>0.3</v>
      </c>
      <c r="AB16">
        <v>0.5</v>
      </c>
      <c r="AC16">
        <v>2</v>
      </c>
      <c r="AD16">
        <f t="shared" si="1"/>
        <v>1.7182179725739585E-2</v>
      </c>
      <c r="AE16">
        <v>0.8</v>
      </c>
      <c r="AF16">
        <v>1</v>
      </c>
      <c r="AG16">
        <v>2.90887451171875</v>
      </c>
      <c r="AH16">
        <v>10</v>
      </c>
      <c r="AI16">
        <f t="shared" si="2"/>
        <v>1.8027494883255307E-2</v>
      </c>
      <c r="AJ16">
        <f t="shared" si="3"/>
        <v>0.59949191304956939</v>
      </c>
    </row>
    <row r="17" spans="1:36" x14ac:dyDescent="0.25">
      <c r="A17">
        <v>16</v>
      </c>
      <c r="B17" t="s">
        <v>36</v>
      </c>
      <c r="C17">
        <v>2020</v>
      </c>
      <c r="D17">
        <v>96</v>
      </c>
      <c r="E17">
        <v>24</v>
      </c>
      <c r="F17">
        <v>0.6</v>
      </c>
      <c r="G17">
        <v>-4.5</v>
      </c>
      <c r="H17">
        <f t="shared" si="0"/>
        <v>0.26832815729997472</v>
      </c>
      <c r="I17">
        <f t="shared" si="10"/>
        <v>3823.6762415246403</v>
      </c>
      <c r="J17">
        <f t="shared" ref="J17:J26" si="19">H17/0.002</f>
        <v>134.16407864998735</v>
      </c>
      <c r="K17">
        <v>11</v>
      </c>
      <c r="L17">
        <v>0.625</v>
      </c>
      <c r="M17">
        <f t="shared" si="5"/>
        <v>0.30679687499999997</v>
      </c>
      <c r="N17">
        <v>67</v>
      </c>
      <c r="O17">
        <v>91.4</v>
      </c>
      <c r="P17">
        <f t="shared" ref="P17:P23" si="20">N17/S17</f>
        <v>2.3103448275862068E-3</v>
      </c>
      <c r="Q17">
        <v>8.0000000000000002E-3</v>
      </c>
      <c r="R17">
        <v>0.1</v>
      </c>
      <c r="S17">
        <v>29000</v>
      </c>
      <c r="T17">
        <f>(O17-N17)/(R17-Q17)*1.8</f>
        <v>477.39130434782618</v>
      </c>
      <c r="U17">
        <v>0.25</v>
      </c>
      <c r="V17">
        <f t="shared" si="8"/>
        <v>4.9087499999999999E-2</v>
      </c>
      <c r="W17">
        <v>88</v>
      </c>
      <c r="X17">
        <v>29000</v>
      </c>
      <c r="Y17">
        <v>1.25</v>
      </c>
      <c r="Z17">
        <v>147</v>
      </c>
      <c r="AA17">
        <v>0.3</v>
      </c>
      <c r="AB17">
        <v>0.5</v>
      </c>
      <c r="AC17">
        <v>2</v>
      </c>
      <c r="AD17">
        <f t="shared" si="1"/>
        <v>1.7182179725739585E-2</v>
      </c>
      <c r="AE17">
        <v>0.8</v>
      </c>
      <c r="AF17">
        <v>1</v>
      </c>
      <c r="AG17">
        <v>2.458984375</v>
      </c>
      <c r="AH17">
        <v>10</v>
      </c>
      <c r="AI17">
        <f t="shared" si="2"/>
        <v>1.8027494883255307E-2</v>
      </c>
      <c r="AJ17">
        <f t="shared" si="3"/>
        <v>0.59949191304956939</v>
      </c>
    </row>
    <row r="18" spans="1:36" x14ac:dyDescent="0.25">
      <c r="A18">
        <v>17</v>
      </c>
      <c r="B18" t="s">
        <v>37</v>
      </c>
      <c r="C18">
        <v>2021</v>
      </c>
      <c r="D18">
        <v>72</v>
      </c>
      <c r="E18">
        <v>24</v>
      </c>
      <c r="F18">
        <v>1</v>
      </c>
      <c r="G18">
        <v>-4</v>
      </c>
      <c r="H18">
        <f t="shared" si="0"/>
        <v>0.25298221281347033</v>
      </c>
      <c r="I18">
        <f t="shared" si="10"/>
        <v>3604.9965325919525</v>
      </c>
      <c r="J18">
        <f t="shared" si="19"/>
        <v>126.49110640673516</v>
      </c>
      <c r="K18">
        <v>28</v>
      </c>
      <c r="L18">
        <v>0.75</v>
      </c>
      <c r="M18">
        <f t="shared" si="5"/>
        <v>0.4417875</v>
      </c>
      <c r="N18">
        <v>64</v>
      </c>
      <c r="O18">
        <v>92</v>
      </c>
      <c r="P18">
        <f t="shared" si="20"/>
        <v>2.206896551724138E-3</v>
      </c>
      <c r="Q18">
        <v>8.0000000000000002E-3</v>
      </c>
      <c r="R18">
        <v>0.1</v>
      </c>
      <c r="S18">
        <v>29000</v>
      </c>
      <c r="T18">
        <f>(O18-N18)/(R18-Q18)*2</f>
        <v>608.695652173913</v>
      </c>
      <c r="U18">
        <v>0.25</v>
      </c>
      <c r="V18">
        <f t="shared" si="8"/>
        <v>4.9087499999999999E-2</v>
      </c>
      <c r="W18">
        <v>88</v>
      </c>
      <c r="X18">
        <v>31000</v>
      </c>
      <c r="Y18">
        <v>1</v>
      </c>
      <c r="Z18">
        <v>205</v>
      </c>
      <c r="AA18">
        <v>0.3</v>
      </c>
      <c r="AB18">
        <v>0.5</v>
      </c>
      <c r="AC18">
        <v>2</v>
      </c>
      <c r="AD18">
        <f t="shared" si="1"/>
        <v>1.9816467818982799E-2</v>
      </c>
      <c r="AE18">
        <v>0.2</v>
      </c>
      <c r="AF18">
        <v>1</v>
      </c>
      <c r="AG18">
        <v>2.5128173828125</v>
      </c>
      <c r="AH18">
        <v>12</v>
      </c>
      <c r="AI18">
        <f t="shared" si="2"/>
        <v>1.7447049159549678E-2</v>
      </c>
      <c r="AJ18">
        <f t="shared" si="3"/>
        <v>0.72446145533598882</v>
      </c>
    </row>
    <row r="19" spans="1:36" x14ac:dyDescent="0.25">
      <c r="A19">
        <v>18</v>
      </c>
      <c r="B19" t="s">
        <v>38</v>
      </c>
      <c r="C19">
        <v>2022</v>
      </c>
      <c r="D19">
        <v>96</v>
      </c>
      <c r="E19">
        <v>24</v>
      </c>
      <c r="F19">
        <v>0.6</v>
      </c>
      <c r="G19">
        <v>-5.4</v>
      </c>
      <c r="H19">
        <f t="shared" si="0"/>
        <v>0.29393876913398137</v>
      </c>
      <c r="I19">
        <f t="shared" si="10"/>
        <v>4188.6274601592349</v>
      </c>
      <c r="J19">
        <f t="shared" si="19"/>
        <v>146.96938456699067</v>
      </c>
      <c r="K19">
        <v>22</v>
      </c>
      <c r="L19">
        <v>0.625</v>
      </c>
      <c r="M19">
        <f t="shared" si="5"/>
        <v>0.30679687499999997</v>
      </c>
      <c r="N19">
        <v>67</v>
      </c>
      <c r="O19">
        <f>N19*1.5</f>
        <v>100.5</v>
      </c>
      <c r="P19">
        <f t="shared" si="20"/>
        <v>2.3103448275862068E-3</v>
      </c>
      <c r="Q19">
        <v>8.0000000000000002E-3</v>
      </c>
      <c r="R19">
        <v>0.1</v>
      </c>
      <c r="S19">
        <v>29000</v>
      </c>
      <c r="T19">
        <f t="shared" si="12"/>
        <v>728.26086956521738</v>
      </c>
      <c r="U19">
        <v>0.25</v>
      </c>
      <c r="V19">
        <f t="shared" si="8"/>
        <v>4.9087499999999999E-2</v>
      </c>
      <c r="W19">
        <v>88</v>
      </c>
      <c r="X19">
        <v>29000</v>
      </c>
      <c r="Y19">
        <v>1.25</v>
      </c>
      <c r="Z19">
        <v>233.35</v>
      </c>
      <c r="AA19">
        <v>0.3</v>
      </c>
      <c r="AB19">
        <v>0.5</v>
      </c>
      <c r="AC19">
        <v>1</v>
      </c>
      <c r="AD19">
        <f>(0.1*(L19/4000*N19*1000/SQRT(-G19*1000)*(2*0.4+1))^(1/0.4)+0.013)*1.5</f>
        <v>2.4494791843326404E-2</v>
      </c>
      <c r="AE19">
        <v>0.8</v>
      </c>
      <c r="AF19">
        <v>1</v>
      </c>
      <c r="AG19">
        <v>3.656494140625</v>
      </c>
      <c r="AH19">
        <v>4</v>
      </c>
      <c r="AI19">
        <f t="shared" si="2"/>
        <v>4.1141940011949547E-2</v>
      </c>
      <c r="AJ19">
        <f t="shared" si="3"/>
        <v>1.8630544178545516</v>
      </c>
    </row>
    <row r="20" spans="1:36" x14ac:dyDescent="0.25">
      <c r="A20">
        <v>19</v>
      </c>
      <c r="B20" t="s">
        <v>47</v>
      </c>
      <c r="C20">
        <v>2023</v>
      </c>
      <c r="D20">
        <v>144</v>
      </c>
      <c r="E20">
        <v>24</v>
      </c>
      <c r="F20">
        <v>1.25</v>
      </c>
      <c r="G20">
        <v>-4.7699999999999996</v>
      </c>
      <c r="H20">
        <f t="shared" si="0"/>
        <v>0.27626074639731213</v>
      </c>
      <c r="I20">
        <v>3011</v>
      </c>
      <c r="J20">
        <f t="shared" si="19"/>
        <v>138.13037319865606</v>
      </c>
      <c r="K20">
        <v>16</v>
      </c>
      <c r="L20">
        <v>0.625</v>
      </c>
      <c r="M20">
        <f t="shared" si="5"/>
        <v>0.30679687499999997</v>
      </c>
      <c r="N20">
        <v>66.7</v>
      </c>
      <c r="O20">
        <v>93.7</v>
      </c>
      <c r="P20">
        <f t="shared" si="20"/>
        <v>2.4703703703703706E-3</v>
      </c>
      <c r="Q20">
        <v>1.23E-2</v>
      </c>
      <c r="R20">
        <f>0.131*0.9</f>
        <v>0.1179</v>
      </c>
      <c r="S20">
        <v>27000</v>
      </c>
      <c r="T20">
        <f>(O20-N20)/(R20-Q20)*2</f>
        <v>511.36363636363637</v>
      </c>
      <c r="U20">
        <v>0.375</v>
      </c>
      <c r="V20">
        <f t="shared" si="8"/>
        <v>0.110446875</v>
      </c>
      <c r="W20">
        <v>72.8</v>
      </c>
      <c r="X20">
        <v>29000</v>
      </c>
      <c r="Y20">
        <v>2.5</v>
      </c>
      <c r="Z20">
        <v>90</v>
      </c>
      <c r="AA20">
        <v>0.3</v>
      </c>
      <c r="AB20">
        <v>0.5</v>
      </c>
      <c r="AC20">
        <v>1</v>
      </c>
      <c r="AD20">
        <f t="shared" si="1"/>
        <v>1.6845014118184114E-2</v>
      </c>
      <c r="AE20">
        <v>0.8</v>
      </c>
      <c r="AF20">
        <v>1</v>
      </c>
      <c r="AG20">
        <v>0.59394531250000004</v>
      </c>
      <c r="AH20">
        <v>10</v>
      </c>
      <c r="AI20">
        <f t="shared" si="2"/>
        <v>1.863883417347793E-2</v>
      </c>
      <c r="AJ20">
        <f t="shared" si="3"/>
        <v>0.75390434926721506</v>
      </c>
    </row>
    <row r="21" spans="1:36" x14ac:dyDescent="0.25">
      <c r="A21">
        <v>20</v>
      </c>
      <c r="B21" t="s">
        <v>48</v>
      </c>
      <c r="C21">
        <v>2024</v>
      </c>
      <c r="D21">
        <v>144</v>
      </c>
      <c r="E21">
        <v>24</v>
      </c>
      <c r="F21">
        <v>1.25</v>
      </c>
      <c r="G21">
        <v>-4.8369999999999997</v>
      </c>
      <c r="H21">
        <f t="shared" si="0"/>
        <v>0.27819417679024128</v>
      </c>
      <c r="I21">
        <v>2585</v>
      </c>
      <c r="J21">
        <f t="shared" si="19"/>
        <v>139.09708839512064</v>
      </c>
      <c r="K21">
        <v>12</v>
      </c>
      <c r="L21">
        <v>0.625</v>
      </c>
      <c r="M21">
        <f t="shared" si="5"/>
        <v>0.30679687499999997</v>
      </c>
      <c r="N21">
        <v>86.2</v>
      </c>
      <c r="O21">
        <v>114.3</v>
      </c>
      <c r="P21">
        <f t="shared" si="20"/>
        <v>3.1925925925925928E-3</v>
      </c>
      <c r="Q21">
        <v>8.3999999999999995E-3</v>
      </c>
      <c r="R21">
        <f>0.1066*0.8</f>
        <v>8.5280000000000009E-2</v>
      </c>
      <c r="S21">
        <v>27000</v>
      </c>
      <c r="T21">
        <f>(O21-N21)/(R21-Q21)*2</f>
        <v>731.00936524453675</v>
      </c>
      <c r="U21">
        <v>0.375</v>
      </c>
      <c r="V21">
        <f t="shared" si="8"/>
        <v>0.110446875</v>
      </c>
      <c r="W21">
        <v>85.6</v>
      </c>
      <c r="X21">
        <v>29000</v>
      </c>
      <c r="Y21">
        <v>2.5</v>
      </c>
      <c r="Z21">
        <v>90</v>
      </c>
      <c r="AA21">
        <v>0.3</v>
      </c>
      <c r="AB21">
        <v>0.5</v>
      </c>
      <c r="AC21">
        <v>1</v>
      </c>
      <c r="AD21">
        <f t="shared" si="1"/>
        <v>2.0174297521739076E-2</v>
      </c>
      <c r="AE21">
        <v>0.8</v>
      </c>
      <c r="AF21">
        <v>1</v>
      </c>
      <c r="AG21">
        <v>0.74687499999999996</v>
      </c>
      <c r="AH21">
        <v>12</v>
      </c>
      <c r="AI21">
        <f t="shared" si="2"/>
        <v>2.576152142939097E-2</v>
      </c>
      <c r="AJ21">
        <f t="shared" si="3"/>
        <v>0.49120377874491522</v>
      </c>
    </row>
    <row r="22" spans="1:36" x14ac:dyDescent="0.25">
      <c r="A22">
        <v>21</v>
      </c>
      <c r="B22" t="s">
        <v>49</v>
      </c>
      <c r="C22">
        <v>2025</v>
      </c>
      <c r="D22">
        <v>144</v>
      </c>
      <c r="E22">
        <v>24</v>
      </c>
      <c r="F22">
        <v>1.25</v>
      </c>
      <c r="G22">
        <v>-3.5880000000000001</v>
      </c>
      <c r="H22">
        <f t="shared" si="0"/>
        <v>0.23959966610995098</v>
      </c>
      <c r="I22">
        <v>3126</v>
      </c>
      <c r="J22">
        <f t="shared" si="19"/>
        <v>119.79983305497549</v>
      </c>
      <c r="K22">
        <v>22</v>
      </c>
      <c r="L22">
        <v>0.75</v>
      </c>
      <c r="M22">
        <f t="shared" si="5"/>
        <v>0.4417875</v>
      </c>
      <c r="N22">
        <v>67.2</v>
      </c>
      <c r="O22">
        <v>100.1</v>
      </c>
      <c r="P22">
        <f t="shared" si="20"/>
        <v>2.488888888888889E-3</v>
      </c>
      <c r="Q22">
        <v>4.3E-3</v>
      </c>
      <c r="R22">
        <f>0.1402*0.75</f>
        <v>0.10514999999999999</v>
      </c>
      <c r="S22">
        <v>27000</v>
      </c>
      <c r="T22">
        <f>(O22-N22)/(R22-Q22)*2</f>
        <v>652.45413981160129</v>
      </c>
      <c r="U22">
        <v>0.375</v>
      </c>
      <c r="V22">
        <f t="shared" si="8"/>
        <v>0.110446875</v>
      </c>
      <c r="W22">
        <v>72.8</v>
      </c>
      <c r="X22">
        <v>29000</v>
      </c>
      <c r="Y22">
        <v>2.5</v>
      </c>
      <c r="Z22">
        <v>90</v>
      </c>
      <c r="AA22">
        <v>0.3</v>
      </c>
      <c r="AB22">
        <v>0.5</v>
      </c>
      <c r="AC22">
        <v>1</v>
      </c>
      <c r="AD22">
        <f t="shared" si="1"/>
        <v>2.1821492771468512E-2</v>
      </c>
      <c r="AE22">
        <v>0.8</v>
      </c>
      <c r="AF22">
        <v>1</v>
      </c>
      <c r="AG22">
        <v>0.64140624999999996</v>
      </c>
      <c r="AH22">
        <v>12</v>
      </c>
      <c r="AI22">
        <f t="shared" si="2"/>
        <v>2.181416506760981E-2</v>
      </c>
      <c r="AJ22">
        <f t="shared" si="3"/>
        <v>0.94557365468313126</v>
      </c>
    </row>
    <row r="23" spans="1:36" x14ac:dyDescent="0.25">
      <c r="A23">
        <v>22</v>
      </c>
      <c r="B23" t="s">
        <v>50</v>
      </c>
      <c r="C23">
        <v>2026</v>
      </c>
      <c r="D23">
        <v>144</v>
      </c>
      <c r="E23">
        <v>24</v>
      </c>
      <c r="F23">
        <v>1.25</v>
      </c>
      <c r="G23">
        <v>-4.657</v>
      </c>
      <c r="H23">
        <f t="shared" si="0"/>
        <v>0.27296886269316506</v>
      </c>
      <c r="I23">
        <v>3890</v>
      </c>
      <c r="J23">
        <f t="shared" si="19"/>
        <v>136.48443134658254</v>
      </c>
      <c r="K23">
        <v>16</v>
      </c>
      <c r="L23">
        <v>0.75</v>
      </c>
      <c r="M23">
        <f t="shared" si="5"/>
        <v>0.4417875</v>
      </c>
      <c r="N23">
        <v>86.1</v>
      </c>
      <c r="O23">
        <v>114</v>
      </c>
      <c r="P23">
        <f t="shared" si="20"/>
        <v>3.1888888888888887E-3</v>
      </c>
      <c r="Q23">
        <v>9.7999999999999997E-3</v>
      </c>
      <c r="R23">
        <f>0.1225*0.75</f>
        <v>9.1874999999999998E-2</v>
      </c>
      <c r="S23">
        <v>27000</v>
      </c>
      <c r="T23">
        <f>(O23-N23)/(R23-Q23)*3</f>
        <v>1019.7989643618644</v>
      </c>
      <c r="U23">
        <v>0.375</v>
      </c>
      <c r="V23">
        <f t="shared" si="8"/>
        <v>0.110446875</v>
      </c>
      <c r="W23">
        <v>85.6</v>
      </c>
      <c r="X23">
        <v>29000</v>
      </c>
      <c r="Y23">
        <v>2.5</v>
      </c>
      <c r="Z23">
        <v>90</v>
      </c>
      <c r="AA23">
        <v>0.3</v>
      </c>
      <c r="AB23">
        <v>0.5</v>
      </c>
      <c r="AC23">
        <v>1</v>
      </c>
      <c r="AD23">
        <f t="shared" si="1"/>
        <v>2.4832037137889701E-2</v>
      </c>
      <c r="AE23">
        <v>0.8</v>
      </c>
      <c r="AF23">
        <v>1</v>
      </c>
      <c r="AG23">
        <v>0.57109374999999996</v>
      </c>
      <c r="AH23">
        <v>12</v>
      </c>
      <c r="AI23">
        <f t="shared" si="2"/>
        <v>3.1432538063182927E-2</v>
      </c>
      <c r="AJ23">
        <f t="shared" si="3"/>
        <v>0.63870933371856786</v>
      </c>
    </row>
    <row r="24" spans="1:36" x14ac:dyDescent="0.25">
      <c r="A24">
        <v>23</v>
      </c>
      <c r="B24" t="s">
        <v>51</v>
      </c>
      <c r="C24">
        <v>2027</v>
      </c>
      <c r="D24">
        <v>72</v>
      </c>
      <c r="E24">
        <v>24</v>
      </c>
      <c r="F24">
        <v>1.25</v>
      </c>
      <c r="G24">
        <v>-3.5750000000000002</v>
      </c>
      <c r="H24">
        <f t="shared" si="0"/>
        <v>0.23916521486202796</v>
      </c>
      <c r="I24">
        <v>3078</v>
      </c>
      <c r="J24">
        <f t="shared" si="19"/>
        <v>119.58260743101398</v>
      </c>
      <c r="K24">
        <v>22</v>
      </c>
      <c r="L24">
        <v>0.75</v>
      </c>
      <c r="M24">
        <f t="shared" si="5"/>
        <v>0.4417875</v>
      </c>
      <c r="N24">
        <v>67.2</v>
      </c>
      <c r="O24">
        <v>100.1</v>
      </c>
      <c r="P24">
        <f t="shared" ref="P24:P27" si="21">N24/S24</f>
        <v>2.488888888888889E-3</v>
      </c>
      <c r="Q24">
        <v>4.3E-3</v>
      </c>
      <c r="R24">
        <f>0.1402*0.7</f>
        <v>9.8139999999999991E-2</v>
      </c>
      <c r="S24">
        <v>27000</v>
      </c>
      <c r="T24">
        <f>(O24-N24)/(R24-Q24)*3</f>
        <v>1051.7902813299231</v>
      </c>
      <c r="U24">
        <v>0.375</v>
      </c>
      <c r="V24">
        <f t="shared" ref="V24:V27" si="22">0.25*3.1416*U24^2</f>
        <v>0.110446875</v>
      </c>
      <c r="W24">
        <v>72.8</v>
      </c>
      <c r="X24">
        <v>29000</v>
      </c>
      <c r="Y24">
        <v>2.5</v>
      </c>
      <c r="Z24">
        <v>90</v>
      </c>
      <c r="AA24">
        <v>0.3</v>
      </c>
      <c r="AB24">
        <v>0.5</v>
      </c>
      <c r="AC24">
        <v>1</v>
      </c>
      <c r="AD24">
        <f t="shared" si="1"/>
        <v>2.1861608675566017E-2</v>
      </c>
      <c r="AE24">
        <v>0.8</v>
      </c>
      <c r="AF24">
        <v>1</v>
      </c>
      <c r="AG24">
        <v>0.53945312499999998</v>
      </c>
      <c r="AH24">
        <v>12</v>
      </c>
      <c r="AI24">
        <f t="shared" si="2"/>
        <v>2.1853791194851972E-2</v>
      </c>
      <c r="AJ24">
        <f t="shared" si="3"/>
        <v>0.88702205112406751</v>
      </c>
    </row>
    <row r="25" spans="1:36" x14ac:dyDescent="0.25">
      <c r="A25">
        <v>24</v>
      </c>
      <c r="B25" t="s">
        <v>52</v>
      </c>
      <c r="C25">
        <v>2028</v>
      </c>
      <c r="D25">
        <v>72</v>
      </c>
      <c r="E25">
        <v>24</v>
      </c>
      <c r="F25">
        <v>1.25</v>
      </c>
      <c r="G25">
        <v>-3.8460000000000001</v>
      </c>
      <c r="H25">
        <f t="shared" si="0"/>
        <v>0.24806450773941843</v>
      </c>
      <c r="I25">
        <v>2759</v>
      </c>
      <c r="J25">
        <f t="shared" si="19"/>
        <v>124.03225386970921</v>
      </c>
      <c r="K25">
        <v>16</v>
      </c>
      <c r="L25">
        <v>0.75</v>
      </c>
      <c r="M25">
        <f t="shared" si="5"/>
        <v>0.4417875</v>
      </c>
      <c r="N25">
        <v>86.1</v>
      </c>
      <c r="O25">
        <v>114</v>
      </c>
      <c r="P25">
        <f t="shared" si="21"/>
        <v>3.1888888888888887E-3</v>
      </c>
      <c r="Q25">
        <v>9.7999999999999997E-3</v>
      </c>
      <c r="R25">
        <f>0.1225*0.68</f>
        <v>8.3299999999999999E-2</v>
      </c>
      <c r="S25">
        <v>27000</v>
      </c>
      <c r="T25">
        <f>(O25-N25)/(R25-Q25)*3</f>
        <v>1138.7755102040819</v>
      </c>
      <c r="U25">
        <v>0.375</v>
      </c>
      <c r="V25">
        <f t="shared" si="22"/>
        <v>0.110446875</v>
      </c>
      <c r="W25">
        <v>85.6</v>
      </c>
      <c r="X25">
        <v>29000</v>
      </c>
      <c r="Y25">
        <v>2.5</v>
      </c>
      <c r="Z25">
        <v>90</v>
      </c>
      <c r="AA25">
        <v>0.3</v>
      </c>
      <c r="AB25">
        <v>0.5</v>
      </c>
      <c r="AC25">
        <v>1</v>
      </c>
      <c r="AD25">
        <f t="shared" si="1"/>
        <v>2.8029022051475116E-2</v>
      </c>
      <c r="AE25">
        <v>0.8</v>
      </c>
      <c r="AF25">
        <v>1</v>
      </c>
      <c r="AG25">
        <v>0.56406250000000002</v>
      </c>
      <c r="AH25">
        <v>12</v>
      </c>
      <c r="AI25">
        <f t="shared" si="2"/>
        <v>3.4588197420324679E-2</v>
      </c>
      <c r="AJ25">
        <f t="shared" si="3"/>
        <v>0.64255505803395585</v>
      </c>
    </row>
    <row r="26" spans="1:36" x14ac:dyDescent="0.25">
      <c r="A26">
        <v>25</v>
      </c>
      <c r="B26" t="s">
        <v>56</v>
      </c>
      <c r="C26">
        <v>2011</v>
      </c>
      <c r="D26">
        <v>54</v>
      </c>
      <c r="E26">
        <v>12</v>
      </c>
      <c r="F26">
        <v>0.5</v>
      </c>
      <c r="G26">
        <v>-4.4800000000000004</v>
      </c>
      <c r="H26">
        <f t="shared" si="0"/>
        <v>0.2677312084909042</v>
      </c>
      <c r="I26">
        <f t="shared" ref="I26" si="23">57*SQRT(-G26*1000)</f>
        <v>3815.1697209953845</v>
      </c>
      <c r="J26">
        <f t="shared" si="19"/>
        <v>133.86560424545209</v>
      </c>
      <c r="K26">
        <v>21</v>
      </c>
      <c r="L26">
        <v>0.375</v>
      </c>
      <c r="M26">
        <f t="shared" si="5"/>
        <v>0.110446875</v>
      </c>
      <c r="N26">
        <v>68.2</v>
      </c>
      <c r="O26">
        <v>104.9</v>
      </c>
      <c r="P26">
        <f t="shared" si="21"/>
        <v>2.2000000000000001E-3</v>
      </c>
      <c r="Q26">
        <v>8.0000000000000002E-3</v>
      </c>
      <c r="R26">
        <v>0.11</v>
      </c>
      <c r="S26">
        <v>31000</v>
      </c>
      <c r="T26">
        <f>(O26-N26)/(R26-Q26)*1.2</f>
        <v>431.76470588235293</v>
      </c>
      <c r="U26">
        <v>0.15</v>
      </c>
      <c r="V26">
        <f t="shared" si="22"/>
        <v>1.76715E-2</v>
      </c>
      <c r="W26">
        <v>62.9</v>
      </c>
      <c r="X26">
        <v>29000</v>
      </c>
      <c r="Y26">
        <v>0.75</v>
      </c>
      <c r="Z26">
        <v>50</v>
      </c>
      <c r="AA26">
        <v>0.3</v>
      </c>
      <c r="AB26">
        <v>0.5</v>
      </c>
      <c r="AC26">
        <v>1</v>
      </c>
      <c r="AD26">
        <f t="shared" si="1"/>
        <v>1.4225950324421338E-2</v>
      </c>
      <c r="AE26">
        <v>0.8</v>
      </c>
      <c r="AF26">
        <v>1</v>
      </c>
      <c r="AG26">
        <v>2.38043212890625</v>
      </c>
      <c r="AH26">
        <v>6.5</v>
      </c>
      <c r="AI26">
        <f t="shared" si="2"/>
        <v>1.6165754255817226E-2</v>
      </c>
      <c r="AJ26">
        <f t="shared" si="3"/>
        <v>0.90348077597467658</v>
      </c>
    </row>
    <row r="27" spans="1:36" x14ac:dyDescent="0.25">
      <c r="A27">
        <v>26</v>
      </c>
      <c r="B27" t="s">
        <v>57</v>
      </c>
      <c r="C27">
        <v>2012</v>
      </c>
      <c r="D27">
        <v>54</v>
      </c>
      <c r="E27">
        <v>12</v>
      </c>
      <c r="F27">
        <v>0.5</v>
      </c>
      <c r="G27">
        <v>-5.82</v>
      </c>
      <c r="H27">
        <f t="shared" si="0"/>
        <v>0.30515569796417041</v>
      </c>
      <c r="I27">
        <f t="shared" ref="I27" si="24">57*SQRT(-G27*1000)</f>
        <v>4348.4686959894289</v>
      </c>
      <c r="J27">
        <f t="shared" ref="J27" si="25">H27/0.002</f>
        <v>152.57784898208521</v>
      </c>
      <c r="K27">
        <v>21</v>
      </c>
      <c r="L27">
        <v>0.375</v>
      </c>
      <c r="M27">
        <f t="shared" si="5"/>
        <v>0.110446875</v>
      </c>
      <c r="N27">
        <v>68.2</v>
      </c>
      <c r="O27">
        <v>104.9</v>
      </c>
      <c r="P27">
        <f t="shared" si="21"/>
        <v>2.2000000000000001E-3</v>
      </c>
      <c r="Q27">
        <v>8.0000000000000002E-3</v>
      </c>
      <c r="R27">
        <v>0.11</v>
      </c>
      <c r="S27">
        <v>31000</v>
      </c>
      <c r="T27">
        <f>(O27-N27)/(R27-Q27)*1.2</f>
        <v>431.76470588235293</v>
      </c>
      <c r="U27">
        <v>0.15</v>
      </c>
      <c r="V27">
        <f t="shared" si="22"/>
        <v>1.76715E-2</v>
      </c>
      <c r="W27">
        <v>62.9</v>
      </c>
      <c r="X27">
        <v>29000</v>
      </c>
      <c r="Y27">
        <v>0.75</v>
      </c>
      <c r="Z27">
        <v>45</v>
      </c>
      <c r="AA27">
        <v>0.3</v>
      </c>
      <c r="AB27">
        <v>0.5</v>
      </c>
      <c r="AC27">
        <v>1</v>
      </c>
      <c r="AD27">
        <f t="shared" si="1"/>
        <v>1.388392752865117E-2</v>
      </c>
      <c r="AE27">
        <v>0.8</v>
      </c>
      <c r="AF27">
        <v>1</v>
      </c>
      <c r="AG27">
        <v>1.98931884765625</v>
      </c>
      <c r="AH27">
        <v>5.5</v>
      </c>
      <c r="AI27">
        <f t="shared" si="2"/>
        <v>1.6761935084694285E-2</v>
      </c>
      <c r="AJ27">
        <f t="shared" si="3"/>
        <v>0.93680046581848586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2020-04-06T20:29:42Z</dcterms:modified>
</cp:coreProperties>
</file>