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comments2.xml" ContentType="application/vnd.openxmlformats-officedocument.spreadsheetml.comments+xml"/>
  <Override PartName="/xl/drawings/drawing3.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embeddings/oleObject4.bin" ContentType="application/vnd.openxmlformats-officedocument.oleObject"/>
  <Override PartName="/xl/comments4.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5.xml" ContentType="application/vnd.openxmlformats-officedocument.drawing+xml"/>
  <Override PartName="/xl/embeddings/oleObject5.bin" ContentType="application/vnd.openxmlformats-officedocument.oleObject"/>
  <Override PartName="/xl/comments5.xml" ContentType="application/vnd.openxmlformats-officedocument.spreadsheetml.comments+xml"/>
  <Override PartName="/xl/drawings/drawing6.xml" ContentType="application/vnd.openxmlformats-officedocument.drawing+xml"/>
  <Override PartName="/xl/embeddings/oleObject6.bin" ContentType="application/vnd.openxmlformats-officedocument.oleObject"/>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harts/chart12.xml" ContentType="application/vnd.openxmlformats-officedocument.drawingml.chart+xml"/>
  <Override PartName="/xl/drawings/drawing9.xml" ContentType="application/vnd.openxmlformats-officedocument.drawing+xml"/>
  <Override PartName="/xl/charts/chart13.xml" ContentType="application/vnd.openxmlformats-officedocument.drawingml.chart+xml"/>
  <Override PartName="/xl/drawings/drawing10.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showInkAnnotation="0" codeName="ThisWorkbook"/>
  <mc:AlternateContent xmlns:mc="http://schemas.openxmlformats.org/markup-compatibility/2006">
    <mc:Choice Requires="x15">
      <x15ac:absPath xmlns:x15ac="http://schemas.microsoft.com/office/spreadsheetml/2010/11/ac" url="D:\Calibrador4\Desktop\JULIAN VALENCIA\1. CALIBRACIONES JULIAN\TECSERVICE S.A.S\3. OS-21-CAL ENTREGADO 2025-01-24\"/>
    </mc:Choice>
  </mc:AlternateContent>
  <xr:revisionPtr revIDLastSave="0" documentId="13_ncr:1_{034052CA-5FC7-44B1-AE29-B0AB777A13D1}" xr6:coauthVersionLast="47" xr6:coauthVersionMax="47" xr10:uidLastSave="{00000000-0000-0000-0000-000000000000}"/>
  <workbookProtection workbookAlgorithmName="SHA-512" workbookHashValue="QekvyN+hYSxrrtVJve9CfbIqg5A6yGpKQt0x6Ub9/dt4q+pCSK87LKr0kBp9cpzesluGlJg+hJi98HujTgEQaA==" workbookSaltValue="bpnHn7hAO+fVLORJm3oocQ==" workbookSpinCount="100000" lockStructure="1"/>
  <bookViews>
    <workbookView xWindow="-120" yWindow="-120" windowWidth="21840" windowHeight="13140" tabRatio="606" firstSheet="2" activeTab="2" xr2:uid="{00000000-000D-0000-FFFF-FFFF00000000}"/>
  </bookViews>
  <sheets>
    <sheet name="Alcance" sheetId="40" state="hidden" r:id="rId1"/>
    <sheet name="Calculo P Conformidad" sheetId="42" state="hidden" r:id="rId2"/>
    <sheet name="Formato" sheetId="13" r:id="rId3"/>
    <sheet name="Certificado de calibración" sheetId="11" r:id="rId4"/>
    <sheet name="Estimación de la Incertidumbre" sheetId="23" state="hidden" r:id="rId5"/>
    <sheet name="Incertidumbre  Empuje" sheetId="27" state="hidden" r:id="rId6"/>
    <sheet name="Data cruda manual" sheetId="38" state="hidden" r:id="rId7"/>
    <sheet name="Calculos" sheetId="22" state="hidden" r:id="rId8"/>
    <sheet name="Errores  Patrones" sheetId="25" state="hidden" r:id="rId9"/>
    <sheet name="Hoja1" sheetId="41" state="hidden" r:id="rId10"/>
    <sheet name="Cumplimiento" sheetId="36" state="hidden" r:id="rId11"/>
    <sheet name="Verificación certificado" sheetId="32" state="hidden" r:id="rId12"/>
    <sheet name="Verificación formato" sheetId="33" state="hidden" r:id="rId13"/>
    <sheet name="Verificación Incedrtidumbre" sheetId="34" state="hidden" r:id="rId14"/>
    <sheet name="Verificación Calculos" sheetId="35" state="hidden" r:id="rId15"/>
    <sheet name="Verificación patrones" sheetId="37" state="hidden" r:id="rId16"/>
    <sheet name="Densidad  del Aire" sheetId="26" state="hidden" r:id="rId17"/>
  </sheets>
  <externalReferences>
    <externalReference r:id="rId18"/>
  </externalReferences>
  <definedNames>
    <definedName name="_xlnm._FilterDatabase" localSheetId="7" hidden="1">Calculos!$AY$5:$AZ$5</definedName>
    <definedName name="_xlnm._FilterDatabase" localSheetId="8" hidden="1">'Errores  Patrones'!$A$3:$AO$724</definedName>
    <definedName name="_xlnm.Print_Area" localSheetId="7">Calculos!$A$1:$AZ$384</definedName>
    <definedName name="_xlnm.Print_Area" localSheetId="3">'Certificado de calibración'!$A$6:$Y$200</definedName>
    <definedName name="_xlnm.Print_Area" localSheetId="6">'Data cruda manual'!$A$5:$AG$114</definedName>
    <definedName name="_xlnm.Print_Area" localSheetId="8">'Errores  Patrones'!$B$2:$M$716</definedName>
    <definedName name="_xlnm.Print_Area" localSheetId="4">'Estimación de la Incertidumbre'!$A$1:$AA$87</definedName>
    <definedName name="_xlnm.Print_Area" localSheetId="2">Formato!$A$1:$AM$172</definedName>
    <definedName name="_xlnm.Print_Area" localSheetId="5">'Incertidumbre  Empuje'!$A$1:$V$51</definedName>
    <definedName name="Cargo" localSheetId="1">#REF!</definedName>
    <definedName name="Cargo" localSheetId="6">#REF!</definedName>
    <definedName name="Cargo">#REF!</definedName>
    <definedName name="CARRO">#REF!</definedName>
    <definedName name="CESAR">#REF!</definedName>
    <definedName name="Clase">#REF!</definedName>
    <definedName name="Codigo" localSheetId="1">#REF!</definedName>
    <definedName name="Codigo" localSheetId="6">#REF!</definedName>
    <definedName name="Codigo">#REF!</definedName>
    <definedName name="División_de_verificación">#REF!</definedName>
    <definedName name="Excentricidad">#REF!</definedName>
    <definedName name="Max">#REF!</definedName>
    <definedName name="Min">#REF!</definedName>
    <definedName name="MOTO">#REF!</definedName>
    <definedName name="Nombres" localSheetId="1">#REF!</definedName>
    <definedName name="Nombres" localSheetId="6">#REF!</definedName>
    <definedName name="Nombres">#REF!</definedName>
    <definedName name="Patrón">#REF!</definedName>
    <definedName name="Repetibilidad">#REF!</definedName>
    <definedName name="Resolucion">#REF!</definedName>
    <definedName name="Resolución">#REF!</definedName>
    <definedName name="Temperatura">#REF!</definedName>
    <definedName name="U0">#REF!</definedName>
    <definedName name="Umax">#REF!</definedName>
    <definedName name="Unidades" localSheetId="1">#REF!</definedName>
    <definedName name="Unidades" localSheetId="6">#REF!</definedName>
    <definedName name="Unidades">#REF!</definedName>
  </definedNames>
  <calcPr calcId="191029"/>
</workbook>
</file>

<file path=xl/calcChain.xml><?xml version="1.0" encoding="utf-8"?>
<calcChain xmlns="http://schemas.openxmlformats.org/spreadsheetml/2006/main">
  <c r="W86" i="13" l="1"/>
  <c r="H36" i="13" l="1"/>
  <c r="H37" i="13"/>
  <c r="H38" i="13"/>
  <c r="H39" i="13"/>
  <c r="H40" i="13"/>
  <c r="O37" i="13" l="1"/>
  <c r="AF16" i="25"/>
  <c r="AF14" i="25"/>
  <c r="AF13" i="25"/>
  <c r="AF12" i="25"/>
  <c r="AF11" i="25"/>
  <c r="AF10" i="25"/>
  <c r="AF9" i="25"/>
  <c r="AF8" i="25"/>
  <c r="AF7" i="25"/>
  <c r="AF4" i="25"/>
  <c r="AF5" i="25"/>
  <c r="AF6" i="25"/>
  <c r="T117" i="13" l="1"/>
  <c r="T81" i="13"/>
  <c r="AB81" i="13"/>
  <c r="X81" i="13"/>
  <c r="H75" i="13" l="1"/>
  <c r="E23" i="11" l="1"/>
  <c r="H1" i="11" l="1"/>
  <c r="W72" i="11" s="1"/>
  <c r="A4" i="11"/>
  <c r="W2" i="11"/>
  <c r="D16" i="11"/>
  <c r="E127" i="11" l="1"/>
  <c r="AA20" i="11"/>
  <c r="AI117" i="13"/>
  <c r="T139" i="13"/>
  <c r="AI139" i="13" s="1"/>
  <c r="T87" i="13" l="1"/>
  <c r="D138" i="11"/>
  <c r="D134" i="11"/>
  <c r="AI82" i="13"/>
  <c r="D127" i="11" s="1"/>
  <c r="P138" i="13" l="1"/>
  <c r="P136" i="13"/>
  <c r="P134" i="13"/>
  <c r="P131" i="13"/>
  <c r="P129" i="13"/>
  <c r="P126" i="13"/>
  <c r="P124" i="13"/>
  <c r="P121" i="13"/>
  <c r="P119" i="13"/>
  <c r="P116" i="13"/>
  <c r="P114" i="13"/>
  <c r="P111" i="13"/>
  <c r="P109" i="13"/>
  <c r="P106" i="13"/>
  <c r="P104" i="13"/>
  <c r="P101" i="13"/>
  <c r="P99" i="13"/>
  <c r="P96" i="13"/>
  <c r="P94" i="13"/>
  <c r="P91" i="13"/>
  <c r="P89" i="13"/>
  <c r="P86" i="13"/>
  <c r="P84" i="13"/>
  <c r="P137" i="13"/>
  <c r="P135" i="13"/>
  <c r="P132" i="13"/>
  <c r="P130" i="13"/>
  <c r="P128" i="13"/>
  <c r="P125" i="13"/>
  <c r="P123" i="13"/>
  <c r="P120" i="13"/>
  <c r="P118" i="13"/>
  <c r="P115" i="13"/>
  <c r="P113" i="13"/>
  <c r="P110" i="13"/>
  <c r="P108" i="13"/>
  <c r="P105" i="13"/>
  <c r="P103" i="13"/>
  <c r="P100" i="13"/>
  <c r="P98" i="13"/>
  <c r="P95" i="13"/>
  <c r="P93" i="13"/>
  <c r="P90" i="13"/>
  <c r="P88" i="13"/>
  <c r="P85" i="13"/>
  <c r="P83" i="13"/>
  <c r="AI87" i="13"/>
  <c r="D128" i="11" s="1"/>
  <c r="BS3" i="23" l="1"/>
  <c r="BS2" i="23"/>
  <c r="BA9" i="23" l="1"/>
  <c r="AZ10" i="23"/>
  <c r="BS5" i="23"/>
  <c r="CC30" i="23" l="1"/>
  <c r="CB30" i="23"/>
  <c r="CA30" i="23"/>
  <c r="BZ30" i="23"/>
  <c r="BY30" i="23"/>
  <c r="BX30" i="23"/>
  <c r="BW30" i="23"/>
  <c r="BV30" i="23"/>
  <c r="BU30" i="23"/>
  <c r="BT30" i="23"/>
  <c r="BS30" i="23"/>
  <c r="CC29" i="23"/>
  <c r="CB29" i="23"/>
  <c r="CA29" i="23"/>
  <c r="BZ29" i="23"/>
  <c r="BY29" i="23"/>
  <c r="BX29" i="23"/>
  <c r="BW29" i="23"/>
  <c r="BV29" i="23"/>
  <c r="BU29" i="23"/>
  <c r="BT29" i="23"/>
  <c r="BS29" i="23"/>
  <c r="CC28" i="23"/>
  <c r="CB28" i="23"/>
  <c r="CA28" i="23"/>
  <c r="BZ28" i="23"/>
  <c r="BY28" i="23"/>
  <c r="BX28" i="23"/>
  <c r="BW28" i="23"/>
  <c r="BV28" i="23"/>
  <c r="BU28" i="23"/>
  <c r="BT28" i="23"/>
  <c r="CC27" i="23"/>
  <c r="CB27" i="23"/>
  <c r="CA27" i="23"/>
  <c r="BZ27" i="23"/>
  <c r="BY27" i="23"/>
  <c r="BX27" i="23"/>
  <c r="BW27" i="23"/>
  <c r="BV27" i="23"/>
  <c r="BU27" i="23"/>
  <c r="BT27" i="23"/>
  <c r="BS27" i="23"/>
  <c r="CC25" i="23"/>
  <c r="CB25" i="23"/>
  <c r="CA25" i="23"/>
  <c r="BZ25" i="23"/>
  <c r="BY25" i="23"/>
  <c r="BW25" i="23"/>
  <c r="BV25" i="23"/>
  <c r="BU25" i="23"/>
  <c r="BT25" i="23"/>
  <c r="BS25" i="23"/>
  <c r="BS24" i="23"/>
  <c r="BZ10" i="23"/>
  <c r="CC8" i="23"/>
  <c r="BX25" i="23" s="1"/>
  <c r="CA8" i="23"/>
  <c r="CC7" i="23"/>
  <c r="CA7" i="23"/>
  <c r="CC6" i="23"/>
  <c r="CA6" i="23"/>
  <c r="BV6" i="23"/>
  <c r="CC5" i="23"/>
  <c r="CA5" i="23"/>
  <c r="CC4" i="23"/>
  <c r="CA4" i="23"/>
  <c r="BV4" i="23"/>
  <c r="BT4" i="23"/>
  <c r="BT5" i="23" s="1"/>
  <c r="BT6" i="23" s="1"/>
  <c r="BS4" i="23"/>
  <c r="CC3" i="23"/>
  <c r="CA3" i="23"/>
  <c r="BV5" i="23" s="1"/>
  <c r="BW3" i="23"/>
  <c r="AO24" i="23"/>
  <c r="AO25" i="23" s="1"/>
  <c r="BW4" i="23" l="1"/>
  <c r="BW5" i="23" s="1"/>
  <c r="BW6" i="23" s="1"/>
  <c r="AO18" i="23"/>
  <c r="A52" i="11" l="1"/>
  <c r="AG81" i="13"/>
  <c r="N73" i="42"/>
  <c r="N90" i="42" s="1"/>
  <c r="Q73" i="42"/>
  <c r="AJ82" i="13"/>
  <c r="C127" i="11"/>
  <c r="W127" i="11"/>
  <c r="X127" i="11" s="1"/>
  <c r="H125" i="11"/>
  <c r="S10" i="23"/>
  <c r="S42" i="23" s="1"/>
  <c r="S35" i="23"/>
  <c r="S36" i="23" s="1"/>
  <c r="S50" i="23" s="1"/>
  <c r="S33" i="23"/>
  <c r="S49" i="23" s="1"/>
  <c r="S31" i="23"/>
  <c r="S51" i="23" s="1"/>
  <c r="S25" i="23"/>
  <c r="S47" i="23" s="1"/>
  <c r="S21" i="23"/>
  <c r="S12" i="23"/>
  <c r="S15" i="23" s="1"/>
  <c r="Q90" i="42" l="1"/>
  <c r="S90" i="42" s="1"/>
  <c r="S73" i="42"/>
  <c r="AL82" i="13"/>
  <c r="O73" i="42" s="1"/>
  <c r="R73" i="42" l="1"/>
  <c r="X73" i="42" s="1"/>
  <c r="O90" i="42"/>
  <c r="R90" i="42" s="1"/>
  <c r="X90" i="42" s="1"/>
  <c r="U73" i="42"/>
  <c r="W73" i="42"/>
  <c r="V73" i="42"/>
  <c r="T73" i="42"/>
  <c r="E73" i="42"/>
  <c r="B73" i="42"/>
  <c r="AH81" i="13" l="1"/>
  <c r="AF81" i="13"/>
  <c r="AO87" i="13" l="1"/>
  <c r="AO88" i="13" l="1"/>
  <c r="AO89" i="13" s="1"/>
  <c r="AO90" i="13" s="1"/>
  <c r="AO91" i="13" s="1"/>
  <c r="AO92" i="13" s="1"/>
  <c r="AO93" i="13" s="1"/>
  <c r="AO94" i="13" s="1"/>
  <c r="AO95" i="13" s="1"/>
  <c r="AO96" i="13" s="1"/>
  <c r="AO97" i="13" s="1"/>
  <c r="O72" i="11"/>
  <c r="U89" i="42" l="1"/>
  <c r="V89" i="42"/>
  <c r="W89" i="42"/>
  <c r="T89" i="42"/>
  <c r="S89" i="42"/>
  <c r="AJ79" i="13"/>
  <c r="M29" i="27"/>
  <c r="L29" i="27"/>
  <c r="K29" i="27"/>
  <c r="J29" i="27"/>
  <c r="I29" i="27"/>
  <c r="H29" i="27"/>
  <c r="G29" i="27"/>
  <c r="F29" i="27"/>
  <c r="E29" i="27"/>
  <c r="D29" i="27"/>
  <c r="C29" i="27"/>
  <c r="I31" i="23"/>
  <c r="J31" i="23"/>
  <c r="K31" i="23"/>
  <c r="L31" i="23"/>
  <c r="M31" i="23"/>
  <c r="N31" i="23"/>
  <c r="O31" i="23"/>
  <c r="P31" i="23"/>
  <c r="Q31" i="23"/>
  <c r="R31" i="23"/>
  <c r="R51" i="23" s="1"/>
  <c r="H31" i="23"/>
  <c r="Q51" i="23" l="1"/>
  <c r="AC31" i="23"/>
  <c r="P51" i="23"/>
  <c r="AB31" i="23"/>
  <c r="M51" i="23"/>
  <c r="Y31" i="23"/>
  <c r="I51" i="23"/>
  <c r="U31" i="23"/>
  <c r="L51" i="23"/>
  <c r="X31" i="23"/>
  <c r="H51" i="23"/>
  <c r="T31" i="23"/>
  <c r="O51" i="23"/>
  <c r="AA31" i="23"/>
  <c r="K51" i="23"/>
  <c r="W31" i="23"/>
  <c r="AD31" i="23"/>
  <c r="N51" i="23"/>
  <c r="Z31" i="23"/>
  <c r="V31" i="23"/>
  <c r="J51" i="23"/>
  <c r="M70" i="42" l="1"/>
  <c r="Q70" i="42"/>
  <c r="P70" i="42"/>
  <c r="O70" i="42"/>
  <c r="L105" i="11"/>
  <c r="P91" i="11"/>
  <c r="G71" i="42" l="1"/>
  <c r="Q76" i="42"/>
  <c r="Q77" i="42"/>
  <c r="Q78" i="42"/>
  <c r="Q79" i="42"/>
  <c r="Q80" i="42"/>
  <c r="Q81" i="42"/>
  <c r="Q82" i="42"/>
  <c r="S82" i="42" s="1"/>
  <c r="T82" i="42" s="1"/>
  <c r="Q83" i="42"/>
  <c r="Q84" i="42"/>
  <c r="Q75" i="42"/>
  <c r="N72" i="42"/>
  <c r="Q74" i="42"/>
  <c r="E110" i="42" s="1"/>
  <c r="N84" i="42"/>
  <c r="N83" i="42"/>
  <c r="C119" i="42" s="1"/>
  <c r="N82" i="42"/>
  <c r="N81" i="42"/>
  <c r="N80" i="42"/>
  <c r="C116" i="42" s="1"/>
  <c r="N79" i="42"/>
  <c r="N78" i="42"/>
  <c r="N77" i="42"/>
  <c r="N76" i="42"/>
  <c r="C112" i="42" s="1"/>
  <c r="N75" i="42"/>
  <c r="N74" i="42"/>
  <c r="E72" i="42"/>
  <c r="B72" i="42"/>
  <c r="Q87" i="42"/>
  <c r="P87" i="42"/>
  <c r="O87" i="42"/>
  <c r="Y67" i="42"/>
  <c r="Z67" i="42" s="1"/>
  <c r="S67" i="42"/>
  <c r="R67" i="42"/>
  <c r="X67" i="42" s="1"/>
  <c r="Y66" i="42"/>
  <c r="Z66" i="42" s="1"/>
  <c r="S66" i="42"/>
  <c r="R66" i="42"/>
  <c r="X66" i="42" s="1"/>
  <c r="Y65" i="42"/>
  <c r="Z65" i="42" s="1"/>
  <c r="S65" i="42"/>
  <c r="R65" i="42"/>
  <c r="X65" i="42" s="1"/>
  <c r="Y64" i="42"/>
  <c r="Z64" i="42" s="1"/>
  <c r="S64" i="42"/>
  <c r="R64" i="42"/>
  <c r="Y63" i="42"/>
  <c r="Z63" i="42" s="1"/>
  <c r="S63" i="42"/>
  <c r="R63" i="42"/>
  <c r="X63" i="42" s="1"/>
  <c r="Y62" i="42"/>
  <c r="Z62" i="42" s="1"/>
  <c r="S62" i="42"/>
  <c r="R62" i="42"/>
  <c r="X62" i="42" s="1"/>
  <c r="Y61" i="42"/>
  <c r="Z61" i="42" s="1"/>
  <c r="S61" i="42"/>
  <c r="R61" i="42"/>
  <c r="X61" i="42" s="1"/>
  <c r="Y60" i="42"/>
  <c r="Z60" i="42" s="1"/>
  <c r="S60" i="42"/>
  <c r="R60" i="42"/>
  <c r="Y59" i="42"/>
  <c r="Z59" i="42" s="1"/>
  <c r="S59" i="42"/>
  <c r="R59" i="42"/>
  <c r="Y58" i="42"/>
  <c r="Z58" i="42" s="1"/>
  <c r="S58" i="42"/>
  <c r="R58" i="42"/>
  <c r="X58" i="42" s="1"/>
  <c r="Y57" i="42"/>
  <c r="Z57" i="42" s="1"/>
  <c r="S57" i="42"/>
  <c r="R57" i="42"/>
  <c r="X57" i="42" s="1"/>
  <c r="U47" i="42"/>
  <c r="S47" i="42"/>
  <c r="AD44" i="42"/>
  <c r="AE43" i="42" s="1"/>
  <c r="AB44" i="42"/>
  <c r="AC43" i="42" s="1"/>
  <c r="U44" i="42"/>
  <c r="S44" i="42"/>
  <c r="Q44" i="42"/>
  <c r="W129" i="11"/>
  <c r="X129" i="11" s="1"/>
  <c r="W130" i="11"/>
  <c r="X130" i="11" s="1"/>
  <c r="W131" i="11"/>
  <c r="X131" i="11" s="1"/>
  <c r="W132" i="11"/>
  <c r="X132" i="11" s="1"/>
  <c r="W133" i="11"/>
  <c r="X133" i="11" s="1"/>
  <c r="W134" i="11"/>
  <c r="X134" i="11" s="1"/>
  <c r="W135" i="11"/>
  <c r="X135" i="11" s="1"/>
  <c r="W136" i="11"/>
  <c r="X136" i="11" s="1"/>
  <c r="W137" i="11"/>
  <c r="X137" i="11" s="1"/>
  <c r="W138" i="11"/>
  <c r="X138" i="11" s="1"/>
  <c r="W128" i="11"/>
  <c r="X128" i="11" s="1"/>
  <c r="P125" i="11"/>
  <c r="L125" i="11"/>
  <c r="W60" i="42" l="1"/>
  <c r="N101" i="42"/>
  <c r="C120" i="42"/>
  <c r="N98" i="42"/>
  <c r="C117" i="42"/>
  <c r="N96" i="42"/>
  <c r="C115" i="42"/>
  <c r="N95" i="42"/>
  <c r="C114" i="42"/>
  <c r="N94" i="42"/>
  <c r="C113" i="42"/>
  <c r="N92" i="42"/>
  <c r="C111" i="42"/>
  <c r="N91" i="42"/>
  <c r="C110" i="42"/>
  <c r="S84" i="42"/>
  <c r="V84" i="42" s="1"/>
  <c r="E120" i="42"/>
  <c r="S81" i="42"/>
  <c r="U81" i="42" s="1"/>
  <c r="E117" i="42"/>
  <c r="S75" i="42"/>
  <c r="T75" i="42" s="1"/>
  <c r="E111" i="42"/>
  <c r="S77" i="42"/>
  <c r="T77" i="42" s="1"/>
  <c r="E113" i="42"/>
  <c r="S80" i="42"/>
  <c r="V80" i="42" s="1"/>
  <c r="E116" i="42"/>
  <c r="S76" i="42"/>
  <c r="V76" i="42" s="1"/>
  <c r="E112" i="42"/>
  <c r="Q100" i="42"/>
  <c r="S100" i="42" s="1"/>
  <c r="E119" i="42"/>
  <c r="Q96" i="42"/>
  <c r="S96" i="42" s="1"/>
  <c r="E115" i="42"/>
  <c r="Q99" i="42"/>
  <c r="S99" i="42" s="1"/>
  <c r="E82" i="42" s="1"/>
  <c r="E118" i="42"/>
  <c r="S78" i="42"/>
  <c r="V78" i="42" s="1"/>
  <c r="E114" i="42"/>
  <c r="N99" i="42"/>
  <c r="C118" i="42"/>
  <c r="W47" i="42"/>
  <c r="Y47" i="42" s="1"/>
  <c r="Z47" i="42" s="1"/>
  <c r="V82" i="42"/>
  <c r="S83" i="42"/>
  <c r="V83" i="42" s="1"/>
  <c r="N100" i="42"/>
  <c r="W61" i="42"/>
  <c r="AK61" i="42" s="1"/>
  <c r="AL61" i="42" s="1"/>
  <c r="Q98" i="42"/>
  <c r="S98" i="42" s="1"/>
  <c r="Q94" i="42"/>
  <c r="S94" i="42" s="1"/>
  <c r="U61" i="42"/>
  <c r="AB61" i="42" s="1"/>
  <c r="N97" i="42"/>
  <c r="N93" i="42"/>
  <c r="Q95" i="42"/>
  <c r="S95" i="42" s="1"/>
  <c r="S79" i="42"/>
  <c r="V79" i="42" s="1"/>
  <c r="Q92" i="42"/>
  <c r="S92" i="42" s="1"/>
  <c r="W57" i="42"/>
  <c r="AK57" i="42" s="1"/>
  <c r="U60" i="42"/>
  <c r="Q101" i="42"/>
  <c r="S101" i="42" s="1"/>
  <c r="Q97" i="42"/>
  <c r="S97" i="42" s="1"/>
  <c r="Q93" i="42"/>
  <c r="S93" i="42" s="1"/>
  <c r="W82" i="42"/>
  <c r="AE44" i="42"/>
  <c r="AF43" i="42"/>
  <c r="U57" i="42"/>
  <c r="AI57" i="42" s="1"/>
  <c r="W44" i="42"/>
  <c r="Y44" i="42" s="1"/>
  <c r="Z44" i="42" s="1"/>
  <c r="U65" i="42"/>
  <c r="AB65" i="42" s="1"/>
  <c r="U82" i="42"/>
  <c r="W64" i="42"/>
  <c r="S74" i="42"/>
  <c r="W74" i="42" s="1"/>
  <c r="Q91" i="42"/>
  <c r="S91" i="42" s="1"/>
  <c r="W65" i="42"/>
  <c r="AK65" i="42" s="1"/>
  <c r="AL65" i="42" s="1"/>
  <c r="U66" i="42"/>
  <c r="AB66" i="42" s="1"/>
  <c r="U64" i="42"/>
  <c r="W59" i="42"/>
  <c r="U59" i="42"/>
  <c r="X59" i="42"/>
  <c r="W62" i="42"/>
  <c r="U62" i="42"/>
  <c r="W67" i="42"/>
  <c r="U67" i="42"/>
  <c r="W58" i="42"/>
  <c r="U58" i="42"/>
  <c r="AC61" i="42"/>
  <c r="W63" i="42"/>
  <c r="U63" i="42"/>
  <c r="N89" i="42"/>
  <c r="O72" i="42"/>
  <c r="X60" i="42"/>
  <c r="X64" i="42"/>
  <c r="AC44" i="42"/>
  <c r="W66" i="42"/>
  <c r="H96" i="13"/>
  <c r="AF20" i="13"/>
  <c r="AI66" i="42" l="1"/>
  <c r="AJ66" i="42" s="1"/>
  <c r="W76" i="42"/>
  <c r="T78" i="42"/>
  <c r="V77" i="42"/>
  <c r="W81" i="42"/>
  <c r="X44" i="42"/>
  <c r="T81" i="42"/>
  <c r="AC57" i="42"/>
  <c r="W77" i="42"/>
  <c r="B82" i="42"/>
  <c r="T84" i="42"/>
  <c r="U75" i="42"/>
  <c r="U78" i="42"/>
  <c r="U80" i="42"/>
  <c r="U77" i="42"/>
  <c r="W80" i="42"/>
  <c r="T80" i="42"/>
  <c r="W84" i="42"/>
  <c r="V75" i="42"/>
  <c r="W75" i="42"/>
  <c r="U84" i="42"/>
  <c r="AI65" i="42"/>
  <c r="AJ65" i="42" s="1"/>
  <c r="AM65" i="42" s="1"/>
  <c r="B79" i="42"/>
  <c r="W78" i="42"/>
  <c r="V81" i="42"/>
  <c r="T79" i="42"/>
  <c r="E79" i="42"/>
  <c r="U79" i="42"/>
  <c r="T76" i="42"/>
  <c r="U76" i="42"/>
  <c r="E83" i="42"/>
  <c r="B83" i="42"/>
  <c r="AC64" i="42"/>
  <c r="AB57" i="42"/>
  <c r="AI61" i="42"/>
  <c r="AJ61" i="42" s="1"/>
  <c r="AM61" i="42" s="1"/>
  <c r="X47" i="42"/>
  <c r="V103" i="42"/>
  <c r="T83" i="42"/>
  <c r="U83" i="42"/>
  <c r="W83" i="42"/>
  <c r="B76" i="42"/>
  <c r="E76" i="42"/>
  <c r="E78" i="42"/>
  <c r="B78" i="42"/>
  <c r="B80" i="42"/>
  <c r="E80" i="42"/>
  <c r="B75" i="42"/>
  <c r="E75" i="42"/>
  <c r="E77" i="42"/>
  <c r="B77" i="42"/>
  <c r="B84" i="42"/>
  <c r="E84" i="42"/>
  <c r="E81" i="42"/>
  <c r="B81" i="42"/>
  <c r="AI60" i="42"/>
  <c r="AJ60" i="42" s="1"/>
  <c r="X103" i="42"/>
  <c r="AF44" i="42"/>
  <c r="AH44" i="42" s="1"/>
  <c r="AI44" i="42" s="1"/>
  <c r="W79" i="42"/>
  <c r="AC65" i="42"/>
  <c r="AD65" i="42" s="1"/>
  <c r="AF65" i="42" s="1"/>
  <c r="AG65" i="42" s="1"/>
  <c r="AB64" i="42"/>
  <c r="AK60" i="42"/>
  <c r="AL60" i="42" s="1"/>
  <c r="AC60" i="42"/>
  <c r="T74" i="42"/>
  <c r="U74" i="42"/>
  <c r="V74" i="42"/>
  <c r="B74" i="42"/>
  <c r="E74" i="42"/>
  <c r="AB60" i="42"/>
  <c r="AJ56" i="42"/>
  <c r="AM56" i="42"/>
  <c r="AJ57" i="42"/>
  <c r="AB67" i="42"/>
  <c r="AI67" i="42"/>
  <c r="AJ67" i="42" s="1"/>
  <c r="AB59" i="42"/>
  <c r="AI59" i="42"/>
  <c r="AJ59" i="42" s="1"/>
  <c r="AC66" i="42"/>
  <c r="AD66" i="42" s="1"/>
  <c r="AK66" i="42"/>
  <c r="AL66" i="42" s="1"/>
  <c r="AM66" i="42" s="1"/>
  <c r="AI64" i="42"/>
  <c r="AJ64" i="42" s="1"/>
  <c r="AB58" i="42"/>
  <c r="AI58" i="42"/>
  <c r="AJ58" i="42" s="1"/>
  <c r="AK67" i="42"/>
  <c r="AL67" i="42" s="1"/>
  <c r="AC67" i="42"/>
  <c r="AK59" i="42"/>
  <c r="AL59" i="42" s="1"/>
  <c r="AC59" i="42"/>
  <c r="AL57" i="42"/>
  <c r="AL56" i="42"/>
  <c r="O89" i="42"/>
  <c r="P72" i="42"/>
  <c r="AB63" i="42"/>
  <c r="AI63" i="42"/>
  <c r="AJ63" i="42" s="1"/>
  <c r="AC58" i="42"/>
  <c r="AK58" i="42"/>
  <c r="AL58" i="42" s="1"/>
  <c r="AB62" i="42"/>
  <c r="AI62" i="42"/>
  <c r="AJ62" i="42" s="1"/>
  <c r="AK64" i="42"/>
  <c r="AL64" i="42" s="1"/>
  <c r="AK63" i="42"/>
  <c r="AL63" i="42" s="1"/>
  <c r="AC63" i="42"/>
  <c r="AC62" i="42"/>
  <c r="AK62" i="42"/>
  <c r="AL62" i="42" s="1"/>
  <c r="AD61" i="42"/>
  <c r="I5" i="25"/>
  <c r="I6" i="25"/>
  <c r="I7" i="25"/>
  <c r="I8" i="25"/>
  <c r="I9" i="25"/>
  <c r="I10" i="25"/>
  <c r="I11" i="25"/>
  <c r="I12" i="25"/>
  <c r="I13" i="25"/>
  <c r="I14" i="25"/>
  <c r="I15" i="25"/>
  <c r="I16" i="25"/>
  <c r="I17" i="25"/>
  <c r="I18" i="25"/>
  <c r="I19" i="25"/>
  <c r="I20" i="25"/>
  <c r="I21" i="25"/>
  <c r="I22" i="25"/>
  <c r="I23" i="25"/>
  <c r="I24" i="25"/>
  <c r="I25" i="25"/>
  <c r="I26" i="25"/>
  <c r="I27" i="25"/>
  <c r="I28" i="25"/>
  <c r="I29" i="25"/>
  <c r="I30" i="25"/>
  <c r="I31" i="25"/>
  <c r="I32" i="25"/>
  <c r="I33" i="25"/>
  <c r="I34" i="25"/>
  <c r="I35" i="25"/>
  <c r="I36" i="25"/>
  <c r="I37" i="25"/>
  <c r="I38" i="25"/>
  <c r="I39" i="25"/>
  <c r="I40" i="25"/>
  <c r="I41" i="25"/>
  <c r="I42" i="25"/>
  <c r="I43" i="25"/>
  <c r="I44" i="25"/>
  <c r="I45" i="25"/>
  <c r="I46" i="25"/>
  <c r="I47" i="25"/>
  <c r="I48" i="25"/>
  <c r="I49" i="25"/>
  <c r="I50" i="25"/>
  <c r="I51" i="25"/>
  <c r="I52" i="25"/>
  <c r="I53" i="25"/>
  <c r="I54" i="25"/>
  <c r="I55" i="25"/>
  <c r="I56" i="25"/>
  <c r="I57" i="25"/>
  <c r="I58" i="25"/>
  <c r="I59" i="25"/>
  <c r="I60" i="25"/>
  <c r="I61" i="25"/>
  <c r="I62" i="25"/>
  <c r="I63" i="25"/>
  <c r="I64" i="25"/>
  <c r="I65" i="25"/>
  <c r="I66" i="25"/>
  <c r="I67" i="25"/>
  <c r="I68" i="25"/>
  <c r="I69" i="25"/>
  <c r="I70" i="25"/>
  <c r="I71" i="25"/>
  <c r="I72" i="25"/>
  <c r="I73" i="25"/>
  <c r="I74" i="25"/>
  <c r="I75" i="25"/>
  <c r="I76" i="25"/>
  <c r="I77" i="25"/>
  <c r="I78" i="25"/>
  <c r="I79" i="25"/>
  <c r="I80" i="25"/>
  <c r="I81" i="25"/>
  <c r="I82" i="25"/>
  <c r="I83" i="25"/>
  <c r="I84" i="25"/>
  <c r="I85" i="25"/>
  <c r="I86" i="25"/>
  <c r="I87" i="25"/>
  <c r="I88" i="25"/>
  <c r="I89" i="25"/>
  <c r="I90" i="25"/>
  <c r="I91" i="25"/>
  <c r="I92" i="25"/>
  <c r="I93" i="25"/>
  <c r="I94" i="25"/>
  <c r="I95" i="25"/>
  <c r="I96" i="25"/>
  <c r="I97" i="25"/>
  <c r="I98" i="25"/>
  <c r="I99" i="25"/>
  <c r="I100" i="25"/>
  <c r="I101" i="25"/>
  <c r="I102" i="25"/>
  <c r="I103" i="25"/>
  <c r="I104" i="25"/>
  <c r="I105" i="25"/>
  <c r="I106" i="25"/>
  <c r="I107" i="25"/>
  <c r="I108" i="25"/>
  <c r="I109" i="25"/>
  <c r="I110" i="25"/>
  <c r="I111" i="25"/>
  <c r="I112" i="25"/>
  <c r="I113" i="25"/>
  <c r="I114" i="25"/>
  <c r="I115" i="25"/>
  <c r="I116" i="25"/>
  <c r="I117" i="25"/>
  <c r="I118" i="25"/>
  <c r="I119" i="25"/>
  <c r="I120" i="25"/>
  <c r="I121" i="25"/>
  <c r="I122" i="25"/>
  <c r="I123" i="25"/>
  <c r="I124" i="25"/>
  <c r="I125" i="25"/>
  <c r="I126" i="25"/>
  <c r="I127" i="25"/>
  <c r="I128" i="25"/>
  <c r="I129" i="25"/>
  <c r="I130" i="25"/>
  <c r="I131" i="25"/>
  <c r="I132" i="25"/>
  <c r="I133" i="25"/>
  <c r="I134" i="25"/>
  <c r="I135" i="25"/>
  <c r="I136" i="25"/>
  <c r="I137" i="25"/>
  <c r="I138" i="25"/>
  <c r="I139" i="25"/>
  <c r="I140" i="25"/>
  <c r="I141" i="25"/>
  <c r="I142" i="25"/>
  <c r="I143" i="25"/>
  <c r="I144" i="25"/>
  <c r="I145" i="25"/>
  <c r="I146" i="25"/>
  <c r="I147" i="25"/>
  <c r="I148" i="25"/>
  <c r="I149" i="25"/>
  <c r="I150" i="25"/>
  <c r="I151" i="25"/>
  <c r="I152" i="25"/>
  <c r="I153" i="25"/>
  <c r="I154" i="25"/>
  <c r="I155" i="25"/>
  <c r="I156" i="25"/>
  <c r="I157" i="25"/>
  <c r="I158" i="25"/>
  <c r="I159" i="25"/>
  <c r="I160" i="25"/>
  <c r="I161" i="25"/>
  <c r="I162" i="25"/>
  <c r="I163" i="25"/>
  <c r="I164" i="25"/>
  <c r="I165" i="25"/>
  <c r="I166" i="25"/>
  <c r="I167" i="25"/>
  <c r="I168" i="25"/>
  <c r="I169" i="25"/>
  <c r="I170" i="25"/>
  <c r="I171" i="25"/>
  <c r="I172" i="25"/>
  <c r="I173" i="25"/>
  <c r="I174" i="25"/>
  <c r="I175" i="25"/>
  <c r="I176" i="25"/>
  <c r="I177" i="25"/>
  <c r="I178" i="25"/>
  <c r="I179" i="25"/>
  <c r="I180" i="25"/>
  <c r="I181" i="25"/>
  <c r="I182" i="25"/>
  <c r="I183" i="25"/>
  <c r="I184" i="25"/>
  <c r="I185" i="25"/>
  <c r="I186" i="25"/>
  <c r="I187" i="25"/>
  <c r="I188" i="25"/>
  <c r="I189" i="25"/>
  <c r="I190" i="25"/>
  <c r="I191" i="25"/>
  <c r="I192" i="25"/>
  <c r="I193" i="25"/>
  <c r="I194" i="25"/>
  <c r="I195" i="25"/>
  <c r="I196" i="25"/>
  <c r="I197" i="25"/>
  <c r="I198" i="25"/>
  <c r="I199" i="25"/>
  <c r="I200" i="25"/>
  <c r="I201" i="25"/>
  <c r="I202" i="25"/>
  <c r="I203" i="25"/>
  <c r="I204" i="25"/>
  <c r="I205" i="25"/>
  <c r="I206" i="25"/>
  <c r="I207" i="25"/>
  <c r="I208" i="25"/>
  <c r="I209" i="25"/>
  <c r="I210" i="25"/>
  <c r="I211" i="25"/>
  <c r="I212" i="25"/>
  <c r="I213" i="25"/>
  <c r="I214" i="25"/>
  <c r="I215" i="25"/>
  <c r="I216" i="25"/>
  <c r="I217" i="25"/>
  <c r="I218" i="25"/>
  <c r="I219" i="25"/>
  <c r="I220" i="25"/>
  <c r="I221" i="25"/>
  <c r="I222" i="25"/>
  <c r="I223" i="25"/>
  <c r="I224" i="25"/>
  <c r="I225" i="25"/>
  <c r="I226" i="25"/>
  <c r="I227" i="25"/>
  <c r="I228" i="25"/>
  <c r="I229" i="25"/>
  <c r="I230" i="25"/>
  <c r="I231" i="25"/>
  <c r="I232" i="25"/>
  <c r="I233" i="25"/>
  <c r="I234" i="25"/>
  <c r="I235" i="25"/>
  <c r="I236" i="25"/>
  <c r="I237" i="25"/>
  <c r="I238" i="25"/>
  <c r="I239" i="25"/>
  <c r="I240" i="25"/>
  <c r="I241" i="25"/>
  <c r="I242" i="25"/>
  <c r="I243" i="25"/>
  <c r="I244" i="25"/>
  <c r="I245" i="25"/>
  <c r="I246" i="25"/>
  <c r="I247" i="25"/>
  <c r="I248" i="25"/>
  <c r="I249" i="25"/>
  <c r="I250" i="25"/>
  <c r="I251" i="25"/>
  <c r="I252" i="25"/>
  <c r="I253" i="25"/>
  <c r="I254" i="25"/>
  <c r="I255" i="25"/>
  <c r="I256" i="25"/>
  <c r="I257" i="25"/>
  <c r="I258" i="25"/>
  <c r="I259" i="25"/>
  <c r="I260" i="25"/>
  <c r="I261" i="25"/>
  <c r="I262" i="25"/>
  <c r="I263" i="25"/>
  <c r="I264" i="25"/>
  <c r="I265" i="25"/>
  <c r="I266" i="25"/>
  <c r="I267" i="25"/>
  <c r="I268" i="25"/>
  <c r="I269" i="25"/>
  <c r="I270" i="25"/>
  <c r="I271" i="25"/>
  <c r="I272" i="25"/>
  <c r="I273" i="25"/>
  <c r="I274" i="25"/>
  <c r="I275" i="25"/>
  <c r="I276" i="25"/>
  <c r="I277" i="25"/>
  <c r="I278" i="25"/>
  <c r="I279" i="25"/>
  <c r="I280" i="25"/>
  <c r="I281" i="25"/>
  <c r="I282" i="25"/>
  <c r="I283" i="25"/>
  <c r="I284" i="25"/>
  <c r="I285" i="25"/>
  <c r="I286" i="25"/>
  <c r="I287" i="25"/>
  <c r="I288" i="25"/>
  <c r="I289" i="25"/>
  <c r="I290" i="25"/>
  <c r="I291" i="25"/>
  <c r="I292" i="25"/>
  <c r="I293" i="25"/>
  <c r="I294" i="25"/>
  <c r="I295" i="25"/>
  <c r="I296" i="25"/>
  <c r="I297" i="25"/>
  <c r="I298" i="25"/>
  <c r="I299" i="25"/>
  <c r="I300" i="25"/>
  <c r="I301" i="25"/>
  <c r="I302" i="25"/>
  <c r="I303" i="25"/>
  <c r="I304" i="25"/>
  <c r="I305" i="25"/>
  <c r="I306" i="25"/>
  <c r="I307" i="25"/>
  <c r="I308" i="25"/>
  <c r="I309" i="25"/>
  <c r="I310" i="25"/>
  <c r="I311" i="25"/>
  <c r="I312" i="25"/>
  <c r="I313" i="25"/>
  <c r="I314" i="25"/>
  <c r="I315" i="25"/>
  <c r="I316" i="25"/>
  <c r="I317" i="25"/>
  <c r="I318" i="25"/>
  <c r="I319" i="25"/>
  <c r="I320" i="25"/>
  <c r="I321" i="25"/>
  <c r="I322" i="25"/>
  <c r="I323" i="25"/>
  <c r="I324" i="25"/>
  <c r="I325" i="25"/>
  <c r="I326" i="25"/>
  <c r="I327" i="25"/>
  <c r="I328" i="25"/>
  <c r="I329" i="25"/>
  <c r="I330" i="25"/>
  <c r="I331" i="25"/>
  <c r="I332" i="25"/>
  <c r="I333" i="25"/>
  <c r="I334" i="25"/>
  <c r="I335" i="25"/>
  <c r="I336" i="25"/>
  <c r="I337" i="25"/>
  <c r="I338" i="25"/>
  <c r="I339" i="25"/>
  <c r="I340" i="25"/>
  <c r="I341" i="25"/>
  <c r="I342" i="25"/>
  <c r="I343" i="25"/>
  <c r="I344" i="25"/>
  <c r="I345" i="25"/>
  <c r="I346" i="25"/>
  <c r="I347" i="25"/>
  <c r="I348" i="25"/>
  <c r="I349" i="25"/>
  <c r="I350" i="25"/>
  <c r="I351" i="25"/>
  <c r="I352" i="25"/>
  <c r="I353" i="25"/>
  <c r="I354" i="25"/>
  <c r="I355" i="25"/>
  <c r="I356" i="25"/>
  <c r="I357" i="25"/>
  <c r="I358" i="25"/>
  <c r="I359" i="25"/>
  <c r="I360" i="25"/>
  <c r="I361" i="25"/>
  <c r="I362" i="25"/>
  <c r="I363" i="25"/>
  <c r="I364" i="25"/>
  <c r="I365" i="25"/>
  <c r="I366" i="25"/>
  <c r="I367" i="25"/>
  <c r="I368" i="25"/>
  <c r="I369" i="25"/>
  <c r="I370" i="25"/>
  <c r="I371" i="25"/>
  <c r="I372" i="25"/>
  <c r="I373" i="25"/>
  <c r="I374" i="25"/>
  <c r="I375" i="25"/>
  <c r="I376" i="25"/>
  <c r="I377" i="25"/>
  <c r="I378" i="25"/>
  <c r="I379" i="25"/>
  <c r="I380" i="25"/>
  <c r="I381" i="25"/>
  <c r="I382" i="25"/>
  <c r="I383" i="25"/>
  <c r="I384" i="25"/>
  <c r="I385" i="25"/>
  <c r="I386" i="25"/>
  <c r="I387" i="25"/>
  <c r="I388" i="25"/>
  <c r="I389" i="25"/>
  <c r="I390" i="25"/>
  <c r="I391" i="25"/>
  <c r="I392" i="25"/>
  <c r="I393" i="25"/>
  <c r="I394" i="25"/>
  <c r="I395" i="25"/>
  <c r="I396" i="25"/>
  <c r="I397" i="25"/>
  <c r="I398" i="25"/>
  <c r="I399" i="25"/>
  <c r="I400" i="25"/>
  <c r="I401" i="25"/>
  <c r="I402" i="25"/>
  <c r="I403" i="25"/>
  <c r="I404" i="25"/>
  <c r="I405" i="25"/>
  <c r="I406" i="25"/>
  <c r="I407" i="25"/>
  <c r="I408" i="25"/>
  <c r="I409" i="25"/>
  <c r="I410" i="25"/>
  <c r="I411" i="25"/>
  <c r="I412" i="25"/>
  <c r="I413" i="25"/>
  <c r="I414" i="25"/>
  <c r="I415" i="25"/>
  <c r="I416" i="25"/>
  <c r="I417" i="25"/>
  <c r="I418" i="25"/>
  <c r="I419" i="25"/>
  <c r="I420" i="25"/>
  <c r="I421" i="25"/>
  <c r="I422" i="25"/>
  <c r="I423" i="25"/>
  <c r="I424" i="25"/>
  <c r="I425" i="25"/>
  <c r="I426" i="25"/>
  <c r="I427" i="25"/>
  <c r="I428" i="25"/>
  <c r="I429" i="25"/>
  <c r="I430" i="25"/>
  <c r="I431" i="25"/>
  <c r="I432" i="25"/>
  <c r="I433" i="25"/>
  <c r="I434" i="25"/>
  <c r="I435" i="25"/>
  <c r="I436" i="25"/>
  <c r="I437" i="25"/>
  <c r="I438" i="25"/>
  <c r="I439" i="25"/>
  <c r="I440" i="25"/>
  <c r="I441" i="25"/>
  <c r="I442" i="25"/>
  <c r="I443" i="25"/>
  <c r="I444" i="25"/>
  <c r="I445" i="25"/>
  <c r="I446" i="25"/>
  <c r="I447" i="25"/>
  <c r="I448" i="25"/>
  <c r="I449" i="25"/>
  <c r="I450" i="25"/>
  <c r="I451" i="25"/>
  <c r="I452" i="25"/>
  <c r="I453" i="25"/>
  <c r="I454" i="25"/>
  <c r="I455" i="25"/>
  <c r="I456" i="25"/>
  <c r="I457" i="25"/>
  <c r="I458" i="25"/>
  <c r="I459" i="25"/>
  <c r="I460" i="25"/>
  <c r="I461" i="25"/>
  <c r="I462" i="25"/>
  <c r="I463" i="25"/>
  <c r="I464" i="25"/>
  <c r="I465" i="25"/>
  <c r="I466" i="25"/>
  <c r="I467" i="25"/>
  <c r="I468" i="25"/>
  <c r="I469" i="25"/>
  <c r="I470" i="25"/>
  <c r="I471" i="25"/>
  <c r="I472" i="25"/>
  <c r="I473" i="25"/>
  <c r="I474" i="25"/>
  <c r="I475" i="25"/>
  <c r="I476" i="25"/>
  <c r="I477" i="25"/>
  <c r="I478" i="25"/>
  <c r="I479" i="25"/>
  <c r="I480" i="25"/>
  <c r="I481" i="25"/>
  <c r="I482" i="25"/>
  <c r="I483" i="25"/>
  <c r="I484" i="25"/>
  <c r="I485" i="25"/>
  <c r="I486" i="25"/>
  <c r="I487" i="25"/>
  <c r="I488" i="25"/>
  <c r="I489" i="25"/>
  <c r="I490" i="25"/>
  <c r="I491" i="25"/>
  <c r="I492" i="25"/>
  <c r="I493" i="25"/>
  <c r="I494" i="25"/>
  <c r="I495" i="25"/>
  <c r="I496" i="25"/>
  <c r="I497" i="25"/>
  <c r="I498" i="25"/>
  <c r="I499" i="25"/>
  <c r="I500" i="25"/>
  <c r="I501" i="25"/>
  <c r="I502" i="25"/>
  <c r="I503" i="25"/>
  <c r="I504" i="25"/>
  <c r="I505" i="25"/>
  <c r="I506" i="25"/>
  <c r="I507" i="25"/>
  <c r="I508" i="25"/>
  <c r="I509" i="25"/>
  <c r="I510" i="25"/>
  <c r="I511" i="25"/>
  <c r="I512" i="25"/>
  <c r="I513" i="25"/>
  <c r="I514" i="25"/>
  <c r="I515" i="25"/>
  <c r="I516" i="25"/>
  <c r="I517" i="25"/>
  <c r="I518" i="25"/>
  <c r="I519" i="25"/>
  <c r="I520" i="25"/>
  <c r="I521" i="25"/>
  <c r="I522" i="25"/>
  <c r="I523" i="25"/>
  <c r="I524" i="25"/>
  <c r="I525" i="25"/>
  <c r="I526" i="25"/>
  <c r="I527" i="25"/>
  <c r="I528" i="25"/>
  <c r="I529" i="25"/>
  <c r="I530" i="25"/>
  <c r="I531" i="25"/>
  <c r="I532" i="25"/>
  <c r="I533" i="25"/>
  <c r="I534" i="25"/>
  <c r="I535" i="25"/>
  <c r="I536" i="25"/>
  <c r="I537" i="25"/>
  <c r="I538" i="25"/>
  <c r="I539" i="25"/>
  <c r="I540" i="25"/>
  <c r="I541" i="25"/>
  <c r="I542" i="25"/>
  <c r="I543" i="25"/>
  <c r="I544" i="25"/>
  <c r="I545" i="25"/>
  <c r="I546" i="25"/>
  <c r="I547" i="25"/>
  <c r="I548" i="25"/>
  <c r="I549" i="25"/>
  <c r="I550" i="25"/>
  <c r="I551" i="25"/>
  <c r="I552" i="25"/>
  <c r="I553" i="25"/>
  <c r="I554" i="25"/>
  <c r="I555" i="25"/>
  <c r="I556" i="25"/>
  <c r="I557" i="25"/>
  <c r="I558" i="25"/>
  <c r="I559" i="25"/>
  <c r="I560" i="25"/>
  <c r="I561" i="25"/>
  <c r="I562" i="25"/>
  <c r="I563" i="25"/>
  <c r="I564" i="25"/>
  <c r="I565" i="25"/>
  <c r="I566" i="25"/>
  <c r="I567" i="25"/>
  <c r="I568" i="25"/>
  <c r="I569" i="25"/>
  <c r="I570" i="25"/>
  <c r="I571" i="25"/>
  <c r="I572" i="25"/>
  <c r="I573" i="25"/>
  <c r="I574" i="25"/>
  <c r="I575" i="25"/>
  <c r="I576" i="25"/>
  <c r="I577" i="25"/>
  <c r="I578" i="25"/>
  <c r="I579" i="25"/>
  <c r="I580" i="25"/>
  <c r="I581" i="25"/>
  <c r="I582" i="25"/>
  <c r="I583" i="25"/>
  <c r="I584" i="25"/>
  <c r="I585" i="25"/>
  <c r="I586" i="25"/>
  <c r="I587" i="25"/>
  <c r="I588" i="25"/>
  <c r="I589" i="25"/>
  <c r="I590" i="25"/>
  <c r="I591" i="25"/>
  <c r="I592" i="25"/>
  <c r="I593" i="25"/>
  <c r="I594" i="25"/>
  <c r="I595" i="25"/>
  <c r="I596" i="25"/>
  <c r="I597" i="25"/>
  <c r="I598" i="25"/>
  <c r="I599" i="25"/>
  <c r="I600" i="25"/>
  <c r="I601" i="25"/>
  <c r="I602" i="25"/>
  <c r="I603" i="25"/>
  <c r="I604" i="25"/>
  <c r="I605" i="25"/>
  <c r="I606" i="25"/>
  <c r="I607" i="25"/>
  <c r="I608" i="25"/>
  <c r="I609" i="25"/>
  <c r="I610" i="25"/>
  <c r="I611" i="25"/>
  <c r="I612" i="25"/>
  <c r="I613" i="25"/>
  <c r="I614" i="25"/>
  <c r="I615" i="25"/>
  <c r="I616" i="25"/>
  <c r="I617" i="25"/>
  <c r="I618" i="25"/>
  <c r="I619" i="25"/>
  <c r="I620" i="25"/>
  <c r="I621" i="25"/>
  <c r="I622" i="25"/>
  <c r="I623" i="25"/>
  <c r="I624" i="25"/>
  <c r="I625" i="25"/>
  <c r="I626" i="25"/>
  <c r="I627" i="25"/>
  <c r="I628" i="25"/>
  <c r="I629" i="25"/>
  <c r="I630" i="25"/>
  <c r="I631" i="25"/>
  <c r="I632" i="25"/>
  <c r="I633" i="25"/>
  <c r="I634" i="25"/>
  <c r="I635" i="25"/>
  <c r="I636" i="25"/>
  <c r="I637" i="25"/>
  <c r="I638" i="25"/>
  <c r="I639" i="25"/>
  <c r="I640" i="25"/>
  <c r="I641" i="25"/>
  <c r="I642" i="25"/>
  <c r="I643" i="25"/>
  <c r="I644" i="25"/>
  <c r="I645" i="25"/>
  <c r="I646" i="25"/>
  <c r="I647" i="25"/>
  <c r="I648" i="25"/>
  <c r="I649" i="25"/>
  <c r="I650" i="25"/>
  <c r="I651" i="25"/>
  <c r="I652" i="25"/>
  <c r="I653" i="25"/>
  <c r="I654" i="25"/>
  <c r="I655" i="25"/>
  <c r="I656" i="25"/>
  <c r="I657" i="25"/>
  <c r="I658" i="25"/>
  <c r="I659" i="25"/>
  <c r="I660" i="25"/>
  <c r="I661" i="25"/>
  <c r="I662" i="25"/>
  <c r="I663" i="25"/>
  <c r="I664" i="25"/>
  <c r="I665" i="25"/>
  <c r="I666" i="25"/>
  <c r="I667" i="25"/>
  <c r="I668" i="25"/>
  <c r="I669" i="25"/>
  <c r="I670" i="25"/>
  <c r="I671" i="25"/>
  <c r="I672" i="25"/>
  <c r="I673" i="25"/>
  <c r="I674" i="25"/>
  <c r="I675" i="25"/>
  <c r="I676" i="25"/>
  <c r="I677" i="25"/>
  <c r="I678" i="25"/>
  <c r="I679" i="25"/>
  <c r="I680" i="25"/>
  <c r="I681" i="25"/>
  <c r="I682" i="25"/>
  <c r="I683" i="25"/>
  <c r="I684" i="25"/>
  <c r="I685" i="25"/>
  <c r="I686" i="25"/>
  <c r="I687" i="25"/>
  <c r="I688" i="25"/>
  <c r="I689" i="25"/>
  <c r="I690" i="25"/>
  <c r="I691" i="25"/>
  <c r="I692" i="25"/>
  <c r="I693" i="25"/>
  <c r="I694" i="25"/>
  <c r="I695" i="25"/>
  <c r="I696" i="25"/>
  <c r="I697" i="25"/>
  <c r="I698" i="25"/>
  <c r="I699" i="25"/>
  <c r="I700" i="25"/>
  <c r="I701" i="25"/>
  <c r="I702" i="25"/>
  <c r="I703" i="25"/>
  <c r="I704" i="25"/>
  <c r="I705" i="25"/>
  <c r="I706" i="25"/>
  <c r="I707" i="25"/>
  <c r="I708" i="25"/>
  <c r="I709" i="25"/>
  <c r="I710" i="25"/>
  <c r="I711" i="25"/>
  <c r="I712" i="25"/>
  <c r="I713" i="25"/>
  <c r="I714" i="25"/>
  <c r="I715" i="25"/>
  <c r="I716" i="25"/>
  <c r="I717" i="25"/>
  <c r="I718" i="25"/>
  <c r="I719" i="25"/>
  <c r="I720" i="25"/>
  <c r="I721" i="25"/>
  <c r="I722" i="25"/>
  <c r="I723" i="25"/>
  <c r="I724" i="25"/>
  <c r="AG44" i="42" l="1"/>
  <c r="AD64" i="42"/>
  <c r="AF64" i="42" s="1"/>
  <c r="AG64" i="42" s="1"/>
  <c r="AD57" i="42"/>
  <c r="AF57" i="42" s="1"/>
  <c r="AG57" i="42" s="1"/>
  <c r="AM60" i="42"/>
  <c r="AN60" i="42" s="1"/>
  <c r="AD60" i="42"/>
  <c r="AF60" i="42" s="1"/>
  <c r="AG60" i="42" s="1"/>
  <c r="AD59" i="42"/>
  <c r="AE59" i="42" s="1"/>
  <c r="AD67" i="42"/>
  <c r="AF67" i="42" s="1"/>
  <c r="AG67" i="42" s="1"/>
  <c r="AM58" i="42"/>
  <c r="AO58" i="42" s="1"/>
  <c r="AP58" i="42" s="1"/>
  <c r="AE65" i="42"/>
  <c r="AM63" i="42"/>
  <c r="AO63" i="42" s="1"/>
  <c r="AP63" i="42" s="1"/>
  <c r="AM59" i="42"/>
  <c r="AO59" i="42" s="1"/>
  <c r="AP59" i="42" s="1"/>
  <c r="AO61" i="42"/>
  <c r="AP61" i="42" s="1"/>
  <c r="AN61" i="42"/>
  <c r="AM67" i="42"/>
  <c r="AF66" i="42"/>
  <c r="AG66" i="42" s="1"/>
  <c r="AE66" i="42"/>
  <c r="AO65" i="42"/>
  <c r="AP65" i="42" s="1"/>
  <c r="AN65" i="42"/>
  <c r="AM62" i="42"/>
  <c r="AE64" i="42"/>
  <c r="AF61" i="42"/>
  <c r="AG61" i="42" s="1"/>
  <c r="AE61" i="42"/>
  <c r="AD62" i="42"/>
  <c r="AD63" i="42"/>
  <c r="AD58" i="42"/>
  <c r="AM57" i="42"/>
  <c r="AE60" i="42"/>
  <c r="P89" i="42"/>
  <c r="Q72" i="42"/>
  <c r="Q89" i="42" s="1"/>
  <c r="AM64" i="42"/>
  <c r="AO66" i="42"/>
  <c r="AP66" i="42" s="1"/>
  <c r="AN66" i="42"/>
  <c r="T197" i="13"/>
  <c r="AL37" i="13"/>
  <c r="AO60" i="42" l="1"/>
  <c r="AP60" i="42" s="1"/>
  <c r="AE57" i="42"/>
  <c r="AF59" i="42"/>
  <c r="AG59" i="42" s="1"/>
  <c r="AN63" i="42"/>
  <c r="AE67" i="42"/>
  <c r="AN58" i="42"/>
  <c r="AN59" i="42"/>
  <c r="AO62" i="42"/>
  <c r="AP62" i="42" s="1"/>
  <c r="AN62" i="42"/>
  <c r="AO57" i="42"/>
  <c r="AP57" i="42" s="1"/>
  <c r="AN57" i="42"/>
  <c r="AF63" i="42"/>
  <c r="AG63" i="42" s="1"/>
  <c r="AE63" i="42"/>
  <c r="AO67" i="42"/>
  <c r="AP67" i="42" s="1"/>
  <c r="AN67" i="42"/>
  <c r="AF58" i="42"/>
  <c r="AG58" i="42" s="1"/>
  <c r="AE58" i="42"/>
  <c r="AN64" i="42"/>
  <c r="AO64" i="42"/>
  <c r="AP64" i="42" s="1"/>
  <c r="AF62" i="42"/>
  <c r="AG62" i="42" s="1"/>
  <c r="AE62" i="42"/>
  <c r="AJ77" i="13"/>
  <c r="K14" i="40" l="1"/>
  <c r="K12" i="40"/>
  <c r="K10" i="40"/>
  <c r="K7" i="40"/>
  <c r="K5" i="40"/>
  <c r="K3" i="40"/>
  <c r="K1" i="40"/>
  <c r="I12" i="40" l="1"/>
  <c r="J12" i="40" s="1"/>
  <c r="I10" i="40"/>
  <c r="J10" i="40" s="1"/>
  <c r="B8" i="40"/>
  <c r="A8" i="40"/>
  <c r="B6" i="40"/>
  <c r="A6" i="40"/>
  <c r="B4" i="40"/>
  <c r="A4" i="40"/>
  <c r="B2" i="40"/>
  <c r="A2" i="40"/>
  <c r="Z147" i="11"/>
  <c r="AT136" i="11"/>
  <c r="J17" i="40"/>
  <c r="J16" i="40"/>
  <c r="J15" i="40"/>
  <c r="I14" i="40"/>
  <c r="J14" i="40" s="1"/>
  <c r="J13" i="40"/>
  <c r="J11" i="40"/>
  <c r="J9" i="40"/>
  <c r="I8" i="40"/>
  <c r="J8" i="40" s="1"/>
  <c r="J7" i="40"/>
  <c r="I6" i="40"/>
  <c r="J6" i="40" s="1"/>
  <c r="J5" i="40"/>
  <c r="I4" i="40"/>
  <c r="J4" i="40" s="1"/>
  <c r="J3" i="40"/>
  <c r="I2" i="40"/>
  <c r="J2" i="40" s="1"/>
  <c r="J1" i="40"/>
  <c r="AF22" i="13" l="1"/>
  <c r="O68" i="11"/>
  <c r="H127" i="11" l="1"/>
  <c r="V127" i="11" s="1"/>
  <c r="L127" i="11" s="1"/>
  <c r="T28" i="11"/>
  <c r="C7" i="27"/>
  <c r="D11" i="22"/>
  <c r="BB105" i="22"/>
  <c r="BB104" i="22"/>
  <c r="BB103" i="22"/>
  <c r="BB102" i="22"/>
  <c r="BB101" i="22"/>
  <c r="BB100" i="22"/>
  <c r="BB99" i="22"/>
  <c r="BB98" i="22"/>
  <c r="BB97" i="22"/>
  <c r="BB96" i="22"/>
  <c r="BB95" i="22"/>
  <c r="BB94" i="22"/>
  <c r="BB93" i="22"/>
  <c r="BB92" i="22"/>
  <c r="BB91" i="22"/>
  <c r="BB90" i="22"/>
  <c r="BB89" i="22"/>
  <c r="BB88" i="22"/>
  <c r="BB87" i="22"/>
  <c r="BB86" i="22"/>
  <c r="BB85" i="22"/>
  <c r="BB84" i="22"/>
  <c r="BB83" i="22"/>
  <c r="BB82" i="22"/>
  <c r="BB81" i="22"/>
  <c r="BB66" i="22"/>
  <c r="BB65" i="22"/>
  <c r="BB64" i="22"/>
  <c r="BB63" i="22"/>
  <c r="BB62" i="22"/>
  <c r="BB61" i="22"/>
  <c r="BB60" i="22"/>
  <c r="BB59" i="22"/>
  <c r="BB58" i="22"/>
  <c r="BB57" i="22"/>
  <c r="BB56" i="22"/>
  <c r="BB55" i="22"/>
  <c r="BB54" i="22"/>
  <c r="BB53" i="22"/>
  <c r="BB52" i="22"/>
  <c r="BB51" i="22"/>
  <c r="BB50" i="22"/>
  <c r="BB49" i="22"/>
  <c r="BB48" i="22"/>
  <c r="BB47" i="22"/>
  <c r="BB46" i="22"/>
  <c r="BB45" i="22"/>
  <c r="BB44" i="22"/>
  <c r="BB43" i="22"/>
  <c r="BB42" i="22"/>
  <c r="BB4" i="22"/>
  <c r="BB5" i="22"/>
  <c r="BB6" i="22"/>
  <c r="BB7" i="22"/>
  <c r="BB8" i="22"/>
  <c r="BB9" i="22"/>
  <c r="BB10" i="22"/>
  <c r="BB11" i="22"/>
  <c r="BB12" i="22"/>
  <c r="BB13" i="22"/>
  <c r="BB14" i="22"/>
  <c r="BB3" i="22"/>
  <c r="BB15" i="22"/>
  <c r="BB16" i="22"/>
  <c r="BB17" i="22"/>
  <c r="BB18" i="22"/>
  <c r="BB19" i="22"/>
  <c r="BB20" i="22"/>
  <c r="BB21" i="22"/>
  <c r="BB22" i="22"/>
  <c r="BB23" i="22"/>
  <c r="BB24" i="22"/>
  <c r="BB25" i="22"/>
  <c r="BB26" i="22"/>
  <c r="BB27" i="22"/>
  <c r="N24" i="22"/>
  <c r="E14" i="22" l="1"/>
  <c r="N93" i="13" l="1"/>
  <c r="N92" i="13"/>
  <c r="N91" i="13"/>
  <c r="N90" i="13"/>
  <c r="N89" i="13"/>
  <c r="U49" i="13" l="1"/>
  <c r="P49" i="13"/>
  <c r="L49" i="13"/>
  <c r="E28" i="11" l="1"/>
  <c r="F3" i="23" l="1"/>
  <c r="AJ80" i="13"/>
  <c r="A186" i="11" s="1"/>
  <c r="A6" i="23" l="1"/>
  <c r="O96" i="13" l="1"/>
  <c r="N96" i="13"/>
  <c r="M96" i="13"/>
  <c r="L96" i="13"/>
  <c r="E103" i="11" l="1"/>
  <c r="Q20" i="11"/>
  <c r="M661" i="25"/>
  <c r="L661" i="25" s="1"/>
  <c r="M662" i="25"/>
  <c r="L662" i="25" s="1"/>
  <c r="M663" i="25"/>
  <c r="L663" i="25" s="1"/>
  <c r="M664" i="25"/>
  <c r="L664" i="25" s="1"/>
  <c r="M665" i="25"/>
  <c r="L665" i="25" s="1"/>
  <c r="M666" i="25"/>
  <c r="L666" i="25" s="1"/>
  <c r="M667" i="25"/>
  <c r="L667" i="25" s="1"/>
  <c r="M668" i="25"/>
  <c r="L668" i="25" s="1"/>
  <c r="M669" i="25"/>
  <c r="L669" i="25" s="1"/>
  <c r="M670" i="25"/>
  <c r="L670" i="25" s="1"/>
  <c r="M671" i="25"/>
  <c r="L671" i="25" s="1"/>
  <c r="M672" i="25"/>
  <c r="L672" i="25" s="1"/>
  <c r="M673" i="25"/>
  <c r="L673" i="25" s="1"/>
  <c r="M674" i="25"/>
  <c r="L674" i="25" s="1"/>
  <c r="M675" i="25"/>
  <c r="L675" i="25" s="1"/>
  <c r="M676" i="25"/>
  <c r="L676" i="25" s="1"/>
  <c r="M677" i="25"/>
  <c r="L677" i="25" s="1"/>
  <c r="M678" i="25"/>
  <c r="L678" i="25" s="1"/>
  <c r="M679" i="25"/>
  <c r="L679" i="25" s="1"/>
  <c r="M680" i="25"/>
  <c r="L680" i="25" s="1"/>
  <c r="M681" i="25"/>
  <c r="L681" i="25" s="1"/>
  <c r="M682" i="25"/>
  <c r="L682" i="25" s="1"/>
  <c r="M683" i="25"/>
  <c r="L683" i="25" s="1"/>
  <c r="M684" i="25"/>
  <c r="L684" i="25" s="1"/>
  <c r="M685" i="25"/>
  <c r="L685" i="25" s="1"/>
  <c r="M686" i="25"/>
  <c r="L686" i="25" s="1"/>
  <c r="M687" i="25"/>
  <c r="L687" i="25" s="1"/>
  <c r="M688" i="25"/>
  <c r="L688" i="25" s="1"/>
  <c r="M689" i="25"/>
  <c r="L689" i="25" s="1"/>
  <c r="M690" i="25"/>
  <c r="L690" i="25" s="1"/>
  <c r="M691" i="25"/>
  <c r="L691" i="25" s="1"/>
  <c r="M692" i="25"/>
  <c r="L692" i="25" s="1"/>
  <c r="M693" i="25"/>
  <c r="L693" i="25" s="1"/>
  <c r="M694" i="25"/>
  <c r="L694" i="25" s="1"/>
  <c r="M695" i="25"/>
  <c r="L695" i="25" s="1"/>
  <c r="M696" i="25"/>
  <c r="L696" i="25" s="1"/>
  <c r="M697" i="25"/>
  <c r="L697" i="25" s="1"/>
  <c r="M698" i="25"/>
  <c r="L698" i="25" s="1"/>
  <c r="M699" i="25"/>
  <c r="L699" i="25" s="1"/>
  <c r="M700" i="25"/>
  <c r="L700" i="25" s="1"/>
  <c r="M701" i="25"/>
  <c r="L701" i="25" s="1"/>
  <c r="M702" i="25"/>
  <c r="L702" i="25" s="1"/>
  <c r="M703" i="25"/>
  <c r="L703" i="25" s="1"/>
  <c r="M704" i="25"/>
  <c r="L704" i="25" s="1"/>
  <c r="M705" i="25"/>
  <c r="L705" i="25" s="1"/>
  <c r="M706" i="25"/>
  <c r="L706" i="25" s="1"/>
  <c r="M707" i="25"/>
  <c r="L707" i="25" s="1"/>
  <c r="M708" i="25"/>
  <c r="L708" i="25" s="1"/>
  <c r="M709" i="25"/>
  <c r="L709" i="25" s="1"/>
  <c r="M710" i="25"/>
  <c r="L710" i="25" s="1"/>
  <c r="M711" i="25"/>
  <c r="L711" i="25" s="1"/>
  <c r="M712" i="25"/>
  <c r="L712" i="25" s="1"/>
  <c r="M713" i="25"/>
  <c r="L713" i="25" s="1"/>
  <c r="M714" i="25"/>
  <c r="L714" i="25" s="1"/>
  <c r="M715" i="25"/>
  <c r="L715" i="25" s="1"/>
  <c r="M716" i="25"/>
  <c r="L716" i="25" s="1"/>
  <c r="M717" i="25"/>
  <c r="L717" i="25" s="1"/>
  <c r="M718" i="25"/>
  <c r="L718" i="25" s="1"/>
  <c r="M719" i="25"/>
  <c r="L719" i="25" s="1"/>
  <c r="M720" i="25"/>
  <c r="L720" i="25" s="1"/>
  <c r="M721" i="25"/>
  <c r="L721" i="25" s="1"/>
  <c r="M722" i="25"/>
  <c r="L722" i="25" s="1"/>
  <c r="M723" i="25"/>
  <c r="L723" i="25" s="1"/>
  <c r="M724" i="25"/>
  <c r="L724" i="25" s="1"/>
  <c r="G661" i="25"/>
  <c r="G662" i="25"/>
  <c r="G663" i="25"/>
  <c r="G664" i="25"/>
  <c r="G665" i="25"/>
  <c r="G666" i="25"/>
  <c r="G667" i="25"/>
  <c r="G668" i="25"/>
  <c r="G669" i="25"/>
  <c r="G670" i="25"/>
  <c r="G671" i="25"/>
  <c r="G672" i="25"/>
  <c r="G673" i="25"/>
  <c r="G674" i="25"/>
  <c r="G675" i="25"/>
  <c r="G676" i="25"/>
  <c r="G677" i="25"/>
  <c r="G678" i="25"/>
  <c r="G679" i="25"/>
  <c r="G680" i="25"/>
  <c r="G681" i="25"/>
  <c r="G682" i="25"/>
  <c r="G683" i="25"/>
  <c r="G684" i="25"/>
  <c r="G685" i="25"/>
  <c r="G686" i="25"/>
  <c r="G687" i="25"/>
  <c r="G688" i="25"/>
  <c r="G689" i="25"/>
  <c r="G690" i="25"/>
  <c r="G691" i="25"/>
  <c r="G692" i="25"/>
  <c r="G693" i="25"/>
  <c r="G694" i="25"/>
  <c r="G695" i="25"/>
  <c r="G696" i="25"/>
  <c r="G697" i="25"/>
  <c r="G698" i="25"/>
  <c r="G699" i="25"/>
  <c r="G700" i="25"/>
  <c r="G701" i="25"/>
  <c r="G702" i="25"/>
  <c r="G703" i="25"/>
  <c r="G704" i="25"/>
  <c r="G705" i="25"/>
  <c r="G706" i="25"/>
  <c r="G707" i="25"/>
  <c r="G708" i="25"/>
  <c r="G709" i="25"/>
  <c r="G710" i="25"/>
  <c r="G711" i="25"/>
  <c r="G712" i="25"/>
  <c r="G713" i="25"/>
  <c r="G714" i="25"/>
  <c r="G715" i="25"/>
  <c r="G716" i="25"/>
  <c r="G717" i="25"/>
  <c r="G718" i="25"/>
  <c r="G719" i="25"/>
  <c r="G720" i="25"/>
  <c r="G721" i="25"/>
  <c r="G722" i="25"/>
  <c r="G723" i="25"/>
  <c r="G724" i="25"/>
  <c r="G641" i="25" l="1"/>
  <c r="M377" i="25"/>
  <c r="M378" i="25"/>
  <c r="M379" i="25"/>
  <c r="M380" i="25"/>
  <c r="M381" i="25"/>
  <c r="M382" i="25"/>
  <c r="L382" i="25" s="1"/>
  <c r="M383" i="25"/>
  <c r="L383" i="25" s="1"/>
  <c r="M384" i="25"/>
  <c r="M385" i="25"/>
  <c r="M386" i="25"/>
  <c r="L386" i="25" s="1"/>
  <c r="M387" i="25"/>
  <c r="L387" i="25" s="1"/>
  <c r="M388" i="25"/>
  <c r="M389" i="25"/>
  <c r="M390" i="25"/>
  <c r="L390" i="25" s="1"/>
  <c r="M391" i="25"/>
  <c r="L391" i="25" s="1"/>
  <c r="M392" i="25"/>
  <c r="M393" i="25"/>
  <c r="M394" i="25"/>
  <c r="L394" i="25" s="1"/>
  <c r="M395" i="25"/>
  <c r="L395" i="25" s="1"/>
  <c r="M396" i="25"/>
  <c r="M397" i="25"/>
  <c r="M398" i="25"/>
  <c r="L398" i="25" s="1"/>
  <c r="M399" i="25"/>
  <c r="L399" i="25" s="1"/>
  <c r="M400" i="25"/>
  <c r="M401" i="25"/>
  <c r="M402" i="25"/>
  <c r="L402" i="25" s="1"/>
  <c r="M403" i="25"/>
  <c r="L403" i="25" s="1"/>
  <c r="M404" i="25"/>
  <c r="M405" i="25"/>
  <c r="M406" i="25"/>
  <c r="L406" i="25" s="1"/>
  <c r="M407" i="25"/>
  <c r="L407" i="25" s="1"/>
  <c r="M408" i="25"/>
  <c r="M409" i="25"/>
  <c r="M410" i="25"/>
  <c r="M411" i="25"/>
  <c r="M412" i="25"/>
  <c r="M413" i="25"/>
  <c r="M414" i="25"/>
  <c r="L414" i="25" s="1"/>
  <c r="M415" i="25"/>
  <c r="L415" i="25" s="1"/>
  <c r="M416" i="25"/>
  <c r="M417" i="25"/>
  <c r="M418" i="25"/>
  <c r="L418" i="25" s="1"/>
  <c r="M419" i="25"/>
  <c r="L419" i="25" s="1"/>
  <c r="M420" i="25"/>
  <c r="M421" i="25"/>
  <c r="M422" i="25"/>
  <c r="L422" i="25" s="1"/>
  <c r="M423" i="25"/>
  <c r="L423" i="25" s="1"/>
  <c r="M424" i="25"/>
  <c r="M425" i="25"/>
  <c r="M426" i="25"/>
  <c r="L426" i="25" s="1"/>
  <c r="M427" i="25"/>
  <c r="L427" i="25" s="1"/>
  <c r="M428" i="25"/>
  <c r="M429" i="25"/>
  <c r="M430" i="25"/>
  <c r="L430" i="25" s="1"/>
  <c r="M431" i="25"/>
  <c r="L431" i="25" s="1"/>
  <c r="M432" i="25"/>
  <c r="M433" i="25"/>
  <c r="M434" i="25"/>
  <c r="L434" i="25" s="1"/>
  <c r="M435" i="25"/>
  <c r="L435" i="25" s="1"/>
  <c r="M436" i="25"/>
  <c r="M437" i="25"/>
  <c r="M438" i="25"/>
  <c r="L438" i="25" s="1"/>
  <c r="M439" i="25"/>
  <c r="L439" i="25" s="1"/>
  <c r="M440" i="25"/>
  <c r="M441" i="25"/>
  <c r="M442" i="25"/>
  <c r="M443" i="25"/>
  <c r="M444" i="25"/>
  <c r="M445" i="25"/>
  <c r="M446" i="25"/>
  <c r="L446" i="25" s="1"/>
  <c r="M447" i="25"/>
  <c r="L447" i="25" s="1"/>
  <c r="M448" i="25"/>
  <c r="M449" i="25"/>
  <c r="M450" i="25"/>
  <c r="L450" i="25" s="1"/>
  <c r="M451" i="25"/>
  <c r="L451" i="25" s="1"/>
  <c r="M452" i="25"/>
  <c r="M453" i="25"/>
  <c r="M454" i="25"/>
  <c r="L454" i="25" s="1"/>
  <c r="M455" i="25"/>
  <c r="L455" i="25" s="1"/>
  <c r="M456" i="25"/>
  <c r="M457" i="25"/>
  <c r="M458" i="25"/>
  <c r="L458" i="25" s="1"/>
  <c r="M459" i="25"/>
  <c r="L459" i="25" s="1"/>
  <c r="M460" i="25"/>
  <c r="M461" i="25"/>
  <c r="M462" i="25"/>
  <c r="L462" i="25" s="1"/>
  <c r="M463" i="25"/>
  <c r="L463" i="25" s="1"/>
  <c r="M464" i="25"/>
  <c r="M465" i="25"/>
  <c r="M466" i="25"/>
  <c r="L466" i="25" s="1"/>
  <c r="M467" i="25"/>
  <c r="L467" i="25" s="1"/>
  <c r="M468" i="25"/>
  <c r="M469" i="25"/>
  <c r="M470" i="25"/>
  <c r="L470" i="25" s="1"/>
  <c r="M471" i="25"/>
  <c r="L471" i="25" s="1"/>
  <c r="M472" i="25"/>
  <c r="M473" i="25"/>
  <c r="M474" i="25"/>
  <c r="M475" i="25"/>
  <c r="M476" i="25"/>
  <c r="M477" i="25"/>
  <c r="M478" i="25"/>
  <c r="L478" i="25" s="1"/>
  <c r="M479" i="25"/>
  <c r="L479" i="25" s="1"/>
  <c r="M480" i="25"/>
  <c r="M481" i="25"/>
  <c r="M482" i="25"/>
  <c r="L482" i="25" s="1"/>
  <c r="M483" i="25"/>
  <c r="L483" i="25" s="1"/>
  <c r="M484" i="25"/>
  <c r="M485" i="25"/>
  <c r="M486" i="25"/>
  <c r="L486" i="25" s="1"/>
  <c r="M487" i="25"/>
  <c r="L487" i="25" s="1"/>
  <c r="M488" i="25"/>
  <c r="M489" i="25"/>
  <c r="M490" i="25"/>
  <c r="L490" i="25" s="1"/>
  <c r="M491" i="25"/>
  <c r="L491" i="25" s="1"/>
  <c r="M492" i="25"/>
  <c r="M493" i="25"/>
  <c r="M494" i="25"/>
  <c r="L494" i="25" s="1"/>
  <c r="M495" i="25"/>
  <c r="L495" i="25" s="1"/>
  <c r="M496" i="25"/>
  <c r="M497" i="25"/>
  <c r="M498" i="25"/>
  <c r="L498" i="25" s="1"/>
  <c r="M499" i="25"/>
  <c r="L499" i="25" s="1"/>
  <c r="M500" i="25"/>
  <c r="M501" i="25"/>
  <c r="M502" i="25"/>
  <c r="L502" i="25" s="1"/>
  <c r="M503" i="25"/>
  <c r="L503" i="25" s="1"/>
  <c r="M504" i="25"/>
  <c r="M505" i="25"/>
  <c r="M506" i="25"/>
  <c r="M507" i="25"/>
  <c r="M508" i="25"/>
  <c r="M509" i="25"/>
  <c r="M510" i="25"/>
  <c r="L510" i="25" s="1"/>
  <c r="M511" i="25"/>
  <c r="L511" i="25" s="1"/>
  <c r="M512" i="25"/>
  <c r="M513" i="25"/>
  <c r="M514" i="25"/>
  <c r="L514" i="25" s="1"/>
  <c r="M515" i="25"/>
  <c r="L515" i="25" s="1"/>
  <c r="M516" i="25"/>
  <c r="M517" i="25"/>
  <c r="M518" i="25"/>
  <c r="L518" i="25" s="1"/>
  <c r="M519" i="25"/>
  <c r="L519" i="25" s="1"/>
  <c r="M520" i="25"/>
  <c r="M521" i="25"/>
  <c r="M522" i="25"/>
  <c r="L522" i="25" s="1"/>
  <c r="M523" i="25"/>
  <c r="L523" i="25" s="1"/>
  <c r="M524" i="25"/>
  <c r="M525" i="25"/>
  <c r="M526" i="25"/>
  <c r="L526" i="25" s="1"/>
  <c r="M527" i="25"/>
  <c r="L527" i="25" s="1"/>
  <c r="M528" i="25"/>
  <c r="M529" i="25"/>
  <c r="M530" i="25"/>
  <c r="L530" i="25" s="1"/>
  <c r="M531" i="25"/>
  <c r="L531" i="25" s="1"/>
  <c r="M532" i="25"/>
  <c r="M533" i="25"/>
  <c r="M534" i="25"/>
  <c r="L534" i="25" s="1"/>
  <c r="M535" i="25"/>
  <c r="L535" i="25" s="1"/>
  <c r="M536" i="25"/>
  <c r="M537" i="25"/>
  <c r="M538" i="25"/>
  <c r="M539" i="25"/>
  <c r="M540" i="25"/>
  <c r="M541" i="25"/>
  <c r="M542" i="25"/>
  <c r="L542" i="25" s="1"/>
  <c r="M543" i="25"/>
  <c r="L543" i="25" s="1"/>
  <c r="M544" i="25"/>
  <c r="M545" i="25"/>
  <c r="M546" i="25"/>
  <c r="L546" i="25" s="1"/>
  <c r="M547" i="25"/>
  <c r="L547" i="25" s="1"/>
  <c r="M548" i="25"/>
  <c r="M549" i="25"/>
  <c r="M550" i="25"/>
  <c r="L550" i="25" s="1"/>
  <c r="M551" i="25"/>
  <c r="L551" i="25" s="1"/>
  <c r="M552" i="25"/>
  <c r="M553" i="25"/>
  <c r="M554" i="25"/>
  <c r="L554" i="25" s="1"/>
  <c r="M555" i="25"/>
  <c r="L555" i="25" s="1"/>
  <c r="M556" i="25"/>
  <c r="M557" i="25"/>
  <c r="M558" i="25"/>
  <c r="L558" i="25" s="1"/>
  <c r="M559" i="25"/>
  <c r="L559" i="25" s="1"/>
  <c r="M560" i="25"/>
  <c r="M561" i="25"/>
  <c r="M562" i="25"/>
  <c r="L562" i="25" s="1"/>
  <c r="M563" i="25"/>
  <c r="L563" i="25" s="1"/>
  <c r="M564" i="25"/>
  <c r="M565" i="25"/>
  <c r="M566" i="25"/>
  <c r="L566" i="25" s="1"/>
  <c r="M567" i="25"/>
  <c r="L567" i="25" s="1"/>
  <c r="M568" i="25"/>
  <c r="M569" i="25"/>
  <c r="M570" i="25"/>
  <c r="M571" i="25"/>
  <c r="M572" i="25"/>
  <c r="M573" i="25"/>
  <c r="M574" i="25"/>
  <c r="L574" i="25" s="1"/>
  <c r="M575" i="25"/>
  <c r="L575" i="25" s="1"/>
  <c r="M576" i="25"/>
  <c r="M577" i="25"/>
  <c r="M578" i="25"/>
  <c r="L578" i="25" s="1"/>
  <c r="M579" i="25"/>
  <c r="L579" i="25" s="1"/>
  <c r="M580" i="25"/>
  <c r="M581" i="25"/>
  <c r="M582" i="25"/>
  <c r="L582" i="25" s="1"/>
  <c r="M583" i="25"/>
  <c r="L583" i="25" s="1"/>
  <c r="M584" i="25"/>
  <c r="M585" i="25"/>
  <c r="M586" i="25"/>
  <c r="L586" i="25" s="1"/>
  <c r="M587" i="25"/>
  <c r="L587" i="25" s="1"/>
  <c r="M588" i="25"/>
  <c r="M589" i="25"/>
  <c r="M590" i="25"/>
  <c r="L590" i="25" s="1"/>
  <c r="M591" i="25"/>
  <c r="L591" i="25" s="1"/>
  <c r="M592" i="25"/>
  <c r="M593" i="25"/>
  <c r="M594" i="25"/>
  <c r="L594" i="25" s="1"/>
  <c r="M595" i="25"/>
  <c r="L595" i="25" s="1"/>
  <c r="M596" i="25"/>
  <c r="M597" i="25"/>
  <c r="M598" i="25"/>
  <c r="L598" i="25" s="1"/>
  <c r="M599" i="25"/>
  <c r="L599" i="25" s="1"/>
  <c r="M600" i="25"/>
  <c r="M601" i="25"/>
  <c r="M602" i="25"/>
  <c r="M603" i="25"/>
  <c r="M604" i="25"/>
  <c r="M605" i="25"/>
  <c r="M606" i="25"/>
  <c r="L606" i="25" s="1"/>
  <c r="M607" i="25"/>
  <c r="L607" i="25" s="1"/>
  <c r="M608" i="25"/>
  <c r="M609" i="25"/>
  <c r="M610" i="25"/>
  <c r="L610" i="25" s="1"/>
  <c r="M611" i="25"/>
  <c r="L611" i="25" s="1"/>
  <c r="M612" i="25"/>
  <c r="M613" i="25"/>
  <c r="M614" i="25"/>
  <c r="L614" i="25" s="1"/>
  <c r="M615" i="25"/>
  <c r="L615" i="25" s="1"/>
  <c r="M616" i="25"/>
  <c r="M617" i="25"/>
  <c r="M618" i="25"/>
  <c r="L618" i="25" s="1"/>
  <c r="M619" i="25"/>
  <c r="L619" i="25" s="1"/>
  <c r="M620" i="25"/>
  <c r="M621" i="25"/>
  <c r="M622" i="25"/>
  <c r="L622" i="25" s="1"/>
  <c r="M623" i="25"/>
  <c r="L623" i="25" s="1"/>
  <c r="M624" i="25"/>
  <c r="M625" i="25"/>
  <c r="M626" i="25"/>
  <c r="L626" i="25" s="1"/>
  <c r="M627" i="25"/>
  <c r="L627" i="25" s="1"/>
  <c r="M628" i="25"/>
  <c r="M629" i="25"/>
  <c r="M630" i="25"/>
  <c r="L630" i="25" s="1"/>
  <c r="M631" i="25"/>
  <c r="L631" i="25" s="1"/>
  <c r="M632" i="25"/>
  <c r="M633" i="25"/>
  <c r="M634" i="25"/>
  <c r="M635" i="25"/>
  <c r="M636" i="25"/>
  <c r="M637" i="25"/>
  <c r="M638" i="25"/>
  <c r="L638" i="25" s="1"/>
  <c r="M639" i="25"/>
  <c r="L639" i="25" s="1"/>
  <c r="M640" i="25"/>
  <c r="M641" i="25"/>
  <c r="M642" i="25"/>
  <c r="L642" i="25" s="1"/>
  <c r="M643" i="25"/>
  <c r="L643" i="25" s="1"/>
  <c r="M644" i="25"/>
  <c r="M645" i="25"/>
  <c r="M646" i="25"/>
  <c r="L646" i="25" s="1"/>
  <c r="M647" i="25"/>
  <c r="L647" i="25" s="1"/>
  <c r="M648" i="25"/>
  <c r="M649" i="25"/>
  <c r="M650" i="25"/>
  <c r="L650" i="25" s="1"/>
  <c r="M651" i="25"/>
  <c r="L651" i="25" s="1"/>
  <c r="M652" i="25"/>
  <c r="M653" i="25"/>
  <c r="M654" i="25"/>
  <c r="L654" i="25" s="1"/>
  <c r="M655" i="25"/>
  <c r="L655" i="25" s="1"/>
  <c r="M656" i="25"/>
  <c r="M657" i="25"/>
  <c r="M658" i="25"/>
  <c r="L658" i="25" s="1"/>
  <c r="M659" i="25"/>
  <c r="L659" i="25" s="1"/>
  <c r="M660" i="25"/>
  <c r="L377" i="25"/>
  <c r="L378" i="25"/>
  <c r="L379" i="25"/>
  <c r="L380" i="25"/>
  <c r="L381" i="25"/>
  <c r="L384" i="25"/>
  <c r="L385" i="25"/>
  <c r="L388" i="25"/>
  <c r="L389" i="25"/>
  <c r="L392" i="25"/>
  <c r="L393" i="25"/>
  <c r="L396" i="25"/>
  <c r="L397" i="25"/>
  <c r="L400" i="25"/>
  <c r="L401" i="25"/>
  <c r="L404" i="25"/>
  <c r="L405" i="25"/>
  <c r="L408" i="25"/>
  <c r="L409" i="25"/>
  <c r="L410" i="25"/>
  <c r="L411" i="25"/>
  <c r="L412" i="25"/>
  <c r="L413" i="25"/>
  <c r="L416" i="25"/>
  <c r="L417" i="25"/>
  <c r="L420" i="25"/>
  <c r="L421" i="25"/>
  <c r="L424" i="25"/>
  <c r="L425" i="25"/>
  <c r="L428" i="25"/>
  <c r="L429" i="25"/>
  <c r="L432" i="25"/>
  <c r="L433" i="25"/>
  <c r="L436" i="25"/>
  <c r="L437" i="25"/>
  <c r="L440" i="25"/>
  <c r="L441" i="25"/>
  <c r="L442" i="25"/>
  <c r="L443" i="25"/>
  <c r="L444" i="25"/>
  <c r="L445" i="25"/>
  <c r="L448" i="25"/>
  <c r="L449" i="25"/>
  <c r="L452" i="25"/>
  <c r="L453" i="25"/>
  <c r="L456" i="25"/>
  <c r="L457" i="25"/>
  <c r="L460" i="25"/>
  <c r="L461" i="25"/>
  <c r="L464" i="25"/>
  <c r="L465" i="25"/>
  <c r="L468" i="25"/>
  <c r="L469" i="25"/>
  <c r="L472" i="25"/>
  <c r="L473" i="25"/>
  <c r="L474" i="25"/>
  <c r="L475" i="25"/>
  <c r="L476" i="25"/>
  <c r="L477" i="25"/>
  <c r="L480" i="25"/>
  <c r="L481" i="25"/>
  <c r="L484" i="25"/>
  <c r="L485" i="25"/>
  <c r="L488" i="25"/>
  <c r="L489" i="25"/>
  <c r="L492" i="25"/>
  <c r="L493" i="25"/>
  <c r="L496" i="25"/>
  <c r="L497" i="25"/>
  <c r="L500" i="25"/>
  <c r="L501" i="25"/>
  <c r="L504" i="25"/>
  <c r="L505" i="25"/>
  <c r="L506" i="25"/>
  <c r="L507" i="25"/>
  <c r="L508" i="25"/>
  <c r="L509" i="25"/>
  <c r="L512" i="25"/>
  <c r="L513" i="25"/>
  <c r="L516" i="25"/>
  <c r="L517" i="25"/>
  <c r="L520" i="25"/>
  <c r="L521" i="25"/>
  <c r="L524" i="25"/>
  <c r="L525" i="25"/>
  <c r="L528" i="25"/>
  <c r="L529" i="25"/>
  <c r="L532" i="25"/>
  <c r="L533" i="25"/>
  <c r="L536" i="25"/>
  <c r="L537" i="25"/>
  <c r="L538" i="25"/>
  <c r="L539" i="25"/>
  <c r="L540" i="25"/>
  <c r="L541" i="25"/>
  <c r="L544" i="25"/>
  <c r="L545" i="25"/>
  <c r="L548" i="25"/>
  <c r="L549" i="25"/>
  <c r="L552" i="25"/>
  <c r="L553" i="25"/>
  <c r="L556" i="25"/>
  <c r="L557" i="25"/>
  <c r="L560" i="25"/>
  <c r="L561" i="25"/>
  <c r="L564" i="25"/>
  <c r="L565" i="25"/>
  <c r="L568" i="25"/>
  <c r="L569" i="25"/>
  <c r="L570" i="25"/>
  <c r="L571" i="25"/>
  <c r="L572" i="25"/>
  <c r="L573" i="25"/>
  <c r="L576" i="25"/>
  <c r="L577" i="25"/>
  <c r="L580" i="25"/>
  <c r="L581" i="25"/>
  <c r="L584" i="25"/>
  <c r="L585" i="25"/>
  <c r="L588" i="25"/>
  <c r="L589" i="25"/>
  <c r="L592" i="25"/>
  <c r="L593" i="25"/>
  <c r="L596" i="25"/>
  <c r="L597" i="25"/>
  <c r="L600" i="25"/>
  <c r="L601" i="25"/>
  <c r="L602" i="25"/>
  <c r="L603" i="25"/>
  <c r="L604" i="25"/>
  <c r="L605" i="25"/>
  <c r="L608" i="25"/>
  <c r="L609" i="25"/>
  <c r="L612" i="25"/>
  <c r="L613" i="25"/>
  <c r="L616" i="25"/>
  <c r="L617" i="25"/>
  <c r="L620" i="25"/>
  <c r="L621" i="25"/>
  <c r="L624" i="25"/>
  <c r="L625" i="25"/>
  <c r="L628" i="25"/>
  <c r="L629" i="25"/>
  <c r="L632" i="25"/>
  <c r="L633" i="25"/>
  <c r="L634" i="25"/>
  <c r="L635" i="25"/>
  <c r="L636" i="25"/>
  <c r="L637" i="25"/>
  <c r="L640" i="25"/>
  <c r="L641" i="25"/>
  <c r="L644" i="25"/>
  <c r="L645" i="25"/>
  <c r="L648" i="25"/>
  <c r="L649" i="25"/>
  <c r="L652" i="25"/>
  <c r="L653" i="25"/>
  <c r="L656" i="25"/>
  <c r="L657" i="25"/>
  <c r="L660" i="25"/>
  <c r="G377" i="25"/>
  <c r="G378" i="25"/>
  <c r="G379" i="25"/>
  <c r="G380" i="25"/>
  <c r="G381" i="25"/>
  <c r="G382" i="25"/>
  <c r="G383" i="25"/>
  <c r="G384" i="25"/>
  <c r="G385" i="25"/>
  <c r="G386" i="25"/>
  <c r="G387" i="25"/>
  <c r="G388" i="25"/>
  <c r="G389" i="25"/>
  <c r="G390" i="25"/>
  <c r="G391" i="25"/>
  <c r="G392" i="25"/>
  <c r="G393" i="25"/>
  <c r="G394" i="25"/>
  <c r="G395" i="25"/>
  <c r="G396" i="25"/>
  <c r="G397" i="25"/>
  <c r="G398" i="25"/>
  <c r="G399" i="25"/>
  <c r="G400" i="25"/>
  <c r="G401" i="25"/>
  <c r="G402" i="25"/>
  <c r="G403" i="25"/>
  <c r="G404" i="25"/>
  <c r="G405" i="25"/>
  <c r="G406" i="25"/>
  <c r="G407" i="25"/>
  <c r="G408" i="25"/>
  <c r="G409" i="25"/>
  <c r="G410" i="25"/>
  <c r="G411" i="25"/>
  <c r="G412" i="25"/>
  <c r="G413" i="25"/>
  <c r="G414" i="25"/>
  <c r="G415" i="25"/>
  <c r="G416" i="25"/>
  <c r="G417" i="25"/>
  <c r="G418" i="25"/>
  <c r="G419" i="25"/>
  <c r="G420" i="25"/>
  <c r="G421" i="25"/>
  <c r="G422" i="25"/>
  <c r="G423" i="25"/>
  <c r="G424" i="25"/>
  <c r="G425" i="25"/>
  <c r="G426" i="25"/>
  <c r="G427" i="25"/>
  <c r="G428" i="25"/>
  <c r="G429" i="25"/>
  <c r="G430" i="25"/>
  <c r="G431" i="25"/>
  <c r="G432" i="25"/>
  <c r="G433" i="25"/>
  <c r="G434" i="25"/>
  <c r="G435" i="25"/>
  <c r="G436" i="25"/>
  <c r="G437" i="25"/>
  <c r="G438" i="25"/>
  <c r="G439" i="25"/>
  <c r="G440" i="25"/>
  <c r="G441" i="25"/>
  <c r="G442" i="25"/>
  <c r="G443" i="25"/>
  <c r="G444" i="25"/>
  <c r="G445" i="25"/>
  <c r="G446" i="25"/>
  <c r="G447" i="25"/>
  <c r="G448" i="25"/>
  <c r="G449" i="25"/>
  <c r="G450" i="25"/>
  <c r="G451" i="25"/>
  <c r="G452" i="25"/>
  <c r="G453" i="25"/>
  <c r="G454" i="25"/>
  <c r="G455" i="25"/>
  <c r="G456" i="25"/>
  <c r="G457" i="25"/>
  <c r="G458" i="25"/>
  <c r="G459" i="25"/>
  <c r="G460" i="25"/>
  <c r="G461" i="25"/>
  <c r="G462" i="25"/>
  <c r="G463" i="25"/>
  <c r="G464" i="25"/>
  <c r="G465" i="25"/>
  <c r="G466" i="25"/>
  <c r="G467" i="25"/>
  <c r="G468" i="25"/>
  <c r="G469" i="25"/>
  <c r="G470" i="25"/>
  <c r="G471" i="25"/>
  <c r="G472" i="25"/>
  <c r="G473" i="25"/>
  <c r="G474" i="25"/>
  <c r="G475" i="25"/>
  <c r="G476" i="25"/>
  <c r="G477" i="25"/>
  <c r="G478" i="25"/>
  <c r="G479" i="25"/>
  <c r="G480" i="25"/>
  <c r="G481" i="25"/>
  <c r="G482" i="25"/>
  <c r="G483" i="25"/>
  <c r="G484" i="25"/>
  <c r="G485" i="25"/>
  <c r="G486" i="25"/>
  <c r="G487" i="25"/>
  <c r="G488" i="25"/>
  <c r="G489" i="25"/>
  <c r="G490" i="25"/>
  <c r="G491" i="25"/>
  <c r="G492" i="25"/>
  <c r="G493" i="25"/>
  <c r="G494" i="25"/>
  <c r="G495" i="25"/>
  <c r="G496" i="25"/>
  <c r="G497" i="25"/>
  <c r="G498" i="25"/>
  <c r="G499" i="25"/>
  <c r="G500" i="25"/>
  <c r="G501" i="25"/>
  <c r="G502" i="25"/>
  <c r="G503" i="25"/>
  <c r="G504" i="25"/>
  <c r="G505" i="25"/>
  <c r="G506" i="25"/>
  <c r="G507" i="25"/>
  <c r="G508" i="25"/>
  <c r="G509" i="25"/>
  <c r="G510" i="25"/>
  <c r="G511" i="25"/>
  <c r="G512" i="25"/>
  <c r="G513" i="25"/>
  <c r="G514" i="25"/>
  <c r="G515" i="25"/>
  <c r="G516" i="25"/>
  <c r="G517" i="25"/>
  <c r="G518" i="25"/>
  <c r="G519" i="25"/>
  <c r="G520" i="25"/>
  <c r="G521" i="25"/>
  <c r="G522" i="25"/>
  <c r="G523" i="25"/>
  <c r="G524" i="25"/>
  <c r="G525" i="25"/>
  <c r="G526" i="25"/>
  <c r="G527" i="25"/>
  <c r="G528" i="25"/>
  <c r="G529" i="25"/>
  <c r="G530" i="25"/>
  <c r="G531" i="25"/>
  <c r="G532" i="25"/>
  <c r="G533" i="25"/>
  <c r="G534" i="25"/>
  <c r="G535" i="25"/>
  <c r="G536" i="25"/>
  <c r="G537" i="25"/>
  <c r="G538" i="25"/>
  <c r="G539" i="25"/>
  <c r="G540" i="25"/>
  <c r="G541" i="25"/>
  <c r="G542" i="25"/>
  <c r="G543" i="25"/>
  <c r="G544" i="25"/>
  <c r="G545" i="25"/>
  <c r="G546" i="25"/>
  <c r="G547" i="25"/>
  <c r="G548" i="25"/>
  <c r="G549" i="25"/>
  <c r="G550" i="25"/>
  <c r="G551" i="25"/>
  <c r="G552" i="25"/>
  <c r="G553" i="25"/>
  <c r="G554" i="25"/>
  <c r="G555" i="25"/>
  <c r="G556" i="25"/>
  <c r="G557" i="25"/>
  <c r="G558" i="25"/>
  <c r="G559" i="25"/>
  <c r="G560" i="25"/>
  <c r="G561" i="25"/>
  <c r="G562" i="25"/>
  <c r="G563" i="25"/>
  <c r="G564" i="25"/>
  <c r="G565" i="25"/>
  <c r="G566" i="25"/>
  <c r="G567" i="25"/>
  <c r="G568" i="25"/>
  <c r="G569" i="25"/>
  <c r="G570" i="25"/>
  <c r="G571" i="25"/>
  <c r="G572" i="25"/>
  <c r="G573" i="25"/>
  <c r="G574" i="25"/>
  <c r="G575" i="25"/>
  <c r="G576" i="25"/>
  <c r="G577" i="25"/>
  <c r="G578" i="25"/>
  <c r="G579" i="25"/>
  <c r="G580" i="25"/>
  <c r="G581" i="25"/>
  <c r="G582" i="25"/>
  <c r="G583" i="25"/>
  <c r="G584" i="25"/>
  <c r="G585" i="25"/>
  <c r="G586" i="25"/>
  <c r="G587" i="25"/>
  <c r="G588" i="25"/>
  <c r="G589" i="25"/>
  <c r="G590" i="25"/>
  <c r="G591" i="25"/>
  <c r="G592" i="25"/>
  <c r="G593" i="25"/>
  <c r="G594" i="25"/>
  <c r="G595" i="25"/>
  <c r="G596" i="25"/>
  <c r="G597" i="25"/>
  <c r="G598" i="25"/>
  <c r="G599" i="25"/>
  <c r="G600" i="25"/>
  <c r="G601" i="25"/>
  <c r="G602" i="25"/>
  <c r="G603" i="25"/>
  <c r="G604" i="25"/>
  <c r="G605" i="25"/>
  <c r="G606" i="25"/>
  <c r="G607" i="25"/>
  <c r="G608" i="25"/>
  <c r="G609" i="25"/>
  <c r="G610" i="25"/>
  <c r="G611" i="25"/>
  <c r="G612" i="25"/>
  <c r="G613" i="25"/>
  <c r="G614" i="25"/>
  <c r="G615" i="25"/>
  <c r="G616" i="25"/>
  <c r="G617" i="25"/>
  <c r="G618" i="25"/>
  <c r="G619" i="25"/>
  <c r="G620" i="25"/>
  <c r="G621" i="25"/>
  <c r="G622" i="25"/>
  <c r="G623" i="25"/>
  <c r="G624" i="25"/>
  <c r="G625" i="25"/>
  <c r="G626" i="25"/>
  <c r="G627" i="25"/>
  <c r="G628" i="25"/>
  <c r="G629" i="25"/>
  <c r="G630" i="25"/>
  <c r="G631" i="25"/>
  <c r="G632" i="25"/>
  <c r="G633" i="25"/>
  <c r="G634" i="25"/>
  <c r="G635" i="25"/>
  <c r="G636" i="25"/>
  <c r="G637" i="25"/>
  <c r="G638" i="25"/>
  <c r="G639" i="25"/>
  <c r="G640" i="25"/>
  <c r="G642" i="25"/>
  <c r="G643" i="25"/>
  <c r="G644" i="25"/>
  <c r="G645" i="25"/>
  <c r="G646" i="25"/>
  <c r="G647" i="25"/>
  <c r="G648" i="25"/>
  <c r="G649" i="25"/>
  <c r="G650" i="25"/>
  <c r="G651" i="25"/>
  <c r="G652" i="25"/>
  <c r="G653" i="25"/>
  <c r="G654" i="25"/>
  <c r="G655" i="25"/>
  <c r="G656" i="25"/>
  <c r="G657" i="25"/>
  <c r="G658" i="25"/>
  <c r="G659" i="25"/>
  <c r="G660" i="25"/>
  <c r="D75" i="13"/>
  <c r="C6" i="27"/>
  <c r="M10" i="27" l="1"/>
  <c r="K10" i="27"/>
  <c r="M9" i="27"/>
  <c r="K9" i="27"/>
  <c r="M8" i="27"/>
  <c r="K8" i="27"/>
  <c r="M7" i="27"/>
  <c r="K7" i="27"/>
  <c r="M6" i="27"/>
  <c r="K6" i="27"/>
  <c r="M5" i="27"/>
  <c r="K5" i="27"/>
  <c r="M331" i="25"/>
  <c r="L331" i="25" s="1"/>
  <c r="M332" i="25"/>
  <c r="L332" i="25" s="1"/>
  <c r="M333" i="25"/>
  <c r="L333" i="25" s="1"/>
  <c r="M334" i="25"/>
  <c r="L334" i="25" s="1"/>
  <c r="M335" i="25"/>
  <c r="L335" i="25" s="1"/>
  <c r="M336" i="25"/>
  <c r="L336" i="25" s="1"/>
  <c r="M337" i="25"/>
  <c r="L337" i="25" s="1"/>
  <c r="M338" i="25"/>
  <c r="L338" i="25" s="1"/>
  <c r="M339" i="25"/>
  <c r="L339" i="25" s="1"/>
  <c r="M340" i="25"/>
  <c r="L340" i="25" s="1"/>
  <c r="M341" i="25"/>
  <c r="L341" i="25" s="1"/>
  <c r="M342" i="25"/>
  <c r="L342" i="25" s="1"/>
  <c r="M343" i="25"/>
  <c r="L343" i="25" s="1"/>
  <c r="M344" i="25"/>
  <c r="L344" i="25" s="1"/>
  <c r="M345" i="25"/>
  <c r="L345" i="25" s="1"/>
  <c r="M346" i="25"/>
  <c r="L346" i="25" s="1"/>
  <c r="M347" i="25"/>
  <c r="L347" i="25" s="1"/>
  <c r="M348" i="25"/>
  <c r="L348" i="25" s="1"/>
  <c r="M349" i="25"/>
  <c r="L349" i="25" s="1"/>
  <c r="M350" i="25"/>
  <c r="L350" i="25" s="1"/>
  <c r="M351" i="25"/>
  <c r="L351" i="25" s="1"/>
  <c r="M352" i="25"/>
  <c r="L352" i="25" s="1"/>
  <c r="M353" i="25"/>
  <c r="L353" i="25" s="1"/>
  <c r="M354" i="25"/>
  <c r="L354" i="25" s="1"/>
  <c r="M355" i="25"/>
  <c r="L355" i="25" s="1"/>
  <c r="M356" i="25"/>
  <c r="L356" i="25" s="1"/>
  <c r="M357" i="25"/>
  <c r="L357" i="25" s="1"/>
  <c r="M358" i="25"/>
  <c r="L358" i="25" s="1"/>
  <c r="M359" i="25"/>
  <c r="L359" i="25" s="1"/>
  <c r="M360" i="25"/>
  <c r="L360" i="25" s="1"/>
  <c r="M361" i="25"/>
  <c r="L361" i="25" s="1"/>
  <c r="M362" i="25"/>
  <c r="L362" i="25" s="1"/>
  <c r="M363" i="25"/>
  <c r="L363" i="25" s="1"/>
  <c r="M364" i="25"/>
  <c r="L364" i="25" s="1"/>
  <c r="M365" i="25"/>
  <c r="L365" i="25" s="1"/>
  <c r="M366" i="25"/>
  <c r="L366" i="25" s="1"/>
  <c r="M367" i="25"/>
  <c r="L367" i="25" s="1"/>
  <c r="M368" i="25"/>
  <c r="L368" i="25" s="1"/>
  <c r="M369" i="25"/>
  <c r="L369" i="25" s="1"/>
  <c r="M370" i="25"/>
  <c r="L370" i="25" s="1"/>
  <c r="M371" i="25"/>
  <c r="L371" i="25" s="1"/>
  <c r="M372" i="25"/>
  <c r="L372" i="25" s="1"/>
  <c r="M373" i="25"/>
  <c r="L373" i="25" s="1"/>
  <c r="M374" i="25"/>
  <c r="L374" i="25" s="1"/>
  <c r="M375" i="25"/>
  <c r="L375" i="25" s="1"/>
  <c r="M376" i="25"/>
  <c r="L376" i="25" s="1"/>
  <c r="G331" i="25"/>
  <c r="G332" i="25"/>
  <c r="G333" i="25"/>
  <c r="G334" i="25"/>
  <c r="G335" i="25"/>
  <c r="G336" i="25"/>
  <c r="G337" i="25"/>
  <c r="G338" i="25"/>
  <c r="G339" i="25"/>
  <c r="G340" i="25"/>
  <c r="G341" i="25"/>
  <c r="G342" i="25"/>
  <c r="G343" i="25"/>
  <c r="G344" i="25"/>
  <c r="G345" i="25"/>
  <c r="G346" i="25"/>
  <c r="G347" i="25"/>
  <c r="G348" i="25"/>
  <c r="G349" i="25"/>
  <c r="G350" i="25"/>
  <c r="G351" i="25"/>
  <c r="G352" i="25"/>
  <c r="G353" i="25"/>
  <c r="G354" i="25"/>
  <c r="G355" i="25"/>
  <c r="G356" i="25"/>
  <c r="G357" i="25"/>
  <c r="G358" i="25"/>
  <c r="G359" i="25"/>
  <c r="G360" i="25"/>
  <c r="G361" i="25"/>
  <c r="G362" i="25"/>
  <c r="G363" i="25"/>
  <c r="G364" i="25"/>
  <c r="G365" i="25"/>
  <c r="G366" i="25"/>
  <c r="G367" i="25"/>
  <c r="G368" i="25"/>
  <c r="G369" i="25"/>
  <c r="G370" i="25"/>
  <c r="G371" i="25"/>
  <c r="G372" i="25"/>
  <c r="G373" i="25"/>
  <c r="G374" i="25"/>
  <c r="G375" i="25"/>
  <c r="G376" i="25"/>
  <c r="P330" i="25"/>
  <c r="M330" i="25"/>
  <c r="L330" i="25" s="1"/>
  <c r="G330" i="25"/>
  <c r="P329" i="25"/>
  <c r="M329" i="25"/>
  <c r="L329" i="25" s="1"/>
  <c r="G329" i="25"/>
  <c r="AB138" i="11"/>
  <c r="AB137" i="11"/>
  <c r="Y8" i="13"/>
  <c r="Y9" i="13"/>
  <c r="AG152" i="13" s="1"/>
  <c r="H67" i="13"/>
  <c r="B83" i="13"/>
  <c r="N84" i="13"/>
  <c r="O85" i="13"/>
  <c r="O86" i="13"/>
  <c r="O87" i="13"/>
  <c r="O88" i="13"/>
  <c r="O84" i="13"/>
  <c r="N85" i="13"/>
  <c r="N86" i="13"/>
  <c r="N87" i="13"/>
  <c r="N88" i="13"/>
  <c r="AQ87" i="13"/>
  <c r="AF87" i="13" s="1"/>
  <c r="AV83" i="13"/>
  <c r="AV82" i="13"/>
  <c r="AO86" i="13"/>
  <c r="S18" i="23" l="1"/>
  <c r="J12" i="27"/>
  <c r="AR87" i="13"/>
  <c r="AH87" i="13" s="1"/>
  <c r="AP87" i="13"/>
  <c r="AU87" i="13"/>
  <c r="AQ88" i="13"/>
  <c r="AF92" i="13" s="1"/>
  <c r="AR88" i="13"/>
  <c r="AH92" i="13" s="1"/>
  <c r="AU88" i="13"/>
  <c r="AP88" i="13"/>
  <c r="AR86" i="13"/>
  <c r="AQ86" i="13"/>
  <c r="AP86" i="13"/>
  <c r="AS87" i="13" l="1"/>
  <c r="AG87" i="13" s="1"/>
  <c r="AS88" i="13"/>
  <c r="AQ89" i="13"/>
  <c r="AF97" i="13" s="1"/>
  <c r="AR89" i="13"/>
  <c r="AH97" i="13" s="1"/>
  <c r="AU89" i="13"/>
  <c r="AP89" i="13"/>
  <c r="AT88" i="13" l="1"/>
  <c r="AV88" i="13" s="1"/>
  <c r="AG92" i="13"/>
  <c r="AS89" i="13"/>
  <c r="AT89" i="13" s="1"/>
  <c r="AV89" i="13" s="1"/>
  <c r="AQ90" i="13"/>
  <c r="AF102" i="13" s="1"/>
  <c r="AR90" i="13"/>
  <c r="AH102" i="13" s="1"/>
  <c r="AU90" i="13"/>
  <c r="AP90" i="13"/>
  <c r="AT87" i="13" l="1"/>
  <c r="AG97" i="13"/>
  <c r="AS90" i="13"/>
  <c r="AT90" i="13" s="1"/>
  <c r="AV90" i="13" s="1"/>
  <c r="AQ91" i="13"/>
  <c r="AF107" i="13" s="1"/>
  <c r="AR91" i="13"/>
  <c r="AH107" i="13" s="1"/>
  <c r="AU91" i="13"/>
  <c r="AP91" i="13"/>
  <c r="AG102" i="13" l="1"/>
  <c r="AS91" i="13"/>
  <c r="AT91" i="13" s="1"/>
  <c r="AV91" i="13" s="1"/>
  <c r="AQ92" i="13"/>
  <c r="AF112" i="13" s="1"/>
  <c r="AR92" i="13"/>
  <c r="AH112" i="13" s="1"/>
  <c r="AU92" i="13"/>
  <c r="AP92" i="13"/>
  <c r="AG107" i="13" l="1"/>
  <c r="AS92" i="13"/>
  <c r="AT92" i="13" s="1"/>
  <c r="AV92" i="13" s="1"/>
  <c r="AQ93" i="13"/>
  <c r="AF117" i="13" s="1"/>
  <c r="AR93" i="13"/>
  <c r="AH117" i="13" s="1"/>
  <c r="AU93" i="13"/>
  <c r="AP93" i="13"/>
  <c r="AG112" i="13" l="1"/>
  <c r="AS93" i="13"/>
  <c r="AT93" i="13" s="1"/>
  <c r="AV93" i="13" s="1"/>
  <c r="AQ94" i="13"/>
  <c r="AF122" i="13" s="1"/>
  <c r="AR94" i="13"/>
  <c r="AH122" i="13" s="1"/>
  <c r="AU94" i="13"/>
  <c r="AP94" i="13"/>
  <c r="AS94" i="13" l="1"/>
  <c r="AT94" i="13" s="1"/>
  <c r="AV94" i="13" s="1"/>
  <c r="AG117" i="13"/>
  <c r="AQ95" i="13"/>
  <c r="AF127" i="13" s="1"/>
  <c r="AR95" i="13"/>
  <c r="AH127" i="13" s="1"/>
  <c r="AU95" i="13"/>
  <c r="AP95" i="13"/>
  <c r="AG122" i="13" l="1"/>
  <c r="AS95" i="13"/>
  <c r="AT95" i="13" s="1"/>
  <c r="AV95" i="13" s="1"/>
  <c r="AQ96" i="13"/>
  <c r="AF133" i="13" s="1"/>
  <c r="AR96" i="13"/>
  <c r="AH133" i="13" s="1"/>
  <c r="AU96" i="13"/>
  <c r="AP96" i="13"/>
  <c r="AS96" i="13" l="1"/>
  <c r="AT96" i="13" s="1"/>
  <c r="AV96" i="13" s="1"/>
  <c r="AG127" i="13"/>
  <c r="AQ97" i="13"/>
  <c r="AF139" i="13" s="1"/>
  <c r="AR97" i="13"/>
  <c r="AH139" i="13" s="1"/>
  <c r="AU97" i="13"/>
  <c r="AP97" i="13"/>
  <c r="AS97" i="13"/>
  <c r="AG133" i="13" l="1"/>
  <c r="AT97" i="13"/>
  <c r="AV97" i="13" s="1"/>
  <c r="AG139" i="13"/>
  <c r="S20" i="23" l="1"/>
  <c r="S22" i="23" s="1"/>
  <c r="S46" i="23" s="1"/>
  <c r="M5" i="25"/>
  <c r="M6" i="25"/>
  <c r="M7" i="25"/>
  <c r="M8" i="25"/>
  <c r="M9" i="25"/>
  <c r="M10" i="25"/>
  <c r="M11" i="25"/>
  <c r="M12" i="25"/>
  <c r="M13" i="25"/>
  <c r="M14" i="25"/>
  <c r="M15" i="25"/>
  <c r="M16" i="25"/>
  <c r="M17" i="25"/>
  <c r="M18" i="25"/>
  <c r="M19" i="25"/>
  <c r="M20" i="25"/>
  <c r="M21" i="25"/>
  <c r="M22" i="25"/>
  <c r="M23" i="25"/>
  <c r="M24" i="25"/>
  <c r="M25" i="25"/>
  <c r="M26" i="25"/>
  <c r="M27" i="25"/>
  <c r="M28" i="25"/>
  <c r="M29" i="25"/>
  <c r="M30" i="25"/>
  <c r="M31" i="25"/>
  <c r="M32" i="25"/>
  <c r="M33" i="25"/>
  <c r="M34" i="25"/>
  <c r="M35" i="25"/>
  <c r="M36" i="25"/>
  <c r="M37" i="25"/>
  <c r="M38" i="25"/>
  <c r="M39" i="25"/>
  <c r="M40" i="25"/>
  <c r="M41" i="25"/>
  <c r="M42" i="25"/>
  <c r="M43" i="25"/>
  <c r="M44" i="25"/>
  <c r="M45" i="25"/>
  <c r="M46" i="25"/>
  <c r="M47" i="25"/>
  <c r="M48" i="25"/>
  <c r="M49" i="25"/>
  <c r="M50" i="25"/>
  <c r="M51" i="25"/>
  <c r="M52" i="25"/>
  <c r="M53" i="25"/>
  <c r="M54" i="25"/>
  <c r="M55" i="25"/>
  <c r="M56" i="25"/>
  <c r="M57" i="25"/>
  <c r="M58" i="25"/>
  <c r="M59" i="25"/>
  <c r="M60" i="25"/>
  <c r="M61" i="25"/>
  <c r="M62" i="25"/>
  <c r="M63" i="25"/>
  <c r="M64" i="25"/>
  <c r="M65" i="25"/>
  <c r="M66" i="25"/>
  <c r="M67" i="25"/>
  <c r="M68" i="25"/>
  <c r="M69" i="25"/>
  <c r="M70" i="25"/>
  <c r="M71" i="25"/>
  <c r="M72" i="25"/>
  <c r="M73" i="25"/>
  <c r="M74" i="25"/>
  <c r="M75" i="25"/>
  <c r="M76" i="25"/>
  <c r="M77" i="25"/>
  <c r="M78" i="25"/>
  <c r="M79" i="25"/>
  <c r="M80" i="25"/>
  <c r="M81" i="25"/>
  <c r="M82" i="25"/>
  <c r="M83" i="25"/>
  <c r="M84" i="25"/>
  <c r="M85" i="25"/>
  <c r="M86" i="25"/>
  <c r="M87" i="25"/>
  <c r="M88" i="25"/>
  <c r="M89" i="25"/>
  <c r="M90" i="25"/>
  <c r="M91" i="25"/>
  <c r="M92" i="25"/>
  <c r="M93" i="25"/>
  <c r="M94" i="25"/>
  <c r="M95" i="25"/>
  <c r="M96" i="25"/>
  <c r="M97" i="25"/>
  <c r="M98" i="25"/>
  <c r="M99" i="25"/>
  <c r="M100" i="25"/>
  <c r="M101" i="25"/>
  <c r="M102" i="25"/>
  <c r="M103" i="25"/>
  <c r="M104" i="25"/>
  <c r="M105" i="25"/>
  <c r="M106" i="25"/>
  <c r="M107" i="25"/>
  <c r="M108" i="25"/>
  <c r="M109" i="25"/>
  <c r="M110" i="25"/>
  <c r="M111" i="25"/>
  <c r="M112" i="25"/>
  <c r="M113" i="25"/>
  <c r="M114" i="25"/>
  <c r="M115" i="25"/>
  <c r="M116" i="25"/>
  <c r="M117" i="25"/>
  <c r="M118" i="25"/>
  <c r="M119" i="25"/>
  <c r="M120" i="25"/>
  <c r="M121" i="25"/>
  <c r="M122" i="25"/>
  <c r="M123" i="25"/>
  <c r="M124" i="25"/>
  <c r="M125" i="25"/>
  <c r="M126" i="25"/>
  <c r="M127" i="25"/>
  <c r="M128" i="25"/>
  <c r="M129" i="25"/>
  <c r="M130" i="25"/>
  <c r="M131" i="25"/>
  <c r="M132" i="25"/>
  <c r="M133" i="25"/>
  <c r="M134" i="25"/>
  <c r="M135" i="25"/>
  <c r="M136" i="25"/>
  <c r="M137" i="25"/>
  <c r="M138" i="25"/>
  <c r="M139" i="25"/>
  <c r="M140" i="25"/>
  <c r="M141" i="25"/>
  <c r="M142" i="25"/>
  <c r="M143" i="25"/>
  <c r="M144" i="25"/>
  <c r="M145" i="25"/>
  <c r="M146" i="25"/>
  <c r="M147" i="25"/>
  <c r="M148" i="25"/>
  <c r="M149" i="25"/>
  <c r="M150" i="25"/>
  <c r="M151" i="25"/>
  <c r="M152" i="25"/>
  <c r="M153" i="25"/>
  <c r="M154" i="25"/>
  <c r="M155" i="25"/>
  <c r="M156" i="25"/>
  <c r="M157" i="25"/>
  <c r="M158" i="25"/>
  <c r="M159" i="25"/>
  <c r="M160" i="25"/>
  <c r="M161" i="25"/>
  <c r="M162" i="25"/>
  <c r="M163" i="25"/>
  <c r="M164" i="25"/>
  <c r="M165" i="25"/>
  <c r="M166" i="25"/>
  <c r="M167" i="25"/>
  <c r="L167" i="25" s="1"/>
  <c r="M168" i="25"/>
  <c r="M169" i="25"/>
  <c r="L169" i="25" s="1"/>
  <c r="M170" i="25"/>
  <c r="L170" i="25" s="1"/>
  <c r="M171" i="25"/>
  <c r="L171" i="25" s="1"/>
  <c r="M172" i="25"/>
  <c r="M173" i="25"/>
  <c r="L173" i="25" s="1"/>
  <c r="M174" i="25"/>
  <c r="L174" i="25" s="1"/>
  <c r="M175" i="25"/>
  <c r="L175" i="25" s="1"/>
  <c r="M176" i="25"/>
  <c r="M177" i="25"/>
  <c r="L177" i="25" s="1"/>
  <c r="M178" i="25"/>
  <c r="M179" i="25"/>
  <c r="L179" i="25" s="1"/>
  <c r="M180" i="25"/>
  <c r="M181" i="25"/>
  <c r="L181" i="25" s="1"/>
  <c r="M182" i="25"/>
  <c r="L182" i="25" s="1"/>
  <c r="M183" i="25"/>
  <c r="L183" i="25" s="1"/>
  <c r="M184" i="25"/>
  <c r="M185" i="25"/>
  <c r="L185" i="25" s="1"/>
  <c r="M186" i="25"/>
  <c r="L186" i="25" s="1"/>
  <c r="M187" i="25"/>
  <c r="L187" i="25" s="1"/>
  <c r="M188" i="25"/>
  <c r="M189" i="25"/>
  <c r="L189" i="25" s="1"/>
  <c r="M190" i="25"/>
  <c r="M191" i="25"/>
  <c r="M192" i="25"/>
  <c r="M193" i="25"/>
  <c r="M194" i="25"/>
  <c r="M195" i="25"/>
  <c r="M196" i="25"/>
  <c r="M197" i="25"/>
  <c r="M198" i="25"/>
  <c r="M199" i="25"/>
  <c r="M200" i="25"/>
  <c r="M201" i="25"/>
  <c r="M202" i="25"/>
  <c r="M203" i="25"/>
  <c r="M204" i="25"/>
  <c r="M205" i="25"/>
  <c r="M206" i="25"/>
  <c r="M207" i="25"/>
  <c r="M208" i="25"/>
  <c r="M209" i="25"/>
  <c r="M210" i="25"/>
  <c r="M211" i="25"/>
  <c r="M212" i="25"/>
  <c r="M213" i="25"/>
  <c r="M214" i="25"/>
  <c r="M215" i="25"/>
  <c r="M216" i="25"/>
  <c r="M217" i="25"/>
  <c r="M218" i="25"/>
  <c r="M219" i="25"/>
  <c r="M220" i="25"/>
  <c r="M221" i="25"/>
  <c r="M222" i="25"/>
  <c r="M223" i="25"/>
  <c r="M224" i="25"/>
  <c r="M225" i="25"/>
  <c r="M226" i="25"/>
  <c r="M227" i="25"/>
  <c r="M228" i="25"/>
  <c r="M229" i="25"/>
  <c r="M230" i="25"/>
  <c r="M231" i="25"/>
  <c r="M232" i="25"/>
  <c r="M233" i="25"/>
  <c r="M234" i="25"/>
  <c r="M235" i="25"/>
  <c r="M236" i="25"/>
  <c r="M237" i="25"/>
  <c r="M238" i="25"/>
  <c r="M239" i="25"/>
  <c r="M240" i="25"/>
  <c r="M241" i="25"/>
  <c r="M242" i="25"/>
  <c r="M243" i="25"/>
  <c r="M244" i="25"/>
  <c r="M245" i="25"/>
  <c r="M246" i="25"/>
  <c r="M247" i="25"/>
  <c r="M248" i="25"/>
  <c r="M249" i="25"/>
  <c r="M250" i="25"/>
  <c r="M251" i="25"/>
  <c r="M252" i="25"/>
  <c r="M253" i="25"/>
  <c r="M254" i="25"/>
  <c r="M255" i="25"/>
  <c r="M256" i="25"/>
  <c r="M257" i="25"/>
  <c r="M258" i="25"/>
  <c r="M259" i="25"/>
  <c r="M260" i="25"/>
  <c r="M261" i="25"/>
  <c r="M262" i="25"/>
  <c r="M263" i="25"/>
  <c r="M264" i="25"/>
  <c r="M265" i="25"/>
  <c r="M266" i="25"/>
  <c r="M267" i="25"/>
  <c r="M268" i="25"/>
  <c r="M269" i="25"/>
  <c r="M270" i="25"/>
  <c r="M271" i="25"/>
  <c r="M272" i="25"/>
  <c r="M273" i="25"/>
  <c r="M274" i="25"/>
  <c r="M275" i="25"/>
  <c r="M276" i="25"/>
  <c r="M277" i="25"/>
  <c r="M278" i="25"/>
  <c r="M279" i="25"/>
  <c r="M280" i="25"/>
  <c r="M281" i="25"/>
  <c r="M282" i="25"/>
  <c r="M283" i="25"/>
  <c r="M284" i="25"/>
  <c r="M285" i="25"/>
  <c r="M286" i="25"/>
  <c r="M287" i="25"/>
  <c r="M288" i="25"/>
  <c r="M289" i="25"/>
  <c r="M290" i="25"/>
  <c r="M291" i="25"/>
  <c r="M292" i="25"/>
  <c r="M293" i="25"/>
  <c r="M294" i="25"/>
  <c r="M295" i="25"/>
  <c r="M296" i="25"/>
  <c r="M297" i="25"/>
  <c r="M298" i="25"/>
  <c r="M299" i="25"/>
  <c r="M300" i="25"/>
  <c r="M301" i="25"/>
  <c r="M302" i="25"/>
  <c r="M303" i="25"/>
  <c r="M304" i="25"/>
  <c r="M305" i="25"/>
  <c r="M306" i="25"/>
  <c r="M307" i="25"/>
  <c r="M308" i="25"/>
  <c r="M309" i="25"/>
  <c r="M310" i="25"/>
  <c r="M311" i="25"/>
  <c r="M312" i="25"/>
  <c r="M313" i="25"/>
  <c r="M314" i="25"/>
  <c r="M315" i="25"/>
  <c r="M316" i="25"/>
  <c r="M317" i="25"/>
  <c r="M318" i="25"/>
  <c r="M319" i="25"/>
  <c r="M320" i="25"/>
  <c r="M321" i="25"/>
  <c r="M322" i="25"/>
  <c r="M323" i="25"/>
  <c r="M324" i="25"/>
  <c r="M325" i="25"/>
  <c r="M326" i="25"/>
  <c r="M327" i="25"/>
  <c r="M328" i="25"/>
  <c r="L5" i="25"/>
  <c r="L6" i="25"/>
  <c r="L7" i="25"/>
  <c r="L8" i="25"/>
  <c r="L9" i="25"/>
  <c r="L10" i="25"/>
  <c r="L11" i="25"/>
  <c r="L12" i="25"/>
  <c r="L13" i="25"/>
  <c r="L14" i="25"/>
  <c r="L15" i="25"/>
  <c r="L16" i="25"/>
  <c r="L17" i="25"/>
  <c r="L18" i="25"/>
  <c r="L19" i="25"/>
  <c r="L20" i="25"/>
  <c r="L21" i="25"/>
  <c r="L22" i="25"/>
  <c r="L23" i="25"/>
  <c r="L24" i="25"/>
  <c r="L25" i="25"/>
  <c r="L26" i="25"/>
  <c r="L27" i="25"/>
  <c r="L28" i="25"/>
  <c r="L29" i="25"/>
  <c r="L30" i="25"/>
  <c r="L31" i="25"/>
  <c r="L32" i="25"/>
  <c r="L33" i="25"/>
  <c r="L34" i="25"/>
  <c r="L35" i="25"/>
  <c r="L36" i="25"/>
  <c r="L37" i="25"/>
  <c r="L38" i="25"/>
  <c r="L39" i="25"/>
  <c r="L40" i="25"/>
  <c r="L41" i="25"/>
  <c r="L42" i="25"/>
  <c r="L43" i="25"/>
  <c r="L44" i="25"/>
  <c r="L45" i="25"/>
  <c r="L46" i="25"/>
  <c r="L47" i="25"/>
  <c r="L48" i="25"/>
  <c r="L49" i="25"/>
  <c r="L168" i="25"/>
  <c r="L172" i="25"/>
  <c r="L176" i="25"/>
  <c r="L178" i="25"/>
  <c r="L180" i="25"/>
  <c r="L184" i="25"/>
  <c r="L188" i="25"/>
  <c r="M4" i="25"/>
  <c r="L4" i="25"/>
  <c r="B3" i="41"/>
  <c r="B4" i="41"/>
  <c r="B5" i="41"/>
  <c r="B6" i="41"/>
  <c r="B7" i="41"/>
  <c r="B8" i="41"/>
  <c r="B9" i="41"/>
  <c r="B10" i="41"/>
  <c r="B11" i="41"/>
  <c r="B12" i="41"/>
  <c r="B13" i="41"/>
  <c r="B14" i="41"/>
  <c r="B15" i="41"/>
  <c r="B16" i="41"/>
  <c r="B17" i="41"/>
  <c r="B18" i="41"/>
  <c r="B19" i="41"/>
  <c r="B20" i="41"/>
  <c r="B21" i="41"/>
  <c r="B22" i="41"/>
  <c r="B23" i="41"/>
  <c r="B24" i="41"/>
  <c r="B25" i="41"/>
  <c r="B26" i="41"/>
  <c r="B27" i="41"/>
  <c r="B28" i="41"/>
  <c r="B29" i="41"/>
  <c r="B30" i="41"/>
  <c r="B31" i="41"/>
  <c r="B32" i="41"/>
  <c r="B33" i="41"/>
  <c r="B34" i="41"/>
  <c r="B35" i="41"/>
  <c r="B36" i="41"/>
  <c r="B37" i="41"/>
  <c r="B38" i="41"/>
  <c r="B39" i="41"/>
  <c r="B40" i="41"/>
  <c r="B41" i="41"/>
  <c r="B42" i="41"/>
  <c r="B43" i="41"/>
  <c r="B44" i="41"/>
  <c r="B45" i="41"/>
  <c r="B46" i="41"/>
  <c r="B47" i="41"/>
  <c r="B48" i="41"/>
  <c r="B49" i="41"/>
  <c r="B50" i="41"/>
  <c r="B51" i="41"/>
  <c r="B52" i="41"/>
  <c r="B53" i="41"/>
  <c r="B54" i="41"/>
  <c r="B55" i="41"/>
  <c r="B56" i="41"/>
  <c r="B57" i="41"/>
  <c r="B58" i="41"/>
  <c r="B59" i="41"/>
  <c r="B60" i="41"/>
  <c r="B61" i="41"/>
  <c r="B62" i="41"/>
  <c r="B63" i="41"/>
  <c r="B64" i="41"/>
  <c r="B65" i="41"/>
  <c r="B66" i="41"/>
  <c r="B67" i="41"/>
  <c r="B68" i="41"/>
  <c r="B69" i="41"/>
  <c r="B70" i="41"/>
  <c r="B71" i="41"/>
  <c r="B72" i="41"/>
  <c r="B73" i="41"/>
  <c r="B74" i="41"/>
  <c r="B75" i="41"/>
  <c r="B76" i="41"/>
  <c r="B77" i="41"/>
  <c r="B78" i="41"/>
  <c r="B79" i="41"/>
  <c r="B80" i="41"/>
  <c r="B81" i="41"/>
  <c r="B82" i="41"/>
  <c r="B83" i="41"/>
  <c r="B84" i="41"/>
  <c r="B85" i="41"/>
  <c r="B86" i="41"/>
  <c r="B87" i="41"/>
  <c r="B88" i="41"/>
  <c r="B89" i="41"/>
  <c r="B90" i="41"/>
  <c r="B91" i="41"/>
  <c r="B92" i="41"/>
  <c r="B93" i="41"/>
  <c r="B94" i="41"/>
  <c r="B95" i="41"/>
  <c r="B96" i="41"/>
  <c r="B97" i="41"/>
  <c r="B98" i="41"/>
  <c r="B99" i="41"/>
  <c r="B100" i="41"/>
  <c r="B101" i="41"/>
  <c r="B102" i="41"/>
  <c r="B103" i="41"/>
  <c r="B104" i="41"/>
  <c r="B105" i="41"/>
  <c r="B106" i="41"/>
  <c r="B107" i="41"/>
  <c r="B108" i="41"/>
  <c r="B109" i="41"/>
  <c r="B110" i="41"/>
  <c r="B111" i="41"/>
  <c r="B112" i="41"/>
  <c r="B113" i="41"/>
  <c r="B114" i="41"/>
  <c r="B115" i="41"/>
  <c r="B116" i="41"/>
  <c r="B117" i="41"/>
  <c r="B118" i="41"/>
  <c r="B119" i="41"/>
  <c r="B120" i="41"/>
  <c r="B121" i="41"/>
  <c r="B122" i="41"/>
  <c r="B123" i="41"/>
  <c r="B124" i="41"/>
  <c r="B125" i="41"/>
  <c r="B126" i="41"/>
  <c r="B127" i="41"/>
  <c r="B128" i="41"/>
  <c r="B129" i="41"/>
  <c r="B130" i="41"/>
  <c r="B131" i="41"/>
  <c r="B132" i="41"/>
  <c r="B133" i="41"/>
  <c r="B134" i="41"/>
  <c r="B135" i="41"/>
  <c r="B136" i="41"/>
  <c r="B137" i="41"/>
  <c r="B138" i="41"/>
  <c r="B139" i="41"/>
  <c r="B140" i="41"/>
  <c r="B141" i="41"/>
  <c r="B142" i="41"/>
  <c r="B143" i="41"/>
  <c r="B144" i="41"/>
  <c r="B145" i="41"/>
  <c r="B146" i="41"/>
  <c r="B147" i="41"/>
  <c r="B148" i="41"/>
  <c r="B149" i="41"/>
  <c r="B150" i="41"/>
  <c r="B151" i="41"/>
  <c r="B152" i="41"/>
  <c r="B153" i="41"/>
  <c r="B154" i="41"/>
  <c r="B155" i="41"/>
  <c r="B156" i="41"/>
  <c r="B157" i="41"/>
  <c r="B158" i="41"/>
  <c r="B159" i="41"/>
  <c r="B160" i="41"/>
  <c r="B161" i="41"/>
  <c r="B162" i="41"/>
  <c r="B163" i="41"/>
  <c r="B164" i="41"/>
  <c r="B2" i="41"/>
  <c r="A3" i="41"/>
  <c r="A4" i="41"/>
  <c r="A5" i="41"/>
  <c r="A6" i="41"/>
  <c r="A7" i="41"/>
  <c r="A8" i="41"/>
  <c r="A9" i="41"/>
  <c r="A10" i="41"/>
  <c r="A11" i="41"/>
  <c r="A12" i="41"/>
  <c r="A13" i="41"/>
  <c r="A14" i="41"/>
  <c r="A15" i="41"/>
  <c r="A16" i="41"/>
  <c r="A17" i="41"/>
  <c r="A18" i="41"/>
  <c r="A19" i="41"/>
  <c r="A20" i="41"/>
  <c r="A21" i="41"/>
  <c r="A22" i="41"/>
  <c r="A23" i="41"/>
  <c r="A24" i="41"/>
  <c r="A25" i="41"/>
  <c r="A26" i="41"/>
  <c r="A27" i="41"/>
  <c r="A28" i="41"/>
  <c r="A29" i="41"/>
  <c r="A30" i="41"/>
  <c r="A31" i="41"/>
  <c r="A32" i="41"/>
  <c r="A33" i="41"/>
  <c r="A34" i="41"/>
  <c r="A35" i="41"/>
  <c r="A36" i="41"/>
  <c r="A37" i="41"/>
  <c r="A38" i="41"/>
  <c r="A39" i="41"/>
  <c r="A40" i="41"/>
  <c r="A41" i="41"/>
  <c r="A42" i="41"/>
  <c r="A43" i="41"/>
  <c r="A44" i="41"/>
  <c r="A45" i="41"/>
  <c r="A46" i="41"/>
  <c r="A47" i="41"/>
  <c r="A48" i="41"/>
  <c r="A49" i="41"/>
  <c r="A50" i="41"/>
  <c r="A51" i="41"/>
  <c r="A52" i="41"/>
  <c r="A53" i="41"/>
  <c r="A54" i="41"/>
  <c r="A55" i="41"/>
  <c r="A56" i="41"/>
  <c r="A57" i="41"/>
  <c r="A58" i="41"/>
  <c r="A59" i="41"/>
  <c r="A60" i="41"/>
  <c r="A61" i="41"/>
  <c r="A62" i="41"/>
  <c r="A63" i="41"/>
  <c r="A64" i="41"/>
  <c r="A65" i="41"/>
  <c r="A66" i="41"/>
  <c r="A67" i="41"/>
  <c r="A68" i="41"/>
  <c r="A69" i="41"/>
  <c r="A70" i="41"/>
  <c r="A71" i="41"/>
  <c r="A72" i="41"/>
  <c r="A73" i="41"/>
  <c r="A74" i="41"/>
  <c r="A75" i="41"/>
  <c r="A76" i="41"/>
  <c r="A77" i="41"/>
  <c r="A78" i="41"/>
  <c r="A79" i="41"/>
  <c r="A80" i="41"/>
  <c r="A81" i="41"/>
  <c r="A82" i="41"/>
  <c r="A83" i="41"/>
  <c r="A84" i="41"/>
  <c r="A85" i="41"/>
  <c r="A86" i="41"/>
  <c r="A87" i="41"/>
  <c r="A88" i="41"/>
  <c r="A89" i="41"/>
  <c r="A90" i="41"/>
  <c r="A91" i="41"/>
  <c r="A92" i="41"/>
  <c r="A93" i="41"/>
  <c r="A94" i="41"/>
  <c r="A95" i="41"/>
  <c r="A96" i="41"/>
  <c r="A97" i="41"/>
  <c r="A98" i="41"/>
  <c r="A99" i="41"/>
  <c r="A100" i="41"/>
  <c r="A101" i="41"/>
  <c r="A102" i="41"/>
  <c r="A103" i="41"/>
  <c r="A104" i="41"/>
  <c r="A105" i="41"/>
  <c r="A106" i="41"/>
  <c r="A107" i="41"/>
  <c r="A108" i="41"/>
  <c r="A109" i="41"/>
  <c r="A110" i="41"/>
  <c r="A111" i="41"/>
  <c r="A112" i="41"/>
  <c r="A113" i="41"/>
  <c r="A114" i="41"/>
  <c r="A115" i="41"/>
  <c r="A116" i="41"/>
  <c r="A117" i="41"/>
  <c r="A118" i="41"/>
  <c r="A119" i="41"/>
  <c r="A120" i="41"/>
  <c r="A121" i="41"/>
  <c r="A122" i="41"/>
  <c r="A123" i="41"/>
  <c r="A124" i="41"/>
  <c r="A125" i="41"/>
  <c r="A126" i="41"/>
  <c r="A127" i="41"/>
  <c r="A128" i="41"/>
  <c r="A129" i="41"/>
  <c r="A130" i="41"/>
  <c r="A131" i="41"/>
  <c r="A132" i="41"/>
  <c r="A133" i="41"/>
  <c r="A134" i="41"/>
  <c r="A135" i="41"/>
  <c r="A136" i="41"/>
  <c r="A137" i="41"/>
  <c r="A138" i="41"/>
  <c r="A139" i="41"/>
  <c r="A140" i="41"/>
  <c r="A141" i="41"/>
  <c r="A142" i="41"/>
  <c r="A143" i="41"/>
  <c r="A144" i="41"/>
  <c r="A145" i="41"/>
  <c r="A146" i="41"/>
  <c r="A147" i="41"/>
  <c r="A148" i="41"/>
  <c r="A149" i="41"/>
  <c r="A150" i="41"/>
  <c r="A151" i="41"/>
  <c r="A152" i="41"/>
  <c r="A153" i="41"/>
  <c r="A154" i="41"/>
  <c r="A155" i="41"/>
  <c r="A156" i="41"/>
  <c r="A157" i="41"/>
  <c r="A158" i="41"/>
  <c r="A159" i="41"/>
  <c r="A160" i="41"/>
  <c r="A161" i="41"/>
  <c r="A162" i="41"/>
  <c r="A163" i="41"/>
  <c r="A164" i="41"/>
  <c r="A2" i="41"/>
  <c r="D1" i="41"/>
  <c r="C1" i="41"/>
  <c r="G262" i="25" l="1"/>
  <c r="G263" i="25"/>
  <c r="G264" i="25"/>
  <c r="G265" i="25"/>
  <c r="G266" i="25"/>
  <c r="G267" i="25"/>
  <c r="G268" i="25"/>
  <c r="G269" i="25"/>
  <c r="G270" i="25"/>
  <c r="G271" i="25"/>
  <c r="G272" i="25"/>
  <c r="G273" i="25"/>
  <c r="G274" i="25"/>
  <c r="G275" i="25"/>
  <c r="G276" i="25"/>
  <c r="G277" i="25"/>
  <c r="G278" i="25"/>
  <c r="G279" i="25"/>
  <c r="G280" i="25"/>
  <c r="G281" i="25"/>
  <c r="G282" i="25"/>
  <c r="G283" i="25"/>
  <c r="G284" i="25"/>
  <c r="G285" i="25"/>
  <c r="G286" i="25"/>
  <c r="G287" i="25"/>
  <c r="G288" i="25"/>
  <c r="G289" i="25"/>
  <c r="G290" i="25"/>
  <c r="G291" i="25"/>
  <c r="G292" i="25"/>
  <c r="G293" i="25"/>
  <c r="G294" i="25"/>
  <c r="G295" i="25"/>
  <c r="G296" i="25"/>
  <c r="G297" i="25"/>
  <c r="G298" i="25"/>
  <c r="G299" i="25"/>
  <c r="G300" i="25"/>
  <c r="G301" i="25"/>
  <c r="G302" i="25"/>
  <c r="G303" i="25"/>
  <c r="G304" i="25"/>
  <c r="G305" i="25"/>
  <c r="G306" i="25"/>
  <c r="G307" i="25"/>
  <c r="G308" i="25"/>
  <c r="G309" i="25"/>
  <c r="G310" i="25"/>
  <c r="G311" i="25"/>
  <c r="G312" i="25"/>
  <c r="G313" i="25"/>
  <c r="G314" i="25"/>
  <c r="G315" i="25"/>
  <c r="G316" i="25"/>
  <c r="G317" i="25"/>
  <c r="G318" i="25"/>
  <c r="G319" i="25"/>
  <c r="G320" i="25"/>
  <c r="G321" i="25"/>
  <c r="G322" i="25"/>
  <c r="G323" i="25"/>
  <c r="G324" i="25"/>
  <c r="G325" i="25"/>
  <c r="G326" i="25"/>
  <c r="G327" i="25"/>
  <c r="G328" i="25"/>
  <c r="G249" i="25"/>
  <c r="G250" i="25"/>
  <c r="G251" i="25"/>
  <c r="G252" i="25"/>
  <c r="G253" i="25"/>
  <c r="G254" i="25"/>
  <c r="G255" i="25"/>
  <c r="G256" i="25"/>
  <c r="G257" i="25"/>
  <c r="G258" i="25"/>
  <c r="G259" i="25"/>
  <c r="G260" i="25"/>
  <c r="G261" i="25"/>
  <c r="G241" i="25"/>
  <c r="G242" i="25"/>
  <c r="G243" i="25"/>
  <c r="G244" i="25"/>
  <c r="G245" i="25"/>
  <c r="G246" i="25"/>
  <c r="G247" i="25"/>
  <c r="G248" i="25"/>
  <c r="G232" i="25"/>
  <c r="G233" i="25"/>
  <c r="G234" i="25"/>
  <c r="G235" i="25"/>
  <c r="G236" i="25"/>
  <c r="G237" i="25"/>
  <c r="G238" i="25"/>
  <c r="G239" i="25"/>
  <c r="G240" i="25"/>
  <c r="G225" i="25"/>
  <c r="G226" i="25"/>
  <c r="G227" i="25"/>
  <c r="G228" i="25"/>
  <c r="G229" i="25"/>
  <c r="G230" i="25"/>
  <c r="G231" i="25"/>
  <c r="G217" i="25"/>
  <c r="G218" i="25"/>
  <c r="G219" i="25"/>
  <c r="G220" i="25"/>
  <c r="G221" i="25"/>
  <c r="G222" i="25"/>
  <c r="G223" i="25"/>
  <c r="G224" i="25"/>
  <c r="G210" i="25"/>
  <c r="G211" i="25"/>
  <c r="G212" i="25"/>
  <c r="G213" i="25"/>
  <c r="G214" i="25"/>
  <c r="G215" i="25"/>
  <c r="G216" i="25"/>
  <c r="G207" i="25"/>
  <c r="G208" i="25"/>
  <c r="G209" i="25"/>
  <c r="G206" i="25"/>
  <c r="B36" i="22"/>
  <c r="B37" i="22"/>
  <c r="B39" i="22"/>
  <c r="B40" i="22"/>
  <c r="B41" i="22"/>
  <c r="B42" i="22"/>
  <c r="B44" i="22"/>
  <c r="B45" i="22"/>
  <c r="B46" i="22"/>
  <c r="B47" i="22"/>
  <c r="B49" i="22"/>
  <c r="B50" i="22"/>
  <c r="B51" i="22"/>
  <c r="B52" i="22"/>
  <c r="B54" i="22"/>
  <c r="B55" i="22"/>
  <c r="B56" i="22"/>
  <c r="B57" i="22"/>
  <c r="B59" i="22"/>
  <c r="B60" i="22"/>
  <c r="B61" i="22"/>
  <c r="B62" i="22"/>
  <c r="B64" i="22"/>
  <c r="B65" i="22"/>
  <c r="B66" i="22"/>
  <c r="B67" i="22"/>
  <c r="B68" i="22"/>
  <c r="B70" i="22"/>
  <c r="B71" i="22"/>
  <c r="B72" i="22"/>
  <c r="B73" i="22"/>
  <c r="B74" i="22"/>
  <c r="B34" i="22"/>
  <c r="B35" i="22"/>
  <c r="B20" i="22"/>
  <c r="B21" i="22"/>
  <c r="B22" i="22"/>
  <c r="B24" i="22"/>
  <c r="B25" i="22"/>
  <c r="B26" i="22"/>
  <c r="B27" i="22"/>
  <c r="B29" i="22"/>
  <c r="B30" i="22"/>
  <c r="B31" i="22"/>
  <c r="B32" i="22"/>
  <c r="B19" i="22"/>
  <c r="I4" i="25"/>
  <c r="D2" i="41" l="1"/>
  <c r="D4" i="41"/>
  <c r="D5" i="41"/>
  <c r="D6" i="41"/>
  <c r="D7" i="41"/>
  <c r="D8" i="41"/>
  <c r="D9" i="41"/>
  <c r="D10" i="41"/>
  <c r="D11" i="41"/>
  <c r="D12" i="41"/>
  <c r="D13" i="41"/>
  <c r="D14" i="41"/>
  <c r="D15" i="41"/>
  <c r="D16" i="41"/>
  <c r="D17" i="41"/>
  <c r="D18" i="41"/>
  <c r="D19" i="41"/>
  <c r="D20" i="41"/>
  <c r="D21" i="41"/>
  <c r="D22" i="41"/>
  <c r="D23" i="41"/>
  <c r="D24" i="41"/>
  <c r="D25" i="41"/>
  <c r="D26" i="41"/>
  <c r="D27" i="41"/>
  <c r="D28" i="41"/>
  <c r="D29" i="41"/>
  <c r="D30" i="41"/>
  <c r="D31" i="41"/>
  <c r="D32" i="41"/>
  <c r="D33" i="41"/>
  <c r="D34" i="41"/>
  <c r="D35" i="41"/>
  <c r="D36" i="41"/>
  <c r="D37" i="41"/>
  <c r="D38" i="41"/>
  <c r="D39" i="41"/>
  <c r="D40" i="41"/>
  <c r="D41" i="41"/>
  <c r="D42" i="41"/>
  <c r="D43" i="41"/>
  <c r="D44" i="41"/>
  <c r="D45" i="41"/>
  <c r="D46" i="41"/>
  <c r="D47" i="41"/>
  <c r="C3" i="41"/>
  <c r="C4" i="41"/>
  <c r="C5" i="41"/>
  <c r="E5" i="41" s="1"/>
  <c r="F5" i="41" s="1"/>
  <c r="C6" i="41"/>
  <c r="C7" i="41"/>
  <c r="C8" i="41"/>
  <c r="C9" i="41"/>
  <c r="E9" i="41" s="1"/>
  <c r="F9" i="41" s="1"/>
  <c r="C10" i="41"/>
  <c r="C11" i="41"/>
  <c r="E11" i="41" s="1"/>
  <c r="F11" i="41" s="1"/>
  <c r="C12" i="41"/>
  <c r="C13" i="41"/>
  <c r="E13" i="41" s="1"/>
  <c r="F13" i="41" s="1"/>
  <c r="C14" i="41"/>
  <c r="C15" i="41"/>
  <c r="C16" i="41"/>
  <c r="C17" i="41"/>
  <c r="E17" i="41" s="1"/>
  <c r="F17" i="41" s="1"/>
  <c r="C18" i="41"/>
  <c r="C19" i="41"/>
  <c r="E19" i="41" s="1"/>
  <c r="F19" i="41" s="1"/>
  <c r="C20" i="41"/>
  <c r="C21" i="41"/>
  <c r="E21" i="41" s="1"/>
  <c r="F21" i="41" s="1"/>
  <c r="C22" i="41"/>
  <c r="C23" i="41"/>
  <c r="C24" i="41"/>
  <c r="C25" i="41"/>
  <c r="E25" i="41" s="1"/>
  <c r="F25" i="41" s="1"/>
  <c r="C26" i="41"/>
  <c r="C27" i="41"/>
  <c r="E27" i="41" s="1"/>
  <c r="F27" i="41" s="1"/>
  <c r="C28" i="41"/>
  <c r="C29" i="41"/>
  <c r="E29" i="41" s="1"/>
  <c r="F29" i="41" s="1"/>
  <c r="C30" i="41"/>
  <c r="C31" i="41"/>
  <c r="C32" i="41"/>
  <c r="C33" i="41"/>
  <c r="E33" i="41" s="1"/>
  <c r="F33" i="41" s="1"/>
  <c r="C34" i="41"/>
  <c r="C35" i="41"/>
  <c r="E35" i="41" s="1"/>
  <c r="F35" i="41" s="1"/>
  <c r="C36" i="41"/>
  <c r="C37" i="41"/>
  <c r="E37" i="41" s="1"/>
  <c r="F37" i="41" s="1"/>
  <c r="C38" i="41"/>
  <c r="C39" i="41"/>
  <c r="C40" i="41"/>
  <c r="C41" i="41"/>
  <c r="E41" i="41" s="1"/>
  <c r="F41" i="41" s="1"/>
  <c r="C42" i="41"/>
  <c r="C43" i="41"/>
  <c r="E43" i="41" s="1"/>
  <c r="F43" i="41" s="1"/>
  <c r="C44" i="41"/>
  <c r="C45" i="41"/>
  <c r="E45" i="41" s="1"/>
  <c r="F45" i="41" s="1"/>
  <c r="C46" i="41"/>
  <c r="C47" i="41"/>
  <c r="C2" i="41"/>
  <c r="D3" i="41"/>
  <c r="E39" i="41" l="1"/>
  <c r="F39" i="41" s="1"/>
  <c r="E47" i="41"/>
  <c r="F47" i="41" s="1"/>
  <c r="E31" i="41"/>
  <c r="F31" i="41" s="1"/>
  <c r="E23" i="41"/>
  <c r="F23" i="41" s="1"/>
  <c r="E15" i="41"/>
  <c r="F15" i="41" s="1"/>
  <c r="E7" i="41"/>
  <c r="F7" i="41" s="1"/>
  <c r="E46" i="41"/>
  <c r="F46" i="41" s="1"/>
  <c r="E44" i="41"/>
  <c r="F44" i="41" s="1"/>
  <c r="E42" i="41"/>
  <c r="F42" i="41" s="1"/>
  <c r="E40" i="41"/>
  <c r="F40" i="41" s="1"/>
  <c r="E38" i="41"/>
  <c r="F38" i="41" s="1"/>
  <c r="E36" i="41"/>
  <c r="F36" i="41" s="1"/>
  <c r="E34" i="41"/>
  <c r="F34" i="41" s="1"/>
  <c r="E32" i="41"/>
  <c r="F32" i="41" s="1"/>
  <c r="E30" i="41"/>
  <c r="F30" i="41" s="1"/>
  <c r="E28" i="41"/>
  <c r="F28" i="41" s="1"/>
  <c r="E26" i="41"/>
  <c r="F26" i="41" s="1"/>
  <c r="E24" i="41"/>
  <c r="F24" i="41" s="1"/>
  <c r="E22" i="41"/>
  <c r="F22" i="41" s="1"/>
  <c r="E20" i="41"/>
  <c r="F20" i="41" s="1"/>
  <c r="E18" i="41"/>
  <c r="F18" i="41" s="1"/>
  <c r="E16" i="41"/>
  <c r="F16" i="41" s="1"/>
  <c r="E14" i="41"/>
  <c r="F14" i="41" s="1"/>
  <c r="E12" i="41"/>
  <c r="F12" i="41" s="1"/>
  <c r="E10" i="41"/>
  <c r="F10" i="41" s="1"/>
  <c r="E8" i="41"/>
  <c r="F8" i="41" s="1"/>
  <c r="E6" i="41"/>
  <c r="F6" i="41" s="1"/>
  <c r="E4" i="41"/>
  <c r="F4" i="41" s="1"/>
  <c r="E2" i="41"/>
  <c r="F2" i="41" s="1"/>
  <c r="E3" i="41"/>
  <c r="F3" i="41" s="1"/>
  <c r="L32" i="27"/>
  <c r="R18" i="23"/>
  <c r="Q18" i="23"/>
  <c r="P18" i="23"/>
  <c r="Q12" i="23"/>
  <c r="Q15" i="23" s="1"/>
  <c r="Q21" i="23"/>
  <c r="Q35" i="23"/>
  <c r="G5" i="25" l="1"/>
  <c r="D72" i="22"/>
  <c r="D73" i="22"/>
  <c r="D74" i="22"/>
  <c r="D71" i="22"/>
  <c r="D66" i="22"/>
  <c r="D67" i="22"/>
  <c r="D68" i="22"/>
  <c r="D65" i="22"/>
  <c r="D75" i="22"/>
  <c r="C74" i="22"/>
  <c r="C73" i="22"/>
  <c r="C72" i="22"/>
  <c r="C71" i="22"/>
  <c r="C70" i="22"/>
  <c r="A61" i="11"/>
  <c r="A60" i="11"/>
  <c r="AA40" i="13"/>
  <c r="AE40" i="13" s="1"/>
  <c r="AA39" i="13"/>
  <c r="AE39" i="13" s="1"/>
  <c r="AA38" i="13"/>
  <c r="AE38" i="13" s="1"/>
  <c r="AA37" i="13"/>
  <c r="AE37" i="13" s="1"/>
  <c r="AA36" i="13"/>
  <c r="AE36" i="13" s="1"/>
  <c r="O40" i="13"/>
  <c r="D61" i="11" s="1"/>
  <c r="O39" i="13"/>
  <c r="D60" i="11" s="1"/>
  <c r="O36" i="13"/>
  <c r="P5" i="25"/>
  <c r="P6" i="25"/>
  <c r="P7" i="25"/>
  <c r="P8" i="25"/>
  <c r="P9" i="25"/>
  <c r="P10" i="25"/>
  <c r="P11" i="25"/>
  <c r="P12" i="25"/>
  <c r="P13" i="25"/>
  <c r="P14" i="25"/>
  <c r="P15" i="25"/>
  <c r="P16" i="25"/>
  <c r="P17" i="25"/>
  <c r="P18" i="25"/>
  <c r="P19" i="25"/>
  <c r="P20" i="25"/>
  <c r="P21" i="25"/>
  <c r="P22" i="25"/>
  <c r="P23" i="25"/>
  <c r="P24" i="25"/>
  <c r="P25" i="25"/>
  <c r="P26" i="25"/>
  <c r="P27" i="25"/>
  <c r="P28" i="25"/>
  <c r="P29" i="25"/>
  <c r="P30" i="25"/>
  <c r="P31" i="25"/>
  <c r="P32" i="25"/>
  <c r="P33" i="25"/>
  <c r="P34" i="25"/>
  <c r="P35" i="25"/>
  <c r="P36" i="25"/>
  <c r="P37" i="25"/>
  <c r="P38" i="25"/>
  <c r="P39" i="25"/>
  <c r="P40" i="25"/>
  <c r="P41" i="25"/>
  <c r="P42" i="25"/>
  <c r="P43" i="25"/>
  <c r="P44" i="25"/>
  <c r="P45" i="25"/>
  <c r="P46" i="25"/>
  <c r="P47" i="25"/>
  <c r="P48" i="25"/>
  <c r="P49" i="25"/>
  <c r="P50" i="25"/>
  <c r="P51" i="25"/>
  <c r="P52" i="25"/>
  <c r="P53" i="25"/>
  <c r="P54" i="25"/>
  <c r="P55" i="25"/>
  <c r="P56" i="25"/>
  <c r="P57" i="25"/>
  <c r="P58" i="25"/>
  <c r="P59" i="25"/>
  <c r="P60" i="25"/>
  <c r="P61" i="25"/>
  <c r="P62" i="25"/>
  <c r="P63" i="25"/>
  <c r="P64" i="25"/>
  <c r="P65" i="25"/>
  <c r="P66" i="25"/>
  <c r="P67" i="25"/>
  <c r="P68" i="25"/>
  <c r="P69" i="25"/>
  <c r="P70" i="25"/>
  <c r="P71" i="25"/>
  <c r="P72" i="25"/>
  <c r="P73" i="25"/>
  <c r="P74" i="25"/>
  <c r="P75" i="25"/>
  <c r="P76" i="25"/>
  <c r="P77" i="25"/>
  <c r="P78" i="25"/>
  <c r="P79" i="25"/>
  <c r="P80" i="25"/>
  <c r="P81" i="25"/>
  <c r="P82" i="25"/>
  <c r="P83" i="25"/>
  <c r="P84" i="25"/>
  <c r="P85" i="25"/>
  <c r="P86" i="25"/>
  <c r="P87" i="25"/>
  <c r="P88" i="25"/>
  <c r="P89" i="25"/>
  <c r="P90" i="25"/>
  <c r="P91" i="25"/>
  <c r="P92" i="25"/>
  <c r="P93" i="25"/>
  <c r="P94" i="25"/>
  <c r="P95" i="25"/>
  <c r="P96" i="25"/>
  <c r="P97" i="25"/>
  <c r="P98" i="25"/>
  <c r="P99" i="25"/>
  <c r="P100" i="25"/>
  <c r="P101" i="25"/>
  <c r="P102" i="25"/>
  <c r="P103" i="25"/>
  <c r="P104" i="25"/>
  <c r="P105" i="25"/>
  <c r="P106" i="25"/>
  <c r="P107" i="25"/>
  <c r="P108" i="25"/>
  <c r="P109" i="25"/>
  <c r="P110" i="25"/>
  <c r="P111" i="25"/>
  <c r="P112" i="25"/>
  <c r="P113" i="25"/>
  <c r="P114" i="25"/>
  <c r="P115" i="25"/>
  <c r="P116" i="25"/>
  <c r="P117" i="25"/>
  <c r="P118" i="25"/>
  <c r="P119" i="25"/>
  <c r="P120" i="25"/>
  <c r="P121" i="25"/>
  <c r="P122" i="25"/>
  <c r="P123" i="25"/>
  <c r="P124" i="25"/>
  <c r="P125" i="25"/>
  <c r="P126" i="25"/>
  <c r="P127" i="25"/>
  <c r="P128" i="25"/>
  <c r="P129" i="25"/>
  <c r="P130" i="25"/>
  <c r="P131" i="25"/>
  <c r="P132" i="25"/>
  <c r="P133" i="25"/>
  <c r="P134" i="25"/>
  <c r="P135" i="25"/>
  <c r="P136" i="25"/>
  <c r="P137" i="25"/>
  <c r="P138" i="25"/>
  <c r="P139" i="25"/>
  <c r="P140" i="25"/>
  <c r="P141" i="25"/>
  <c r="P142" i="25"/>
  <c r="P143" i="25"/>
  <c r="P144" i="25"/>
  <c r="P145" i="25"/>
  <c r="P146" i="25"/>
  <c r="P147" i="25"/>
  <c r="P148" i="25"/>
  <c r="P149" i="25"/>
  <c r="P150" i="25"/>
  <c r="P151" i="25"/>
  <c r="P152" i="25"/>
  <c r="P153" i="25"/>
  <c r="P154" i="25"/>
  <c r="P155" i="25"/>
  <c r="P156" i="25"/>
  <c r="P157" i="25"/>
  <c r="P158" i="25"/>
  <c r="P159" i="25"/>
  <c r="P160" i="25"/>
  <c r="P161" i="25"/>
  <c r="P162" i="25"/>
  <c r="P163" i="25"/>
  <c r="P164" i="25"/>
  <c r="P165" i="25"/>
  <c r="P166" i="25"/>
  <c r="P167" i="25"/>
  <c r="P168" i="25"/>
  <c r="P169" i="25"/>
  <c r="P170" i="25"/>
  <c r="P171" i="25"/>
  <c r="P172" i="25"/>
  <c r="P173" i="25"/>
  <c r="P174" i="25"/>
  <c r="P175" i="25"/>
  <c r="P176" i="25"/>
  <c r="P177" i="25"/>
  <c r="P178" i="25"/>
  <c r="P179" i="25"/>
  <c r="P180" i="25"/>
  <c r="P181" i="25"/>
  <c r="P182" i="25"/>
  <c r="P183" i="25"/>
  <c r="P184" i="25"/>
  <c r="P185" i="25"/>
  <c r="P186" i="25"/>
  <c r="P187" i="25"/>
  <c r="P188" i="25"/>
  <c r="P189" i="25"/>
  <c r="P190" i="25"/>
  <c r="P191" i="25"/>
  <c r="P192" i="25"/>
  <c r="P193" i="25"/>
  <c r="P194" i="25"/>
  <c r="P195" i="25"/>
  <c r="P196" i="25"/>
  <c r="P197" i="25"/>
  <c r="P198" i="25"/>
  <c r="P199" i="25"/>
  <c r="P200" i="25"/>
  <c r="P201" i="25"/>
  <c r="P202" i="25"/>
  <c r="P203" i="25"/>
  <c r="P204" i="25"/>
  <c r="P205" i="25"/>
  <c r="P4" i="25"/>
  <c r="Q61" i="11" l="1"/>
  <c r="T61" i="11"/>
  <c r="Q60" i="11"/>
  <c r="T60" i="11"/>
  <c r="L74" i="22"/>
  <c r="G74" i="22"/>
  <c r="J63" i="11"/>
  <c r="L73" i="22"/>
  <c r="L72" i="22"/>
  <c r="K74" i="22"/>
  <c r="J74" i="22"/>
  <c r="I74" i="22"/>
  <c r="E74" i="22"/>
  <c r="W138" i="13" s="1"/>
  <c r="K73" i="22"/>
  <c r="J73" i="22"/>
  <c r="I73" i="22"/>
  <c r="E73" i="22"/>
  <c r="W137" i="13" s="1"/>
  <c r="R10" i="23"/>
  <c r="AY9" i="23" s="1"/>
  <c r="AY10" i="23" s="1"/>
  <c r="B75" i="22"/>
  <c r="M61" i="11"/>
  <c r="J61" i="11"/>
  <c r="M60" i="11"/>
  <c r="J60" i="11"/>
  <c r="CC32" i="23" l="1"/>
  <c r="CC31" i="23"/>
  <c r="O18" i="23"/>
  <c r="N18" i="23"/>
  <c r="M18" i="23"/>
  <c r="L18" i="23"/>
  <c r="K18" i="23"/>
  <c r="J18" i="23"/>
  <c r="I18" i="23"/>
  <c r="H18" i="23"/>
  <c r="G62" i="25"/>
  <c r="G61" i="25"/>
  <c r="AM4" i="25"/>
  <c r="O38" i="13" l="1"/>
  <c r="D59" i="11" s="1"/>
  <c r="D58" i="11"/>
  <c r="A59" i="11"/>
  <c r="A58" i="11"/>
  <c r="A57" i="11"/>
  <c r="Q59" i="11" l="1"/>
  <c r="T59" i="11"/>
  <c r="T57" i="11"/>
  <c r="Q57" i="11"/>
  <c r="T58" i="11"/>
  <c r="Q58" i="11"/>
  <c r="J57" i="11"/>
  <c r="M57" i="11"/>
  <c r="J58" i="11"/>
  <c r="M58" i="11"/>
  <c r="J59" i="11"/>
  <c r="M59" i="11"/>
  <c r="G154" i="25" l="1"/>
  <c r="G155" i="25"/>
  <c r="G156" i="25"/>
  <c r="G157" i="25"/>
  <c r="G158" i="25"/>
  <c r="G159" i="25"/>
  <c r="G160" i="25"/>
  <c r="G161" i="25"/>
  <c r="G162" i="25"/>
  <c r="G163" i="25"/>
  <c r="G164" i="25"/>
  <c r="G165" i="25"/>
  <c r="G166" i="25"/>
  <c r="G167" i="25"/>
  <c r="G168" i="25"/>
  <c r="G169" i="25"/>
  <c r="G170" i="25"/>
  <c r="G171" i="25"/>
  <c r="G172" i="25"/>
  <c r="G173" i="25"/>
  <c r="G174" i="25"/>
  <c r="G175" i="25"/>
  <c r="G176" i="25"/>
  <c r="G177" i="25"/>
  <c r="G178" i="25"/>
  <c r="G179" i="25"/>
  <c r="G180" i="25"/>
  <c r="G181" i="25"/>
  <c r="G182" i="25"/>
  <c r="G183" i="25"/>
  <c r="G184" i="25"/>
  <c r="G185" i="25"/>
  <c r="G186" i="25"/>
  <c r="G187" i="25"/>
  <c r="G188" i="25"/>
  <c r="G189" i="25"/>
  <c r="G190" i="25"/>
  <c r="G191" i="25"/>
  <c r="G192" i="25"/>
  <c r="G193" i="25"/>
  <c r="G194" i="25"/>
  <c r="G195" i="25"/>
  <c r="G196" i="25"/>
  <c r="G197" i="25"/>
  <c r="G198" i="25"/>
  <c r="G199" i="25"/>
  <c r="G200" i="25"/>
  <c r="G201" i="25"/>
  <c r="G202" i="25"/>
  <c r="G203" i="25"/>
  <c r="G204" i="25"/>
  <c r="G205" i="25"/>
  <c r="D57" i="11" l="1"/>
  <c r="G153" i="25"/>
  <c r="E19" i="11" l="1"/>
  <c r="E125" i="11" s="1"/>
  <c r="H83" i="13" l="1"/>
  <c r="B81" i="13" l="1"/>
  <c r="B94" i="13"/>
  <c r="H11" i="23" l="1"/>
  <c r="AO12" i="23" s="1"/>
  <c r="H21" i="23"/>
  <c r="AO14" i="23" l="1"/>
  <c r="AO13" i="23"/>
  <c r="A192" i="11"/>
  <c r="R21" i="23" l="1"/>
  <c r="C32" i="27" l="1"/>
  <c r="D32" i="27"/>
  <c r="E32" i="27"/>
  <c r="F32" i="27"/>
  <c r="G32" i="27"/>
  <c r="H32" i="27"/>
  <c r="I32" i="27"/>
  <c r="J32" i="27"/>
  <c r="K32" i="27"/>
  <c r="M32" i="27"/>
  <c r="C26" i="27"/>
  <c r="H10" i="23" l="1"/>
  <c r="AO9" i="23" s="1"/>
  <c r="AO10" i="23" s="1"/>
  <c r="B23" i="22"/>
  <c r="BS32" i="23" l="1"/>
  <c r="BS31" i="23"/>
  <c r="Q27" i="23"/>
  <c r="S27" i="23"/>
  <c r="S28" i="23" s="1"/>
  <c r="S48" i="23" s="1"/>
  <c r="AJ103" i="25"/>
  <c r="AJ102" i="25"/>
  <c r="AJ101" i="25"/>
  <c r="AJ100" i="25"/>
  <c r="AJ99" i="25"/>
  <c r="AJ98" i="25"/>
  <c r="AJ97" i="25"/>
  <c r="AJ69" i="25"/>
  <c r="AJ68" i="25"/>
  <c r="AJ67" i="25"/>
  <c r="AJ66" i="25"/>
  <c r="AJ65" i="25"/>
  <c r="AJ59" i="25"/>
  <c r="AK96" i="25"/>
  <c r="AK95" i="25"/>
  <c r="AK94" i="25"/>
  <c r="AK93" i="25"/>
  <c r="AK92" i="25"/>
  <c r="AK91" i="25"/>
  <c r="AK90" i="25"/>
  <c r="AK89" i="25"/>
  <c r="AK88" i="25"/>
  <c r="AK87" i="25"/>
  <c r="AK86" i="25"/>
  <c r="AK85" i="25"/>
  <c r="AK84" i="25"/>
  <c r="AK83" i="25"/>
  <c r="AK82" i="25"/>
  <c r="AK81" i="25"/>
  <c r="AK80" i="25"/>
  <c r="AK79" i="25"/>
  <c r="AK78" i="25"/>
  <c r="AK77" i="25"/>
  <c r="AK76" i="25"/>
  <c r="AK75" i="25"/>
  <c r="AK74" i="25"/>
  <c r="AK73" i="25"/>
  <c r="AK72" i="25"/>
  <c r="AK71" i="25"/>
  <c r="AK70" i="25"/>
  <c r="AK69" i="25"/>
  <c r="AK68" i="25"/>
  <c r="AK67" i="25"/>
  <c r="AK66" i="25"/>
  <c r="AK65" i="25"/>
  <c r="AB136" i="11" l="1"/>
  <c r="AB135" i="11"/>
  <c r="AB134" i="11"/>
  <c r="AB133" i="11"/>
  <c r="AB132" i="11"/>
  <c r="AB131" i="11"/>
  <c r="AB130" i="11"/>
  <c r="AB129" i="11"/>
  <c r="AB128" i="11" l="1"/>
  <c r="G96" i="25" l="1"/>
  <c r="G95" i="25"/>
  <c r="G94" i="25"/>
  <c r="G93" i="25"/>
  <c r="G92" i="25"/>
  <c r="G91" i="25"/>
  <c r="G90" i="25"/>
  <c r="G89" i="25"/>
  <c r="G88" i="25"/>
  <c r="G87" i="25"/>
  <c r="G86" i="25"/>
  <c r="G85" i="25"/>
  <c r="G84" i="25"/>
  <c r="G83" i="25"/>
  <c r="G82" i="25"/>
  <c r="G81" i="25"/>
  <c r="G80" i="25"/>
  <c r="G79" i="25"/>
  <c r="G78" i="25"/>
  <c r="G77" i="25"/>
  <c r="G76" i="25"/>
  <c r="G75" i="25"/>
  <c r="G74" i="25"/>
  <c r="G73" i="25"/>
  <c r="G72" i="25"/>
  <c r="G71" i="25"/>
  <c r="G70" i="25"/>
  <c r="G69" i="25"/>
  <c r="G68" i="25"/>
  <c r="G67" i="25"/>
  <c r="G66" i="25"/>
  <c r="W140" i="11" l="1"/>
  <c r="W198" i="11" s="1"/>
  <c r="A195" i="11" l="1"/>
  <c r="A196" i="11"/>
  <c r="H12" i="23" l="1"/>
  <c r="H15" i="23" s="1"/>
  <c r="G2" i="22" l="1"/>
  <c r="AB146" i="13"/>
  <c r="T112" i="13"/>
  <c r="T92" i="13"/>
  <c r="B28" i="22" l="1"/>
  <c r="AI92" i="13"/>
  <c r="D129" i="11" s="1"/>
  <c r="B48" i="22"/>
  <c r="AI112" i="13"/>
  <c r="D133" i="11" s="1"/>
  <c r="I12" i="23"/>
  <c r="J12" i="23"/>
  <c r="K12" i="23"/>
  <c r="L12" i="23"/>
  <c r="M12" i="23"/>
  <c r="N12" i="23"/>
  <c r="O12" i="23"/>
  <c r="P12" i="23"/>
  <c r="R12" i="23"/>
  <c r="G103" i="25"/>
  <c r="G102" i="25"/>
  <c r="G101" i="25"/>
  <c r="G4" i="25" l="1"/>
  <c r="G63" i="25"/>
  <c r="G64" i="25"/>
  <c r="G65" i="25"/>
  <c r="G6" i="25" l="1"/>
  <c r="G7" i="25"/>
  <c r="G8" i="25"/>
  <c r="G9" i="25"/>
  <c r="G10" i="25"/>
  <c r="G11" i="25"/>
  <c r="G12" i="25"/>
  <c r="G13" i="25"/>
  <c r="G14" i="25"/>
  <c r="G15" i="25"/>
  <c r="G16" i="25"/>
  <c r="G17" i="25"/>
  <c r="G18" i="25"/>
  <c r="G19" i="25"/>
  <c r="G20" i="25"/>
  <c r="G21" i="25"/>
  <c r="G22" i="25"/>
  <c r="G23" i="25"/>
  <c r="G24" i="25"/>
  <c r="G25" i="25"/>
  <c r="G26" i="25"/>
  <c r="G27" i="25"/>
  <c r="G28" i="25"/>
  <c r="G29" i="25"/>
  <c r="G30" i="25"/>
  <c r="G31" i="25"/>
  <c r="G32" i="25"/>
  <c r="G33" i="25"/>
  <c r="G34" i="25"/>
  <c r="G35" i="25"/>
  <c r="G36" i="25"/>
  <c r="G37" i="25"/>
  <c r="G38" i="25"/>
  <c r="G39" i="25"/>
  <c r="G40" i="25"/>
  <c r="G41" i="25"/>
  <c r="G42" i="25"/>
  <c r="G43" i="25"/>
  <c r="G44" i="25"/>
  <c r="G45" i="25"/>
  <c r="G46" i="25"/>
  <c r="G47" i="25"/>
  <c r="G48" i="25"/>
  <c r="G49" i="25"/>
  <c r="G50" i="25"/>
  <c r="G51" i="25"/>
  <c r="G52" i="25"/>
  <c r="G53" i="25"/>
  <c r="G54" i="25"/>
  <c r="G55" i="25"/>
  <c r="G56" i="25"/>
  <c r="G57" i="25"/>
  <c r="G58" i="25"/>
  <c r="G59" i="25"/>
  <c r="G60" i="25"/>
  <c r="G97" i="25"/>
  <c r="G98" i="25"/>
  <c r="G99" i="25"/>
  <c r="G100" i="25"/>
  <c r="G104" i="25"/>
  <c r="G105" i="25"/>
  <c r="G106" i="25"/>
  <c r="G107" i="25"/>
  <c r="G108" i="25"/>
  <c r="G109" i="25"/>
  <c r="G110" i="25"/>
  <c r="G111" i="25"/>
  <c r="G112" i="25"/>
  <c r="G113" i="25"/>
  <c r="G114" i="25"/>
  <c r="G115" i="25"/>
  <c r="G116" i="25"/>
  <c r="G117" i="25"/>
  <c r="G118" i="25"/>
  <c r="G119" i="25"/>
  <c r="G120" i="25"/>
  <c r="G121" i="25"/>
  <c r="G122" i="25"/>
  <c r="G123" i="25"/>
  <c r="G124" i="25"/>
  <c r="G125" i="25"/>
  <c r="G126" i="25"/>
  <c r="G127" i="25"/>
  <c r="G128" i="25"/>
  <c r="G129" i="25"/>
  <c r="G130" i="25"/>
  <c r="G131" i="25"/>
  <c r="G132" i="25"/>
  <c r="G133" i="25"/>
  <c r="G134" i="25"/>
  <c r="G135" i="25"/>
  <c r="G136" i="25"/>
  <c r="G137" i="25"/>
  <c r="G138" i="25"/>
  <c r="G139" i="25"/>
  <c r="G140" i="25"/>
  <c r="G141" i="25"/>
  <c r="G142" i="25"/>
  <c r="G143" i="25"/>
  <c r="G144" i="25"/>
  <c r="G145" i="25"/>
  <c r="G146" i="25"/>
  <c r="G147" i="25"/>
  <c r="G148" i="25"/>
  <c r="G149" i="25"/>
  <c r="G150" i="25"/>
  <c r="G151" i="25"/>
  <c r="G152" i="25"/>
  <c r="L71" i="22" l="1"/>
  <c r="L70" i="22"/>
  <c r="K72" i="22"/>
  <c r="J72" i="22"/>
  <c r="I72" i="22"/>
  <c r="E72" i="22"/>
  <c r="W136" i="13" s="1"/>
  <c r="K71" i="22"/>
  <c r="J71" i="22"/>
  <c r="I71" i="22"/>
  <c r="K70" i="22"/>
  <c r="J70" i="22"/>
  <c r="I70" i="22"/>
  <c r="H96" i="11"/>
  <c r="L75" i="22" l="1"/>
  <c r="M30" i="27" s="1"/>
  <c r="I75" i="22"/>
  <c r="R23" i="23" s="1"/>
  <c r="J75" i="22"/>
  <c r="R24" i="23" s="1"/>
  <c r="T107" i="13"/>
  <c r="B43" i="22" l="1"/>
  <c r="AI107" i="13"/>
  <c r="D132" i="11" s="1"/>
  <c r="N169" i="11"/>
  <c r="A169" i="11"/>
  <c r="A167" i="11"/>
  <c r="A166" i="11"/>
  <c r="H169" i="11"/>
  <c r="U30" i="11"/>
  <c r="U29" i="11"/>
  <c r="I28" i="11" l="1"/>
  <c r="G28" i="11"/>
  <c r="G30" i="11" s="1"/>
  <c r="AS190" i="13"/>
  <c r="L83" i="13"/>
  <c r="M65" i="13"/>
  <c r="AF21" i="13"/>
  <c r="G29" i="11" s="1"/>
  <c r="AA20" i="13"/>
  <c r="AJ143" i="11" s="1"/>
  <c r="AJ144" i="11" s="1"/>
  <c r="V20" i="13"/>
  <c r="N20" i="13"/>
  <c r="AK143" i="11" l="1"/>
  <c r="AE143" i="11"/>
  <c r="E15" i="22"/>
  <c r="G73" i="22" l="1"/>
  <c r="G72" i="22"/>
  <c r="G70" i="22"/>
  <c r="M43" i="22"/>
  <c r="M63" i="22"/>
  <c r="M71" i="22"/>
  <c r="M75" i="22"/>
  <c r="M72" i="22"/>
  <c r="M53" i="22"/>
  <c r="M69" i="22"/>
  <c r="G71" i="22"/>
  <c r="M38" i="22"/>
  <c r="M58" i="22"/>
  <c r="M74" i="22"/>
  <c r="M23" i="22"/>
  <c r="M48" i="22"/>
  <c r="M70" i="22"/>
  <c r="M28" i="22"/>
  <c r="M73" i="22"/>
  <c r="M33" i="22"/>
  <c r="D17" i="11" l="1"/>
  <c r="H138" i="11" l="1"/>
  <c r="H137" i="11"/>
  <c r="H136" i="11"/>
  <c r="H135" i="11"/>
  <c r="H134" i="11"/>
  <c r="H133" i="11"/>
  <c r="H132" i="11"/>
  <c r="H131" i="11"/>
  <c r="H130" i="11"/>
  <c r="H129" i="11"/>
  <c r="H128" i="11"/>
  <c r="E29" i="11"/>
  <c r="K169" i="11"/>
  <c r="D169" i="11"/>
  <c r="E30" i="11"/>
  <c r="H83" i="11"/>
  <c r="T133" i="13" l="1"/>
  <c r="AI133" i="13" s="1"/>
  <c r="D137" i="11" s="1"/>
  <c r="T127" i="13"/>
  <c r="T122" i="13"/>
  <c r="B53" i="22"/>
  <c r="T102" i="13"/>
  <c r="T97" i="13"/>
  <c r="B33" i="22" l="1"/>
  <c r="AI97" i="13"/>
  <c r="D130" i="11" s="1"/>
  <c r="B38" i="22"/>
  <c r="AI102" i="13"/>
  <c r="D131" i="11" s="1"/>
  <c r="B63" i="22"/>
  <c r="AI127" i="13"/>
  <c r="D136" i="11" s="1"/>
  <c r="B58" i="22"/>
  <c r="AI122" i="13"/>
  <c r="D135" i="11" s="1"/>
  <c r="Q10" i="23"/>
  <c r="B69" i="22"/>
  <c r="E70" i="22"/>
  <c r="W134" i="13" s="1"/>
  <c r="I204" i="13" l="1"/>
  <c r="Q42" i="23"/>
  <c r="AX9" i="23"/>
  <c r="AX10" i="23" s="1"/>
  <c r="L27" i="27"/>
  <c r="Q20" i="23"/>
  <c r="Q22" i="23" s="1"/>
  <c r="AC31" i="38"/>
  <c r="L65" i="38"/>
  <c r="H65" i="38"/>
  <c r="D65" i="38"/>
  <c r="G96" i="38"/>
  <c r="Y95" i="38"/>
  <c r="AA95" i="38" s="1"/>
  <c r="U95" i="38"/>
  <c r="K95" i="38"/>
  <c r="D92" i="38"/>
  <c r="G91" i="38"/>
  <c r="G90" i="38"/>
  <c r="G89" i="38"/>
  <c r="G88" i="38"/>
  <c r="G87" i="38"/>
  <c r="D86" i="38"/>
  <c r="G85" i="38"/>
  <c r="G84" i="38"/>
  <c r="G83" i="38"/>
  <c r="G82" i="38"/>
  <c r="D81" i="38"/>
  <c r="G80" i="38"/>
  <c r="G79" i="38"/>
  <c r="G78" i="38"/>
  <c r="G77" i="38"/>
  <c r="D76" i="38"/>
  <c r="G75" i="38"/>
  <c r="G74" i="38"/>
  <c r="G73" i="38"/>
  <c r="G72" i="38"/>
  <c r="D71" i="38"/>
  <c r="G70" i="38"/>
  <c r="G69" i="38"/>
  <c r="G68" i="38"/>
  <c r="G67" i="38"/>
  <c r="T91" i="38"/>
  <c r="W90" i="38"/>
  <c r="W89" i="38"/>
  <c r="W88" i="38"/>
  <c r="W87" i="38"/>
  <c r="T86" i="38"/>
  <c r="W85" i="38"/>
  <c r="W84" i="38"/>
  <c r="W83" i="38"/>
  <c r="W82" i="38"/>
  <c r="T81" i="38"/>
  <c r="W80" i="38"/>
  <c r="W79" i="38"/>
  <c r="W78" i="38"/>
  <c r="V60" i="38"/>
  <c r="P60" i="38"/>
  <c r="W77" i="38"/>
  <c r="T76" i="38"/>
  <c r="W75" i="38"/>
  <c r="W74" i="38"/>
  <c r="W73" i="38"/>
  <c r="W72" i="38"/>
  <c r="T71" i="38"/>
  <c r="W70" i="38"/>
  <c r="W69" i="38"/>
  <c r="W68" i="38"/>
  <c r="W67" i="38"/>
  <c r="Z49" i="38"/>
  <c r="V49" i="38"/>
  <c r="T49" i="38"/>
  <c r="P49" i="38"/>
  <c r="AB65" i="38"/>
  <c r="X65" i="38"/>
  <c r="T65" i="38"/>
  <c r="P47" i="38"/>
  <c r="E54" i="38"/>
  <c r="A54" i="38"/>
  <c r="J46" i="38"/>
  <c r="E46" i="38"/>
  <c r="J44" i="38"/>
  <c r="J37" i="38"/>
  <c r="W35" i="38"/>
  <c r="R32" i="38"/>
  <c r="N32" i="38"/>
  <c r="D32" i="38"/>
  <c r="D31" i="38"/>
  <c r="AF18" i="38"/>
  <c r="AL16" i="38"/>
  <c r="AK16" i="38"/>
  <c r="AJ16" i="38"/>
  <c r="AI16" i="38"/>
  <c r="AH16" i="38"/>
  <c r="AF16" i="38"/>
  <c r="AF17" i="38" s="1"/>
  <c r="AA16" i="38"/>
  <c r="V16" i="38"/>
  <c r="N16" i="38"/>
  <c r="Z8" i="38"/>
  <c r="Z7" i="38"/>
  <c r="CB32" i="23" l="1"/>
  <c r="CB31" i="23"/>
  <c r="Q46" i="23"/>
  <c r="AC22" i="23"/>
  <c r="AM16" i="38"/>
  <c r="W71" i="38"/>
  <c r="W81" i="38"/>
  <c r="W91" i="38"/>
  <c r="G76" i="38"/>
  <c r="G86" i="38"/>
  <c r="W76" i="38"/>
  <c r="W86" i="38"/>
  <c r="G71" i="38"/>
  <c r="G81" i="38"/>
  <c r="G92" i="38"/>
  <c r="D12" i="22"/>
  <c r="D7" i="22" l="1"/>
  <c r="L118" i="11" l="1"/>
  <c r="C67" i="22"/>
  <c r="L67" i="22" l="1"/>
  <c r="M67" i="22"/>
  <c r="G67" i="22"/>
  <c r="I67" i="22"/>
  <c r="J67" i="22"/>
  <c r="K67" i="22"/>
  <c r="E67" i="22"/>
  <c r="H94" i="13"/>
  <c r="H95" i="13" s="1"/>
  <c r="S17" i="23" s="1"/>
  <c r="S19" i="23" l="1"/>
  <c r="S45" i="23"/>
  <c r="Q17" i="23"/>
  <c r="Q19" i="23" s="1"/>
  <c r="AC19" i="23" s="1"/>
  <c r="H97" i="13"/>
  <c r="S106" i="11" s="1"/>
  <c r="I17" i="23"/>
  <c r="I19" i="23" s="1"/>
  <c r="U19" i="23" s="1"/>
  <c r="J17" i="23"/>
  <c r="J19" i="23" s="1"/>
  <c r="V19" i="23" s="1"/>
  <c r="K17" i="23"/>
  <c r="K19" i="23" s="1"/>
  <c r="W19" i="23" s="1"/>
  <c r="L17" i="23"/>
  <c r="L19" i="23" s="1"/>
  <c r="X19" i="23" s="1"/>
  <c r="M17" i="23"/>
  <c r="M19" i="23" s="1"/>
  <c r="Y19" i="23" s="1"/>
  <c r="N17" i="23"/>
  <c r="N19" i="23" s="1"/>
  <c r="Z19" i="23" s="1"/>
  <c r="O17" i="23"/>
  <c r="O19" i="23" s="1"/>
  <c r="AA19" i="23" s="1"/>
  <c r="P17" i="23"/>
  <c r="P19" i="23" s="1"/>
  <c r="AB19" i="23" s="1"/>
  <c r="R17" i="23"/>
  <c r="R19" i="23" s="1"/>
  <c r="AD19" i="23" s="1"/>
  <c r="H17" i="23"/>
  <c r="P118" i="11"/>
  <c r="E71" i="22"/>
  <c r="C22" i="22"/>
  <c r="C27" i="22"/>
  <c r="C32" i="22"/>
  <c r="H19" i="23" l="1"/>
  <c r="T19" i="23" s="1"/>
  <c r="AO15" i="23"/>
  <c r="AO16" i="23" s="1"/>
  <c r="Q45" i="23"/>
  <c r="L22" i="22"/>
  <c r="G22" i="22"/>
  <c r="M22" i="22"/>
  <c r="L32" i="22"/>
  <c r="G32" i="22"/>
  <c r="M32" i="22"/>
  <c r="L27" i="22"/>
  <c r="G27" i="22"/>
  <c r="M27" i="22"/>
  <c r="J27" i="22"/>
  <c r="E27" i="22"/>
  <c r="K27" i="22"/>
  <c r="I27" i="22"/>
  <c r="K32" i="22"/>
  <c r="J32" i="22"/>
  <c r="I32" i="22"/>
  <c r="E32" i="22"/>
  <c r="J22" i="22"/>
  <c r="I22" i="22"/>
  <c r="K22" i="22"/>
  <c r="E22" i="22"/>
  <c r="W135" i="13"/>
  <c r="W139" i="13" s="1"/>
  <c r="E75" i="22"/>
  <c r="E115" i="36" l="1"/>
  <c r="F8" i="36"/>
  <c r="D96" i="11" l="1"/>
  <c r="E96" i="11" s="1"/>
  <c r="H74" i="36"/>
  <c r="F83" i="13" l="1"/>
  <c r="T29" i="11" l="1"/>
  <c r="R24" i="36" s="1"/>
  <c r="T30" i="11" l="1"/>
  <c r="R25" i="36" s="1"/>
  <c r="G23" i="36" l="1"/>
  <c r="I23" i="36"/>
  <c r="F23" i="36"/>
  <c r="AM29" i="22" l="1"/>
  <c r="AM31" i="22"/>
  <c r="D52" i="36" l="1"/>
  <c r="A51" i="36" l="1"/>
  <c r="A52" i="36"/>
  <c r="K28" i="11"/>
  <c r="K35" i="23" l="1"/>
  <c r="L35" i="23"/>
  <c r="M35" i="23"/>
  <c r="N35" i="23"/>
  <c r="O35" i="23"/>
  <c r="P35" i="23"/>
  <c r="R35" i="23"/>
  <c r="J35" i="23"/>
  <c r="I35" i="23"/>
  <c r="H35" i="23"/>
  <c r="P21" i="23"/>
  <c r="O21" i="23"/>
  <c r="N21" i="23"/>
  <c r="M21" i="23"/>
  <c r="L21" i="23"/>
  <c r="K21" i="23"/>
  <c r="J21" i="23"/>
  <c r="I21" i="23"/>
  <c r="R15" i="23" l="1"/>
  <c r="P15" i="23"/>
  <c r="O15" i="23"/>
  <c r="N15" i="23"/>
  <c r="M15" i="23"/>
  <c r="L15" i="23"/>
  <c r="K15" i="23"/>
  <c r="J15" i="23"/>
  <c r="I15" i="23"/>
  <c r="H13" i="23" l="1"/>
  <c r="H14" i="23"/>
  <c r="D69" i="22"/>
  <c r="T13" i="23" l="1"/>
  <c r="H16" i="23"/>
  <c r="T16" i="23" s="1"/>
  <c r="C19" i="22"/>
  <c r="L19" i="22" l="1"/>
  <c r="G19" i="22"/>
  <c r="M19" i="22"/>
  <c r="J19" i="22"/>
  <c r="E19" i="22"/>
  <c r="K19" i="22"/>
  <c r="I19" i="22"/>
  <c r="D23" i="22"/>
  <c r="G24" i="36" l="1"/>
  <c r="R28" i="11"/>
  <c r="R23" i="36" l="1"/>
  <c r="U28" i="11"/>
  <c r="F8" i="27" l="1"/>
  <c r="D5" i="27"/>
  <c r="D6" i="27" s="1"/>
  <c r="D7" i="27" s="1"/>
  <c r="D8" i="27" s="1"/>
  <c r="F17" i="26"/>
  <c r="F18" i="26" s="1"/>
  <c r="I22" i="26"/>
  <c r="F14" i="26"/>
  <c r="F15" i="26" s="1"/>
  <c r="F16" i="26" s="1"/>
  <c r="F11" i="26"/>
  <c r="E14" i="26"/>
  <c r="E17" i="26"/>
  <c r="E11" i="26"/>
  <c r="D19" i="26"/>
  <c r="E19" i="26" s="1"/>
  <c r="D18" i="26"/>
  <c r="E18" i="26" s="1"/>
  <c r="D16" i="26"/>
  <c r="E16" i="26" s="1"/>
  <c r="D15" i="26"/>
  <c r="E15" i="26" s="1"/>
  <c r="D13" i="26"/>
  <c r="E13" i="26" s="1"/>
  <c r="D12" i="26"/>
  <c r="E12" i="26" s="1"/>
  <c r="F3" i="26"/>
  <c r="G3" i="26" s="1"/>
  <c r="H2" i="22"/>
  <c r="D63" i="22"/>
  <c r="D58" i="22"/>
  <c r="D53" i="22"/>
  <c r="D48" i="22"/>
  <c r="D43" i="22"/>
  <c r="D38" i="22"/>
  <c r="D33" i="22"/>
  <c r="D28" i="22"/>
  <c r="D154" i="36"/>
  <c r="L84" i="11"/>
  <c r="L75" i="36" s="1"/>
  <c r="D9" i="22"/>
  <c r="Q169" i="11"/>
  <c r="W146" i="13"/>
  <c r="L146" i="13"/>
  <c r="P10" i="23"/>
  <c r="O10" i="23"/>
  <c r="AV9" i="23" s="1"/>
  <c r="AV10" i="23" s="1"/>
  <c r="N10" i="23"/>
  <c r="M10" i="23"/>
  <c r="AT9" i="23" s="1"/>
  <c r="AT10" i="23" s="1"/>
  <c r="L10" i="23"/>
  <c r="K10" i="23"/>
  <c r="J10" i="23"/>
  <c r="AQ9" i="23" s="1"/>
  <c r="AQ10" i="23" s="1"/>
  <c r="I10" i="23"/>
  <c r="M67" i="13"/>
  <c r="P90" i="11"/>
  <c r="K51" i="13"/>
  <c r="AB51" i="13"/>
  <c r="AX36" i="13"/>
  <c r="AZ19" i="13"/>
  <c r="AY19" i="13"/>
  <c r="AX19" i="13"/>
  <c r="AI20" i="13"/>
  <c r="AH20" i="13"/>
  <c r="D8" i="22"/>
  <c r="C68" i="22"/>
  <c r="C66" i="22"/>
  <c r="C65" i="22"/>
  <c r="C64" i="22"/>
  <c r="D62" i="22"/>
  <c r="C62" i="22"/>
  <c r="D61" i="22"/>
  <c r="C61" i="22"/>
  <c r="D60" i="22"/>
  <c r="C60" i="22"/>
  <c r="C59" i="22"/>
  <c r="D57" i="22"/>
  <c r="C57" i="22"/>
  <c r="D56" i="22"/>
  <c r="C56" i="22"/>
  <c r="D55" i="22"/>
  <c r="C55" i="22"/>
  <c r="C54" i="22"/>
  <c r="D52" i="22"/>
  <c r="C52" i="22"/>
  <c r="D51" i="22"/>
  <c r="C51" i="22"/>
  <c r="D50" i="22"/>
  <c r="C50" i="22"/>
  <c r="C49" i="22"/>
  <c r="D47" i="22"/>
  <c r="C47" i="22"/>
  <c r="D46" i="22"/>
  <c r="C46" i="22"/>
  <c r="D45" i="22"/>
  <c r="C45" i="22"/>
  <c r="C44" i="22"/>
  <c r="D42" i="22"/>
  <c r="C42" i="22"/>
  <c r="D41" i="22"/>
  <c r="C41" i="22"/>
  <c r="D40" i="22"/>
  <c r="C40" i="22"/>
  <c r="C39" i="22"/>
  <c r="D37" i="22"/>
  <c r="C37" i="22"/>
  <c r="D36" i="22"/>
  <c r="C36" i="22"/>
  <c r="D35" i="22"/>
  <c r="C35" i="22"/>
  <c r="C34" i="22"/>
  <c r="D32" i="22"/>
  <c r="D31" i="22"/>
  <c r="C31" i="22"/>
  <c r="D30" i="22"/>
  <c r="C30" i="22"/>
  <c r="C29" i="22"/>
  <c r="D27" i="22"/>
  <c r="D26" i="22"/>
  <c r="C26" i="22"/>
  <c r="D25" i="22"/>
  <c r="C25" i="22"/>
  <c r="C24" i="22"/>
  <c r="C20" i="22"/>
  <c r="C21" i="22"/>
  <c r="D20" i="22"/>
  <c r="D21" i="22"/>
  <c r="D22" i="22"/>
  <c r="AB3" i="25"/>
  <c r="AM14" i="22"/>
  <c r="AM10" i="22"/>
  <c r="S79" i="25"/>
  <c r="S4" i="25"/>
  <c r="U4" i="25"/>
  <c r="AA4" i="25"/>
  <c r="S5" i="25"/>
  <c r="U5" i="25"/>
  <c r="AA5" i="25"/>
  <c r="S6" i="25"/>
  <c r="U6" i="25"/>
  <c r="AA6" i="25"/>
  <c r="S7" i="25"/>
  <c r="U7" i="25"/>
  <c r="AA7" i="25"/>
  <c r="S8" i="25"/>
  <c r="U8" i="25"/>
  <c r="U20" i="25" s="1"/>
  <c r="AA8" i="25"/>
  <c r="S9" i="25"/>
  <c r="U9" i="25"/>
  <c r="AA9" i="25"/>
  <c r="S10" i="25"/>
  <c r="U10" i="25"/>
  <c r="AA10" i="25"/>
  <c r="S11" i="25"/>
  <c r="U11" i="25"/>
  <c r="AA11" i="25"/>
  <c r="S12" i="25"/>
  <c r="U12" i="25"/>
  <c r="AA12" i="25"/>
  <c r="S13" i="25"/>
  <c r="U13" i="25"/>
  <c r="AA13" i="25"/>
  <c r="S14" i="25"/>
  <c r="U14" i="25"/>
  <c r="AA14" i="25"/>
  <c r="S15" i="25"/>
  <c r="U15" i="25"/>
  <c r="AA15" i="25"/>
  <c r="S16" i="25"/>
  <c r="U16" i="25"/>
  <c r="AA16" i="25"/>
  <c r="S17" i="25"/>
  <c r="U17" i="25"/>
  <c r="AA17" i="25"/>
  <c r="S18" i="25"/>
  <c r="U18" i="25"/>
  <c r="AA18" i="25"/>
  <c r="S19" i="25"/>
  <c r="U19" i="25"/>
  <c r="AA19" i="25"/>
  <c r="S20" i="25"/>
  <c r="T20" i="25"/>
  <c r="AA20" i="25"/>
  <c r="S21" i="25"/>
  <c r="T21" i="25"/>
  <c r="AA21" i="25"/>
  <c r="S22" i="25"/>
  <c r="T22" i="25"/>
  <c r="AA22" i="25"/>
  <c r="S23" i="25"/>
  <c r="T23" i="25"/>
  <c r="AA23" i="25"/>
  <c r="S24" i="25"/>
  <c r="T24" i="25"/>
  <c r="T27" i="25" s="1"/>
  <c r="T28" i="25" s="1"/>
  <c r="AA24" i="25"/>
  <c r="S25" i="25"/>
  <c r="T25" i="25"/>
  <c r="AA25" i="25"/>
  <c r="S26" i="25"/>
  <c r="T26" i="25"/>
  <c r="AA26" i="25"/>
  <c r="S27" i="25"/>
  <c r="AA27" i="25"/>
  <c r="S28" i="25"/>
  <c r="AA28" i="25"/>
  <c r="S29" i="25"/>
  <c r="T29" i="25"/>
  <c r="AA29" i="25"/>
  <c r="S30" i="25"/>
  <c r="T30" i="25"/>
  <c r="AA30" i="25"/>
  <c r="S31" i="25"/>
  <c r="T31" i="25"/>
  <c r="AA31" i="25"/>
  <c r="S32" i="25"/>
  <c r="T32" i="25"/>
  <c r="AA32" i="25"/>
  <c r="S33" i="25"/>
  <c r="T33" i="25"/>
  <c r="T37" i="25" s="1"/>
  <c r="AA33" i="25"/>
  <c r="S34" i="25"/>
  <c r="AA34" i="25"/>
  <c r="S35" i="25"/>
  <c r="AA35" i="25"/>
  <c r="S36" i="25"/>
  <c r="S37" i="25"/>
  <c r="S38" i="25"/>
  <c r="T38" i="25"/>
  <c r="S39" i="25"/>
  <c r="S40" i="25"/>
  <c r="S41" i="25"/>
  <c r="S65" i="25"/>
  <c r="S66" i="25"/>
  <c r="S67" i="25"/>
  <c r="S68" i="25"/>
  <c r="S69" i="25"/>
  <c r="S70" i="25"/>
  <c r="S71" i="25"/>
  <c r="S72" i="25"/>
  <c r="S73" i="25"/>
  <c r="S74" i="25"/>
  <c r="S75" i="25"/>
  <c r="S76" i="25"/>
  <c r="S77" i="25"/>
  <c r="S80" i="25"/>
  <c r="S81" i="25"/>
  <c r="S82" i="25"/>
  <c r="S83" i="25"/>
  <c r="S84" i="25"/>
  <c r="S85" i="25"/>
  <c r="S86" i="25"/>
  <c r="S87" i="25"/>
  <c r="S88" i="25"/>
  <c r="S89" i="25"/>
  <c r="S90" i="25"/>
  <c r="S91" i="25"/>
  <c r="S92" i="25"/>
  <c r="S93" i="25"/>
  <c r="S94" i="25"/>
  <c r="S95" i="25"/>
  <c r="S96" i="25"/>
  <c r="H9" i="23"/>
  <c r="H43" i="23"/>
  <c r="W7" i="22"/>
  <c r="AL7" i="22"/>
  <c r="AM7" i="22"/>
  <c r="AP7" i="22"/>
  <c r="AR7" i="22"/>
  <c r="AT7" i="22"/>
  <c r="AU7" i="22"/>
  <c r="AV7" i="22"/>
  <c r="W8" i="22"/>
  <c r="AL8" i="22"/>
  <c r="AM8" i="22"/>
  <c r="AP8" i="22"/>
  <c r="AR8" i="22"/>
  <c r="AT8" i="22"/>
  <c r="AU8" i="22"/>
  <c r="AV8" i="22"/>
  <c r="W9" i="22"/>
  <c r="AL9" i="22"/>
  <c r="AM9" i="22"/>
  <c r="AP9" i="22"/>
  <c r="AR9" i="22"/>
  <c r="AT9" i="22"/>
  <c r="AU9" i="22"/>
  <c r="AV9" i="22"/>
  <c r="W10" i="22"/>
  <c r="AL10" i="22"/>
  <c r="AP10" i="22"/>
  <c r="AR10" i="22"/>
  <c r="AT10" i="22"/>
  <c r="AU10" i="22"/>
  <c r="AV10" i="22"/>
  <c r="W11" i="22"/>
  <c r="AL14" i="22"/>
  <c r="AP14" i="22"/>
  <c r="AR14" i="22"/>
  <c r="AT14" i="22"/>
  <c r="AU14" i="22"/>
  <c r="AV14" i="22"/>
  <c r="W12" i="22"/>
  <c r="AL19" i="22"/>
  <c r="AM19" i="22"/>
  <c r="AP19" i="22"/>
  <c r="AR19" i="22"/>
  <c r="AT19" i="22"/>
  <c r="AU19" i="22"/>
  <c r="AV19" i="22"/>
  <c r="W13" i="22"/>
  <c r="W14" i="22"/>
  <c r="AL26" i="22"/>
  <c r="AM26" i="22"/>
  <c r="AM20" i="22" s="1"/>
  <c r="AP26" i="22"/>
  <c r="AR26" i="22"/>
  <c r="AT26" i="22"/>
  <c r="AU26" i="22"/>
  <c r="AV26" i="22"/>
  <c r="W15" i="22"/>
  <c r="W16" i="22"/>
  <c r="W17" i="22"/>
  <c r="AL29" i="22"/>
  <c r="AP29" i="22"/>
  <c r="AO29" i="22" s="1"/>
  <c r="AR29" i="22"/>
  <c r="AT29" i="22"/>
  <c r="AU29" i="22"/>
  <c r="AV29" i="22"/>
  <c r="AL31" i="22"/>
  <c r="AP31" i="22"/>
  <c r="AR31" i="22"/>
  <c r="AT31" i="22"/>
  <c r="AU31" i="22"/>
  <c r="AV31" i="22"/>
  <c r="AL32" i="22"/>
  <c r="AM32" i="22"/>
  <c r="AM30" i="22" s="1"/>
  <c r="AP32" i="22"/>
  <c r="AR32" i="22"/>
  <c r="AT32" i="22"/>
  <c r="AU32" i="22"/>
  <c r="AV32" i="22"/>
  <c r="AL33" i="22"/>
  <c r="AM33" i="22"/>
  <c r="AP33" i="22"/>
  <c r="AR33" i="22"/>
  <c r="AT33" i="22"/>
  <c r="AT34" i="22" s="1"/>
  <c r="AU33" i="22"/>
  <c r="AU34" i="22" s="1"/>
  <c r="AV33" i="22"/>
  <c r="AV34" i="22" s="1"/>
  <c r="AV35" i="22" s="1"/>
  <c r="U11" i="11"/>
  <c r="U78" i="11" s="1"/>
  <c r="U145" i="11" s="1"/>
  <c r="F10" i="36"/>
  <c r="E20" i="11"/>
  <c r="Q10" i="36" s="1"/>
  <c r="F12" i="36"/>
  <c r="E21" i="11"/>
  <c r="Q12" i="36" s="1"/>
  <c r="Q21" i="11"/>
  <c r="F14" i="36" s="1"/>
  <c r="Q14" i="36"/>
  <c r="Q22" i="11"/>
  <c r="F16" i="36" s="1"/>
  <c r="E22" i="11"/>
  <c r="Q16" i="36" s="1"/>
  <c r="Q18" i="36"/>
  <c r="D51" i="36"/>
  <c r="A68" i="11"/>
  <c r="A70" i="11"/>
  <c r="L83" i="11"/>
  <c r="L74" i="36" s="1"/>
  <c r="H84" i="11"/>
  <c r="H75" i="36" s="1"/>
  <c r="L98" i="11"/>
  <c r="L106" i="11"/>
  <c r="L96" i="36" s="1"/>
  <c r="P106" i="11"/>
  <c r="P96" i="36" s="1"/>
  <c r="H118" i="11"/>
  <c r="A142" i="11"/>
  <c r="A143" i="11"/>
  <c r="R145" i="11"/>
  <c r="R146" i="11"/>
  <c r="K154" i="36"/>
  <c r="BX32" i="23" l="1"/>
  <c r="BX31" i="23"/>
  <c r="BU32" i="23"/>
  <c r="BU31" i="23"/>
  <c r="BZ31" i="23"/>
  <c r="BZ32" i="23"/>
  <c r="K27" i="27"/>
  <c r="AW9" i="23"/>
  <c r="AW10" i="23" s="1"/>
  <c r="D27" i="27"/>
  <c r="AP9" i="23"/>
  <c r="AP10" i="23" s="1"/>
  <c r="I27" i="27"/>
  <c r="AU9" i="23"/>
  <c r="AU10" i="23" s="1"/>
  <c r="G27" i="27"/>
  <c r="AS9" i="23"/>
  <c r="AS10" i="23" s="1"/>
  <c r="F27" i="27"/>
  <c r="AR9" i="23"/>
  <c r="AR10" i="23" s="1"/>
  <c r="L62" i="22"/>
  <c r="G62" i="22"/>
  <c r="M62" i="22"/>
  <c r="L21" i="22"/>
  <c r="G21" i="22"/>
  <c r="M21" i="22"/>
  <c r="L52" i="22"/>
  <c r="G52" i="22"/>
  <c r="M52" i="22"/>
  <c r="L20" i="22"/>
  <c r="G20" i="22"/>
  <c r="M20" i="22"/>
  <c r="L47" i="22"/>
  <c r="G47" i="22"/>
  <c r="M47" i="22"/>
  <c r="L46" i="22"/>
  <c r="G46" i="22"/>
  <c r="M46" i="22"/>
  <c r="L42" i="22"/>
  <c r="G42" i="22"/>
  <c r="M42" i="22"/>
  <c r="L51" i="22"/>
  <c r="G51" i="22"/>
  <c r="M51" i="22"/>
  <c r="L31" i="22"/>
  <c r="G31" i="22"/>
  <c r="M31" i="22"/>
  <c r="L37" i="22"/>
  <c r="G37" i="22"/>
  <c r="M37" i="22"/>
  <c r="L68" i="22"/>
  <c r="G68" i="22"/>
  <c r="M68" i="22"/>
  <c r="L57" i="22"/>
  <c r="G57" i="22"/>
  <c r="M57" i="22"/>
  <c r="L36" i="22"/>
  <c r="G36" i="22"/>
  <c r="M36" i="22"/>
  <c r="L45" i="22"/>
  <c r="G45" i="22"/>
  <c r="M45" i="22"/>
  <c r="L26" i="22"/>
  <c r="G26" i="22"/>
  <c r="M26" i="22"/>
  <c r="L25" i="22"/>
  <c r="G25" i="22"/>
  <c r="M25" i="22"/>
  <c r="L65" i="22"/>
  <c r="M65" i="22"/>
  <c r="G65" i="22"/>
  <c r="L66" i="22"/>
  <c r="M66" i="22"/>
  <c r="G66" i="22"/>
  <c r="L64" i="22"/>
  <c r="G64" i="22"/>
  <c r="M64" i="22"/>
  <c r="L61" i="22"/>
  <c r="M61" i="22"/>
  <c r="G61" i="22"/>
  <c r="L59" i="22"/>
  <c r="M59" i="22"/>
  <c r="G59" i="22"/>
  <c r="L60" i="22"/>
  <c r="M60" i="22"/>
  <c r="G60" i="22"/>
  <c r="L56" i="22"/>
  <c r="M56" i="22"/>
  <c r="G56" i="22"/>
  <c r="L54" i="22"/>
  <c r="G54" i="22"/>
  <c r="M54" i="22"/>
  <c r="L55" i="22"/>
  <c r="M55" i="22"/>
  <c r="G55" i="22"/>
  <c r="L50" i="22"/>
  <c r="G50" i="22"/>
  <c r="M50" i="22"/>
  <c r="L49" i="22"/>
  <c r="M49" i="22"/>
  <c r="G49" i="22"/>
  <c r="L44" i="22"/>
  <c r="G44" i="22"/>
  <c r="M44" i="22"/>
  <c r="L41" i="22"/>
  <c r="G41" i="22"/>
  <c r="M41" i="22"/>
  <c r="L40" i="22"/>
  <c r="G40" i="22"/>
  <c r="M40" i="22"/>
  <c r="L39" i="22"/>
  <c r="M39" i="22"/>
  <c r="G39" i="22"/>
  <c r="L34" i="22"/>
  <c r="M34" i="22"/>
  <c r="G34" i="22"/>
  <c r="L35" i="22"/>
  <c r="M35" i="22"/>
  <c r="G35" i="22"/>
  <c r="L30" i="22"/>
  <c r="M30" i="22"/>
  <c r="G30" i="22"/>
  <c r="L29" i="22"/>
  <c r="M29" i="22"/>
  <c r="G29" i="22"/>
  <c r="L24" i="22"/>
  <c r="E24" i="22"/>
  <c r="W88" i="13" s="1"/>
  <c r="G24" i="22"/>
  <c r="M24" i="22"/>
  <c r="AM34" i="22"/>
  <c r="AM11" i="22"/>
  <c r="G169" i="11"/>
  <c r="G154" i="36" s="1"/>
  <c r="R148" i="13"/>
  <c r="F148" i="13"/>
  <c r="I42" i="22"/>
  <c r="K42" i="22"/>
  <c r="E42" i="22"/>
  <c r="J42" i="22"/>
  <c r="K31" i="22"/>
  <c r="J31" i="22"/>
  <c r="I31" i="22"/>
  <c r="E31" i="22"/>
  <c r="W95" i="13" s="1"/>
  <c r="J37" i="22"/>
  <c r="K37" i="22"/>
  <c r="I37" i="22"/>
  <c r="E37" i="22"/>
  <c r="I46" i="22"/>
  <c r="K46" i="22"/>
  <c r="E46" i="22"/>
  <c r="J46" i="22"/>
  <c r="I47" i="22"/>
  <c r="K47" i="22"/>
  <c r="J47" i="22"/>
  <c r="E47" i="22"/>
  <c r="J57" i="22"/>
  <c r="K57" i="22"/>
  <c r="I57" i="22"/>
  <c r="E57" i="22"/>
  <c r="I68" i="22"/>
  <c r="K68" i="22"/>
  <c r="E68" i="22"/>
  <c r="J68" i="22"/>
  <c r="K56" i="22"/>
  <c r="J56" i="22"/>
  <c r="I56" i="22"/>
  <c r="E56" i="22"/>
  <c r="W120" i="13" s="1"/>
  <c r="I41" i="22"/>
  <c r="J41" i="22"/>
  <c r="K41" i="22"/>
  <c r="E41" i="22"/>
  <c r="W105" i="13" s="1"/>
  <c r="K26" i="22"/>
  <c r="J26" i="22"/>
  <c r="I26" i="22"/>
  <c r="E26" i="22"/>
  <c r="W90" i="13" s="1"/>
  <c r="K54" i="22"/>
  <c r="J54" i="22"/>
  <c r="I54" i="22"/>
  <c r="E54" i="22"/>
  <c r="W118" i="13" s="1"/>
  <c r="K49" i="22"/>
  <c r="J49" i="22"/>
  <c r="I49" i="22"/>
  <c r="E49" i="22"/>
  <c r="W113" i="13" s="1"/>
  <c r="I50" i="22"/>
  <c r="J50" i="22"/>
  <c r="K50" i="22"/>
  <c r="E50" i="22"/>
  <c r="W114" i="13" s="1"/>
  <c r="I51" i="22"/>
  <c r="J51" i="22"/>
  <c r="K51" i="22"/>
  <c r="E51" i="22"/>
  <c r="W115" i="13" s="1"/>
  <c r="I52" i="22"/>
  <c r="J52" i="22"/>
  <c r="K52" i="22"/>
  <c r="E52" i="22"/>
  <c r="W116" i="13" s="1"/>
  <c r="K44" i="22"/>
  <c r="J44" i="22"/>
  <c r="I44" i="22"/>
  <c r="E44" i="22"/>
  <c r="I45" i="22"/>
  <c r="J45" i="22"/>
  <c r="K45" i="22"/>
  <c r="E45" i="22"/>
  <c r="W109" i="13" s="1"/>
  <c r="K39" i="22"/>
  <c r="J39" i="22"/>
  <c r="I39" i="22"/>
  <c r="E39" i="22"/>
  <c r="W103" i="13" s="1"/>
  <c r="I40" i="22"/>
  <c r="J40" i="22"/>
  <c r="K40" i="22"/>
  <c r="E40" i="22"/>
  <c r="W104" i="13" s="1"/>
  <c r="K34" i="22"/>
  <c r="J34" i="22"/>
  <c r="I34" i="22"/>
  <c r="E34" i="22"/>
  <c r="K35" i="22"/>
  <c r="J35" i="22"/>
  <c r="I35" i="22"/>
  <c r="E35" i="22"/>
  <c r="W99" i="13" s="1"/>
  <c r="K36" i="22"/>
  <c r="J36" i="22"/>
  <c r="I36" i="22"/>
  <c r="E36" i="22"/>
  <c r="W100" i="13" s="1"/>
  <c r="K29" i="22"/>
  <c r="J29" i="22"/>
  <c r="I29" i="22"/>
  <c r="E29" i="22"/>
  <c r="W93" i="13" s="1"/>
  <c r="K30" i="22"/>
  <c r="J30" i="22"/>
  <c r="I30" i="22"/>
  <c r="E30" i="22"/>
  <c r="W94" i="13" s="1"/>
  <c r="K24" i="22"/>
  <c r="J24" i="22"/>
  <c r="I24" i="22"/>
  <c r="K25" i="22"/>
  <c r="J25" i="22"/>
  <c r="I25" i="22"/>
  <c r="E25" i="22"/>
  <c r="W89" i="13" s="1"/>
  <c r="I66" i="22"/>
  <c r="J66" i="22"/>
  <c r="K66" i="22"/>
  <c r="E66" i="22"/>
  <c r="W130" i="13" s="1"/>
  <c r="I61" i="22"/>
  <c r="J61" i="22"/>
  <c r="K61" i="22"/>
  <c r="E61" i="22"/>
  <c r="W125" i="13" s="1"/>
  <c r="I65" i="22"/>
  <c r="J65" i="22"/>
  <c r="K65" i="22"/>
  <c r="E65" i="22"/>
  <c r="W129" i="13" s="1"/>
  <c r="I60" i="22"/>
  <c r="J60" i="22"/>
  <c r="K60" i="22"/>
  <c r="E60" i="22"/>
  <c r="W124" i="13" s="1"/>
  <c r="K64" i="22"/>
  <c r="J64" i="22"/>
  <c r="I64" i="22"/>
  <c r="E64" i="22"/>
  <c r="W128" i="13" s="1"/>
  <c r="I62" i="22"/>
  <c r="J62" i="22"/>
  <c r="K62" i="22"/>
  <c r="E62" i="22"/>
  <c r="K59" i="22"/>
  <c r="J59" i="22"/>
  <c r="I59" i="22"/>
  <c r="E59" i="22"/>
  <c r="W123" i="13" s="1"/>
  <c r="K55" i="22"/>
  <c r="J55" i="22"/>
  <c r="I55" i="22"/>
  <c r="E55" i="22"/>
  <c r="W119" i="13" s="1"/>
  <c r="J21" i="22"/>
  <c r="E21" i="22"/>
  <c r="W85" i="13" s="1"/>
  <c r="I21" i="22"/>
  <c r="K21" i="22"/>
  <c r="J20" i="22"/>
  <c r="I20" i="22"/>
  <c r="K20" i="22"/>
  <c r="E20" i="22"/>
  <c r="W84" i="13" s="1"/>
  <c r="M169" i="11"/>
  <c r="F7" i="27"/>
  <c r="H27" i="23"/>
  <c r="C27" i="27"/>
  <c r="I27" i="23"/>
  <c r="M20" i="23"/>
  <c r="M22" i="23" s="1"/>
  <c r="H27" i="27"/>
  <c r="R20" i="23"/>
  <c r="R22" i="23" s="1"/>
  <c r="M27" i="27"/>
  <c r="J20" i="23"/>
  <c r="J22" i="23" s="1"/>
  <c r="J42" i="23"/>
  <c r="L52" i="23" s="1"/>
  <c r="E27" i="27"/>
  <c r="O20" i="23"/>
  <c r="O22" i="23" s="1"/>
  <c r="J27" i="27"/>
  <c r="AR13" i="22"/>
  <c r="W126" i="13"/>
  <c r="W101" i="13"/>
  <c r="G7" i="22"/>
  <c r="H7" i="22" s="1"/>
  <c r="C5" i="27" s="1"/>
  <c r="W110" i="13"/>
  <c r="W106" i="13"/>
  <c r="V52" i="36"/>
  <c r="V51" i="36"/>
  <c r="S52" i="36"/>
  <c r="P52" i="36"/>
  <c r="S51" i="36"/>
  <c r="P51" i="36"/>
  <c r="J52" i="36"/>
  <c r="J51" i="36"/>
  <c r="Q8" i="36"/>
  <c r="H147" i="13"/>
  <c r="K27" i="23"/>
  <c r="M27" i="23"/>
  <c r="O27" i="23"/>
  <c r="R27" i="23"/>
  <c r="J27" i="23"/>
  <c r="L27" i="23"/>
  <c r="N27" i="23"/>
  <c r="P27" i="23"/>
  <c r="AR25" i="22"/>
  <c r="W131" i="13"/>
  <c r="U30" i="25"/>
  <c r="L52" i="36"/>
  <c r="G18" i="26"/>
  <c r="H18" i="26" s="1"/>
  <c r="AP18" i="22"/>
  <c r="AV28" i="22"/>
  <c r="AS31" i="22"/>
  <c r="AQ9" i="22"/>
  <c r="AP34" i="22"/>
  <c r="AR17" i="22"/>
  <c r="AS26" i="22"/>
  <c r="AN32" i="22"/>
  <c r="AO32" i="22"/>
  <c r="AR24" i="22"/>
  <c r="AS19" i="22"/>
  <c r="W83" i="13"/>
  <c r="H117" i="36"/>
  <c r="U22" i="25"/>
  <c r="AN10" i="22"/>
  <c r="Q28" i="11"/>
  <c r="Q23" i="36" s="1"/>
  <c r="F24" i="36"/>
  <c r="W91" i="13"/>
  <c r="W111" i="13"/>
  <c r="W121" i="13"/>
  <c r="K20" i="23"/>
  <c r="K22" i="23" s="1"/>
  <c r="K42" i="23"/>
  <c r="O52" i="23" s="1"/>
  <c r="W96" i="13"/>
  <c r="AV36" i="22"/>
  <c r="AV37" i="22" s="1"/>
  <c r="AU22" i="22"/>
  <c r="AO8" i="22"/>
  <c r="F19" i="26"/>
  <c r="G19" i="26" s="1"/>
  <c r="H19" i="26" s="1"/>
  <c r="AR22" i="22"/>
  <c r="AR20" i="22"/>
  <c r="AR27" i="22"/>
  <c r="AR34" i="22"/>
  <c r="AR35" i="22" s="1"/>
  <c r="AR40" i="22" s="1"/>
  <c r="AT17" i="22"/>
  <c r="AQ8" i="22"/>
  <c r="AP25" i="22"/>
  <c r="AR12" i="22"/>
  <c r="AN8" i="22"/>
  <c r="T23" i="36"/>
  <c r="F25" i="36"/>
  <c r="P92" i="11"/>
  <c r="G14" i="26"/>
  <c r="H14" i="26" s="1"/>
  <c r="AU30" i="22"/>
  <c r="AO10" i="22"/>
  <c r="AP17" i="22"/>
  <c r="AV27" i="22"/>
  <c r="L51" i="36"/>
  <c r="AT18" i="22"/>
  <c r="AM28" i="22"/>
  <c r="AU27" i="22"/>
  <c r="AP24" i="22"/>
  <c r="AS33" i="22"/>
  <c r="AQ32" i="22"/>
  <c r="AP20" i="22"/>
  <c r="U32" i="25"/>
  <c r="AF146" i="13"/>
  <c r="S169" i="11" s="1"/>
  <c r="Q154" i="36"/>
  <c r="L42" i="23"/>
  <c r="S52" i="23" s="1"/>
  <c r="L20" i="23"/>
  <c r="L22" i="23" s="1"/>
  <c r="N42" i="23"/>
  <c r="I64" i="23" s="1"/>
  <c r="N20" i="23"/>
  <c r="N22" i="23" s="1"/>
  <c r="P42" i="23"/>
  <c r="O64" i="23" s="1"/>
  <c r="P20" i="23"/>
  <c r="P22" i="23" s="1"/>
  <c r="H20" i="23"/>
  <c r="I42" i="23"/>
  <c r="I52" i="23" s="1"/>
  <c r="I20" i="23"/>
  <c r="I22" i="23" s="1"/>
  <c r="AU20" i="22"/>
  <c r="AU25" i="22"/>
  <c r="AU24" i="22"/>
  <c r="AS10" i="22"/>
  <c r="AQ10" i="22"/>
  <c r="AN26" i="22"/>
  <c r="AN20" i="22" s="1"/>
  <c r="AQ29" i="22"/>
  <c r="AM13" i="22"/>
  <c r="AO14" i="22"/>
  <c r="AN14" i="22"/>
  <c r="AM25" i="22"/>
  <c r="AS32" i="22"/>
  <c r="AR30" i="22"/>
  <c r="AV30" i="22"/>
  <c r="AP30" i="22"/>
  <c r="AP22" i="22"/>
  <c r="AQ31" i="22"/>
  <c r="AN31" i="22"/>
  <c r="AV13" i="22"/>
  <c r="AP11" i="22"/>
  <c r="AP12" i="22"/>
  <c r="AQ14" i="22"/>
  <c r="AU35" i="22"/>
  <c r="AU36" i="22" s="1"/>
  <c r="AU37" i="22" s="1"/>
  <c r="AN33" i="22"/>
  <c r="AO33" i="22"/>
  <c r="AM15" i="22"/>
  <c r="AM18" i="22"/>
  <c r="T36" i="25"/>
  <c r="T34" i="25"/>
  <c r="T35" i="25"/>
  <c r="U24" i="25"/>
  <c r="U27" i="25" s="1"/>
  <c r="U28" i="25" s="1"/>
  <c r="AM27" i="22"/>
  <c r="AO31" i="22"/>
  <c r="AT24" i="22"/>
  <c r="AT20" i="22"/>
  <c r="AU28" i="22"/>
  <c r="AV18" i="22"/>
  <c r="G15" i="26"/>
  <c r="H15" i="26" s="1"/>
  <c r="G5" i="27"/>
  <c r="U21" i="25"/>
  <c r="U26" i="25"/>
  <c r="U33" i="25"/>
  <c r="U34" i="25" s="1"/>
  <c r="AV17" i="22"/>
  <c r="AV24" i="22"/>
  <c r="AV21" i="22"/>
  <c r="AV11" i="22"/>
  <c r="AV25" i="22"/>
  <c r="AV12" i="22"/>
  <c r="AV20" i="22"/>
  <c r="AU18" i="22"/>
  <c r="AU17" i="22"/>
  <c r="AO19" i="22"/>
  <c r="AQ19" i="22"/>
  <c r="AN19" i="22"/>
  <c r="AQ7" i="22"/>
  <c r="G11" i="26"/>
  <c r="H11" i="26" s="1"/>
  <c r="F12" i="26"/>
  <c r="G6" i="27"/>
  <c r="G7" i="27" s="1"/>
  <c r="G8" i="27" s="1"/>
  <c r="AT35" i="22"/>
  <c r="AT36" i="22" s="1"/>
  <c r="AT37" i="22" s="1"/>
  <c r="AV22" i="22"/>
  <c r="AN7" i="22"/>
  <c r="AO7" i="22"/>
  <c r="AR28" i="22"/>
  <c r="AR18" i="22"/>
  <c r="AS29" i="22"/>
  <c r="AR21" i="22"/>
  <c r="AO9" i="22"/>
  <c r="AN9" i="22"/>
  <c r="AS7" i="22"/>
  <c r="AT12" i="22"/>
  <c r="AT13" i="22"/>
  <c r="AT11" i="22"/>
  <c r="AS14" i="22"/>
  <c r="AT25" i="22"/>
  <c r="AT30" i="22"/>
  <c r="AT28" i="22"/>
  <c r="AP28" i="22"/>
  <c r="AN29" i="22"/>
  <c r="AP21" i="22"/>
  <c r="AV40" i="22"/>
  <c r="AQ33" i="22"/>
  <c r="AM21" i="22"/>
  <c r="AR11" i="22"/>
  <c r="AT27" i="22"/>
  <c r="AM17" i="22"/>
  <c r="AS8" i="22"/>
  <c r="AM24" i="22"/>
  <c r="AT22" i="22"/>
  <c r="AT21" i="22"/>
  <c r="G17" i="26"/>
  <c r="H17" i="26" s="1"/>
  <c r="AO26" i="22"/>
  <c r="AP27" i="22"/>
  <c r="AM12" i="22"/>
  <c r="AU21" i="22"/>
  <c r="AM22" i="22"/>
  <c r="AU13" i="22"/>
  <c r="AP13" i="22"/>
  <c r="AQ26" i="22"/>
  <c r="AU11" i="22"/>
  <c r="AU12" i="22"/>
  <c r="AS9" i="22"/>
  <c r="G16" i="26"/>
  <c r="H16" i="26" s="1"/>
  <c r="U29" i="25"/>
  <c r="O42" i="23"/>
  <c r="L64" i="23" s="1"/>
  <c r="R42" i="23"/>
  <c r="S64" i="23" s="1"/>
  <c r="L107" i="11"/>
  <c r="H42" i="23"/>
  <c r="D52" i="23" s="1"/>
  <c r="H125" i="36"/>
  <c r="H123" i="36"/>
  <c r="L108" i="11"/>
  <c r="L98" i="36" s="1"/>
  <c r="H126" i="36"/>
  <c r="H124" i="36"/>
  <c r="H121" i="36"/>
  <c r="H119" i="36"/>
  <c r="H122" i="36"/>
  <c r="H120" i="36"/>
  <c r="H118" i="36"/>
  <c r="L117" i="11"/>
  <c r="L107" i="36" s="1"/>
  <c r="P116" i="11"/>
  <c r="P106" i="36" s="1"/>
  <c r="P114" i="11"/>
  <c r="P104" i="36" s="1"/>
  <c r="P112" i="11"/>
  <c r="P102" i="36" s="1"/>
  <c r="P110" i="11"/>
  <c r="P100" i="36" s="1"/>
  <c r="L116" i="11"/>
  <c r="L106" i="36" s="1"/>
  <c r="L114" i="11"/>
  <c r="L104" i="36" s="1"/>
  <c r="L112" i="11"/>
  <c r="L102" i="36" s="1"/>
  <c r="L110" i="11"/>
  <c r="L100" i="36" s="1"/>
  <c r="L113" i="11"/>
  <c r="L103" i="36" s="1"/>
  <c r="L109" i="11"/>
  <c r="L99" i="36" s="1"/>
  <c r="P108" i="36"/>
  <c r="P108" i="11"/>
  <c r="P98" i="36" s="1"/>
  <c r="P117" i="11"/>
  <c r="P107" i="36" s="1"/>
  <c r="P115" i="11"/>
  <c r="P105" i="36" s="1"/>
  <c r="P113" i="11"/>
  <c r="P103" i="36" s="1"/>
  <c r="P111" i="11"/>
  <c r="P101" i="36" s="1"/>
  <c r="P109" i="11"/>
  <c r="P99" i="36" s="1"/>
  <c r="L115" i="11"/>
  <c r="L105" i="36" s="1"/>
  <c r="L111" i="11"/>
  <c r="L101" i="36" s="1"/>
  <c r="P95" i="11"/>
  <c r="P86" i="36" s="1"/>
  <c r="M42" i="23"/>
  <c r="D64" i="23" s="1"/>
  <c r="P97" i="11"/>
  <c r="P88" i="36" s="1"/>
  <c r="P93" i="11"/>
  <c r="P84" i="36" s="1"/>
  <c r="P96" i="11"/>
  <c r="P87" i="36" s="1"/>
  <c r="P94" i="11"/>
  <c r="P85" i="36" s="1"/>
  <c r="H44" i="23"/>
  <c r="BA19" i="13"/>
  <c r="I11" i="23"/>
  <c r="AP12" i="23" s="1"/>
  <c r="U31" i="25"/>
  <c r="U38" i="25"/>
  <c r="U25" i="25"/>
  <c r="U23" i="25"/>
  <c r="BV32" i="23" l="1"/>
  <c r="BV31" i="23"/>
  <c r="BY32" i="23"/>
  <c r="BY31" i="23"/>
  <c r="CA32" i="23"/>
  <c r="CA31" i="23"/>
  <c r="BW32" i="23"/>
  <c r="BW31" i="23"/>
  <c r="BT31" i="23"/>
  <c r="BT32" i="23"/>
  <c r="H22" i="23"/>
  <c r="H46" i="23" s="1"/>
  <c r="AO17" i="23"/>
  <c r="AO19" i="23" s="1"/>
  <c r="P46" i="23"/>
  <c r="AB22" i="23"/>
  <c r="J46" i="23"/>
  <c r="V22" i="23"/>
  <c r="M46" i="23"/>
  <c r="Y22" i="23"/>
  <c r="L46" i="23"/>
  <c r="X22" i="23"/>
  <c r="I46" i="23"/>
  <c r="U22" i="23"/>
  <c r="K46" i="23"/>
  <c r="W22" i="23"/>
  <c r="O46" i="23"/>
  <c r="AA22" i="23"/>
  <c r="N46" i="23"/>
  <c r="Z22" i="23"/>
  <c r="R46" i="23"/>
  <c r="AD22" i="23"/>
  <c r="L23" i="22"/>
  <c r="AQ13" i="22"/>
  <c r="L43" i="22"/>
  <c r="G30" i="27" s="1"/>
  <c r="L69" i="22"/>
  <c r="L30" i="27" s="1"/>
  <c r="L63" i="22"/>
  <c r="K30" i="27" s="1"/>
  <c r="L58" i="22"/>
  <c r="J30" i="27" s="1"/>
  <c r="L53" i="22"/>
  <c r="I30" i="27" s="1"/>
  <c r="L38" i="22"/>
  <c r="F30" i="27" s="1"/>
  <c r="L48" i="22"/>
  <c r="H30" i="27" s="1"/>
  <c r="L33" i="22"/>
  <c r="E30" i="27" s="1"/>
  <c r="L28" i="22"/>
  <c r="D30" i="27" s="1"/>
  <c r="A67" i="11"/>
  <c r="AE59" i="11"/>
  <c r="AE60" i="11"/>
  <c r="G75" i="22"/>
  <c r="R34" i="23" s="1"/>
  <c r="F75" i="22"/>
  <c r="A194" i="11"/>
  <c r="P98" i="11"/>
  <c r="P89" i="36" s="1"/>
  <c r="P83" i="36"/>
  <c r="A88" i="11"/>
  <c r="AP35" i="22"/>
  <c r="AP36" i="22" s="1"/>
  <c r="AP37" i="22" s="1"/>
  <c r="AP38" i="22" s="1"/>
  <c r="AN30" i="22"/>
  <c r="W87" i="13"/>
  <c r="AR36" i="22"/>
  <c r="AR41" i="22" s="1"/>
  <c r="U36" i="25"/>
  <c r="I69" i="22"/>
  <c r="Q23" i="23" s="1"/>
  <c r="W132" i="13"/>
  <c r="W133" i="13" s="1"/>
  <c r="E23" i="22"/>
  <c r="AS34" i="22"/>
  <c r="AS35" i="22" s="1"/>
  <c r="AS36" i="22" s="1"/>
  <c r="AS37" i="22" s="1"/>
  <c r="AU15" i="22"/>
  <c r="AN11" i="22"/>
  <c r="AS20" i="22"/>
  <c r="AV41" i="22"/>
  <c r="AN12" i="22"/>
  <c r="AS22" i="22"/>
  <c r="AS17" i="22"/>
  <c r="AN24" i="22"/>
  <c r="AS25" i="22"/>
  <c r="AO27" i="22"/>
  <c r="AR15" i="22"/>
  <c r="E69" i="22"/>
  <c r="E38" i="22"/>
  <c r="F38" i="22" s="1"/>
  <c r="J28" i="22"/>
  <c r="I24" i="23" s="1"/>
  <c r="E48" i="22"/>
  <c r="F48" i="22" s="1"/>
  <c r="E53" i="22"/>
  <c r="F53" i="22" s="1"/>
  <c r="W98" i="13"/>
  <c r="W102" i="13" s="1"/>
  <c r="E58" i="22"/>
  <c r="F58" i="22" s="1"/>
  <c r="W108" i="13"/>
  <c r="W112" i="13" s="1"/>
  <c r="E63" i="22"/>
  <c r="F63" i="22" s="1"/>
  <c r="E43" i="22"/>
  <c r="F43" i="22" s="1"/>
  <c r="E33" i="22"/>
  <c r="F33" i="22" s="1"/>
  <c r="E28" i="22"/>
  <c r="F28" i="22" s="1"/>
  <c r="W97" i="13"/>
  <c r="W92" i="13"/>
  <c r="J38" i="22"/>
  <c r="K24" i="23" s="1"/>
  <c r="AV45" i="22"/>
  <c r="AV38" i="22"/>
  <c r="AV42" i="22"/>
  <c r="AT38" i="22"/>
  <c r="AT42" i="22"/>
  <c r="AU38" i="22"/>
  <c r="AU42" i="22"/>
  <c r="AR45" i="22"/>
  <c r="W117" i="13"/>
  <c r="W127" i="13"/>
  <c r="I13" i="23"/>
  <c r="I14" i="23"/>
  <c r="AQ11" i="22"/>
  <c r="AO28" i="22"/>
  <c r="AU40" i="22"/>
  <c r="AP15" i="22"/>
  <c r="I38" i="22"/>
  <c r="K23" i="23" s="1"/>
  <c r="W107" i="13"/>
  <c r="I53" i="22"/>
  <c r="N23" i="23" s="1"/>
  <c r="I28" i="22"/>
  <c r="I23" i="23" s="1"/>
  <c r="W122" i="13"/>
  <c r="AS30" i="22"/>
  <c r="AO13" i="22"/>
  <c r="AU16" i="22"/>
  <c r="AT15" i="22"/>
  <c r="AN34" i="22"/>
  <c r="AQ30" i="22"/>
  <c r="AM35" i="22"/>
  <c r="AO30" i="22"/>
  <c r="AO34" i="22"/>
  <c r="AQ28" i="22"/>
  <c r="AO12" i="22"/>
  <c r="AQ27" i="22"/>
  <c r="U37" i="25"/>
  <c r="U35" i="25"/>
  <c r="AN22" i="22"/>
  <c r="AN25" i="22"/>
  <c r="AS24" i="22"/>
  <c r="I23" i="22"/>
  <c r="H23" i="23" s="1"/>
  <c r="AO20" i="23" s="1"/>
  <c r="AO21" i="23" s="1"/>
  <c r="AQ34" i="22"/>
  <c r="AQ12" i="22"/>
  <c r="AN13" i="22"/>
  <c r="AN28" i="22"/>
  <c r="AN27" i="22"/>
  <c r="J53" i="22"/>
  <c r="N24" i="23" s="1"/>
  <c r="AT16" i="22"/>
  <c r="AU41" i="22"/>
  <c r="AS13" i="22"/>
  <c r="AS12" i="22"/>
  <c r="AS11" i="22"/>
  <c r="AS28" i="22"/>
  <c r="AS21" i="22"/>
  <c r="AS27" i="22"/>
  <c r="G12" i="26"/>
  <c r="H12" i="26" s="1"/>
  <c r="F13" i="26"/>
  <c r="G13" i="26" s="1"/>
  <c r="H13" i="26" s="1"/>
  <c r="AP16" i="22"/>
  <c r="AV16" i="22"/>
  <c r="AQ25" i="22"/>
  <c r="AQ24" i="22"/>
  <c r="AQ21" i="22"/>
  <c r="AQ20" i="22"/>
  <c r="AQ22" i="22"/>
  <c r="AQ17" i="22"/>
  <c r="AQ18" i="22"/>
  <c r="AQ15" i="22"/>
  <c r="J43" i="22"/>
  <c r="L24" i="23" s="1"/>
  <c r="AO21" i="22"/>
  <c r="AO20" i="22"/>
  <c r="AO24" i="22"/>
  <c r="AO22" i="22"/>
  <c r="AO25" i="22"/>
  <c r="AR16" i="22"/>
  <c r="AO11" i="22"/>
  <c r="AT40" i="22"/>
  <c r="AO18" i="22"/>
  <c r="AO17" i="22"/>
  <c r="AV15" i="22"/>
  <c r="AM16" i="22"/>
  <c r="AN21" i="22"/>
  <c r="AS18" i="22"/>
  <c r="AN17" i="22"/>
  <c r="AN15" i="22"/>
  <c r="AN16" i="22"/>
  <c r="AN18" i="22"/>
  <c r="J23" i="22"/>
  <c r="H24" i="23" s="1"/>
  <c r="J11" i="23"/>
  <c r="AQ12" i="23" s="1"/>
  <c r="I43" i="23"/>
  <c r="J63" i="22"/>
  <c r="P24" i="23" s="1"/>
  <c r="J33" i="22"/>
  <c r="J24" i="23" s="1"/>
  <c r="J58" i="22"/>
  <c r="O24" i="23" s="1"/>
  <c r="I43" i="22"/>
  <c r="L23" i="23" s="1"/>
  <c r="J69" i="22"/>
  <c r="Q24" i="23" s="1"/>
  <c r="I33" i="22"/>
  <c r="J23" i="23" s="1"/>
  <c r="I58" i="22"/>
  <c r="O23" i="23" s="1"/>
  <c r="I63" i="22"/>
  <c r="P23" i="23" s="1"/>
  <c r="J48" i="22"/>
  <c r="M24" i="23" s="1"/>
  <c r="I48" i="22"/>
  <c r="M23" i="23" s="1"/>
  <c r="T22" i="23" l="1"/>
  <c r="U13" i="23"/>
  <c r="I16" i="23"/>
  <c r="U16" i="23" s="1"/>
  <c r="H75" i="22"/>
  <c r="E138" i="11" s="1"/>
  <c r="AP40" i="22"/>
  <c r="AP42" i="22"/>
  <c r="C31" i="27"/>
  <c r="L31" i="27"/>
  <c r="Q25" i="23"/>
  <c r="G23" i="22"/>
  <c r="G33" i="22"/>
  <c r="H33" i="22" s="1"/>
  <c r="F23" i="22"/>
  <c r="I31" i="27"/>
  <c r="H31" i="27"/>
  <c r="E31" i="27"/>
  <c r="F31" i="27"/>
  <c r="J31" i="27"/>
  <c r="G31" i="27"/>
  <c r="K31" i="27"/>
  <c r="D31" i="27"/>
  <c r="M31" i="27"/>
  <c r="AS15" i="22"/>
  <c r="AR37" i="22"/>
  <c r="F69" i="22"/>
  <c r="G43" i="22"/>
  <c r="L34" i="23" s="1"/>
  <c r="H20" i="26"/>
  <c r="H22" i="26" s="1"/>
  <c r="F5" i="27" s="1"/>
  <c r="H25" i="23"/>
  <c r="I25" i="23"/>
  <c r="K25" i="23"/>
  <c r="AT45" i="22"/>
  <c r="AS38" i="22"/>
  <c r="AS42" i="22"/>
  <c r="AU45" i="22"/>
  <c r="AU39" i="22"/>
  <c r="AU43" i="22"/>
  <c r="AT39" i="22"/>
  <c r="AT43" i="22"/>
  <c r="AV39" i="22"/>
  <c r="AV43" i="22"/>
  <c r="AM40" i="22"/>
  <c r="AM36" i="22"/>
  <c r="AM37" i="22" s="1"/>
  <c r="AP39" i="22"/>
  <c r="AP43" i="22"/>
  <c r="AR42" i="22"/>
  <c r="N25" i="23"/>
  <c r="J13" i="23"/>
  <c r="J14" i="23"/>
  <c r="J44" i="23" s="1"/>
  <c r="I44" i="23"/>
  <c r="AO15" i="22"/>
  <c r="L25" i="23"/>
  <c r="O25" i="23"/>
  <c r="M25" i="23"/>
  <c r="AO35" i="22"/>
  <c r="AO36" i="22" s="1"/>
  <c r="AO37" i="22" s="1"/>
  <c r="AN35" i="22"/>
  <c r="AN36" i="22" s="1"/>
  <c r="AN37" i="22" s="1"/>
  <c r="AP41" i="22"/>
  <c r="AS16" i="22"/>
  <c r="AQ16" i="22"/>
  <c r="AT41" i="22"/>
  <c r="AO16" i="22"/>
  <c r="AS40" i="22"/>
  <c r="AQ35" i="22"/>
  <c r="AQ36" i="22" s="1"/>
  <c r="AQ37" i="22" s="1"/>
  <c r="R25" i="23"/>
  <c r="K11" i="23"/>
  <c r="AR12" i="23" s="1"/>
  <c r="J43" i="23"/>
  <c r="P25" i="23"/>
  <c r="AB25" i="23" s="1"/>
  <c r="J25" i="23"/>
  <c r="V25" i="23" s="1"/>
  <c r="C34" i="27" l="1"/>
  <c r="H32" i="23" s="1"/>
  <c r="H33" i="23" s="1"/>
  <c r="T33" i="23" s="1"/>
  <c r="C33" i="27"/>
  <c r="M47" i="23"/>
  <c r="Y25" i="23"/>
  <c r="V13" i="23"/>
  <c r="I47" i="23"/>
  <c r="U25" i="23"/>
  <c r="O47" i="23"/>
  <c r="AA25" i="23"/>
  <c r="T25" i="23"/>
  <c r="R47" i="23"/>
  <c r="AD25" i="23"/>
  <c r="L47" i="23"/>
  <c r="X25" i="23"/>
  <c r="N47" i="23"/>
  <c r="Z25" i="23"/>
  <c r="K47" i="23"/>
  <c r="W25" i="23"/>
  <c r="Q47" i="23"/>
  <c r="AC25" i="23"/>
  <c r="H33" i="27"/>
  <c r="H34" i="27"/>
  <c r="M32" i="23" s="1"/>
  <c r="M33" i="23" s="1"/>
  <c r="M33" i="27"/>
  <c r="M34" i="27"/>
  <c r="R32" i="23" s="1"/>
  <c r="E33" i="27"/>
  <c r="I33" i="27"/>
  <c r="J33" i="27"/>
  <c r="F33" i="27"/>
  <c r="K34" i="27"/>
  <c r="P32" i="23" s="1"/>
  <c r="L33" i="27"/>
  <c r="K33" i="27"/>
  <c r="F34" i="27"/>
  <c r="K32" i="23" s="1"/>
  <c r="K33" i="23" s="1"/>
  <c r="W33" i="23" s="1"/>
  <c r="G33" i="27"/>
  <c r="E34" i="27"/>
  <c r="J32" i="23" s="1"/>
  <c r="J33" i="23" s="1"/>
  <c r="V33" i="23" s="1"/>
  <c r="I34" i="27"/>
  <c r="N32" i="23" s="1"/>
  <c r="N33" i="23" s="1"/>
  <c r="Z33" i="23" s="1"/>
  <c r="D34" i="27"/>
  <c r="I32" i="23" s="1"/>
  <c r="I33" i="23" s="1"/>
  <c r="J34" i="27"/>
  <c r="O32" i="23" s="1"/>
  <c r="O33" i="23" s="1"/>
  <c r="AA33" i="23" s="1"/>
  <c r="D33" i="27"/>
  <c r="G34" i="27"/>
  <c r="L32" i="23" s="1"/>
  <c r="L33" i="23" s="1"/>
  <c r="X33" i="23" s="1"/>
  <c r="L34" i="27"/>
  <c r="Q32" i="23" s="1"/>
  <c r="C138" i="11"/>
  <c r="V138" i="11"/>
  <c r="L138" i="11" s="1"/>
  <c r="AJ97" i="13"/>
  <c r="C130" i="11"/>
  <c r="E130" i="11"/>
  <c r="V130" i="11" s="1"/>
  <c r="L130" i="11" s="1"/>
  <c r="AP45" i="22"/>
  <c r="AJ139" i="13"/>
  <c r="F6" i="27"/>
  <c r="H23" i="22"/>
  <c r="AR38" i="22"/>
  <c r="AR39" i="22" s="1"/>
  <c r="G53" i="22"/>
  <c r="N34" i="23" s="1"/>
  <c r="N36" i="23" s="1"/>
  <c r="G48" i="22"/>
  <c r="M34" i="23" s="1"/>
  <c r="M36" i="23" s="1"/>
  <c r="G69" i="22"/>
  <c r="G38" i="22"/>
  <c r="K34" i="23" s="1"/>
  <c r="K36" i="23" s="1"/>
  <c r="G58" i="22"/>
  <c r="H58" i="22" s="1"/>
  <c r="H43" i="22"/>
  <c r="J16" i="23"/>
  <c r="V16" i="23" s="1"/>
  <c r="H34" i="23"/>
  <c r="AQ38" i="22"/>
  <c r="AQ42" i="22"/>
  <c r="AS45" i="22"/>
  <c r="AN38" i="22"/>
  <c r="AN42" i="22"/>
  <c r="AO38" i="22"/>
  <c r="AO42" i="22"/>
  <c r="AP44" i="22"/>
  <c r="AM45" i="22"/>
  <c r="AT44" i="22"/>
  <c r="AM38" i="22"/>
  <c r="AM42" i="22"/>
  <c r="AV44" i="22"/>
  <c r="AU44" i="22"/>
  <c r="AS39" i="22"/>
  <c r="AS43" i="22"/>
  <c r="J34" i="23"/>
  <c r="J36" i="23" s="1"/>
  <c r="K13" i="23"/>
  <c r="K14" i="23"/>
  <c r="L36" i="23"/>
  <c r="H47" i="23"/>
  <c r="AO40" i="22"/>
  <c r="AN40" i="22"/>
  <c r="AM41" i="22"/>
  <c r="AQ40" i="22"/>
  <c r="AS41" i="22"/>
  <c r="K43" i="23"/>
  <c r="L11" i="23"/>
  <c r="AS12" i="23" s="1"/>
  <c r="P47" i="23"/>
  <c r="J47" i="23"/>
  <c r="H49" i="23" l="1"/>
  <c r="W13" i="23"/>
  <c r="M50" i="23"/>
  <c r="Y36" i="23"/>
  <c r="J50" i="23"/>
  <c r="V36" i="23"/>
  <c r="M49" i="23"/>
  <c r="Y33" i="23"/>
  <c r="I49" i="23"/>
  <c r="U33" i="23"/>
  <c r="N50" i="23"/>
  <c r="Z36" i="23"/>
  <c r="L50" i="23"/>
  <c r="X36" i="23"/>
  <c r="K50" i="23"/>
  <c r="W36" i="23"/>
  <c r="AL97" i="13"/>
  <c r="O76" i="42" s="1"/>
  <c r="E132" i="11"/>
  <c r="V132" i="11" s="1"/>
  <c r="L132" i="11" s="1"/>
  <c r="C132" i="11"/>
  <c r="D121" i="36" s="1"/>
  <c r="AJ87" i="13"/>
  <c r="E128" i="11"/>
  <c r="C128" i="11"/>
  <c r="AL139" i="13"/>
  <c r="O84" i="42" s="1"/>
  <c r="AJ122" i="13"/>
  <c r="C135" i="11"/>
  <c r="D124" i="36" s="1"/>
  <c r="E135" i="11"/>
  <c r="AR43" i="22"/>
  <c r="AJ107" i="13"/>
  <c r="R36" i="23"/>
  <c r="Q34" i="23"/>
  <c r="Q36" i="23" s="1"/>
  <c r="R33" i="23"/>
  <c r="Q33" i="23"/>
  <c r="AC33" i="23" s="1"/>
  <c r="H36" i="23"/>
  <c r="J49" i="23"/>
  <c r="P33" i="23"/>
  <c r="AB33" i="23" s="1"/>
  <c r="H53" i="22"/>
  <c r="H48" i="22"/>
  <c r="H38" i="22"/>
  <c r="H69" i="22"/>
  <c r="G63" i="22"/>
  <c r="P34" i="23" s="1"/>
  <c r="P36" i="23" s="1"/>
  <c r="O34" i="23"/>
  <c r="O36" i="23" s="1"/>
  <c r="G28" i="22"/>
  <c r="D119" i="36"/>
  <c r="K16" i="23"/>
  <c r="W16" i="23" s="1"/>
  <c r="AN45" i="22"/>
  <c r="AQ45" i="22"/>
  <c r="AO45" i="22"/>
  <c r="AS44" i="22"/>
  <c r="AR44" i="22"/>
  <c r="AN39" i="22"/>
  <c r="AN43" i="22"/>
  <c r="AM39" i="22"/>
  <c r="AM43" i="22"/>
  <c r="AO39" i="22"/>
  <c r="AO43" i="22"/>
  <c r="AQ39" i="22"/>
  <c r="AQ43" i="22"/>
  <c r="L13" i="23"/>
  <c r="L14" i="23"/>
  <c r="L44" i="23" s="1"/>
  <c r="L49" i="23"/>
  <c r="K49" i="23"/>
  <c r="N49" i="23"/>
  <c r="O49" i="23"/>
  <c r="AO41" i="22"/>
  <c r="AN41" i="22"/>
  <c r="AQ41" i="22"/>
  <c r="K44" i="23"/>
  <c r="L43" i="23"/>
  <c r="M11" i="23"/>
  <c r="AT12" i="23" s="1"/>
  <c r="V135" i="11" l="1"/>
  <c r="L135" i="11" s="1"/>
  <c r="L124" i="36" s="1"/>
  <c r="Q50" i="23"/>
  <c r="AC36" i="23"/>
  <c r="H50" i="23"/>
  <c r="T36" i="23"/>
  <c r="P50" i="23"/>
  <c r="AB36" i="23"/>
  <c r="X13" i="23"/>
  <c r="O50" i="23"/>
  <c r="AA36" i="23"/>
  <c r="R50" i="23"/>
  <c r="AD36" i="23"/>
  <c r="R49" i="23"/>
  <c r="AD33" i="23"/>
  <c r="AJ117" i="13"/>
  <c r="C134" i="11"/>
  <c r="D123" i="36" s="1"/>
  <c r="E134" i="11"/>
  <c r="V134" i="11" s="1"/>
  <c r="AL87" i="13"/>
  <c r="O74" i="42" s="1"/>
  <c r="AJ102" i="13"/>
  <c r="C131" i="11"/>
  <c r="D120" i="36" s="1"/>
  <c r="E131" i="11"/>
  <c r="AL122" i="13"/>
  <c r="O81" i="42" s="1"/>
  <c r="AJ112" i="13"/>
  <c r="AL112" i="13" s="1"/>
  <c r="O79" i="42" s="1"/>
  <c r="E133" i="11"/>
  <c r="V133" i="11" s="1"/>
  <c r="C133" i="11"/>
  <c r="D122" i="36" s="1"/>
  <c r="AJ133" i="13"/>
  <c r="C137" i="11"/>
  <c r="E137" i="11"/>
  <c r="V137" i="11" s="1"/>
  <c r="L137" i="11" s="1"/>
  <c r="L126" i="36" s="1"/>
  <c r="AL107" i="13"/>
  <c r="O78" i="42" s="1"/>
  <c r="O101" i="42"/>
  <c r="R101" i="42" s="1"/>
  <c r="X101" i="42" s="1"/>
  <c r="R84" i="42"/>
  <c r="X84" i="42" s="1"/>
  <c r="O93" i="42"/>
  <c r="R76" i="42"/>
  <c r="X76" i="42" s="1"/>
  <c r="V128" i="11"/>
  <c r="P49" i="23"/>
  <c r="Q49" i="23"/>
  <c r="D117" i="36"/>
  <c r="H63" i="22"/>
  <c r="H28" i="22"/>
  <c r="I34" i="23"/>
  <c r="I36" i="23" s="1"/>
  <c r="L119" i="36"/>
  <c r="E119" i="36"/>
  <c r="E124" i="36"/>
  <c r="L16" i="23"/>
  <c r="X16" i="23" s="1"/>
  <c r="E121" i="36"/>
  <c r="L121" i="36"/>
  <c r="E117" i="36"/>
  <c r="AQ44" i="22"/>
  <c r="AM44" i="22"/>
  <c r="AO44" i="22"/>
  <c r="AN44" i="22"/>
  <c r="M13" i="23"/>
  <c r="M14" i="23"/>
  <c r="M44" i="23" s="1"/>
  <c r="N11" i="23"/>
  <c r="AU12" i="23" s="1"/>
  <c r="M43" i="23"/>
  <c r="Y13" i="23" l="1"/>
  <c r="I50" i="23"/>
  <c r="U36" i="23"/>
  <c r="L128" i="11"/>
  <c r="L117" i="36" s="1"/>
  <c r="O91" i="42"/>
  <c r="R91" i="42" s="1"/>
  <c r="X91" i="42" s="1"/>
  <c r="R74" i="42"/>
  <c r="X74" i="42" s="1"/>
  <c r="E129" i="11"/>
  <c r="C129" i="11"/>
  <c r="AL133" i="13"/>
  <c r="O83" i="42" s="1"/>
  <c r="AJ127" i="13"/>
  <c r="C136" i="11"/>
  <c r="D125" i="36" s="1"/>
  <c r="E136" i="11"/>
  <c r="V136" i="11" s="1"/>
  <c r="L136" i="11" s="1"/>
  <c r="AA103" i="42"/>
  <c r="R93" i="42"/>
  <c r="X93" i="42" s="1"/>
  <c r="O95" i="42"/>
  <c r="R95" i="42" s="1"/>
  <c r="X95" i="42" s="1"/>
  <c r="R78" i="42"/>
  <c r="X78" i="42" s="1"/>
  <c r="AL102" i="13"/>
  <c r="O77" i="42" s="1"/>
  <c r="O96" i="42"/>
  <c r="R96" i="42" s="1"/>
  <c r="X96" i="42" s="1"/>
  <c r="R79" i="42"/>
  <c r="X79" i="42" s="1"/>
  <c r="R81" i="42"/>
  <c r="X81" i="42" s="1"/>
  <c r="O98" i="42"/>
  <c r="R98" i="42" s="1"/>
  <c r="X98" i="42" s="1"/>
  <c r="AL117" i="13"/>
  <c r="O80" i="42" s="1"/>
  <c r="AJ92" i="13"/>
  <c r="E126" i="36"/>
  <c r="L133" i="11"/>
  <c r="L122" i="36" s="1"/>
  <c r="L134" i="11"/>
  <c r="L123" i="36" s="1"/>
  <c r="E123" i="36"/>
  <c r="E122" i="36"/>
  <c r="D126" i="36"/>
  <c r="V131" i="11"/>
  <c r="L131" i="11" s="1"/>
  <c r="E120" i="36"/>
  <c r="M16" i="23"/>
  <c r="Y16" i="23" s="1"/>
  <c r="N13" i="23"/>
  <c r="N14" i="23"/>
  <c r="N43" i="23"/>
  <c r="O11" i="23"/>
  <c r="AV12" i="23" s="1"/>
  <c r="I205" i="13" l="1"/>
  <c r="I206" i="13" s="1"/>
  <c r="V129" i="11"/>
  <c r="L129" i="11" s="1"/>
  <c r="L118" i="36" s="1"/>
  <c r="Z13" i="23"/>
  <c r="AL127" i="13"/>
  <c r="O82" i="42" s="1"/>
  <c r="O94" i="42"/>
  <c r="R94" i="42" s="1"/>
  <c r="X94" i="42" s="1"/>
  <c r="R77" i="42"/>
  <c r="X77" i="42" s="1"/>
  <c r="O97" i="42"/>
  <c r="R97" i="42" s="1"/>
  <c r="X97" i="42" s="1"/>
  <c r="R80" i="42"/>
  <c r="X80" i="42" s="1"/>
  <c r="R83" i="42"/>
  <c r="X83" i="42" s="1"/>
  <c r="O100" i="42"/>
  <c r="R100" i="42" s="1"/>
  <c r="X100" i="42" s="1"/>
  <c r="AL92" i="13"/>
  <c r="O75" i="42" s="1"/>
  <c r="E125" i="36"/>
  <c r="L125" i="36"/>
  <c r="L120" i="36"/>
  <c r="D118" i="36"/>
  <c r="E118" i="36"/>
  <c r="N16" i="23"/>
  <c r="Z16" i="23" s="1"/>
  <c r="O13" i="23"/>
  <c r="O14" i="23"/>
  <c r="O44" i="23" s="1"/>
  <c r="N44" i="23"/>
  <c r="O43" i="23"/>
  <c r="P11" i="23"/>
  <c r="A188" i="11" l="1"/>
  <c r="Q11" i="23"/>
  <c r="AX12" i="23" s="1"/>
  <c r="AW12" i="23"/>
  <c r="AA13" i="23"/>
  <c r="O92" i="42"/>
  <c r="R92" i="42" s="1"/>
  <c r="X92" i="42" s="1"/>
  <c r="R75" i="42"/>
  <c r="X75" i="42" s="1"/>
  <c r="O99" i="42"/>
  <c r="R99" i="42" s="1"/>
  <c r="X99" i="42" s="1"/>
  <c r="R82" i="42"/>
  <c r="X82" i="42" s="1"/>
  <c r="O16" i="23"/>
  <c r="AA16" i="23" s="1"/>
  <c r="P13" i="23"/>
  <c r="P14" i="23"/>
  <c r="P44" i="23" s="1"/>
  <c r="P43" i="23"/>
  <c r="Q14" i="23" l="1"/>
  <c r="Q44" i="23" s="1"/>
  <c r="Q13" i="23"/>
  <c r="Q16" i="23" s="1"/>
  <c r="AC16" i="23" s="1"/>
  <c r="R11" i="23"/>
  <c r="AY12" i="23" s="1"/>
  <c r="Q43" i="23"/>
  <c r="AB13" i="23"/>
  <c r="P16" i="23"/>
  <c r="AB16" i="23" s="1"/>
  <c r="L108" i="36"/>
  <c r="H45" i="23"/>
  <c r="AC13" i="23" l="1"/>
  <c r="R14" i="23"/>
  <c r="R44" i="23" s="1"/>
  <c r="S11" i="23"/>
  <c r="S13" i="23" s="1"/>
  <c r="S16" i="23" s="1"/>
  <c r="S37" i="23" s="1"/>
  <c r="S38" i="23" s="1"/>
  <c r="S39" i="23" s="1"/>
  <c r="R13" i="23"/>
  <c r="R16" i="23" s="1"/>
  <c r="AD16" i="23" s="1"/>
  <c r="R43" i="23"/>
  <c r="I45" i="23"/>
  <c r="AD13" i="23" l="1"/>
  <c r="S14" i="23"/>
  <c r="S44" i="23" s="1"/>
  <c r="S43" i="23"/>
  <c r="AZ12" i="23"/>
  <c r="S41" i="23"/>
  <c r="S40" i="23"/>
  <c r="R127" i="11"/>
  <c r="J45" i="23"/>
  <c r="U127" i="11" l="1"/>
  <c r="P127" i="11" s="1"/>
  <c r="AK82" i="13"/>
  <c r="L45" i="23"/>
  <c r="K45" i="23"/>
  <c r="AM82" i="13" l="1"/>
  <c r="S127" i="11" s="1"/>
  <c r="P73" i="42"/>
  <c r="B127" i="11"/>
  <c r="A127" i="11"/>
  <c r="M45" i="23"/>
  <c r="N45" i="23"/>
  <c r="P90" i="42" l="1"/>
  <c r="Y73" i="42"/>
  <c r="I73" i="42"/>
  <c r="K73" i="42" s="1"/>
  <c r="J73" i="42"/>
  <c r="L73" i="42" s="1"/>
  <c r="O45" i="23"/>
  <c r="Y90" i="42" l="1"/>
  <c r="T90" i="42"/>
  <c r="C73" i="42" s="1"/>
  <c r="U90" i="42"/>
  <c r="W90" i="42"/>
  <c r="V90" i="42"/>
  <c r="D73" i="42" s="1"/>
  <c r="P45" i="23"/>
  <c r="R45" i="23" l="1"/>
  <c r="I163" i="36" l="1"/>
  <c r="C163" i="36"/>
  <c r="L206" i="25" l="1"/>
  <c r="L207" i="25"/>
  <c r="L208" i="25"/>
  <c r="L209" i="25"/>
  <c r="L210" i="25"/>
  <c r="L211" i="25"/>
  <c r="L212" i="25"/>
  <c r="L213" i="25"/>
  <c r="L214" i="25"/>
  <c r="L215" i="25"/>
  <c r="L216" i="25"/>
  <c r="L217" i="25"/>
  <c r="L218" i="25"/>
  <c r="L219" i="25"/>
  <c r="L220" i="25"/>
  <c r="L221" i="25"/>
  <c r="L222" i="25"/>
  <c r="L223" i="25"/>
  <c r="L224" i="25"/>
  <c r="L229" i="25"/>
  <c r="L231" i="25"/>
  <c r="L232" i="25"/>
  <c r="L233" i="25"/>
  <c r="L234" i="25"/>
  <c r="L235" i="25"/>
  <c r="L236" i="25"/>
  <c r="L237" i="25"/>
  <c r="L238" i="25"/>
  <c r="L239" i="25"/>
  <c r="L240" i="25"/>
  <c r="L241" i="25"/>
  <c r="L242" i="25"/>
  <c r="L243" i="25"/>
  <c r="L244" i="25"/>
  <c r="L245" i="25"/>
  <c r="L246" i="25"/>
  <c r="L247" i="25"/>
  <c r="L248" i="25"/>
  <c r="L256" i="25"/>
  <c r="L257" i="25"/>
  <c r="L258" i="25"/>
  <c r="L259" i="25"/>
  <c r="L260" i="25"/>
  <c r="L261" i="25"/>
  <c r="L262" i="25"/>
  <c r="L263" i="25"/>
  <c r="L264" i="25"/>
  <c r="L265" i="25"/>
  <c r="L266" i="25"/>
  <c r="L267" i="25"/>
  <c r="L268" i="25"/>
  <c r="L269" i="25"/>
  <c r="L270" i="25"/>
  <c r="L271" i="25"/>
  <c r="L272" i="25"/>
  <c r="L273" i="25"/>
  <c r="L274" i="25"/>
  <c r="L275" i="25"/>
  <c r="L276" i="25"/>
  <c r="L277" i="25"/>
  <c r="L278" i="25"/>
  <c r="L279" i="25"/>
  <c r="L280" i="25"/>
  <c r="L281" i="25"/>
  <c r="L284" i="25"/>
  <c r="L285" i="25"/>
  <c r="L286" i="25"/>
  <c r="L287" i="25"/>
  <c r="L288" i="25"/>
  <c r="L289" i="25"/>
  <c r="L290" i="25"/>
  <c r="L291" i="25"/>
  <c r="L292" i="25"/>
  <c r="L293" i="25"/>
  <c r="L294" i="25"/>
  <c r="L295" i="25"/>
  <c r="L296" i="25"/>
  <c r="L297" i="25"/>
  <c r="L298" i="25"/>
  <c r="L299" i="25"/>
  <c r="L300" i="25"/>
  <c r="L301" i="25"/>
  <c r="L302" i="25"/>
  <c r="L303" i="25"/>
  <c r="L304" i="25"/>
  <c r="L305" i="25"/>
  <c r="L306" i="25"/>
  <c r="L307" i="25"/>
  <c r="L308" i="25"/>
  <c r="L309" i="25"/>
  <c r="L310" i="25"/>
  <c r="L311" i="25"/>
  <c r="L312" i="25"/>
  <c r="L313" i="25"/>
  <c r="L314" i="25"/>
  <c r="L315" i="25"/>
  <c r="L316" i="25"/>
  <c r="L317" i="25"/>
  <c r="L318" i="25"/>
  <c r="L319" i="25"/>
  <c r="L320" i="25"/>
  <c r="L321" i="25"/>
  <c r="L322" i="25"/>
  <c r="L323" i="25"/>
  <c r="L324" i="25"/>
  <c r="L325" i="25"/>
  <c r="L326" i="25"/>
  <c r="L327" i="25"/>
  <c r="L328" i="25"/>
  <c r="L190" i="25"/>
  <c r="L191" i="25"/>
  <c r="L192" i="25"/>
  <c r="L193" i="25"/>
  <c r="L194" i="25"/>
  <c r="L195" i="25"/>
  <c r="L196" i="25"/>
  <c r="L197" i="25"/>
  <c r="L198" i="25"/>
  <c r="L199" i="25"/>
  <c r="L200" i="25"/>
  <c r="L201" i="25"/>
  <c r="L202" i="25"/>
  <c r="L203" i="25"/>
  <c r="L204" i="25"/>
  <c r="L205" i="25"/>
  <c r="L230" i="25"/>
  <c r="K38" i="22"/>
  <c r="K26" i="23" s="1"/>
  <c r="K28" i="23" s="1"/>
  <c r="L283" i="25"/>
  <c r="L282" i="25"/>
  <c r="L251" i="25"/>
  <c r="L252" i="25"/>
  <c r="L254" i="25"/>
  <c r="K23" i="22"/>
  <c r="H26" i="23" s="1"/>
  <c r="L253" i="25"/>
  <c r="L250" i="25"/>
  <c r="K53" i="22"/>
  <c r="N26" i="23" s="1"/>
  <c r="N28" i="23" s="1"/>
  <c r="L255" i="25"/>
  <c r="L249" i="25"/>
  <c r="L228" i="25"/>
  <c r="L227" i="25"/>
  <c r="L226" i="25"/>
  <c r="L225" i="25"/>
  <c r="L166" i="25"/>
  <c r="C164" i="41" s="1"/>
  <c r="D164" i="41"/>
  <c r="L165" i="25"/>
  <c r="C163" i="41" s="1"/>
  <c r="D163" i="41"/>
  <c r="L164" i="25"/>
  <c r="C162" i="41" s="1"/>
  <c r="D162" i="41"/>
  <c r="L163" i="25"/>
  <c r="C161" i="41" s="1"/>
  <c r="D161" i="41"/>
  <c r="L162" i="25"/>
  <c r="C160" i="41" s="1"/>
  <c r="D160" i="41"/>
  <c r="L161" i="25"/>
  <c r="C159" i="41" s="1"/>
  <c r="D159" i="41"/>
  <c r="L160" i="25"/>
  <c r="C158" i="41" s="1"/>
  <c r="D158" i="41"/>
  <c r="L159" i="25"/>
  <c r="C157" i="41" s="1"/>
  <c r="D157" i="41"/>
  <c r="L158" i="25"/>
  <c r="C156" i="41" s="1"/>
  <c r="D156" i="41"/>
  <c r="L157" i="25"/>
  <c r="C155" i="41" s="1"/>
  <c r="D155" i="41"/>
  <c r="L156" i="25"/>
  <c r="C154" i="41" s="1"/>
  <c r="D154" i="41"/>
  <c r="L155" i="25"/>
  <c r="C153" i="41" s="1"/>
  <c r="D153" i="41"/>
  <c r="L154" i="25"/>
  <c r="C152" i="41" s="1"/>
  <c r="D152" i="41"/>
  <c r="L153" i="25"/>
  <c r="C151" i="41" s="1"/>
  <c r="D151" i="41"/>
  <c r="L152" i="25"/>
  <c r="C150" i="41" s="1"/>
  <c r="D150" i="41"/>
  <c r="L151" i="25"/>
  <c r="C149" i="41" s="1"/>
  <c r="D149" i="41"/>
  <c r="L150" i="25"/>
  <c r="C148" i="41" s="1"/>
  <c r="D148" i="41"/>
  <c r="L149" i="25"/>
  <c r="C147" i="41" s="1"/>
  <c r="D147" i="41"/>
  <c r="L148" i="25"/>
  <c r="C146" i="41" s="1"/>
  <c r="D146" i="41"/>
  <c r="L147" i="25"/>
  <c r="C145" i="41" s="1"/>
  <c r="D145" i="41"/>
  <c r="L146" i="25"/>
  <c r="C144" i="41" s="1"/>
  <c r="D144" i="41"/>
  <c r="L145" i="25"/>
  <c r="C143" i="41" s="1"/>
  <c r="D143" i="41"/>
  <c r="L144" i="25"/>
  <c r="C142" i="41" s="1"/>
  <c r="D142" i="41"/>
  <c r="L143" i="25"/>
  <c r="C141" i="41" s="1"/>
  <c r="D141" i="41"/>
  <c r="L142" i="25"/>
  <c r="C140" i="41" s="1"/>
  <c r="D140" i="41"/>
  <c r="L141" i="25"/>
  <c r="C139" i="41" s="1"/>
  <c r="D139" i="41"/>
  <c r="L140" i="25"/>
  <c r="C138" i="41" s="1"/>
  <c r="D138" i="41"/>
  <c r="L139" i="25"/>
  <c r="C137" i="41" s="1"/>
  <c r="D137" i="41"/>
  <c r="L138" i="25"/>
  <c r="C136" i="41" s="1"/>
  <c r="D136" i="41"/>
  <c r="L137" i="25"/>
  <c r="C135" i="41" s="1"/>
  <c r="D135" i="41"/>
  <c r="L136" i="25"/>
  <c r="C134" i="41" s="1"/>
  <c r="D134" i="41"/>
  <c r="L135" i="25"/>
  <c r="C133" i="41" s="1"/>
  <c r="D133" i="41"/>
  <c r="L134" i="25"/>
  <c r="C132" i="41" s="1"/>
  <c r="D132" i="41"/>
  <c r="L133" i="25"/>
  <c r="C131" i="41" s="1"/>
  <c r="D131" i="41"/>
  <c r="L132" i="25"/>
  <c r="C130" i="41" s="1"/>
  <c r="D130" i="41"/>
  <c r="L131" i="25"/>
  <c r="C129" i="41" s="1"/>
  <c r="D129" i="41"/>
  <c r="L130" i="25"/>
  <c r="C128" i="41" s="1"/>
  <c r="D128" i="41"/>
  <c r="L129" i="25"/>
  <c r="C127" i="41" s="1"/>
  <c r="D127" i="41"/>
  <c r="L128" i="25"/>
  <c r="C126" i="41" s="1"/>
  <c r="D126" i="41"/>
  <c r="L127" i="25"/>
  <c r="C125" i="41" s="1"/>
  <c r="D125" i="41"/>
  <c r="L126" i="25"/>
  <c r="C124" i="41" s="1"/>
  <c r="D124" i="41"/>
  <c r="L125" i="25"/>
  <c r="C123" i="41" s="1"/>
  <c r="D123" i="41"/>
  <c r="L124" i="25"/>
  <c r="C122" i="41" s="1"/>
  <c r="D122" i="41"/>
  <c r="L123" i="25"/>
  <c r="C121" i="41" s="1"/>
  <c r="D121" i="41"/>
  <c r="L122" i="25"/>
  <c r="C120" i="41" s="1"/>
  <c r="D120" i="41"/>
  <c r="L121" i="25"/>
  <c r="C119" i="41" s="1"/>
  <c r="D119" i="41"/>
  <c r="L120" i="25"/>
  <c r="C118" i="41" s="1"/>
  <c r="D118" i="41"/>
  <c r="L119" i="25"/>
  <c r="C117" i="41" s="1"/>
  <c r="D117" i="41"/>
  <c r="L118" i="25"/>
  <c r="C116" i="41" s="1"/>
  <c r="D116" i="41"/>
  <c r="L117" i="25"/>
  <c r="C115" i="41" s="1"/>
  <c r="D115" i="41"/>
  <c r="L116" i="25"/>
  <c r="C114" i="41" s="1"/>
  <c r="D114" i="41"/>
  <c r="L115" i="25"/>
  <c r="C113" i="41" s="1"/>
  <c r="D113" i="41"/>
  <c r="L114" i="25"/>
  <c r="C112" i="41" s="1"/>
  <c r="D112" i="41"/>
  <c r="L113" i="25"/>
  <c r="C111" i="41" s="1"/>
  <c r="D111" i="41"/>
  <c r="L112" i="25"/>
  <c r="C110" i="41" s="1"/>
  <c r="D110" i="41"/>
  <c r="L111" i="25"/>
  <c r="C109" i="41" s="1"/>
  <c r="D109" i="41"/>
  <c r="L110" i="25"/>
  <c r="C108" i="41" s="1"/>
  <c r="D108" i="41"/>
  <c r="L109" i="25"/>
  <c r="C107" i="41" s="1"/>
  <c r="D107" i="41"/>
  <c r="L108" i="25"/>
  <c r="C106" i="41" s="1"/>
  <c r="D106" i="41"/>
  <c r="L107" i="25"/>
  <c r="C105" i="41" s="1"/>
  <c r="D105" i="41"/>
  <c r="L106" i="25"/>
  <c r="C104" i="41" s="1"/>
  <c r="D104" i="41"/>
  <c r="L105" i="25"/>
  <c r="C103" i="41" s="1"/>
  <c r="D103" i="41"/>
  <c r="L104" i="25"/>
  <c r="C102" i="41" s="1"/>
  <c r="D102" i="41"/>
  <c r="L103" i="25"/>
  <c r="C101" i="41" s="1"/>
  <c r="D101" i="41"/>
  <c r="L102" i="25"/>
  <c r="C100" i="41" s="1"/>
  <c r="D100" i="41"/>
  <c r="L101" i="25"/>
  <c r="C99" i="41" s="1"/>
  <c r="D99" i="41"/>
  <c r="L100" i="25"/>
  <c r="C98" i="41" s="1"/>
  <c r="D98" i="41"/>
  <c r="L99" i="25"/>
  <c r="C97" i="41" s="1"/>
  <c r="D97" i="41"/>
  <c r="L98" i="25"/>
  <c r="C96" i="41" s="1"/>
  <c r="D96" i="41"/>
  <c r="L97" i="25"/>
  <c r="C95" i="41" s="1"/>
  <c r="D95" i="41"/>
  <c r="L96" i="25"/>
  <c r="C94" i="41" s="1"/>
  <c r="D94" i="41"/>
  <c r="L95" i="25"/>
  <c r="C93" i="41" s="1"/>
  <c r="D93" i="41"/>
  <c r="L94" i="25"/>
  <c r="C92" i="41" s="1"/>
  <c r="D92" i="41"/>
  <c r="L93" i="25"/>
  <c r="C91" i="41" s="1"/>
  <c r="D91" i="41"/>
  <c r="L92" i="25"/>
  <c r="C90" i="41" s="1"/>
  <c r="D90" i="41"/>
  <c r="L91" i="25"/>
  <c r="C89" i="41" s="1"/>
  <c r="D89" i="41"/>
  <c r="L90" i="25"/>
  <c r="C88" i="41" s="1"/>
  <c r="D88" i="41"/>
  <c r="L89" i="25"/>
  <c r="C87" i="41" s="1"/>
  <c r="D87" i="41"/>
  <c r="L88" i="25"/>
  <c r="C86" i="41" s="1"/>
  <c r="D86" i="41"/>
  <c r="L87" i="25"/>
  <c r="C85" i="41" s="1"/>
  <c r="D85" i="41"/>
  <c r="L86" i="25"/>
  <c r="C84" i="41" s="1"/>
  <c r="D84" i="41"/>
  <c r="L85" i="25"/>
  <c r="C83" i="41" s="1"/>
  <c r="D83" i="41"/>
  <c r="L84" i="25"/>
  <c r="C82" i="41" s="1"/>
  <c r="D82" i="41"/>
  <c r="L83" i="25"/>
  <c r="C81" i="41" s="1"/>
  <c r="D81" i="41"/>
  <c r="L82" i="25"/>
  <c r="C80" i="41" s="1"/>
  <c r="D80" i="41"/>
  <c r="L81" i="25"/>
  <c r="C79" i="41" s="1"/>
  <c r="D79" i="41"/>
  <c r="L80" i="25"/>
  <c r="C78" i="41" s="1"/>
  <c r="D78" i="41"/>
  <c r="L79" i="25"/>
  <c r="C77" i="41" s="1"/>
  <c r="D77" i="41"/>
  <c r="L78" i="25"/>
  <c r="C76" i="41" s="1"/>
  <c r="D76" i="41"/>
  <c r="L77" i="25"/>
  <c r="C75" i="41" s="1"/>
  <c r="D75" i="41"/>
  <c r="L76" i="25"/>
  <c r="C74" i="41" s="1"/>
  <c r="D74" i="41"/>
  <c r="L75" i="25"/>
  <c r="C73" i="41" s="1"/>
  <c r="D73" i="41"/>
  <c r="L74" i="25"/>
  <c r="C72" i="41" s="1"/>
  <c r="D72" i="41"/>
  <c r="L73" i="25"/>
  <c r="C71" i="41" s="1"/>
  <c r="D71" i="41"/>
  <c r="L72" i="25"/>
  <c r="C70" i="41" s="1"/>
  <c r="D70" i="41"/>
  <c r="L71" i="25"/>
  <c r="C69" i="41" s="1"/>
  <c r="D69" i="41"/>
  <c r="L70" i="25"/>
  <c r="C68" i="41" s="1"/>
  <c r="D68" i="41"/>
  <c r="L69" i="25"/>
  <c r="C67" i="41" s="1"/>
  <c r="D67" i="41"/>
  <c r="L68" i="25"/>
  <c r="C66" i="41" s="1"/>
  <c r="D66" i="41"/>
  <c r="L67" i="25"/>
  <c r="C65" i="41" s="1"/>
  <c r="D65" i="41"/>
  <c r="L66" i="25"/>
  <c r="C64" i="41" s="1"/>
  <c r="D64" i="41"/>
  <c r="L65" i="25"/>
  <c r="C63" i="41" s="1"/>
  <c r="D63" i="41"/>
  <c r="L64" i="25"/>
  <c r="C62" i="41" s="1"/>
  <c r="D62" i="41"/>
  <c r="L63" i="25"/>
  <c r="C61" i="41" s="1"/>
  <c r="D61" i="41"/>
  <c r="L62" i="25"/>
  <c r="C60" i="41" s="1"/>
  <c r="D60" i="41"/>
  <c r="D59" i="41"/>
  <c r="L61" i="25"/>
  <c r="C59" i="41" s="1"/>
  <c r="L60" i="25"/>
  <c r="C58" i="41" s="1"/>
  <c r="D58" i="41"/>
  <c r="L59" i="25"/>
  <c r="C57" i="41" s="1"/>
  <c r="D57" i="41"/>
  <c r="L58" i="25"/>
  <c r="C56" i="41" s="1"/>
  <c r="D56" i="41"/>
  <c r="L57" i="25"/>
  <c r="C55" i="41" s="1"/>
  <c r="D55" i="41"/>
  <c r="L56" i="25"/>
  <c r="C54" i="41" s="1"/>
  <c r="D54" i="41"/>
  <c r="L55" i="25"/>
  <c r="C53" i="41" s="1"/>
  <c r="D53" i="41"/>
  <c r="L54" i="25"/>
  <c r="C52" i="41" s="1"/>
  <c r="D52" i="41"/>
  <c r="L53" i="25"/>
  <c r="C51" i="41" s="1"/>
  <c r="D51" i="41"/>
  <c r="L52" i="25"/>
  <c r="C50" i="41" s="1"/>
  <c r="D50" i="41"/>
  <c r="L51" i="25"/>
  <c r="C49" i="41" s="1"/>
  <c r="D49" i="41"/>
  <c r="L50" i="25"/>
  <c r="C48" i="41" s="1"/>
  <c r="D48" i="41"/>
  <c r="H28" i="23" l="1"/>
  <c r="T28" i="23" s="1"/>
  <c r="AO22" i="23"/>
  <c r="AO23" i="23" s="1"/>
  <c r="N37" i="23"/>
  <c r="N38" i="23" s="1"/>
  <c r="N39" i="23" s="1"/>
  <c r="Z28" i="23"/>
  <c r="N41" i="23"/>
  <c r="K37" i="23"/>
  <c r="K38" i="23" s="1"/>
  <c r="K39" i="23" s="1"/>
  <c r="W28" i="23"/>
  <c r="K41" i="23"/>
  <c r="H37" i="23"/>
  <c r="H38" i="23" s="1"/>
  <c r="K48" i="23"/>
  <c r="N48" i="23"/>
  <c r="E59" i="41"/>
  <c r="F59" i="41" s="1"/>
  <c r="K75" i="22"/>
  <c r="R26" i="23" s="1"/>
  <c r="R28" i="23" s="1"/>
  <c r="K69" i="22"/>
  <c r="Q26" i="23" s="1"/>
  <c r="Q28" i="23" s="1"/>
  <c r="K33" i="22"/>
  <c r="J26" i="23" s="1"/>
  <c r="J28" i="23" s="1"/>
  <c r="E48" i="41"/>
  <c r="F48" i="41" s="1"/>
  <c r="E49" i="41"/>
  <c r="F49" i="41" s="1"/>
  <c r="E50" i="41"/>
  <c r="F50" i="41" s="1"/>
  <c r="E51" i="41"/>
  <c r="F51" i="41" s="1"/>
  <c r="E52" i="41"/>
  <c r="F52" i="41" s="1"/>
  <c r="E53" i="41"/>
  <c r="F53" i="41" s="1"/>
  <c r="E54" i="41"/>
  <c r="F54" i="41" s="1"/>
  <c r="E55" i="41"/>
  <c r="F55" i="41" s="1"/>
  <c r="E56" i="41"/>
  <c r="F56" i="41" s="1"/>
  <c r="E57" i="41"/>
  <c r="F57" i="41" s="1"/>
  <c r="E58" i="41"/>
  <c r="F58" i="41" s="1"/>
  <c r="E60" i="41"/>
  <c r="F60" i="41" s="1"/>
  <c r="E61" i="41"/>
  <c r="F61" i="41" s="1"/>
  <c r="E62" i="41"/>
  <c r="F62" i="41" s="1"/>
  <c r="E63" i="41"/>
  <c r="F63" i="41" s="1"/>
  <c r="E64" i="41"/>
  <c r="F64" i="41" s="1"/>
  <c r="E65" i="41"/>
  <c r="F65" i="41" s="1"/>
  <c r="E66" i="41"/>
  <c r="F66" i="41" s="1"/>
  <c r="E67" i="41"/>
  <c r="F67" i="41" s="1"/>
  <c r="E68" i="41"/>
  <c r="F68" i="41" s="1"/>
  <c r="E69" i="41"/>
  <c r="F69" i="41" s="1"/>
  <c r="E70" i="41"/>
  <c r="F70" i="41" s="1"/>
  <c r="E71" i="41"/>
  <c r="F71" i="41" s="1"/>
  <c r="E72" i="41"/>
  <c r="F72" i="41" s="1"/>
  <c r="E73" i="41"/>
  <c r="F73" i="41" s="1"/>
  <c r="E74" i="41"/>
  <c r="F74" i="41" s="1"/>
  <c r="E75" i="41"/>
  <c r="F75" i="41" s="1"/>
  <c r="E76" i="41"/>
  <c r="F76" i="41" s="1"/>
  <c r="E77" i="41"/>
  <c r="F77" i="41" s="1"/>
  <c r="E78" i="41"/>
  <c r="F78" i="41" s="1"/>
  <c r="E79" i="41"/>
  <c r="F79" i="41" s="1"/>
  <c r="E80" i="41"/>
  <c r="F80" i="41" s="1"/>
  <c r="E81" i="41"/>
  <c r="F81" i="41" s="1"/>
  <c r="E82" i="41"/>
  <c r="F82" i="41" s="1"/>
  <c r="E83" i="41"/>
  <c r="F83" i="41" s="1"/>
  <c r="E84" i="41"/>
  <c r="F84" i="41" s="1"/>
  <c r="E85" i="41"/>
  <c r="F85" i="41" s="1"/>
  <c r="E86" i="41"/>
  <c r="F86" i="41" s="1"/>
  <c r="E87" i="41"/>
  <c r="F87" i="41" s="1"/>
  <c r="E88" i="41"/>
  <c r="F88" i="41" s="1"/>
  <c r="E89" i="41"/>
  <c r="F89" i="41" s="1"/>
  <c r="E90" i="41"/>
  <c r="F90" i="41" s="1"/>
  <c r="E91" i="41"/>
  <c r="F91" i="41" s="1"/>
  <c r="E92" i="41"/>
  <c r="F92" i="41" s="1"/>
  <c r="E93" i="41"/>
  <c r="F93" i="41" s="1"/>
  <c r="E94" i="41"/>
  <c r="F94" i="41" s="1"/>
  <c r="E95" i="41"/>
  <c r="F95" i="41" s="1"/>
  <c r="E96" i="41"/>
  <c r="F96" i="41" s="1"/>
  <c r="E97" i="41"/>
  <c r="F97" i="41" s="1"/>
  <c r="E98" i="41"/>
  <c r="F98" i="41" s="1"/>
  <c r="E99" i="41"/>
  <c r="F99" i="41" s="1"/>
  <c r="E100" i="41"/>
  <c r="F100" i="41" s="1"/>
  <c r="E101" i="41"/>
  <c r="F101" i="41" s="1"/>
  <c r="E102" i="41"/>
  <c r="F102" i="41" s="1"/>
  <c r="E103" i="41"/>
  <c r="F103" i="41" s="1"/>
  <c r="E104" i="41"/>
  <c r="F104" i="41" s="1"/>
  <c r="E105" i="41"/>
  <c r="F105" i="41" s="1"/>
  <c r="E106" i="41"/>
  <c r="F106" i="41" s="1"/>
  <c r="E107" i="41"/>
  <c r="F107" i="41" s="1"/>
  <c r="E108" i="41"/>
  <c r="F108" i="41" s="1"/>
  <c r="E109" i="41"/>
  <c r="F109" i="41" s="1"/>
  <c r="E110" i="41"/>
  <c r="F110" i="41" s="1"/>
  <c r="E111" i="41"/>
  <c r="F111" i="41" s="1"/>
  <c r="E112" i="41"/>
  <c r="F112" i="41" s="1"/>
  <c r="E113" i="41"/>
  <c r="F113" i="41" s="1"/>
  <c r="E114" i="41"/>
  <c r="F114" i="41" s="1"/>
  <c r="E115" i="41"/>
  <c r="F115" i="41" s="1"/>
  <c r="E116" i="41"/>
  <c r="F116" i="41" s="1"/>
  <c r="E117" i="41"/>
  <c r="F117" i="41" s="1"/>
  <c r="E118" i="41"/>
  <c r="F118" i="41" s="1"/>
  <c r="E119" i="41"/>
  <c r="F119" i="41" s="1"/>
  <c r="E120" i="41"/>
  <c r="F120" i="41" s="1"/>
  <c r="E121" i="41"/>
  <c r="F121" i="41" s="1"/>
  <c r="E122" i="41"/>
  <c r="F122" i="41" s="1"/>
  <c r="E123" i="41"/>
  <c r="F123" i="41" s="1"/>
  <c r="E124" i="41"/>
  <c r="F124" i="41" s="1"/>
  <c r="E125" i="41"/>
  <c r="F125" i="41" s="1"/>
  <c r="E126" i="41"/>
  <c r="F126" i="41" s="1"/>
  <c r="E127" i="41"/>
  <c r="F127" i="41" s="1"/>
  <c r="E128" i="41"/>
  <c r="F128" i="41" s="1"/>
  <c r="E129" i="41"/>
  <c r="F129" i="41" s="1"/>
  <c r="E130" i="41"/>
  <c r="F130" i="41" s="1"/>
  <c r="E131" i="41"/>
  <c r="F131" i="41" s="1"/>
  <c r="E132" i="41"/>
  <c r="F132" i="41" s="1"/>
  <c r="E133" i="41"/>
  <c r="F133" i="41" s="1"/>
  <c r="E134" i="41"/>
  <c r="F134" i="41" s="1"/>
  <c r="E135" i="41"/>
  <c r="F135" i="41" s="1"/>
  <c r="E136" i="41"/>
  <c r="F136" i="41" s="1"/>
  <c r="E137" i="41"/>
  <c r="F137" i="41" s="1"/>
  <c r="E138" i="41"/>
  <c r="F138" i="41" s="1"/>
  <c r="E139" i="41"/>
  <c r="F139" i="41" s="1"/>
  <c r="E140" i="41"/>
  <c r="F140" i="41" s="1"/>
  <c r="E141" i="41"/>
  <c r="F141" i="41" s="1"/>
  <c r="E142" i="41"/>
  <c r="F142" i="41" s="1"/>
  <c r="E143" i="41"/>
  <c r="F143" i="41" s="1"/>
  <c r="E144" i="41"/>
  <c r="F144" i="41" s="1"/>
  <c r="E145" i="41"/>
  <c r="F145" i="41" s="1"/>
  <c r="E146" i="41"/>
  <c r="F146" i="41" s="1"/>
  <c r="E147" i="41"/>
  <c r="F147" i="41" s="1"/>
  <c r="E148" i="41"/>
  <c r="F148" i="41" s="1"/>
  <c r="E149" i="41"/>
  <c r="F149" i="41" s="1"/>
  <c r="E150" i="41"/>
  <c r="F150" i="41" s="1"/>
  <c r="E151" i="41"/>
  <c r="F151" i="41" s="1"/>
  <c r="E152" i="41"/>
  <c r="F152" i="41" s="1"/>
  <c r="E153" i="41"/>
  <c r="F153" i="41" s="1"/>
  <c r="E154" i="41"/>
  <c r="F154" i="41" s="1"/>
  <c r="E155" i="41"/>
  <c r="F155" i="41" s="1"/>
  <c r="E156" i="41"/>
  <c r="F156" i="41" s="1"/>
  <c r="E157" i="41"/>
  <c r="F157" i="41" s="1"/>
  <c r="E158" i="41"/>
  <c r="F158" i="41" s="1"/>
  <c r="E159" i="41"/>
  <c r="F159" i="41" s="1"/>
  <c r="E160" i="41"/>
  <c r="F160" i="41" s="1"/>
  <c r="E161" i="41"/>
  <c r="F161" i="41" s="1"/>
  <c r="E162" i="41"/>
  <c r="F162" i="41" s="1"/>
  <c r="E163" i="41"/>
  <c r="F163" i="41" s="1"/>
  <c r="E164" i="41"/>
  <c r="F164" i="41" s="1"/>
  <c r="K43" i="22"/>
  <c r="L26" i="23" s="1"/>
  <c r="L28" i="23" s="1"/>
  <c r="K28" i="22"/>
  <c r="I26" i="23" s="1"/>
  <c r="I28" i="23" s="1"/>
  <c r="K58" i="22"/>
  <c r="O26" i="23" s="1"/>
  <c r="O28" i="23" s="1"/>
  <c r="K48" i="22"/>
  <c r="M26" i="23" s="1"/>
  <c r="M28" i="23" s="1"/>
  <c r="K63" i="22"/>
  <c r="P26" i="23" s="1"/>
  <c r="P28" i="23" s="1"/>
  <c r="H41" i="23" l="1"/>
  <c r="W38" i="23"/>
  <c r="W39" i="23" s="1"/>
  <c r="H48" i="23"/>
  <c r="Z38" i="23"/>
  <c r="Z39" i="23" s="1"/>
  <c r="AA28" i="23"/>
  <c r="O41" i="23"/>
  <c r="Q37" i="23"/>
  <c r="Q38" i="23" s="1"/>
  <c r="Q39" i="23" s="1"/>
  <c r="AC28" i="23"/>
  <c r="Q41" i="23"/>
  <c r="AB28" i="23"/>
  <c r="P41" i="23"/>
  <c r="X28" i="23"/>
  <c r="L41" i="23"/>
  <c r="Y28" i="23"/>
  <c r="M41" i="23"/>
  <c r="J37" i="23"/>
  <c r="J38" i="23" s="1"/>
  <c r="J39" i="23" s="1"/>
  <c r="V28" i="23"/>
  <c r="J41" i="23"/>
  <c r="U28" i="23"/>
  <c r="I41" i="23"/>
  <c r="R37" i="23"/>
  <c r="R38" i="23" s="1"/>
  <c r="R39" i="23" s="1"/>
  <c r="AD28" i="23"/>
  <c r="R41" i="23"/>
  <c r="T38" i="23"/>
  <c r="T39" i="23" s="1"/>
  <c r="H39" i="23"/>
  <c r="AA73" i="42"/>
  <c r="M37" i="23"/>
  <c r="M38" i="23" s="1"/>
  <c r="I37" i="23"/>
  <c r="I38" i="23" s="1"/>
  <c r="P37" i="23"/>
  <c r="P38" i="23" s="1"/>
  <c r="L37" i="23"/>
  <c r="L38" i="23" s="1"/>
  <c r="O37" i="23"/>
  <c r="O38" i="23" s="1"/>
  <c r="R48" i="23"/>
  <c r="Q48" i="23"/>
  <c r="J48" i="23"/>
  <c r="K40" i="23"/>
  <c r="AN131" i="11" s="1"/>
  <c r="AA77" i="42"/>
  <c r="AA94" i="42" s="1"/>
  <c r="R131" i="11"/>
  <c r="N40" i="23"/>
  <c r="AH134" i="11" s="1"/>
  <c r="R134" i="11"/>
  <c r="AA80" i="42"/>
  <c r="AA97" i="42" s="1"/>
  <c r="P48" i="23"/>
  <c r="M48" i="23"/>
  <c r="O48" i="23"/>
  <c r="I48" i="23"/>
  <c r="L48" i="23"/>
  <c r="V38" i="23" l="1"/>
  <c r="V39" i="23" s="1"/>
  <c r="AA38" i="23"/>
  <c r="AA39" i="23" s="1"/>
  <c r="U38" i="23"/>
  <c r="U39" i="23" s="1"/>
  <c r="AD38" i="23"/>
  <c r="AD39" i="23" s="1"/>
  <c r="Y38" i="23"/>
  <c r="Y39" i="23" s="1"/>
  <c r="AB38" i="23"/>
  <c r="AB39" i="23" s="1"/>
  <c r="X38" i="23"/>
  <c r="X39" i="23" s="1"/>
  <c r="AC38" i="23"/>
  <c r="AC39" i="23" s="1"/>
  <c r="H40" i="23"/>
  <c r="U128" i="11" s="1"/>
  <c r="B128" i="11" s="1"/>
  <c r="R128" i="11"/>
  <c r="AA74" i="42"/>
  <c r="AA91" i="42" s="1"/>
  <c r="AA90" i="42"/>
  <c r="Z90" i="42" s="1"/>
  <c r="Z73" i="42"/>
  <c r="AK117" i="13"/>
  <c r="AH131" i="11"/>
  <c r="AC131" i="11"/>
  <c r="AK102" i="13"/>
  <c r="AL131" i="11"/>
  <c r="U131" i="11"/>
  <c r="A131" i="11" s="1"/>
  <c r="AC134" i="11"/>
  <c r="Q40" i="23"/>
  <c r="AL137" i="11" s="1"/>
  <c r="R137" i="11"/>
  <c r="AA83" i="42"/>
  <c r="AA100" i="42" s="1"/>
  <c r="U134" i="11"/>
  <c r="AL134" i="11"/>
  <c r="R40" i="23"/>
  <c r="AL138" i="11" s="1"/>
  <c r="R138" i="11"/>
  <c r="AA84" i="42"/>
  <c r="AA101" i="42" s="1"/>
  <c r="AN134" i="11"/>
  <c r="J40" i="23"/>
  <c r="AL130" i="11" s="1"/>
  <c r="AA76" i="42"/>
  <c r="AA93" i="42" s="1"/>
  <c r="R130" i="11"/>
  <c r="L39" i="23"/>
  <c r="I39" i="23"/>
  <c r="O39" i="23"/>
  <c r="M39" i="23"/>
  <c r="P39" i="23"/>
  <c r="S117" i="36" l="1"/>
  <c r="AN128" i="11"/>
  <c r="A128" i="11"/>
  <c r="AL128" i="11"/>
  <c r="AK87" i="13"/>
  <c r="P74" i="42" s="1"/>
  <c r="J110" i="42" s="1"/>
  <c r="D110" i="42" s="1"/>
  <c r="F110" i="42" s="1"/>
  <c r="AH128" i="11"/>
  <c r="P128" i="11"/>
  <c r="AE128" i="11" s="1"/>
  <c r="A172" i="11"/>
  <c r="AB73" i="42"/>
  <c r="AK73" i="42"/>
  <c r="AL73" i="42" s="1"/>
  <c r="AT73" i="42"/>
  <c r="AU73" i="42" s="1"/>
  <c r="AI73" i="42"/>
  <c r="AJ73" i="42" s="1"/>
  <c r="AR73" i="42"/>
  <c r="AS73" i="42" s="1"/>
  <c r="AC73" i="42"/>
  <c r="AT90" i="42"/>
  <c r="AU90" i="42" s="1"/>
  <c r="AR90" i="42"/>
  <c r="AS90" i="42" s="1"/>
  <c r="AK90" i="42"/>
  <c r="AL90" i="42" s="1"/>
  <c r="AB90" i="42"/>
  <c r="AC90" i="42"/>
  <c r="AI90" i="42"/>
  <c r="AJ90" i="42" s="1"/>
  <c r="AK103" i="13"/>
  <c r="AM102" i="13"/>
  <c r="S131" i="11" s="1"/>
  <c r="G77" i="42" s="1"/>
  <c r="AK118" i="13"/>
  <c r="AM117" i="13"/>
  <c r="S134" i="11" s="1"/>
  <c r="G80" i="42" s="1"/>
  <c r="AM88" i="13"/>
  <c r="AN137" i="11"/>
  <c r="AM118" i="13"/>
  <c r="U137" i="11"/>
  <c r="B137" i="11" s="1"/>
  <c r="P80" i="42"/>
  <c r="J116" i="42" s="1"/>
  <c r="D116" i="42" s="1"/>
  <c r="F116" i="42" s="1"/>
  <c r="S120" i="36"/>
  <c r="B131" i="11"/>
  <c r="AH137" i="11"/>
  <c r="AK137" i="11" s="1"/>
  <c r="AO137" i="11" s="1"/>
  <c r="P131" i="11"/>
  <c r="AP131" i="11" s="1"/>
  <c r="AN130" i="11"/>
  <c r="AN138" i="11"/>
  <c r="P77" i="42"/>
  <c r="J113" i="42" s="1"/>
  <c r="D113" i="42" s="1"/>
  <c r="F113" i="42" s="1"/>
  <c r="AM103" i="13"/>
  <c r="AC130" i="11"/>
  <c r="AC138" i="11"/>
  <c r="U130" i="11"/>
  <c r="B130" i="11" s="1"/>
  <c r="U138" i="11"/>
  <c r="A138" i="11" s="1"/>
  <c r="AC137" i="11"/>
  <c r="AI137" i="11" s="1"/>
  <c r="AH130" i="11"/>
  <c r="AH138" i="11"/>
  <c r="AK97" i="13"/>
  <c r="AK139" i="13"/>
  <c r="AK133" i="13"/>
  <c r="M40" i="23"/>
  <c r="AL133" i="11" s="1"/>
  <c r="AA79" i="42"/>
  <c r="AA96" i="42" s="1"/>
  <c r="R133" i="11"/>
  <c r="O40" i="23"/>
  <c r="AC135" i="11" s="1"/>
  <c r="AA81" i="42"/>
  <c r="AA98" i="42" s="1"/>
  <c r="R135" i="11"/>
  <c r="B134" i="11"/>
  <c r="A134" i="11"/>
  <c r="S123" i="36"/>
  <c r="P40" i="23"/>
  <c r="AC136" i="11" s="1"/>
  <c r="R136" i="11"/>
  <c r="AA82" i="42"/>
  <c r="AA99" i="42" s="1"/>
  <c r="L40" i="23"/>
  <c r="AC132" i="11" s="1"/>
  <c r="R132" i="11"/>
  <c r="AA78" i="42"/>
  <c r="AA95" i="42" s="1"/>
  <c r="I40" i="23"/>
  <c r="AN129" i="11" s="1"/>
  <c r="AA75" i="42"/>
  <c r="AA92" i="42" s="1"/>
  <c r="R129" i="11"/>
  <c r="AM87" i="13" l="1"/>
  <c r="S128" i="11" s="1"/>
  <c r="G74" i="42" s="1"/>
  <c r="AK88" i="13"/>
  <c r="AM128" i="11"/>
  <c r="AP128" i="11"/>
  <c r="AS128" i="11" s="1"/>
  <c r="AQ128" i="11"/>
  <c r="AT128" i="11" s="1"/>
  <c r="AM90" i="42"/>
  <c r="AO90" i="42" s="1"/>
  <c r="AP90" i="42" s="1"/>
  <c r="AV90" i="42"/>
  <c r="AX90" i="42" s="1"/>
  <c r="AY90" i="42" s="1"/>
  <c r="AM73" i="42"/>
  <c r="AN73" i="42" s="1"/>
  <c r="AD90" i="42"/>
  <c r="AV73" i="42"/>
  <c r="AD73" i="42"/>
  <c r="G73" i="42"/>
  <c r="J77" i="42"/>
  <c r="L77" i="42" s="1"/>
  <c r="P91" i="42"/>
  <c r="V91" i="42" s="1"/>
  <c r="D74" i="42" s="1"/>
  <c r="H110" i="42" s="1"/>
  <c r="Y74" i="42"/>
  <c r="Z74" i="42" s="1"/>
  <c r="AT74" i="42" s="1"/>
  <c r="J74" i="42"/>
  <c r="L74" i="42" s="1"/>
  <c r="P84" i="42"/>
  <c r="J120" i="42" s="1"/>
  <c r="D120" i="42" s="1"/>
  <c r="F120" i="42" s="1"/>
  <c r="AM139" i="13"/>
  <c r="S138" i="11" s="1"/>
  <c r="G84" i="42" s="1"/>
  <c r="I74" i="42"/>
  <c r="K74" i="42" s="1"/>
  <c r="AM134" i="13"/>
  <c r="AM133" i="13"/>
  <c r="S137" i="11" s="1"/>
  <c r="G83" i="42" s="1"/>
  <c r="P76" i="42"/>
  <c r="J112" i="42" s="1"/>
  <c r="D112" i="42" s="1"/>
  <c r="F112" i="42" s="1"/>
  <c r="AM97" i="13"/>
  <c r="S130" i="11" s="1"/>
  <c r="G76" i="42" s="1"/>
  <c r="S126" i="36"/>
  <c r="A137" i="11"/>
  <c r="P137" i="11"/>
  <c r="AM137" i="11" s="1"/>
  <c r="AE131" i="11"/>
  <c r="P97" i="42"/>
  <c r="V97" i="42" s="1"/>
  <c r="D80" i="42" s="1"/>
  <c r="H116" i="42" s="1"/>
  <c r="J80" i="42"/>
  <c r="L80" i="42" s="1"/>
  <c r="Y80" i="42"/>
  <c r="Z80" i="42" s="1"/>
  <c r="AT80" i="42" s="1"/>
  <c r="AU80" i="42" s="1"/>
  <c r="AQ131" i="11"/>
  <c r="A130" i="11"/>
  <c r="AM131" i="11"/>
  <c r="S119" i="36"/>
  <c r="I80" i="42"/>
  <c r="K80" i="42" s="1"/>
  <c r="P130" i="11"/>
  <c r="AE130" i="11" s="1"/>
  <c r="U132" i="11"/>
  <c r="P132" i="11" s="1"/>
  <c r="AP132" i="11" s="1"/>
  <c r="Y77" i="42"/>
  <c r="Z77" i="42" s="1"/>
  <c r="AT77" i="42" s="1"/>
  <c r="AU77" i="42" s="1"/>
  <c r="B138" i="11"/>
  <c r="AN133" i="11"/>
  <c r="P94" i="42"/>
  <c r="V94" i="42" s="1"/>
  <c r="D77" i="42" s="1"/>
  <c r="H113" i="42" s="1"/>
  <c r="I77" i="42"/>
  <c r="K77" i="42" s="1"/>
  <c r="AK134" i="13"/>
  <c r="AK140" i="13"/>
  <c r="AK92" i="13"/>
  <c r="AM140" i="13"/>
  <c r="U129" i="11"/>
  <c r="P129" i="11" s="1"/>
  <c r="AQ129" i="11" s="1"/>
  <c r="AK98" i="13"/>
  <c r="AC129" i="11"/>
  <c r="U135" i="11"/>
  <c r="B135" i="11" s="1"/>
  <c r="AL129" i="11"/>
  <c r="P83" i="42"/>
  <c r="J119" i="42" s="1"/>
  <c r="D119" i="42" s="1"/>
  <c r="L119" i="42" s="1"/>
  <c r="N119" i="42" s="1"/>
  <c r="AH129" i="11"/>
  <c r="AK112" i="13"/>
  <c r="AM113" i="13" s="1"/>
  <c r="AL135" i="11"/>
  <c r="AH133" i="11"/>
  <c r="AL136" i="11"/>
  <c r="AM98" i="13"/>
  <c r="U133" i="11"/>
  <c r="B133" i="11" s="1"/>
  <c r="AK127" i="13"/>
  <c r="AC133" i="11"/>
  <c r="AN136" i="11"/>
  <c r="AL132" i="11"/>
  <c r="AH136" i="11"/>
  <c r="U136" i="11"/>
  <c r="B136" i="11" s="1"/>
  <c r="AH132" i="11"/>
  <c r="AN132" i="11"/>
  <c r="AN135" i="11"/>
  <c r="AH135" i="11"/>
  <c r="AK107" i="13"/>
  <c r="AM107" i="13" s="1"/>
  <c r="AK122" i="13"/>
  <c r="AM122" i="13" s="1"/>
  <c r="AR74" i="42" l="1"/>
  <c r="AS72" i="42" s="1"/>
  <c r="AO73" i="42"/>
  <c r="AP73" i="42" s="1"/>
  <c r="AW90" i="42"/>
  <c r="AN90" i="42"/>
  <c r="AW73" i="42"/>
  <c r="AX73" i="42"/>
  <c r="AY73" i="42" s="1"/>
  <c r="AF90" i="42"/>
  <c r="AG90" i="42" s="1"/>
  <c r="AE90" i="42"/>
  <c r="AE73" i="42"/>
  <c r="AF73" i="42"/>
  <c r="AG73" i="42" s="1"/>
  <c r="P101" i="42"/>
  <c r="V101" i="42" s="1"/>
  <c r="D84" i="42" s="1"/>
  <c r="H120" i="42" s="1"/>
  <c r="Y84" i="42"/>
  <c r="Z84" i="42" s="1"/>
  <c r="AT84" i="42" s="1"/>
  <c r="AU84" i="42" s="1"/>
  <c r="W91" i="42"/>
  <c r="Y91" i="42"/>
  <c r="Z91" i="42" s="1"/>
  <c r="J76" i="42"/>
  <c r="L76" i="42" s="1"/>
  <c r="AI74" i="42"/>
  <c r="AJ72" i="42" s="1"/>
  <c r="T91" i="42"/>
  <c r="C74" i="42" s="1"/>
  <c r="G110" i="42" s="1"/>
  <c r="I110" i="42" s="1"/>
  <c r="AB74" i="42"/>
  <c r="U91" i="42"/>
  <c r="AC74" i="42"/>
  <c r="AK74" i="42"/>
  <c r="AL74" i="42" s="1"/>
  <c r="AM112" i="13"/>
  <c r="S133" i="11" s="1"/>
  <c r="G79" i="42" s="1"/>
  <c r="J84" i="42"/>
  <c r="L84" i="42" s="1"/>
  <c r="I76" i="42"/>
  <c r="K76" i="42" s="1"/>
  <c r="P93" i="42"/>
  <c r="V93" i="42" s="1"/>
  <c r="D76" i="42" s="1"/>
  <c r="H112" i="42" s="1"/>
  <c r="I84" i="42"/>
  <c r="K84" i="42" s="1"/>
  <c r="Y76" i="42"/>
  <c r="Z76" i="42" s="1"/>
  <c r="AT76" i="42" s="1"/>
  <c r="AU76" i="42" s="1"/>
  <c r="P82" i="42"/>
  <c r="J118" i="42" s="1"/>
  <c r="D118" i="42" s="1"/>
  <c r="F118" i="42" s="1"/>
  <c r="AM127" i="13"/>
  <c r="S136" i="11" s="1"/>
  <c r="G82" i="42" s="1"/>
  <c r="AK93" i="13"/>
  <c r="AM92" i="13"/>
  <c r="S129" i="11" s="1"/>
  <c r="G75" i="42" s="1"/>
  <c r="W97" i="42"/>
  <c r="Y97" i="42"/>
  <c r="Z97" i="42" s="1"/>
  <c r="U97" i="42"/>
  <c r="T97" i="42"/>
  <c r="C80" i="42" s="1"/>
  <c r="G116" i="42" s="1"/>
  <c r="I116" i="42" s="1"/>
  <c r="S121" i="36"/>
  <c r="AQ130" i="11"/>
  <c r="AQ137" i="11"/>
  <c r="U94" i="42"/>
  <c r="AM130" i="11"/>
  <c r="AP137" i="11"/>
  <c r="B132" i="11"/>
  <c r="AI80" i="42"/>
  <c r="AJ80" i="42" s="1"/>
  <c r="AR80" i="42"/>
  <c r="AS80" i="42" s="1"/>
  <c r="AV80" i="42" s="1"/>
  <c r="AI77" i="42"/>
  <c r="AJ77" i="42" s="1"/>
  <c r="AE137" i="11"/>
  <c r="AB80" i="42"/>
  <c r="S124" i="36"/>
  <c r="AC80" i="42"/>
  <c r="P133" i="11"/>
  <c r="AQ133" i="11" s="1"/>
  <c r="AP130" i="11"/>
  <c r="A132" i="11"/>
  <c r="F119" i="42"/>
  <c r="AM93" i="13"/>
  <c r="AB77" i="42"/>
  <c r="AK80" i="42"/>
  <c r="AL80" i="42" s="1"/>
  <c r="J83" i="42"/>
  <c r="L83" i="42" s="1"/>
  <c r="AC77" i="42"/>
  <c r="T94" i="42"/>
  <c r="C77" i="42" s="1"/>
  <c r="G113" i="42" s="1"/>
  <c r="I113" i="42" s="1"/>
  <c r="Y83" i="42"/>
  <c r="Z83" i="42" s="1"/>
  <c r="AI83" i="42" s="1"/>
  <c r="AJ83" i="42" s="1"/>
  <c r="AR77" i="42"/>
  <c r="AS77" i="42" s="1"/>
  <c r="AV77" i="42" s="1"/>
  <c r="Y94" i="42"/>
  <c r="Z94" i="42" s="1"/>
  <c r="I83" i="42"/>
  <c r="K83" i="42" s="1"/>
  <c r="AK77" i="42"/>
  <c r="AL77" i="42" s="1"/>
  <c r="P75" i="42"/>
  <c r="J111" i="42" s="1"/>
  <c r="D111" i="42" s="1"/>
  <c r="F111" i="42" s="1"/>
  <c r="W94" i="42"/>
  <c r="P100" i="42"/>
  <c r="V100" i="42" s="1"/>
  <c r="D83" i="42" s="1"/>
  <c r="H119" i="42" s="1"/>
  <c r="AK113" i="13"/>
  <c r="S122" i="36"/>
  <c r="A135" i="11"/>
  <c r="AK128" i="13"/>
  <c r="S125" i="36"/>
  <c r="S118" i="36"/>
  <c r="A129" i="11"/>
  <c r="B129" i="11"/>
  <c r="P79" i="42"/>
  <c r="J115" i="42" s="1"/>
  <c r="D115" i="42" s="1"/>
  <c r="F115" i="42" s="1"/>
  <c r="AQ132" i="11"/>
  <c r="A133" i="11"/>
  <c r="AM129" i="11"/>
  <c r="AE129" i="11"/>
  <c r="AP129" i="11"/>
  <c r="AM132" i="11"/>
  <c r="P136" i="11"/>
  <c r="AQ136" i="11" s="1"/>
  <c r="AM128" i="13"/>
  <c r="A136" i="11"/>
  <c r="AU74" i="42"/>
  <c r="AU72" i="42"/>
  <c r="AE132" i="11"/>
  <c r="S135" i="11"/>
  <c r="G81" i="42" s="1"/>
  <c r="AK123" i="13"/>
  <c r="AM123" i="13"/>
  <c r="P81" i="42"/>
  <c r="J117" i="42" s="1"/>
  <c r="D117" i="42" s="1"/>
  <c r="F117" i="42" s="1"/>
  <c r="AM108" i="13"/>
  <c r="AK108" i="13"/>
  <c r="S132" i="11"/>
  <c r="G78" i="42" s="1"/>
  <c r="P78" i="42"/>
  <c r="J114" i="42" s="1"/>
  <c r="D114" i="42" s="1"/>
  <c r="F114" i="42" s="1"/>
  <c r="P119" i="36"/>
  <c r="AI133" i="11"/>
  <c r="AK133" i="11" s="1"/>
  <c r="AO133" i="11" s="1"/>
  <c r="P121" i="36"/>
  <c r="AI132" i="11"/>
  <c r="AK132" i="11" s="1"/>
  <c r="AO132" i="11" s="1"/>
  <c r="F73" i="42" l="1"/>
  <c r="H73" i="42" s="1"/>
  <c r="AV72" i="42"/>
  <c r="AS74" i="42"/>
  <c r="AV74" i="42" s="1"/>
  <c r="Y101" i="42"/>
  <c r="Z101" i="42" s="1"/>
  <c r="AB76" i="42"/>
  <c r="AC76" i="42"/>
  <c r="AR76" i="42"/>
  <c r="AS76" i="42" s="1"/>
  <c r="AV76" i="42" s="1"/>
  <c r="AX76" i="42" s="1"/>
  <c r="AY76" i="42" s="1"/>
  <c r="W101" i="42"/>
  <c r="AK76" i="42"/>
  <c r="AL76" i="42" s="1"/>
  <c r="U101" i="42"/>
  <c r="AI76" i="42"/>
  <c r="AJ76" i="42" s="1"/>
  <c r="T101" i="42"/>
  <c r="C84" i="42" s="1"/>
  <c r="G120" i="42" s="1"/>
  <c r="I120" i="42" s="1"/>
  <c r="P99" i="42"/>
  <c r="V99" i="42" s="1"/>
  <c r="D82" i="42" s="1"/>
  <c r="H118" i="42" s="1"/>
  <c r="AC84" i="42"/>
  <c r="Y82" i="42"/>
  <c r="Z82" i="42" s="1"/>
  <c r="AT82" i="42" s="1"/>
  <c r="AU82" i="42" s="1"/>
  <c r="AK84" i="42"/>
  <c r="AL84" i="42" s="1"/>
  <c r="AR84" i="42"/>
  <c r="AS84" i="42" s="1"/>
  <c r="AV84" i="42" s="1"/>
  <c r="I82" i="42"/>
  <c r="K82" i="42" s="1"/>
  <c r="AB84" i="42"/>
  <c r="AC91" i="42"/>
  <c r="AT91" i="42"/>
  <c r="AU89" i="42" s="1"/>
  <c r="U93" i="42"/>
  <c r="AC103" i="42"/>
  <c r="AE103" i="42" s="1"/>
  <c r="AG103" i="42" s="1"/>
  <c r="AI84" i="42"/>
  <c r="AJ84" i="42" s="1"/>
  <c r="T93" i="42"/>
  <c r="C76" i="42" s="1"/>
  <c r="G112" i="42" s="1"/>
  <c r="I112" i="42" s="1"/>
  <c r="Y93" i="42"/>
  <c r="Z93" i="42" s="1"/>
  <c r="AK91" i="42"/>
  <c r="AL91" i="42" s="1"/>
  <c r="W93" i="42"/>
  <c r="J82" i="42"/>
  <c r="L82" i="42" s="1"/>
  <c r="AI91" i="42"/>
  <c r="AJ89" i="42" s="1"/>
  <c r="AJ74" i="42"/>
  <c r="AM74" i="42" s="1"/>
  <c r="AR91" i="42"/>
  <c r="AS91" i="42" s="1"/>
  <c r="AB91" i="42"/>
  <c r="AD74" i="42"/>
  <c r="AE74" i="42" s="1"/>
  <c r="AL72" i="42"/>
  <c r="AM72" i="42"/>
  <c r="AK97" i="42"/>
  <c r="AL97" i="42" s="1"/>
  <c r="AC97" i="42"/>
  <c r="AT97" i="42"/>
  <c r="AU97" i="42" s="1"/>
  <c r="AI97" i="42"/>
  <c r="AJ97" i="42" s="1"/>
  <c r="AB97" i="42"/>
  <c r="AR97" i="42"/>
  <c r="AS97" i="42" s="1"/>
  <c r="AB94" i="42"/>
  <c r="AC94" i="42"/>
  <c r="AT94" i="42"/>
  <c r="AU94" i="42" s="1"/>
  <c r="AM133" i="11"/>
  <c r="AB83" i="42"/>
  <c r="I79" i="42"/>
  <c r="K79" i="42" s="1"/>
  <c r="I75" i="42"/>
  <c r="K75" i="42" s="1"/>
  <c r="AM80" i="42"/>
  <c r="AN80" i="42" s="1"/>
  <c r="J79" i="42"/>
  <c r="L79" i="42" s="1"/>
  <c r="J75" i="42"/>
  <c r="L75" i="42" s="1"/>
  <c r="P92" i="42"/>
  <c r="V92" i="42" s="1"/>
  <c r="D75" i="42" s="1"/>
  <c r="AM77" i="42"/>
  <c r="AO77" i="42" s="1"/>
  <c r="AP77" i="42" s="1"/>
  <c r="Y75" i="42"/>
  <c r="Z75" i="42" s="1"/>
  <c r="AR75" i="42" s="1"/>
  <c r="AS75" i="42" s="1"/>
  <c r="AK94" i="42"/>
  <c r="AL94" i="42" s="1"/>
  <c r="P122" i="36"/>
  <c r="AK83" i="42"/>
  <c r="AL83" i="42" s="1"/>
  <c r="AM83" i="42" s="1"/>
  <c r="AN83" i="42" s="1"/>
  <c r="AR83" i="42"/>
  <c r="AS83" i="42" s="1"/>
  <c r="AC83" i="42"/>
  <c r="AD80" i="42"/>
  <c r="AE80" i="42" s="1"/>
  <c r="P96" i="42"/>
  <c r="V96" i="42" s="1"/>
  <c r="D79" i="42" s="1"/>
  <c r="H115" i="42" s="1"/>
  <c r="AE133" i="11"/>
  <c r="AP133" i="11"/>
  <c r="Y79" i="42"/>
  <c r="Z79" i="42" s="1"/>
  <c r="AT79" i="42" s="1"/>
  <c r="AU79" i="42" s="1"/>
  <c r="AI94" i="42"/>
  <c r="AJ94" i="42" s="1"/>
  <c r="AD77" i="42"/>
  <c r="AF77" i="42" s="1"/>
  <c r="AG77" i="42" s="1"/>
  <c r="AR94" i="42"/>
  <c r="AS94" i="42" s="1"/>
  <c r="AT83" i="42"/>
  <c r="AU83" i="42" s="1"/>
  <c r="U100" i="42"/>
  <c r="T100" i="42"/>
  <c r="C83" i="42" s="1"/>
  <c r="G119" i="42" s="1"/>
  <c r="I119" i="42" s="1"/>
  <c r="Y100" i="42"/>
  <c r="Z100" i="42" s="1"/>
  <c r="W100" i="42"/>
  <c r="AE136" i="11"/>
  <c r="AP136" i="11"/>
  <c r="AM136" i="11"/>
  <c r="AW80" i="42"/>
  <c r="AX80" i="42"/>
  <c r="AY80" i="42" s="1"/>
  <c r="Y81" i="42"/>
  <c r="Z81" i="42" s="1"/>
  <c r="P98" i="42"/>
  <c r="V98" i="42" s="1"/>
  <c r="D81" i="42" s="1"/>
  <c r="I81" i="42"/>
  <c r="K81" i="42" s="1"/>
  <c r="J81" i="42"/>
  <c r="L81" i="42" s="1"/>
  <c r="Y78" i="42"/>
  <c r="Z78" i="42" s="1"/>
  <c r="I78" i="42"/>
  <c r="K78" i="42" s="1"/>
  <c r="J78" i="42"/>
  <c r="L78" i="42" s="1"/>
  <c r="P95" i="42"/>
  <c r="V95" i="42" s="1"/>
  <c r="D78" i="42" s="1"/>
  <c r="AW77" i="42"/>
  <c r="AX77" i="42"/>
  <c r="AY77" i="42" s="1"/>
  <c r="AI130" i="11"/>
  <c r="AK130" i="11" s="1"/>
  <c r="AO130" i="11" s="1"/>
  <c r="P118" i="36"/>
  <c r="AT101" i="42" l="1"/>
  <c r="AU101" i="42" s="1"/>
  <c r="AB101" i="42"/>
  <c r="AM84" i="42"/>
  <c r="AN84" i="42" s="1"/>
  <c r="T99" i="42"/>
  <c r="C82" i="42" s="1"/>
  <c r="G118" i="42" s="1"/>
  <c r="I118" i="42" s="1"/>
  <c r="AK101" i="42"/>
  <c r="AL101" i="42" s="1"/>
  <c r="AB82" i="42"/>
  <c r="AD76" i="42"/>
  <c r="AE76" i="42" s="1"/>
  <c r="Y99" i="42"/>
  <c r="Z99" i="42" s="1"/>
  <c r="AC101" i="42"/>
  <c r="AR82" i="42"/>
  <c r="AS82" i="42" s="1"/>
  <c r="AV82" i="42" s="1"/>
  <c r="AM76" i="42"/>
  <c r="AN76" i="42" s="1"/>
  <c r="AI101" i="42"/>
  <c r="AJ101" i="42" s="1"/>
  <c r="AR101" i="42"/>
  <c r="AS101" i="42" s="1"/>
  <c r="AV101" i="42" s="1"/>
  <c r="AX101" i="42" s="1"/>
  <c r="AY101" i="42" s="1"/>
  <c r="U99" i="42"/>
  <c r="W99" i="42"/>
  <c r="AD84" i="42"/>
  <c r="AE84" i="42" s="1"/>
  <c r="AK82" i="42"/>
  <c r="AL82" i="42" s="1"/>
  <c r="AC82" i="42"/>
  <c r="AI82" i="42"/>
  <c r="AJ82" i="42" s="1"/>
  <c r="AL89" i="42"/>
  <c r="AD91" i="42"/>
  <c r="AF91" i="42" s="1"/>
  <c r="AG91" i="42" s="1"/>
  <c r="AU91" i="42"/>
  <c r="AV91" i="42" s="1"/>
  <c r="AR93" i="42"/>
  <c r="AS93" i="42" s="1"/>
  <c r="AI93" i="42"/>
  <c r="AJ93" i="42" s="1"/>
  <c r="AJ91" i="42"/>
  <c r="AM91" i="42" s="1"/>
  <c r="AB93" i="42"/>
  <c r="AT93" i="42"/>
  <c r="AU93" i="42" s="1"/>
  <c r="AM97" i="42"/>
  <c r="AN97" i="42" s="1"/>
  <c r="AM89" i="42"/>
  <c r="AS89" i="42"/>
  <c r="AC93" i="42"/>
  <c r="AV89" i="42"/>
  <c r="AK93" i="42"/>
  <c r="AL93" i="42" s="1"/>
  <c r="AF74" i="42"/>
  <c r="AG74" i="42" s="1"/>
  <c r="AD97" i="42"/>
  <c r="AE97" i="42" s="1"/>
  <c r="AV97" i="42"/>
  <c r="AW97" i="42" s="1"/>
  <c r="AD94" i="42"/>
  <c r="AE94" i="42" s="1"/>
  <c r="AV94" i="42"/>
  <c r="AX94" i="42" s="1"/>
  <c r="AY94" i="42" s="1"/>
  <c r="AD83" i="42"/>
  <c r="AF83" i="42" s="1"/>
  <c r="AG83" i="42" s="1"/>
  <c r="W92" i="42"/>
  <c r="AR100" i="42"/>
  <c r="AS100" i="42" s="1"/>
  <c r="U96" i="42"/>
  <c r="AN77" i="42"/>
  <c r="AO80" i="42"/>
  <c r="AP80" i="42" s="1"/>
  <c r="AV83" i="42"/>
  <c r="AX83" i="42" s="1"/>
  <c r="AY83" i="42" s="1"/>
  <c r="AB75" i="42"/>
  <c r="AI75" i="42"/>
  <c r="AJ75" i="42" s="1"/>
  <c r="AT75" i="42"/>
  <c r="AU75" i="42" s="1"/>
  <c r="AV75" i="42" s="1"/>
  <c r="AW75" i="42" s="1"/>
  <c r="AC75" i="42"/>
  <c r="AK75" i="42"/>
  <c r="AL75" i="42" s="1"/>
  <c r="Y92" i="42"/>
  <c r="Z92" i="42" s="1"/>
  <c r="T92" i="42"/>
  <c r="C75" i="42" s="1"/>
  <c r="C72" i="42" s="1"/>
  <c r="U92" i="42"/>
  <c r="T96" i="42"/>
  <c r="C79" i="42" s="1"/>
  <c r="G115" i="42" s="1"/>
  <c r="I115" i="42" s="1"/>
  <c r="AC79" i="42"/>
  <c r="Y96" i="42"/>
  <c r="Z96" i="42" s="1"/>
  <c r="AM94" i="42"/>
  <c r="AN94" i="42" s="1"/>
  <c r="W96" i="42"/>
  <c r="AI79" i="42"/>
  <c r="AJ79" i="42" s="1"/>
  <c r="AF80" i="42"/>
  <c r="AG80" i="42" s="1"/>
  <c r="AR79" i="42"/>
  <c r="AS79" i="42" s="1"/>
  <c r="AV79" i="42" s="1"/>
  <c r="AB79" i="42"/>
  <c r="AK79" i="42"/>
  <c r="AL79" i="42" s="1"/>
  <c r="AE77" i="42"/>
  <c r="AI100" i="42"/>
  <c r="AJ100" i="42" s="1"/>
  <c r="AC100" i="42"/>
  <c r="AB100" i="42"/>
  <c r="AT100" i="42"/>
  <c r="AU100" i="42" s="1"/>
  <c r="AK100" i="42"/>
  <c r="AL100" i="42" s="1"/>
  <c r="AW76" i="42"/>
  <c r="AO83" i="42"/>
  <c r="AP83" i="42" s="1"/>
  <c r="AW74" i="42"/>
  <c r="AX74" i="42"/>
  <c r="AY74" i="42" s="1"/>
  <c r="AO74" i="42"/>
  <c r="AP74" i="42" s="1"/>
  <c r="AN74" i="42"/>
  <c r="D72" i="42"/>
  <c r="H111" i="42"/>
  <c r="Y98" i="42"/>
  <c r="Z98" i="42" s="1"/>
  <c r="U98" i="42"/>
  <c r="W98" i="42"/>
  <c r="T98" i="42"/>
  <c r="C81" i="42" s="1"/>
  <c r="G117" i="42" s="1"/>
  <c r="H117" i="42"/>
  <c r="Y95" i="42"/>
  <c r="Z95" i="42" s="1"/>
  <c r="H114" i="42"/>
  <c r="T95" i="42"/>
  <c r="C78" i="42" s="1"/>
  <c r="G114" i="42" s="1"/>
  <c r="W95" i="42"/>
  <c r="U95" i="42"/>
  <c r="AI81" i="42"/>
  <c r="AJ81" i="42" s="1"/>
  <c r="AR81" i="42"/>
  <c r="AS81" i="42" s="1"/>
  <c r="AK81" i="42"/>
  <c r="AL81" i="42" s="1"/>
  <c r="AT81" i="42"/>
  <c r="AU81" i="42" s="1"/>
  <c r="AB81" i="42"/>
  <c r="AC81" i="42"/>
  <c r="AW84" i="42"/>
  <c r="AX84" i="42"/>
  <c r="AY84" i="42" s="1"/>
  <c r="AK78" i="42"/>
  <c r="AL78" i="42" s="1"/>
  <c r="AR78" i="42"/>
  <c r="AS78" i="42" s="1"/>
  <c r="AT78" i="42"/>
  <c r="AU78" i="42" s="1"/>
  <c r="AI78" i="42"/>
  <c r="AJ78" i="42" s="1"/>
  <c r="AB78" i="42"/>
  <c r="AC78" i="42"/>
  <c r="P117" i="36"/>
  <c r="AC128" i="11"/>
  <c r="AO84" i="42" l="1"/>
  <c r="AP84" i="42" s="1"/>
  <c r="AF76" i="42"/>
  <c r="AG76" i="42" s="1"/>
  <c r="AD101" i="42"/>
  <c r="AE101" i="42" s="1"/>
  <c r="AD82" i="42"/>
  <c r="AF82" i="42" s="1"/>
  <c r="AG82" i="42" s="1"/>
  <c r="AB99" i="42"/>
  <c r="AM101" i="42"/>
  <c r="AN101" i="42" s="1"/>
  <c r="AM82" i="42"/>
  <c r="AN82" i="42" s="1"/>
  <c r="AT99" i="42"/>
  <c r="AU99" i="42" s="1"/>
  <c r="AE91" i="42"/>
  <c r="AR99" i="42"/>
  <c r="AS99" i="42" s="1"/>
  <c r="AF84" i="42"/>
  <c r="AG84" i="42" s="1"/>
  <c r="AV93" i="42"/>
  <c r="AX93" i="42" s="1"/>
  <c r="AY93" i="42" s="1"/>
  <c r="AO76" i="42"/>
  <c r="AP76" i="42" s="1"/>
  <c r="AC99" i="42"/>
  <c r="AI99" i="42"/>
  <c r="AJ99" i="42" s="1"/>
  <c r="AK99" i="42"/>
  <c r="AL99" i="42" s="1"/>
  <c r="F74" i="42"/>
  <c r="H74" i="42" s="1"/>
  <c r="AM93" i="42"/>
  <c r="AN93" i="42" s="1"/>
  <c r="AW94" i="42"/>
  <c r="AD93" i="42"/>
  <c r="AF93" i="42" s="1"/>
  <c r="AG93" i="42" s="1"/>
  <c r="AO97" i="42"/>
  <c r="AP97" i="42" s="1"/>
  <c r="AX97" i="42"/>
  <c r="AY97" i="42" s="1"/>
  <c r="AF97" i="42"/>
  <c r="AG97" i="42" s="1"/>
  <c r="AF94" i="42"/>
  <c r="AG94" i="42" s="1"/>
  <c r="F77" i="42" s="1"/>
  <c r="H77" i="42" s="1"/>
  <c r="AE83" i="42"/>
  <c r="AI128" i="11"/>
  <c r="AK128" i="11" s="1"/>
  <c r="AO128" i="11" s="1"/>
  <c r="Z143" i="11"/>
  <c r="Z144" i="11" s="1"/>
  <c r="AV100" i="42"/>
  <c r="AX100" i="42" s="1"/>
  <c r="AY100" i="42" s="1"/>
  <c r="AC92" i="42"/>
  <c r="AT96" i="42"/>
  <c r="AU96" i="42" s="1"/>
  <c r="AI96" i="42"/>
  <c r="AJ96" i="42" s="1"/>
  <c r="AW83" i="42"/>
  <c r="AM79" i="42"/>
  <c r="AN79" i="42" s="1"/>
  <c r="AB96" i="42"/>
  <c r="F80" i="42"/>
  <c r="H80" i="42" s="1"/>
  <c r="AC96" i="42"/>
  <c r="AR92" i="42"/>
  <c r="AS92" i="42" s="1"/>
  <c r="AD75" i="42"/>
  <c r="AF75" i="42" s="1"/>
  <c r="AG75" i="42" s="1"/>
  <c r="G111" i="42"/>
  <c r="I111" i="42" s="1"/>
  <c r="AI92" i="42"/>
  <c r="AJ92" i="42" s="1"/>
  <c r="AM75" i="42"/>
  <c r="AO75" i="42" s="1"/>
  <c r="AP75" i="42" s="1"/>
  <c r="AT92" i="42"/>
  <c r="AU92" i="42" s="1"/>
  <c r="AB92" i="42"/>
  <c r="AK92" i="42"/>
  <c r="AL92" i="42" s="1"/>
  <c r="AO94" i="42"/>
  <c r="AP94" i="42" s="1"/>
  <c r="AR96" i="42"/>
  <c r="AS96" i="42" s="1"/>
  <c r="AK96" i="42"/>
  <c r="AL96" i="42" s="1"/>
  <c r="AD79" i="42"/>
  <c r="AE79" i="42" s="1"/>
  <c r="AM100" i="42"/>
  <c r="AO100" i="42" s="1"/>
  <c r="AP100" i="42" s="1"/>
  <c r="AD100" i="42"/>
  <c r="AF100" i="42" s="1"/>
  <c r="AG100" i="42" s="1"/>
  <c r="F83" i="42" s="1"/>
  <c r="H83" i="42" s="1"/>
  <c r="AW101" i="42"/>
  <c r="AX75" i="42"/>
  <c r="AY75" i="42" s="1"/>
  <c r="AV78" i="42"/>
  <c r="AX78" i="42" s="1"/>
  <c r="AY78" i="42" s="1"/>
  <c r="I117" i="42"/>
  <c r="AW91" i="42"/>
  <c r="AX91" i="42"/>
  <c r="AY91" i="42" s="1"/>
  <c r="AN91" i="42"/>
  <c r="AO91" i="42"/>
  <c r="AP91" i="42" s="1"/>
  <c r="I114" i="42"/>
  <c r="AR98" i="42"/>
  <c r="AS98" i="42" s="1"/>
  <c r="AI98" i="42"/>
  <c r="AJ98" i="42" s="1"/>
  <c r="AB98" i="42"/>
  <c r="AB95" i="42"/>
  <c r="AI95" i="42"/>
  <c r="AJ95" i="42" s="1"/>
  <c r="AR95" i="42"/>
  <c r="AS95" i="42" s="1"/>
  <c r="AC98" i="42"/>
  <c r="AT98" i="42"/>
  <c r="AU98" i="42" s="1"/>
  <c r="AK98" i="42"/>
  <c r="AL98" i="42" s="1"/>
  <c r="AD78" i="42"/>
  <c r="AC95" i="42"/>
  <c r="AT95" i="42"/>
  <c r="AU95" i="42" s="1"/>
  <c r="AK95" i="42"/>
  <c r="AL95" i="42" s="1"/>
  <c r="AM78" i="42"/>
  <c r="AV81" i="42"/>
  <c r="AW82" i="42"/>
  <c r="AX82" i="42"/>
  <c r="AY82" i="42" s="1"/>
  <c r="AD81" i="42"/>
  <c r="AM81" i="42"/>
  <c r="AW79" i="42"/>
  <c r="AX79" i="42"/>
  <c r="AY79" i="42" s="1"/>
  <c r="AI129" i="11"/>
  <c r="AK129" i="11" s="1"/>
  <c r="AO129" i="11" s="1"/>
  <c r="F76" i="42" l="1"/>
  <c r="H76" i="42" s="1"/>
  <c r="AV96" i="42"/>
  <c r="AW96" i="42" s="1"/>
  <c r="AO101" i="42"/>
  <c r="AP101" i="42" s="1"/>
  <c r="AF101" i="42"/>
  <c r="AG101" i="42" s="1"/>
  <c r="F84" i="42"/>
  <c r="H84" i="42" s="1"/>
  <c r="AD99" i="42"/>
  <c r="AE99" i="42" s="1"/>
  <c r="AE82" i="42"/>
  <c r="AV99" i="42"/>
  <c r="AX99" i="42" s="1"/>
  <c r="AY99" i="42" s="1"/>
  <c r="AO82" i="42"/>
  <c r="AP82" i="42" s="1"/>
  <c r="AM99" i="42"/>
  <c r="AO99" i="42" s="1"/>
  <c r="AP99" i="42" s="1"/>
  <c r="AW93" i="42"/>
  <c r="AO93" i="42"/>
  <c r="AP93" i="42" s="1"/>
  <c r="AE93" i="42"/>
  <c r="AM96" i="42"/>
  <c r="AN96" i="42" s="1"/>
  <c r="AW100" i="42"/>
  <c r="AD92" i="42"/>
  <c r="AF92" i="42" s="1"/>
  <c r="AG92" i="42" s="1"/>
  <c r="F75" i="42" s="1"/>
  <c r="H75" i="42" s="1"/>
  <c r="AO79" i="42"/>
  <c r="AP79" i="42" s="1"/>
  <c r="AD96" i="42"/>
  <c r="AE96" i="42" s="1"/>
  <c r="AV92" i="42"/>
  <c r="AW92" i="42" s="1"/>
  <c r="AE100" i="42"/>
  <c r="AE75" i="42"/>
  <c r="AN100" i="42"/>
  <c r="AM92" i="42"/>
  <c r="AN92" i="42" s="1"/>
  <c r="AN75" i="42"/>
  <c r="AF79" i="42"/>
  <c r="AG79" i="42" s="1"/>
  <c r="AW78" i="42"/>
  <c r="AM95" i="42"/>
  <c r="AO95" i="42" s="1"/>
  <c r="AP95" i="42" s="1"/>
  <c r="AV95" i="42"/>
  <c r="AX95" i="42" s="1"/>
  <c r="AY95" i="42" s="1"/>
  <c r="AE78" i="42"/>
  <c r="AF78" i="42"/>
  <c r="AG78" i="42" s="1"/>
  <c r="AD98" i="42"/>
  <c r="AO81" i="42"/>
  <c r="AP81" i="42" s="1"/>
  <c r="AN81" i="42"/>
  <c r="AW81" i="42"/>
  <c r="AX81" i="42"/>
  <c r="AY81" i="42" s="1"/>
  <c r="AM98" i="42"/>
  <c r="AD95" i="42"/>
  <c r="AN78" i="42"/>
  <c r="AO78" i="42"/>
  <c r="AP78" i="42" s="1"/>
  <c r="AF81" i="42"/>
  <c r="AG81" i="42" s="1"/>
  <c r="AE81" i="42"/>
  <c r="AV98" i="42"/>
  <c r="P120" i="36"/>
  <c r="AI131" i="11"/>
  <c r="AK131" i="11" s="1"/>
  <c r="AO131" i="11" s="1"/>
  <c r="P125" i="36"/>
  <c r="AX96" i="42" l="1"/>
  <c r="AY96" i="42" s="1"/>
  <c r="AW99" i="42"/>
  <c r="AN99" i="42"/>
  <c r="AF99" i="42"/>
  <c r="AG99" i="42" s="1"/>
  <c r="F82" i="42" s="1"/>
  <c r="H82" i="42" s="1"/>
  <c r="AO96" i="42"/>
  <c r="AP96" i="42" s="1"/>
  <c r="AE92" i="42"/>
  <c r="AF96" i="42"/>
  <c r="AG96" i="42" s="1"/>
  <c r="F79" i="42" s="1"/>
  <c r="H79" i="42" s="1"/>
  <c r="AO92" i="42"/>
  <c r="AP92" i="42" s="1"/>
  <c r="AX92" i="42"/>
  <c r="AY92" i="42" s="1"/>
  <c r="AN95" i="42"/>
  <c r="AW95" i="42"/>
  <c r="AF95" i="42"/>
  <c r="AG95" i="42" s="1"/>
  <c r="F78" i="42" s="1"/>
  <c r="H78" i="42" s="1"/>
  <c r="AE95" i="42"/>
  <c r="AF98" i="42"/>
  <c r="AG98" i="42" s="1"/>
  <c r="F81" i="42" s="1"/>
  <c r="H81" i="42" s="1"/>
  <c r="AE98" i="42"/>
  <c r="AN98" i="42"/>
  <c r="AO98" i="42"/>
  <c r="AP98" i="42" s="1"/>
  <c r="AW98" i="42"/>
  <c r="AX98" i="42"/>
  <c r="AY98" i="42" s="1"/>
  <c r="AI136" i="11"/>
  <c r="AK136" i="11" s="1"/>
  <c r="AO136" i="11" s="1"/>
  <c r="AI134" i="11"/>
  <c r="AK134" i="11" s="1"/>
  <c r="AO134" i="11" s="1"/>
  <c r="H85" i="42" l="1"/>
  <c r="P134" i="11"/>
  <c r="AI135" i="11"/>
  <c r="AK135" i="11" s="1"/>
  <c r="AO135" i="11" s="1"/>
  <c r="AQ134" i="11" l="1"/>
  <c r="AM134" i="11"/>
  <c r="AP134" i="11"/>
  <c r="AE134" i="11"/>
  <c r="P135" i="11"/>
  <c r="P123" i="36"/>
  <c r="AQ135" i="11" l="1"/>
  <c r="AM135" i="11"/>
  <c r="AP135" i="11"/>
  <c r="AE135" i="11"/>
  <c r="P124" i="36"/>
  <c r="P126" i="36"/>
  <c r="AA143" i="11"/>
  <c r="B178" i="11"/>
  <c r="AC122" i="11"/>
  <c r="AC123" i="11"/>
  <c r="AI138" i="11"/>
  <c r="AK138" i="11" s="1"/>
  <c r="AO138" i="11" s="1"/>
  <c r="AE151" i="11" s="1"/>
  <c r="AE144" i="11"/>
  <c r="AF144" i="11" s="1"/>
  <c r="I2" i="36" l="1"/>
  <c r="P138" i="11"/>
  <c r="AQ138" i="11" l="1"/>
  <c r="AM138" i="11"/>
  <c r="Z149" i="11" s="1"/>
  <c r="AP138" i="11"/>
  <c r="AE138" i="11"/>
  <c r="AA149"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Diego Vera</author>
  </authors>
  <commentList>
    <comment ref="AO71" authorId="0" shapeId="0" xr:uid="{2BB377BA-63FB-45AE-9C4B-892C2A0D3D27}">
      <text>
        <r>
          <rPr>
            <b/>
            <sz val="9"/>
            <color indexed="81"/>
            <rFont val="Tahoma"/>
            <family val="2"/>
          </rPr>
          <t>Diego Vera:</t>
        </r>
        <r>
          <rPr>
            <sz val="9"/>
            <color indexed="81"/>
            <rFont val="Tahoma"/>
            <family val="2"/>
          </rPr>
          <t xml:space="preserve">
Con DISTR.NORM.ESTAND.N
</t>
        </r>
      </text>
    </comment>
    <comment ref="AX71" authorId="0" shapeId="0" xr:uid="{2867AF31-ED37-4BE0-99B5-C7DAF23F4716}">
      <text>
        <r>
          <rPr>
            <b/>
            <sz val="9"/>
            <color indexed="81"/>
            <rFont val="Tahoma"/>
            <family val="2"/>
          </rPr>
          <t>Diego Vera:</t>
        </r>
        <r>
          <rPr>
            <sz val="9"/>
            <color indexed="81"/>
            <rFont val="Tahoma"/>
            <family val="2"/>
          </rPr>
          <t xml:space="preserve">
Con =DISTR.NORM.ESTAND</t>
        </r>
      </text>
    </comment>
    <comment ref="AF72" authorId="0" shapeId="0" xr:uid="{383E33FE-3280-4909-A2C4-6D8F76DCB106}">
      <text>
        <r>
          <rPr>
            <b/>
            <sz val="9"/>
            <color indexed="81"/>
            <rFont val="Tahoma"/>
            <family val="2"/>
          </rPr>
          <t>Diego Vera:</t>
        </r>
        <r>
          <rPr>
            <sz val="9"/>
            <color indexed="81"/>
            <rFont val="Tahoma"/>
            <family val="2"/>
          </rPr>
          <t xml:space="preserve">
Con DISTR.NORM.N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Ingrid Montealegre</author>
    <author>Sistema de Calidad</author>
    <author>Diego Vera</author>
    <author>Calibrador numero 1</author>
    <author>Ximena</author>
    <author>usuario</author>
  </authors>
  <commentList>
    <comment ref="X12" authorId="0" shapeId="0" xr:uid="{00000000-0006-0000-0100-000001000000}">
      <text>
        <r>
          <rPr>
            <b/>
            <sz val="9"/>
            <color indexed="81"/>
            <rFont val="Tahoma"/>
            <family val="2"/>
          </rPr>
          <t>Tecservice:</t>
        </r>
        <r>
          <rPr>
            <sz val="9"/>
            <color indexed="81"/>
            <rFont val="Tahoma"/>
            <family val="2"/>
          </rPr>
          <t xml:space="preserve">
Registrar ciudad, país</t>
        </r>
      </text>
    </comment>
    <comment ref="I20" authorId="1" shapeId="0" xr:uid="{00000000-0006-0000-0100-000002000000}">
      <text>
        <r>
          <rPr>
            <b/>
            <sz val="9"/>
            <color indexed="81"/>
            <rFont val="Tahoma"/>
            <family val="2"/>
          </rPr>
          <t>Sistema de Calidad:</t>
        </r>
        <r>
          <rPr>
            <sz val="9"/>
            <color indexed="81"/>
            <rFont val="Tahoma"/>
            <family val="2"/>
          </rPr>
          <t xml:space="preserve">
Colocar la unidad, elegir de la lista de desplegable</t>
        </r>
      </text>
    </comment>
    <comment ref="I35" authorId="2" shapeId="0" xr:uid="{2A06ADB0-23B1-4250-950D-FBC318FB75A4}">
      <text>
        <r>
          <rPr>
            <b/>
            <sz val="9"/>
            <color indexed="81"/>
            <rFont val="Tahoma"/>
            <family val="2"/>
          </rPr>
          <t xml:space="preserve">Diego Vera:
Datos masas M1
</t>
        </r>
        <r>
          <rPr>
            <sz val="9"/>
            <color indexed="81"/>
            <rFont val="Tahoma"/>
            <family val="2"/>
          </rPr>
          <t xml:space="preserve">
TEC-LAB-MP-01:
masas 1 (5 kg),2(10 kg), 3 al 32 (20kg): Total 615 kg
TEC-LAB-MP-02:
masas 33 (5 kg),35(10 kg), 37 al 66 (20kg): Total 615 kg
TEC-LAB-MP-03:
masas 34 (5 kg), 36(10 kg), 67 al 81 (20kg): Total 315  kg</t>
        </r>
      </text>
    </comment>
    <comment ref="AE42" authorId="2" shapeId="0" xr:uid="{43E52928-2F31-4D8F-B58D-39AF85D8E5FC}">
      <text>
        <r>
          <rPr>
            <b/>
            <sz val="10"/>
            <color indexed="81"/>
            <rFont val="Tahoma"/>
            <family val="2"/>
          </rPr>
          <t>Diego Vera:
Se debe seleccionar la opcion B. ya que no se realiza ajuste</t>
        </r>
        <r>
          <rPr>
            <sz val="10"/>
            <color indexed="81"/>
            <rFont val="Tahoma"/>
            <family val="2"/>
          </rPr>
          <t xml:space="preserve">
</t>
        </r>
      </text>
    </comment>
    <comment ref="W47" authorId="1" shapeId="0" xr:uid="{00000000-0006-0000-0100-000003000000}">
      <text>
        <r>
          <rPr>
            <b/>
            <sz val="9"/>
            <color indexed="81"/>
            <rFont val="Tahoma"/>
            <family val="2"/>
          </rPr>
          <t>Sistema de Calidad:</t>
        </r>
        <r>
          <rPr>
            <sz val="9"/>
            <color indexed="81"/>
            <rFont val="Tahoma"/>
            <family val="2"/>
          </rPr>
          <t xml:space="preserve">
</t>
        </r>
        <r>
          <rPr>
            <sz val="14"/>
            <color indexed="81"/>
            <rFont val="Tahoma"/>
            <family val="2"/>
          </rPr>
          <t xml:space="preserve">Indicar si se realiza ajuste de la balanza con las masas del cliente  / </t>
        </r>
        <r>
          <rPr>
            <b/>
            <u/>
            <sz val="14"/>
            <color indexed="81"/>
            <rFont val="Tahoma"/>
            <family val="2"/>
          </rPr>
          <t>Si no se realiza ningun adjuste seleccionar "N/A"</t>
        </r>
        <r>
          <rPr>
            <b/>
            <u/>
            <sz val="9"/>
            <color indexed="81"/>
            <rFont val="Tahoma"/>
            <family val="2"/>
          </rPr>
          <t xml:space="preserve">
</t>
        </r>
      </text>
    </comment>
    <comment ref="U48" authorId="1" shapeId="0" xr:uid="{00000000-0006-0000-0100-000004000000}">
      <text>
        <r>
          <rPr>
            <b/>
            <sz val="11"/>
            <color indexed="81"/>
            <rFont val="Tahoma"/>
            <family val="2"/>
          </rPr>
          <t>Sistema de Calidad:</t>
        </r>
        <r>
          <rPr>
            <sz val="11"/>
            <color indexed="81"/>
            <rFont val="Tahoma"/>
            <family val="2"/>
          </rPr>
          <t xml:space="preserve">
Escribir la densidad de las masas sobre la formula</t>
        </r>
      </text>
    </comment>
    <comment ref="H75" authorId="3" shapeId="0" xr:uid="{00000000-0006-0000-0100-000005000000}">
      <text>
        <r>
          <rPr>
            <b/>
            <sz val="9"/>
            <color indexed="81"/>
            <rFont val="Tahoma"/>
            <family val="2"/>
          </rPr>
          <t>Calibrador numero 1:</t>
        </r>
        <r>
          <rPr>
            <sz val="9"/>
            <color indexed="81"/>
            <rFont val="Tahoma"/>
            <family val="2"/>
          </rPr>
          <t xml:space="preserve">
SE DEBE RECOMIENDA TRABAJAR CON LA FORMULA 6.3-1 </t>
        </r>
      </text>
    </comment>
    <comment ref="AL76" authorId="2" shapeId="0" xr:uid="{E00F7DD1-C267-4BF8-AFFA-D3F5C1A0D3EF}">
      <text>
        <r>
          <rPr>
            <b/>
            <sz val="9"/>
            <color indexed="81"/>
            <rFont val="Tahoma"/>
            <family val="2"/>
          </rPr>
          <t>Diego Vera:</t>
        </r>
        <r>
          <rPr>
            <sz val="9"/>
            <color indexed="81"/>
            <rFont val="Tahoma"/>
            <family val="2"/>
          </rPr>
          <t xml:space="preserve">
Dejar en blanco mientras no este implementada la declaracion de Conformidad. Si esta implementada pero NO fue requeridad por el cliente Elegir N.A.</t>
        </r>
      </text>
    </comment>
    <comment ref="Q79" authorId="4" shapeId="0" xr:uid="{00000000-0006-0000-0100-000006000000}">
      <text>
        <r>
          <rPr>
            <b/>
            <sz val="9"/>
            <color indexed="81"/>
            <rFont val="Tahoma"/>
            <family val="2"/>
          </rPr>
          <t xml:space="preserve">Sistema de Calidad Consideraciones:
</t>
        </r>
        <r>
          <rPr>
            <sz val="9"/>
            <color indexed="81"/>
            <rFont val="Tahoma"/>
            <family val="2"/>
          </rPr>
          <t>*La carga se tiene que aplicar por lo menos 5 veces, y al menos 3 veces cuando LT ≥ 100 kg.
*Cada vez que se remueve la carga, se tiene que verificar si la indicación regresa a cero, y la indicación debe ajustarse a cero si esta no regresa a cero.</t>
        </r>
      </text>
    </comment>
    <comment ref="S81" authorId="2" shapeId="0" xr:uid="{0E4D7DD7-1FCF-4387-A586-10FC95BA0A1C}">
      <text>
        <r>
          <rPr>
            <b/>
            <sz val="9"/>
            <color indexed="81"/>
            <rFont val="Tahoma"/>
            <family val="2"/>
          </rPr>
          <t>Diego Vera:</t>
        </r>
        <r>
          <rPr>
            <sz val="9"/>
            <color indexed="81"/>
            <rFont val="Tahoma"/>
            <family val="2"/>
          </rPr>
          <t xml:space="preserve">
Datos masas M1
TEC-LAB-MP-01:
masas 1 (5 kg),2(10 kg), 3 al 32 (20kg): Total 615 kg
TEC-LAB-MP-02:
masas 33 (5 kg),35(10 kg), 37 al 66 (20kg): Total 615 kg
TEC-LAB-MP-03:
masas 34 (5 kg), 36(10 kg), 67 al 81 (20kg): Total 315  kg</t>
        </r>
      </text>
    </comment>
    <comment ref="V82" authorId="5" shapeId="0" xr:uid="{E5490191-8AF3-4DC1-AFC1-792DB8B0DD31}">
      <text>
        <r>
          <rPr>
            <b/>
            <sz val="9"/>
            <color indexed="81"/>
            <rFont val="Tahoma"/>
            <family val="2"/>
          </rPr>
          <t>usuario:</t>
        </r>
        <r>
          <rPr>
            <sz val="9"/>
            <color indexed="81"/>
            <rFont val="Tahoma"/>
            <family val="2"/>
          </rPr>
          <t xml:space="preserve">
Ingresar los dos  ultimos
 numero del código</t>
        </r>
      </text>
    </comment>
    <comment ref="V83" authorId="5" shapeId="0" xr:uid="{00000000-0006-0000-0100-000007000000}">
      <text>
        <r>
          <rPr>
            <b/>
            <sz val="9"/>
            <color indexed="81"/>
            <rFont val="Tahoma"/>
            <family val="2"/>
          </rPr>
          <t>usuario:</t>
        </r>
        <r>
          <rPr>
            <sz val="9"/>
            <color indexed="81"/>
            <rFont val="Tahoma"/>
            <family val="2"/>
          </rPr>
          <t xml:space="preserve">
Ingresar los dos  ultimos
 numero del código</t>
        </r>
      </text>
    </comment>
    <comment ref="V84" authorId="5" shapeId="0" xr:uid="{00000000-0006-0000-0100-000008000000}">
      <text>
        <r>
          <rPr>
            <b/>
            <sz val="9"/>
            <color indexed="81"/>
            <rFont val="Tahoma"/>
            <family val="2"/>
          </rPr>
          <t>usuario:</t>
        </r>
        <r>
          <rPr>
            <sz val="9"/>
            <color indexed="81"/>
            <rFont val="Tahoma"/>
            <family val="2"/>
          </rPr>
          <t xml:space="preserve">
Ingresar los dos  ultimos
 numero del código</t>
        </r>
      </text>
    </comment>
    <comment ref="V85" authorId="5" shapeId="0" xr:uid="{00000000-0006-0000-0100-000009000000}">
      <text>
        <r>
          <rPr>
            <b/>
            <sz val="9"/>
            <color indexed="81"/>
            <rFont val="Tahoma"/>
            <family val="2"/>
          </rPr>
          <t>usuario:</t>
        </r>
        <r>
          <rPr>
            <sz val="9"/>
            <color indexed="81"/>
            <rFont val="Tahoma"/>
            <family val="2"/>
          </rPr>
          <t xml:space="preserve">
Ingresar los dos  ultimos
 numero del código</t>
        </r>
      </text>
    </comment>
    <comment ref="V86" authorId="5" shapeId="0" xr:uid="{00000000-0006-0000-0100-00000A000000}">
      <text>
        <r>
          <rPr>
            <b/>
            <sz val="9"/>
            <color indexed="81"/>
            <rFont val="Tahoma"/>
            <family val="2"/>
          </rPr>
          <t>usuario:</t>
        </r>
        <r>
          <rPr>
            <sz val="9"/>
            <color indexed="81"/>
            <rFont val="Tahoma"/>
            <family val="2"/>
          </rPr>
          <t xml:space="preserve">
Ingresar los dos  ultimos
 numero del código</t>
        </r>
      </text>
    </comment>
    <comment ref="V88" authorId="5" shapeId="0" xr:uid="{3ED44A62-BD93-47B3-A809-F2BB2219E390}">
      <text>
        <r>
          <rPr>
            <b/>
            <sz val="9"/>
            <color indexed="81"/>
            <rFont val="Tahoma"/>
            <family val="2"/>
          </rPr>
          <t>usuario:</t>
        </r>
        <r>
          <rPr>
            <sz val="9"/>
            <color indexed="81"/>
            <rFont val="Tahoma"/>
            <family val="2"/>
          </rPr>
          <t xml:space="preserve">
Ingresar los dos  ultimos
 numero del código</t>
        </r>
      </text>
    </comment>
    <comment ref="V89" authorId="5" shapeId="0" xr:uid="{0FDB7C63-0D51-451D-A88B-248F660BFDE5}">
      <text>
        <r>
          <rPr>
            <b/>
            <sz val="9"/>
            <color indexed="81"/>
            <rFont val="Tahoma"/>
            <family val="2"/>
          </rPr>
          <t>usuario:</t>
        </r>
        <r>
          <rPr>
            <sz val="9"/>
            <color indexed="81"/>
            <rFont val="Tahoma"/>
            <family val="2"/>
          </rPr>
          <t xml:space="preserve">
Ingresar los dos  ultimos
 numero del código</t>
        </r>
      </text>
    </comment>
    <comment ref="V90" authorId="5" shapeId="0" xr:uid="{B22A7C28-A1F6-47C2-9B7C-579AD4DB0757}">
      <text>
        <r>
          <rPr>
            <b/>
            <sz val="9"/>
            <color indexed="81"/>
            <rFont val="Tahoma"/>
            <family val="2"/>
          </rPr>
          <t>usuario:</t>
        </r>
        <r>
          <rPr>
            <sz val="9"/>
            <color indexed="81"/>
            <rFont val="Tahoma"/>
            <family val="2"/>
          </rPr>
          <t xml:space="preserve">
Ingresar los dos  ultimos
 numero del código</t>
        </r>
      </text>
    </comment>
    <comment ref="V91" authorId="5" shapeId="0" xr:uid="{93ACFD44-D0D2-405F-996E-1CA7C89A4685}">
      <text>
        <r>
          <rPr>
            <b/>
            <sz val="9"/>
            <color indexed="81"/>
            <rFont val="Tahoma"/>
            <family val="2"/>
          </rPr>
          <t>usuario:</t>
        </r>
        <r>
          <rPr>
            <sz val="9"/>
            <color indexed="81"/>
            <rFont val="Tahoma"/>
            <family val="2"/>
          </rPr>
          <t xml:space="preserve">
Ingresar los dos  ultimos
 numero del código</t>
        </r>
      </text>
    </comment>
    <comment ref="V93" authorId="5" shapeId="0" xr:uid="{F30B8299-93EF-4B0F-8F87-0FBA84F1C937}">
      <text>
        <r>
          <rPr>
            <b/>
            <sz val="9"/>
            <color indexed="81"/>
            <rFont val="Tahoma"/>
            <family val="2"/>
          </rPr>
          <t>usuario:</t>
        </r>
        <r>
          <rPr>
            <sz val="9"/>
            <color indexed="81"/>
            <rFont val="Tahoma"/>
            <family val="2"/>
          </rPr>
          <t xml:space="preserve">
Ingresar los dos  ultimos
 numero del código</t>
        </r>
      </text>
    </comment>
    <comment ref="V94" authorId="5" shapeId="0" xr:uid="{288F4C69-1473-4A2D-921C-82E75BA94539}">
      <text>
        <r>
          <rPr>
            <b/>
            <sz val="9"/>
            <color indexed="81"/>
            <rFont val="Tahoma"/>
            <family val="2"/>
          </rPr>
          <t>usuario:</t>
        </r>
        <r>
          <rPr>
            <sz val="9"/>
            <color indexed="81"/>
            <rFont val="Tahoma"/>
            <family val="2"/>
          </rPr>
          <t xml:space="preserve">
Ingresar los dos  ultimos
 numero del código</t>
        </r>
      </text>
    </comment>
    <comment ref="V95" authorId="5" shapeId="0" xr:uid="{E7EEA85E-1C2F-434F-95FE-F0B7B1E7A56D}">
      <text>
        <r>
          <rPr>
            <b/>
            <sz val="9"/>
            <color indexed="81"/>
            <rFont val="Tahoma"/>
            <family val="2"/>
          </rPr>
          <t>usuario:</t>
        </r>
        <r>
          <rPr>
            <sz val="9"/>
            <color indexed="81"/>
            <rFont val="Tahoma"/>
            <family val="2"/>
          </rPr>
          <t xml:space="preserve">
Ingresar los dos  ultimos
 numero del código</t>
        </r>
      </text>
    </comment>
    <comment ref="V96" authorId="5" shapeId="0" xr:uid="{BB44F8F9-D610-48F2-B3D7-5BC59215BEFC}">
      <text>
        <r>
          <rPr>
            <b/>
            <sz val="9"/>
            <color indexed="81"/>
            <rFont val="Tahoma"/>
            <family val="2"/>
          </rPr>
          <t>usuario:</t>
        </r>
        <r>
          <rPr>
            <sz val="9"/>
            <color indexed="81"/>
            <rFont val="Tahoma"/>
            <family val="2"/>
          </rPr>
          <t xml:space="preserve">
Ingresar los dos  ultimos
 numero del código</t>
        </r>
      </text>
    </comment>
    <comment ref="V98" authorId="5" shapeId="0" xr:uid="{C77562E5-413E-4155-9F33-D456BDEFFCDA}">
      <text>
        <r>
          <rPr>
            <b/>
            <sz val="9"/>
            <color indexed="81"/>
            <rFont val="Tahoma"/>
            <family val="2"/>
          </rPr>
          <t>usuario:</t>
        </r>
        <r>
          <rPr>
            <sz val="9"/>
            <color indexed="81"/>
            <rFont val="Tahoma"/>
            <family val="2"/>
          </rPr>
          <t xml:space="preserve">
Ingresar los dos  ultimos
 numero del código</t>
        </r>
      </text>
    </comment>
    <comment ref="V99" authorId="5" shapeId="0" xr:uid="{2577A510-0011-49AD-A326-2FC65D6B5F7B}">
      <text>
        <r>
          <rPr>
            <b/>
            <sz val="9"/>
            <color indexed="81"/>
            <rFont val="Tahoma"/>
            <family val="2"/>
          </rPr>
          <t>usuario:</t>
        </r>
        <r>
          <rPr>
            <sz val="9"/>
            <color indexed="81"/>
            <rFont val="Tahoma"/>
            <family val="2"/>
          </rPr>
          <t xml:space="preserve">
Ingresar los dos  ultimos
 numero del código</t>
        </r>
      </text>
    </comment>
    <comment ref="V100" authorId="5" shapeId="0" xr:uid="{E2712931-C916-4423-A3B9-71E3198E737C}">
      <text>
        <r>
          <rPr>
            <b/>
            <sz val="9"/>
            <color indexed="81"/>
            <rFont val="Tahoma"/>
            <family val="2"/>
          </rPr>
          <t>usuario:</t>
        </r>
        <r>
          <rPr>
            <sz val="9"/>
            <color indexed="81"/>
            <rFont val="Tahoma"/>
            <family val="2"/>
          </rPr>
          <t xml:space="preserve">
Ingresar los dos  ultimos
 numero del código</t>
        </r>
      </text>
    </comment>
    <comment ref="V101" authorId="5" shapeId="0" xr:uid="{A596F4D1-B850-4877-8462-9891C258D101}">
      <text>
        <r>
          <rPr>
            <b/>
            <sz val="9"/>
            <color indexed="81"/>
            <rFont val="Tahoma"/>
            <family val="2"/>
          </rPr>
          <t>usuario:</t>
        </r>
        <r>
          <rPr>
            <sz val="9"/>
            <color indexed="81"/>
            <rFont val="Tahoma"/>
            <family val="2"/>
          </rPr>
          <t xml:space="preserve">
Ingresar los dos  ultimos
 numero del código</t>
        </r>
      </text>
    </comment>
    <comment ref="V103" authorId="5" shapeId="0" xr:uid="{6C7A0100-564E-47B4-BB92-D953537C6B3A}">
      <text>
        <r>
          <rPr>
            <b/>
            <sz val="9"/>
            <color indexed="81"/>
            <rFont val="Tahoma"/>
            <family val="2"/>
          </rPr>
          <t>usuario:</t>
        </r>
        <r>
          <rPr>
            <sz val="9"/>
            <color indexed="81"/>
            <rFont val="Tahoma"/>
            <family val="2"/>
          </rPr>
          <t xml:space="preserve">
Ingresar los dos  ultimos
 numero del código</t>
        </r>
      </text>
    </comment>
    <comment ref="V104" authorId="5" shapeId="0" xr:uid="{7D6B1500-9AFC-490E-AC72-406D69D41BB3}">
      <text>
        <r>
          <rPr>
            <b/>
            <sz val="9"/>
            <color indexed="81"/>
            <rFont val="Tahoma"/>
            <family val="2"/>
          </rPr>
          <t>usuario:</t>
        </r>
        <r>
          <rPr>
            <sz val="9"/>
            <color indexed="81"/>
            <rFont val="Tahoma"/>
            <family val="2"/>
          </rPr>
          <t xml:space="preserve">
Ingresar los dos  ultimos
 numero del código</t>
        </r>
      </text>
    </comment>
    <comment ref="V105" authorId="5" shapeId="0" xr:uid="{3EAFD28B-9D74-47BC-801F-57D8D9E83260}">
      <text>
        <r>
          <rPr>
            <b/>
            <sz val="9"/>
            <color indexed="81"/>
            <rFont val="Tahoma"/>
            <family val="2"/>
          </rPr>
          <t>usuario:</t>
        </r>
        <r>
          <rPr>
            <sz val="9"/>
            <color indexed="81"/>
            <rFont val="Tahoma"/>
            <family val="2"/>
          </rPr>
          <t xml:space="preserve">
Ingresar los dos  ultimos
 numero del código</t>
        </r>
      </text>
    </comment>
    <comment ref="V106" authorId="5" shapeId="0" xr:uid="{F91C4AC1-6331-4171-B44E-0F60A53D59C2}">
      <text>
        <r>
          <rPr>
            <b/>
            <sz val="9"/>
            <color indexed="81"/>
            <rFont val="Tahoma"/>
            <family val="2"/>
          </rPr>
          <t>usuario:</t>
        </r>
        <r>
          <rPr>
            <sz val="9"/>
            <color indexed="81"/>
            <rFont val="Tahoma"/>
            <family val="2"/>
          </rPr>
          <t xml:space="preserve">
Ingresar los dos  ultimos
 numero del código</t>
        </r>
      </text>
    </comment>
    <comment ref="V108" authorId="5" shapeId="0" xr:uid="{EFD2BF89-D55D-4465-80A9-24690EEE00E8}">
      <text>
        <r>
          <rPr>
            <b/>
            <sz val="9"/>
            <color indexed="81"/>
            <rFont val="Tahoma"/>
            <family val="2"/>
          </rPr>
          <t>usuario:</t>
        </r>
        <r>
          <rPr>
            <sz val="9"/>
            <color indexed="81"/>
            <rFont val="Tahoma"/>
            <family val="2"/>
          </rPr>
          <t xml:space="preserve">
Ingresar los dos  ultimos
 numero del código</t>
        </r>
      </text>
    </comment>
    <comment ref="V109" authorId="5" shapeId="0" xr:uid="{5B40D597-11D5-4D87-AE5D-3E9F3CD5253C}">
      <text>
        <r>
          <rPr>
            <b/>
            <sz val="9"/>
            <color indexed="81"/>
            <rFont val="Tahoma"/>
            <family val="2"/>
          </rPr>
          <t>usuario:</t>
        </r>
        <r>
          <rPr>
            <sz val="9"/>
            <color indexed="81"/>
            <rFont val="Tahoma"/>
            <family val="2"/>
          </rPr>
          <t xml:space="preserve">
Ingresar los dos  ultimos
 numero del código</t>
        </r>
      </text>
    </comment>
    <comment ref="V110" authorId="5" shapeId="0" xr:uid="{7FEA3F27-E335-40EA-B302-15F70E7C97AD}">
      <text>
        <r>
          <rPr>
            <b/>
            <sz val="9"/>
            <color indexed="81"/>
            <rFont val="Tahoma"/>
            <family val="2"/>
          </rPr>
          <t>usuario:</t>
        </r>
        <r>
          <rPr>
            <sz val="9"/>
            <color indexed="81"/>
            <rFont val="Tahoma"/>
            <family val="2"/>
          </rPr>
          <t xml:space="preserve">
Ingresar los dos  ultimos
 numero del código</t>
        </r>
      </text>
    </comment>
    <comment ref="V111" authorId="5" shapeId="0" xr:uid="{505BA524-1C36-45E6-BD36-88B851A559E1}">
      <text>
        <r>
          <rPr>
            <b/>
            <sz val="9"/>
            <color indexed="81"/>
            <rFont val="Tahoma"/>
            <family val="2"/>
          </rPr>
          <t>usuario:</t>
        </r>
        <r>
          <rPr>
            <sz val="9"/>
            <color indexed="81"/>
            <rFont val="Tahoma"/>
            <family val="2"/>
          </rPr>
          <t xml:space="preserve">
Ingresar los dos  ultimos
 numero del código</t>
        </r>
      </text>
    </comment>
    <comment ref="V113" authorId="5" shapeId="0" xr:uid="{ADD0510C-DF54-4B3E-B0F3-26B208C3487E}">
      <text>
        <r>
          <rPr>
            <b/>
            <sz val="9"/>
            <color indexed="81"/>
            <rFont val="Tahoma"/>
            <family val="2"/>
          </rPr>
          <t>usuario:</t>
        </r>
        <r>
          <rPr>
            <sz val="9"/>
            <color indexed="81"/>
            <rFont val="Tahoma"/>
            <family val="2"/>
          </rPr>
          <t xml:space="preserve">
Ingresar los dos  ultimos
 numero del código</t>
        </r>
      </text>
    </comment>
    <comment ref="V114" authorId="5" shapeId="0" xr:uid="{0D2F58A6-A7E1-4C09-969C-E086EFBC5F8E}">
      <text>
        <r>
          <rPr>
            <b/>
            <sz val="9"/>
            <color indexed="81"/>
            <rFont val="Tahoma"/>
            <family val="2"/>
          </rPr>
          <t>usuario:</t>
        </r>
        <r>
          <rPr>
            <sz val="9"/>
            <color indexed="81"/>
            <rFont val="Tahoma"/>
            <family val="2"/>
          </rPr>
          <t xml:space="preserve">
Ingresar los dos  ultimos
 numero del código</t>
        </r>
      </text>
    </comment>
    <comment ref="V115" authorId="5" shapeId="0" xr:uid="{CA969581-AE4E-4A47-9032-30A1DA458329}">
      <text>
        <r>
          <rPr>
            <b/>
            <sz val="9"/>
            <color indexed="81"/>
            <rFont val="Tahoma"/>
            <family val="2"/>
          </rPr>
          <t>usuario:</t>
        </r>
        <r>
          <rPr>
            <sz val="9"/>
            <color indexed="81"/>
            <rFont val="Tahoma"/>
            <family val="2"/>
          </rPr>
          <t xml:space="preserve">
Ingresar los dos  ultimos
 numero del código</t>
        </r>
      </text>
    </comment>
    <comment ref="V116" authorId="5" shapeId="0" xr:uid="{57097A48-107A-4575-AE51-AD49ECAB4EA8}">
      <text>
        <r>
          <rPr>
            <b/>
            <sz val="9"/>
            <color indexed="81"/>
            <rFont val="Tahoma"/>
            <family val="2"/>
          </rPr>
          <t>usuario:</t>
        </r>
        <r>
          <rPr>
            <sz val="9"/>
            <color indexed="81"/>
            <rFont val="Tahoma"/>
            <family val="2"/>
          </rPr>
          <t xml:space="preserve">
Ingresar los dos  ultimos
 numero del código</t>
        </r>
      </text>
    </comment>
    <comment ref="V118" authorId="5" shapeId="0" xr:uid="{FB596E4B-65AB-4E43-A585-B225285E8CAC}">
      <text>
        <r>
          <rPr>
            <b/>
            <sz val="9"/>
            <color indexed="81"/>
            <rFont val="Tahoma"/>
            <family val="2"/>
          </rPr>
          <t>usuario:</t>
        </r>
        <r>
          <rPr>
            <sz val="9"/>
            <color indexed="81"/>
            <rFont val="Tahoma"/>
            <family val="2"/>
          </rPr>
          <t xml:space="preserve">
Ingresar los dos  ultimos
 numero del código</t>
        </r>
      </text>
    </comment>
    <comment ref="V119" authorId="5" shapeId="0" xr:uid="{7314CC78-96ED-4A7C-9B48-91BBDC74DB40}">
      <text>
        <r>
          <rPr>
            <b/>
            <sz val="9"/>
            <color indexed="81"/>
            <rFont val="Tahoma"/>
            <family val="2"/>
          </rPr>
          <t>usuario:</t>
        </r>
        <r>
          <rPr>
            <sz val="9"/>
            <color indexed="81"/>
            <rFont val="Tahoma"/>
            <family val="2"/>
          </rPr>
          <t xml:space="preserve">
Ingresar los dos  ultimos
 numero del código</t>
        </r>
      </text>
    </comment>
    <comment ref="V120" authorId="5" shapeId="0" xr:uid="{16B6AC7D-F2B7-47DA-8A5B-352BF39B15D3}">
      <text>
        <r>
          <rPr>
            <b/>
            <sz val="9"/>
            <color indexed="81"/>
            <rFont val="Tahoma"/>
            <family val="2"/>
          </rPr>
          <t>usuario:</t>
        </r>
        <r>
          <rPr>
            <sz val="9"/>
            <color indexed="81"/>
            <rFont val="Tahoma"/>
            <family val="2"/>
          </rPr>
          <t xml:space="preserve">
Ingresar los dos  ultimos
 numero del código</t>
        </r>
      </text>
    </comment>
    <comment ref="V121" authorId="5" shapeId="0" xr:uid="{FA2617FD-37E0-47C3-8701-83EC4B393FFC}">
      <text>
        <r>
          <rPr>
            <b/>
            <sz val="9"/>
            <color indexed="81"/>
            <rFont val="Tahoma"/>
            <family val="2"/>
          </rPr>
          <t>usuario:</t>
        </r>
        <r>
          <rPr>
            <sz val="9"/>
            <color indexed="81"/>
            <rFont val="Tahoma"/>
            <family val="2"/>
          </rPr>
          <t xml:space="preserve">
Ingresar los dos  ultimos
 numero del código</t>
        </r>
      </text>
    </comment>
    <comment ref="V123" authorId="5" shapeId="0" xr:uid="{0469F4C8-514E-478C-B01B-C4A2C4667916}">
      <text>
        <r>
          <rPr>
            <b/>
            <sz val="9"/>
            <color indexed="81"/>
            <rFont val="Tahoma"/>
            <family val="2"/>
          </rPr>
          <t>usuario:</t>
        </r>
        <r>
          <rPr>
            <sz val="9"/>
            <color indexed="81"/>
            <rFont val="Tahoma"/>
            <family val="2"/>
          </rPr>
          <t xml:space="preserve">
Ingresar los dos  ultimos
 numero del código</t>
        </r>
      </text>
    </comment>
    <comment ref="V124" authorId="5" shapeId="0" xr:uid="{4FDE60CC-C527-45FC-ADC5-C08C16D9F5B2}">
      <text>
        <r>
          <rPr>
            <b/>
            <sz val="9"/>
            <color indexed="81"/>
            <rFont val="Tahoma"/>
            <family val="2"/>
          </rPr>
          <t>usuario:</t>
        </r>
        <r>
          <rPr>
            <sz val="9"/>
            <color indexed="81"/>
            <rFont val="Tahoma"/>
            <family val="2"/>
          </rPr>
          <t xml:space="preserve">
Ingresar los dos  ultimos
 numero del código</t>
        </r>
      </text>
    </comment>
    <comment ref="V125" authorId="5" shapeId="0" xr:uid="{4A4EB135-01DA-4587-B459-0CCC488954FD}">
      <text>
        <r>
          <rPr>
            <b/>
            <sz val="9"/>
            <color indexed="81"/>
            <rFont val="Tahoma"/>
            <family val="2"/>
          </rPr>
          <t>usuario:</t>
        </r>
        <r>
          <rPr>
            <sz val="9"/>
            <color indexed="81"/>
            <rFont val="Tahoma"/>
            <family val="2"/>
          </rPr>
          <t xml:space="preserve">
Ingresar los dos  ultimos
 numero del código</t>
        </r>
      </text>
    </comment>
    <comment ref="V126" authorId="5" shapeId="0" xr:uid="{5F938440-1015-4D5A-9853-B0067403D81D}">
      <text>
        <r>
          <rPr>
            <b/>
            <sz val="9"/>
            <color indexed="81"/>
            <rFont val="Tahoma"/>
            <family val="2"/>
          </rPr>
          <t>usuario:</t>
        </r>
        <r>
          <rPr>
            <sz val="9"/>
            <color indexed="81"/>
            <rFont val="Tahoma"/>
            <family val="2"/>
          </rPr>
          <t xml:space="preserve">
Ingresar los dos  ultimos
 numero del código</t>
        </r>
      </text>
    </comment>
    <comment ref="V128" authorId="5" shapeId="0" xr:uid="{3B30BE74-8913-456D-8228-C86E4E62F2A2}">
      <text>
        <r>
          <rPr>
            <b/>
            <sz val="9"/>
            <color indexed="81"/>
            <rFont val="Tahoma"/>
            <family val="2"/>
          </rPr>
          <t>usuario:</t>
        </r>
        <r>
          <rPr>
            <sz val="9"/>
            <color indexed="81"/>
            <rFont val="Tahoma"/>
            <family val="2"/>
          </rPr>
          <t xml:space="preserve">
Ingresar los dos  ultimos
 numero del código</t>
        </r>
      </text>
    </comment>
    <comment ref="V129" authorId="5" shapeId="0" xr:uid="{C9503F68-F4FF-4C58-A085-705922060798}">
      <text>
        <r>
          <rPr>
            <b/>
            <sz val="9"/>
            <color indexed="81"/>
            <rFont val="Tahoma"/>
            <family val="2"/>
          </rPr>
          <t>usuario:</t>
        </r>
        <r>
          <rPr>
            <sz val="9"/>
            <color indexed="81"/>
            <rFont val="Tahoma"/>
            <family val="2"/>
          </rPr>
          <t xml:space="preserve">
Ingresar los dos  ultimos
 numero del código</t>
        </r>
      </text>
    </comment>
    <comment ref="V130" authorId="5" shapeId="0" xr:uid="{A825BC75-6F95-49C6-BC35-58D7735839B2}">
      <text>
        <r>
          <rPr>
            <b/>
            <sz val="9"/>
            <color indexed="81"/>
            <rFont val="Tahoma"/>
            <family val="2"/>
          </rPr>
          <t>usuario:</t>
        </r>
        <r>
          <rPr>
            <sz val="9"/>
            <color indexed="81"/>
            <rFont val="Tahoma"/>
            <family val="2"/>
          </rPr>
          <t xml:space="preserve">
Ingresar los dos  ultimos
 numero del código</t>
        </r>
      </text>
    </comment>
    <comment ref="V131" authorId="5" shapeId="0" xr:uid="{2B725EDB-7477-4DB0-B96A-ED7D5EF4D3E0}">
      <text>
        <r>
          <rPr>
            <b/>
            <sz val="9"/>
            <color indexed="81"/>
            <rFont val="Tahoma"/>
            <family val="2"/>
          </rPr>
          <t>usuario:</t>
        </r>
        <r>
          <rPr>
            <sz val="9"/>
            <color indexed="81"/>
            <rFont val="Tahoma"/>
            <family val="2"/>
          </rPr>
          <t xml:space="preserve">
Ingresar los dos  ultimos
 numero del código</t>
        </r>
      </text>
    </comment>
    <comment ref="V132" authorId="5" shapeId="0" xr:uid="{D14F8622-2EC9-47FF-A14D-786932BFB7E0}">
      <text>
        <r>
          <rPr>
            <b/>
            <sz val="9"/>
            <color indexed="81"/>
            <rFont val="Tahoma"/>
            <family val="2"/>
          </rPr>
          <t>usuario:</t>
        </r>
        <r>
          <rPr>
            <sz val="9"/>
            <color indexed="81"/>
            <rFont val="Tahoma"/>
            <family val="2"/>
          </rPr>
          <t xml:space="preserve">
Ingresar los dos  ultimos
 numero del código</t>
        </r>
      </text>
    </comment>
    <comment ref="V134" authorId="5" shapeId="0" xr:uid="{9E6BFA89-9F34-431B-9A86-E23FF414BCA0}">
      <text>
        <r>
          <rPr>
            <b/>
            <sz val="9"/>
            <color indexed="81"/>
            <rFont val="Tahoma"/>
            <family val="2"/>
          </rPr>
          <t>usuario:</t>
        </r>
        <r>
          <rPr>
            <sz val="9"/>
            <color indexed="81"/>
            <rFont val="Tahoma"/>
            <family val="2"/>
          </rPr>
          <t xml:space="preserve">
Ingresar los dos  ultimos
 numero del código</t>
        </r>
      </text>
    </comment>
    <comment ref="V135" authorId="5" shapeId="0" xr:uid="{B90D0FD7-F867-4FC4-86DB-A285C5C2D2E2}">
      <text>
        <r>
          <rPr>
            <b/>
            <sz val="9"/>
            <color indexed="81"/>
            <rFont val="Tahoma"/>
            <family val="2"/>
          </rPr>
          <t>usuario:</t>
        </r>
        <r>
          <rPr>
            <sz val="9"/>
            <color indexed="81"/>
            <rFont val="Tahoma"/>
            <family val="2"/>
          </rPr>
          <t xml:space="preserve">
Ingresar los dos  ultimos
 numero del código</t>
        </r>
      </text>
    </comment>
    <comment ref="V136" authorId="5" shapeId="0" xr:uid="{3F21F579-F636-487B-90CE-B06F4D4AAD13}">
      <text>
        <r>
          <rPr>
            <b/>
            <sz val="9"/>
            <color indexed="81"/>
            <rFont val="Tahoma"/>
            <family val="2"/>
          </rPr>
          <t>usuario:</t>
        </r>
        <r>
          <rPr>
            <sz val="9"/>
            <color indexed="81"/>
            <rFont val="Tahoma"/>
            <family val="2"/>
          </rPr>
          <t xml:space="preserve">
Ingresar los dos  ultimos
 numero del código</t>
        </r>
      </text>
    </comment>
    <comment ref="V137" authorId="5" shapeId="0" xr:uid="{F7E2FB9B-16D3-43A4-893E-20DE98F7CDFC}">
      <text>
        <r>
          <rPr>
            <b/>
            <sz val="9"/>
            <color indexed="81"/>
            <rFont val="Tahoma"/>
            <family val="2"/>
          </rPr>
          <t>usuario:</t>
        </r>
        <r>
          <rPr>
            <sz val="9"/>
            <color indexed="81"/>
            <rFont val="Tahoma"/>
            <family val="2"/>
          </rPr>
          <t xml:space="preserve">
Ingresar los dos  ultimos
 numero del código</t>
        </r>
      </text>
    </comment>
    <comment ref="V138" authorId="5" shapeId="0" xr:uid="{57A41E3C-72F1-4B5F-907E-3013FDE0E6B6}">
      <text>
        <r>
          <rPr>
            <b/>
            <sz val="9"/>
            <color indexed="81"/>
            <rFont val="Tahoma"/>
            <family val="2"/>
          </rPr>
          <t>usuario:</t>
        </r>
        <r>
          <rPr>
            <sz val="9"/>
            <color indexed="81"/>
            <rFont val="Tahoma"/>
            <family val="2"/>
          </rPr>
          <t xml:space="preserve">
Ingresar los dos  ultimos
 numero del código</t>
        </r>
      </text>
    </comment>
    <comment ref="AB146" authorId="3" shapeId="0" xr:uid="{00000000-0006-0000-0100-000030000000}">
      <text>
        <r>
          <rPr>
            <b/>
            <sz val="9"/>
            <color indexed="81"/>
            <rFont val="Tahoma"/>
            <family val="2"/>
          </rPr>
          <t>Calibrador numero 1:</t>
        </r>
        <r>
          <rPr>
            <sz val="9"/>
            <color indexed="81"/>
            <rFont val="Tahoma"/>
            <family val="2"/>
          </rPr>
          <t xml:space="preserve">
REVISAR EL VALOR ABSOLUTO . NO LO MENCIONA LA NORMA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Diego Vera</author>
    <author>Sistema de Calidad</author>
  </authors>
  <commentList>
    <comment ref="AA11" authorId="0" shapeId="0" xr:uid="{183A7E18-B882-42F2-A109-086FE5D9AD67}">
      <text>
        <r>
          <rPr>
            <b/>
            <sz val="9"/>
            <color indexed="81"/>
            <rFont val="Tahoma"/>
            <family val="2"/>
          </rPr>
          <t>Diego Vera
2024-05-10 Se adicionan campos que no hacen parte, ni modifican o tienen incidencia alguna en el  certificado calibracion o cálculos validados, para facilitar revisión y verificación de  cumplimento de CMC.</t>
        </r>
        <r>
          <rPr>
            <sz val="9"/>
            <color indexed="81"/>
            <rFont val="Tahoma"/>
            <family val="2"/>
          </rPr>
          <t xml:space="preserve">
2024-08-27 Se actualizaron MP19 y MP05
</t>
        </r>
      </text>
    </comment>
    <comment ref="Z70" authorId="1" shapeId="0" xr:uid="{00000000-0006-0000-0200-000002000000}">
      <text>
        <r>
          <rPr>
            <b/>
            <sz val="9"/>
            <color indexed="81"/>
            <rFont val="Tahoma"/>
            <family val="2"/>
          </rPr>
          <t>Sistema de Calidad:
MOD 23-07-2021 DV
ACT Patrón TEC-LAB-MP-05</t>
        </r>
      </text>
    </comment>
    <comment ref="P125" authorId="0" shapeId="0" xr:uid="{0561FDA1-6AC2-42D4-A998-AB2816403FD5}">
      <text>
        <r>
          <rPr>
            <b/>
            <sz val="9"/>
            <color indexed="81"/>
            <rFont val="Tahoma"/>
            <family val="2"/>
          </rPr>
          <t>Diego Vera:</t>
        </r>
        <r>
          <rPr>
            <sz val="9"/>
            <color indexed="81"/>
            <rFont val="Tahoma"/>
            <family val="2"/>
          </rPr>
          <t xml:space="preserve">
Sistema de Calidad:
Incertidumbre con dos cifras significativas en todas las celdas </t>
        </r>
      </text>
    </comment>
    <comment ref="Z126" authorId="0" shapeId="0" xr:uid="{EE248075-D159-4183-A18D-75BA71DBEF88}">
      <text>
        <r>
          <rPr>
            <b/>
            <sz val="9"/>
            <color indexed="81"/>
            <rFont val="Tahoma"/>
            <family val="2"/>
          </rPr>
          <t>Diego Vera:</t>
        </r>
        <r>
          <rPr>
            <sz val="9"/>
            <color indexed="81"/>
            <rFont val="Tahoma"/>
            <family val="2"/>
          </rPr>
          <t xml:space="preserve">
Sistema de Calidad:
Colocar el las cifras significativas de la incertidumbre </t>
        </r>
      </text>
    </comment>
    <comment ref="AG142" authorId="0" shapeId="0" xr:uid="{1317E9A4-D558-4733-9DB0-98DE59414B56}">
      <text>
        <r>
          <rPr>
            <b/>
            <sz val="9"/>
            <color indexed="81"/>
            <rFont val="Tahoma"/>
            <family val="2"/>
          </rPr>
          <t xml:space="preserve">Diego Vera:
◄   </t>
        </r>
        <r>
          <rPr>
            <sz val="9"/>
            <color indexed="81"/>
            <rFont val="Tahoma"/>
            <family val="2"/>
          </rPr>
          <t>Datos Confirmacion CMC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author>
    <author>Orlando</author>
    <author>Usuario de Windows</author>
    <author>Ximena</author>
    <author>Ingrid Montealegre</author>
  </authors>
  <commentList>
    <comment ref="BV5" authorId="0" shapeId="0" xr:uid="{A9E5FB48-39E7-43CB-A811-124019A430EB}">
      <text>
        <r>
          <rPr>
            <b/>
            <sz val="9"/>
            <color indexed="81"/>
            <rFont val="Tahoma"/>
            <family val="2"/>
          </rPr>
          <t>Tomado del Apendice E1 GUIA EMA</t>
        </r>
      </text>
    </comment>
    <comment ref="BV6" authorId="0" shapeId="0" xr:uid="{5B2ABEDA-E2AE-4728-AFAA-C05F96F1EDE7}">
      <text>
        <r>
          <rPr>
            <b/>
            <sz val="9"/>
            <color indexed="81"/>
            <rFont val="Tahoma"/>
            <family val="2"/>
          </rPr>
          <t>Tomado del Apendice E1 GUIA EMA</t>
        </r>
      </text>
    </comment>
    <comment ref="G13" authorId="1" shapeId="0" xr:uid="{00000000-0006-0000-0300-000001000000}">
      <text>
        <r>
          <rPr>
            <b/>
            <sz val="9"/>
            <color indexed="81"/>
            <rFont val="Tahoma"/>
            <family val="2"/>
          </rPr>
          <t>Orlando:</t>
        </r>
        <r>
          <rPr>
            <sz val="9"/>
            <color indexed="81"/>
            <rFont val="Tahoma"/>
            <family val="2"/>
          </rPr>
          <t xml:space="preserve">
Uestandar</t>
        </r>
      </text>
    </comment>
    <comment ref="G16" authorId="1" shapeId="0" xr:uid="{00000000-0006-0000-0300-000002000000}">
      <text>
        <r>
          <rPr>
            <b/>
            <sz val="9"/>
            <color indexed="81"/>
            <rFont val="Tahoma"/>
            <family val="2"/>
          </rPr>
          <t>Orlando:</t>
        </r>
        <r>
          <rPr>
            <sz val="9"/>
            <color indexed="81"/>
            <rFont val="Tahoma"/>
            <family val="2"/>
          </rPr>
          <t xml:space="preserve">
Uestandar</t>
        </r>
      </text>
    </comment>
    <comment ref="G19" authorId="1" shapeId="0" xr:uid="{00000000-0006-0000-0300-000003000000}">
      <text>
        <r>
          <rPr>
            <b/>
            <sz val="9"/>
            <color indexed="81"/>
            <rFont val="Tahoma"/>
            <family val="2"/>
          </rPr>
          <t>Orlando:</t>
        </r>
        <r>
          <rPr>
            <sz val="9"/>
            <color indexed="81"/>
            <rFont val="Tahoma"/>
            <family val="2"/>
          </rPr>
          <t xml:space="preserve">
Uestandar</t>
        </r>
      </text>
    </comment>
    <comment ref="G22" authorId="1" shapeId="0" xr:uid="{00000000-0006-0000-0300-000004000000}">
      <text>
        <r>
          <rPr>
            <b/>
            <sz val="9"/>
            <color indexed="81"/>
            <rFont val="Tahoma"/>
            <family val="2"/>
          </rPr>
          <t>Orlando:</t>
        </r>
        <r>
          <rPr>
            <sz val="9"/>
            <color indexed="81"/>
            <rFont val="Tahoma"/>
            <family val="2"/>
          </rPr>
          <t xml:space="preserve">
Uestandar</t>
        </r>
      </text>
    </comment>
    <comment ref="F23" authorId="2" shapeId="0" xr:uid="{00000000-0006-0000-0300-000005000000}">
      <text>
        <r>
          <rPr>
            <b/>
            <sz val="18"/>
            <color indexed="81"/>
            <rFont val="Tahoma"/>
            <family val="2"/>
          </rPr>
          <t>Usuario de Windows:</t>
        </r>
        <r>
          <rPr>
            <sz val="18"/>
            <color indexed="81"/>
            <rFont val="Tahoma"/>
            <family val="2"/>
          </rPr>
          <t xml:space="preserve">
Masa convencioanl</t>
        </r>
      </text>
    </comment>
    <comment ref="G25" authorId="1" shapeId="0" xr:uid="{00000000-0006-0000-0300-000006000000}">
      <text>
        <r>
          <rPr>
            <b/>
            <sz val="9"/>
            <color indexed="81"/>
            <rFont val="Tahoma"/>
            <family val="2"/>
          </rPr>
          <t>Orlando:</t>
        </r>
        <r>
          <rPr>
            <sz val="9"/>
            <color indexed="81"/>
            <rFont val="Tahoma"/>
            <family val="2"/>
          </rPr>
          <t xml:space="preserve">
Uestandar</t>
        </r>
      </text>
    </comment>
    <comment ref="F26" authorId="2" shapeId="0" xr:uid="{00000000-0006-0000-0300-000007000000}">
      <text>
        <r>
          <rPr>
            <b/>
            <sz val="14"/>
            <color indexed="81"/>
            <rFont val="Tahoma"/>
            <family val="2"/>
          </rPr>
          <t>Usuario de Windows:</t>
        </r>
        <r>
          <rPr>
            <sz val="14"/>
            <color indexed="81"/>
            <rFont val="Tahoma"/>
            <family val="2"/>
          </rPr>
          <t xml:space="preserve">
Masa convencioanl</t>
        </r>
      </text>
    </comment>
    <comment ref="G28" authorId="1" shapeId="0" xr:uid="{00000000-0006-0000-0300-000008000000}">
      <text>
        <r>
          <rPr>
            <b/>
            <sz val="9"/>
            <color indexed="81"/>
            <rFont val="Tahoma"/>
            <family val="2"/>
          </rPr>
          <t>Orlando:</t>
        </r>
        <r>
          <rPr>
            <sz val="9"/>
            <color indexed="81"/>
            <rFont val="Tahoma"/>
            <family val="2"/>
          </rPr>
          <t xml:space="preserve">
Uestandar</t>
        </r>
      </text>
    </comment>
    <comment ref="BR28" authorId="3" shapeId="0" xr:uid="{93A2961B-0104-4DC6-BE85-27B61938C0A7}">
      <text>
        <r>
          <rPr>
            <b/>
            <sz val="9"/>
            <color indexed="81"/>
            <rFont val="Tahoma"/>
            <family val="2"/>
          </rPr>
          <t>Se debe colocar para cada Carga aplicada el MEP.</t>
        </r>
        <r>
          <rPr>
            <sz val="9"/>
            <color indexed="81"/>
            <rFont val="Tahoma"/>
            <family val="2"/>
          </rPr>
          <t xml:space="preserve">
Corresponde a la sumatoria de los MEP de cada masa individual que conforma la carga aplicada</t>
        </r>
      </text>
    </comment>
    <comment ref="G31" authorId="1" shapeId="0" xr:uid="{600440E0-4CE9-407E-80F8-EDB68131AC5F}">
      <text>
        <r>
          <rPr>
            <b/>
            <sz val="9"/>
            <color indexed="81"/>
            <rFont val="Tahoma"/>
            <family val="2"/>
          </rPr>
          <t>Orlando:</t>
        </r>
        <r>
          <rPr>
            <sz val="9"/>
            <color indexed="81"/>
            <rFont val="Tahoma"/>
            <family val="2"/>
          </rPr>
          <t xml:space="preserve">
Uestandar</t>
        </r>
      </text>
    </comment>
    <comment ref="F32" authorId="0" shapeId="0" xr:uid="{00000000-0006-0000-0300-000009000000}">
      <text>
        <r>
          <rPr>
            <b/>
            <sz val="9"/>
            <color indexed="81"/>
            <rFont val="Tahoma"/>
            <family val="2"/>
          </rPr>
          <t>usuario:</t>
        </r>
        <r>
          <rPr>
            <sz val="9"/>
            <color indexed="81"/>
            <rFont val="Tahoma"/>
            <family val="2"/>
          </rPr>
          <t xml:space="preserve">
Debido a  que se realiza  el ajuste con las misma pesa  que se calibra, la contribucción se limita a la contribucción de las  masas  patrón ya que las  derivadas  se  hacen cero en el caso de la  densidad del aire, densidad de pesas patron.
Para calibraciones del caso B1, la incertidumbre relativa  ) es menor que 5 mg/kg para todos los materiales, excepto para el aluminio pagina 68 de 93
Guía Técnica de Trazabilidad Metrológica e Incertidumbre de Medida en la Magnitud de Masa para
Calibración de Instrumentos para Pesar de Funcionamiento No Automático / diciembre 2012
Fecha de emisión 2012-12-11, fecha de entrada en vigor 2013-01-01, revisión 01
</t>
        </r>
      </text>
    </comment>
    <comment ref="G33" authorId="1" shapeId="0" xr:uid="{00000000-0006-0000-0300-00000A000000}">
      <text>
        <r>
          <rPr>
            <b/>
            <sz val="9"/>
            <color indexed="81"/>
            <rFont val="Tahoma"/>
            <family val="2"/>
          </rPr>
          <t>Orlando:</t>
        </r>
        <r>
          <rPr>
            <sz val="9"/>
            <color indexed="81"/>
            <rFont val="Tahoma"/>
            <family val="2"/>
          </rPr>
          <t xml:space="preserve">
Uestandar</t>
        </r>
      </text>
    </comment>
    <comment ref="G36" authorId="1" shapeId="0" xr:uid="{00000000-0006-0000-0300-00000B000000}">
      <text>
        <r>
          <rPr>
            <b/>
            <sz val="9"/>
            <color indexed="81"/>
            <rFont val="Tahoma"/>
            <family val="2"/>
          </rPr>
          <t>Orlando:</t>
        </r>
        <r>
          <rPr>
            <sz val="9"/>
            <color indexed="81"/>
            <rFont val="Tahoma"/>
            <family val="2"/>
          </rPr>
          <t xml:space="preserve">
Uestandar</t>
        </r>
      </text>
    </comment>
    <comment ref="A37" authorId="4" shapeId="0" xr:uid="{00000000-0006-0000-0300-00000C000000}">
      <text>
        <r>
          <rPr>
            <b/>
            <sz val="9"/>
            <color indexed="81"/>
            <rFont val="Tahoma"/>
            <family val="2"/>
          </rPr>
          <t>Ingrid Montealegre:</t>
        </r>
        <r>
          <rPr>
            <sz val="9"/>
            <color indexed="81"/>
            <rFont val="Tahoma"/>
            <family val="2"/>
          </rPr>
          <t xml:space="preserve">
UC</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author>
    <author>Ximena</author>
  </authors>
  <commentList>
    <comment ref="F7" authorId="0" shapeId="0" xr:uid="{00000000-0006-0000-0400-000001000000}">
      <text>
        <r>
          <rPr>
            <b/>
            <sz val="9"/>
            <color indexed="81"/>
            <rFont val="Tahoma"/>
            <family val="2"/>
          </rPr>
          <t>Tomado del Apendice E1 GUIA EMA</t>
        </r>
      </text>
    </comment>
    <comment ref="F8" authorId="0" shapeId="0" xr:uid="{00000000-0006-0000-0400-000002000000}">
      <text>
        <r>
          <rPr>
            <b/>
            <sz val="9"/>
            <color indexed="81"/>
            <rFont val="Tahoma"/>
            <family val="2"/>
          </rPr>
          <t>Tomado del Apendice E1 GUIA EMA</t>
        </r>
      </text>
    </comment>
    <comment ref="B30" authorId="1" shapeId="0" xr:uid="{00000000-0006-0000-0400-000003000000}">
      <text>
        <r>
          <rPr>
            <b/>
            <sz val="9"/>
            <color indexed="81"/>
            <rFont val="Tahoma"/>
            <family val="2"/>
          </rPr>
          <t>Se debe colocar para cada Carga aplicada el MEP.</t>
        </r>
        <r>
          <rPr>
            <sz val="9"/>
            <color indexed="81"/>
            <rFont val="Tahoma"/>
            <family val="2"/>
          </rPr>
          <t xml:space="preserve">
Corresponde a la sumatoria de los MEP de cada masa individual que conforma la carga aplicada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Ingrid Montealegre</author>
    <author>usuario</author>
  </authors>
  <commentList>
    <comment ref="Z6" authorId="0" shapeId="0" xr:uid="{00000000-0006-0000-0500-000001000000}">
      <text>
        <r>
          <rPr>
            <b/>
            <sz val="9"/>
            <color indexed="81"/>
            <rFont val="Tahoma"/>
            <family val="2"/>
          </rPr>
          <t>Tecservice:</t>
        </r>
        <r>
          <rPr>
            <sz val="9"/>
            <color indexed="81"/>
            <rFont val="Tahoma"/>
            <family val="2"/>
          </rPr>
          <t xml:space="preserve">
Registrar la fecha AÑO/MES/DIA</t>
        </r>
      </text>
    </comment>
    <comment ref="X10" authorId="0" shapeId="0" xr:uid="{00000000-0006-0000-0500-000002000000}">
      <text>
        <r>
          <rPr>
            <b/>
            <sz val="9"/>
            <color indexed="81"/>
            <rFont val="Tahoma"/>
            <family val="2"/>
          </rPr>
          <t>Tecservice:</t>
        </r>
        <r>
          <rPr>
            <sz val="9"/>
            <color indexed="81"/>
            <rFont val="Tahoma"/>
            <family val="2"/>
          </rPr>
          <t xml:space="preserve">
Registrar ciudad, país</t>
        </r>
      </text>
    </comment>
    <comment ref="F67" authorId="1" shapeId="0" xr:uid="{00000000-0006-0000-0500-000003000000}">
      <text>
        <r>
          <rPr>
            <b/>
            <sz val="9"/>
            <color indexed="81"/>
            <rFont val="Tahoma"/>
            <family val="2"/>
          </rPr>
          <t>usuario:</t>
        </r>
        <r>
          <rPr>
            <sz val="9"/>
            <color indexed="81"/>
            <rFont val="Tahoma"/>
            <family val="2"/>
          </rPr>
          <t xml:space="preserve">
Ingresar los dos  ultimos
 numero del código</t>
        </r>
      </text>
    </comment>
    <comment ref="V67" authorId="1" shapeId="0" xr:uid="{00000000-0006-0000-0500-000004000000}">
      <text>
        <r>
          <rPr>
            <b/>
            <sz val="9"/>
            <color indexed="81"/>
            <rFont val="Tahoma"/>
            <family val="2"/>
          </rPr>
          <t>usuario:</t>
        </r>
        <r>
          <rPr>
            <sz val="9"/>
            <color indexed="81"/>
            <rFont val="Tahoma"/>
            <family val="2"/>
          </rPr>
          <t xml:space="preserve">
Ingresar los dos  ultimos
 numero del código</t>
        </r>
      </text>
    </comment>
    <comment ref="F68" authorId="1" shapeId="0" xr:uid="{00000000-0006-0000-0500-000005000000}">
      <text>
        <r>
          <rPr>
            <b/>
            <sz val="9"/>
            <color indexed="81"/>
            <rFont val="Tahoma"/>
            <family val="2"/>
          </rPr>
          <t>usuario:</t>
        </r>
        <r>
          <rPr>
            <sz val="9"/>
            <color indexed="81"/>
            <rFont val="Tahoma"/>
            <family val="2"/>
          </rPr>
          <t xml:space="preserve">
Ingresar el ultimo numero del código</t>
        </r>
      </text>
    </comment>
    <comment ref="V68" authorId="1" shapeId="0" xr:uid="{00000000-0006-0000-0500-000006000000}">
      <text>
        <r>
          <rPr>
            <b/>
            <sz val="9"/>
            <color indexed="81"/>
            <rFont val="Tahoma"/>
            <family val="2"/>
          </rPr>
          <t>usuario:</t>
        </r>
        <r>
          <rPr>
            <sz val="9"/>
            <color indexed="81"/>
            <rFont val="Tahoma"/>
            <family val="2"/>
          </rPr>
          <t xml:space="preserve">
Ingresar el ultimo numero del código</t>
        </r>
      </text>
    </comment>
    <comment ref="F69" authorId="1" shapeId="0" xr:uid="{00000000-0006-0000-0500-000007000000}">
      <text>
        <r>
          <rPr>
            <b/>
            <sz val="9"/>
            <color indexed="81"/>
            <rFont val="Tahoma"/>
            <family val="2"/>
          </rPr>
          <t>usuario:</t>
        </r>
        <r>
          <rPr>
            <sz val="9"/>
            <color indexed="81"/>
            <rFont val="Tahoma"/>
            <family val="2"/>
          </rPr>
          <t xml:space="preserve">
Ingresar el ultimo numero del código</t>
        </r>
      </text>
    </comment>
    <comment ref="V69" authorId="1" shapeId="0" xr:uid="{00000000-0006-0000-0500-000008000000}">
      <text>
        <r>
          <rPr>
            <b/>
            <sz val="9"/>
            <color indexed="81"/>
            <rFont val="Tahoma"/>
            <family val="2"/>
          </rPr>
          <t>usuario:</t>
        </r>
        <r>
          <rPr>
            <sz val="9"/>
            <color indexed="81"/>
            <rFont val="Tahoma"/>
            <family val="2"/>
          </rPr>
          <t xml:space="preserve">
Ingresar el ultimo numero del código</t>
        </r>
      </text>
    </comment>
    <comment ref="F70" authorId="1" shapeId="0" xr:uid="{00000000-0006-0000-0500-000009000000}">
      <text>
        <r>
          <rPr>
            <b/>
            <sz val="9"/>
            <color indexed="81"/>
            <rFont val="Tahoma"/>
            <family val="2"/>
          </rPr>
          <t>usuario:</t>
        </r>
        <r>
          <rPr>
            <sz val="9"/>
            <color indexed="81"/>
            <rFont val="Tahoma"/>
            <family val="2"/>
          </rPr>
          <t xml:space="preserve">
Ingresar el ultimo numero del código</t>
        </r>
      </text>
    </comment>
    <comment ref="V70" authorId="1" shapeId="0" xr:uid="{00000000-0006-0000-0500-00000A000000}">
      <text>
        <r>
          <rPr>
            <b/>
            <sz val="9"/>
            <color indexed="81"/>
            <rFont val="Tahoma"/>
            <family val="2"/>
          </rPr>
          <t>usuario:</t>
        </r>
        <r>
          <rPr>
            <sz val="9"/>
            <color indexed="81"/>
            <rFont val="Tahoma"/>
            <family val="2"/>
          </rPr>
          <t xml:space="preserve">
Ingresar el ultimo numero del código</t>
        </r>
      </text>
    </comment>
    <comment ref="F72" authorId="1" shapeId="0" xr:uid="{00000000-0006-0000-0500-00000B000000}">
      <text>
        <r>
          <rPr>
            <b/>
            <sz val="9"/>
            <color indexed="81"/>
            <rFont val="Tahoma"/>
            <family val="2"/>
          </rPr>
          <t>usuario:</t>
        </r>
        <r>
          <rPr>
            <sz val="9"/>
            <color indexed="81"/>
            <rFont val="Tahoma"/>
            <family val="2"/>
          </rPr>
          <t xml:space="preserve">
Ingresar los dos  ultimos
 numero del código</t>
        </r>
      </text>
    </comment>
    <comment ref="V72" authorId="1" shapeId="0" xr:uid="{00000000-0006-0000-0500-00000C000000}">
      <text>
        <r>
          <rPr>
            <b/>
            <sz val="9"/>
            <color indexed="81"/>
            <rFont val="Tahoma"/>
            <family val="2"/>
          </rPr>
          <t>usuario:</t>
        </r>
        <r>
          <rPr>
            <sz val="9"/>
            <color indexed="81"/>
            <rFont val="Tahoma"/>
            <family val="2"/>
          </rPr>
          <t xml:space="preserve">
Ingresar los dos  ultimos
 numero del código</t>
        </r>
      </text>
    </comment>
    <comment ref="F73" authorId="1" shapeId="0" xr:uid="{00000000-0006-0000-0500-00000D000000}">
      <text>
        <r>
          <rPr>
            <b/>
            <sz val="9"/>
            <color indexed="81"/>
            <rFont val="Tahoma"/>
            <family val="2"/>
          </rPr>
          <t>usuario:</t>
        </r>
        <r>
          <rPr>
            <sz val="9"/>
            <color indexed="81"/>
            <rFont val="Tahoma"/>
            <family val="2"/>
          </rPr>
          <t xml:space="preserve">
Ingresar el ultimo numero del código</t>
        </r>
      </text>
    </comment>
    <comment ref="V73" authorId="1" shapeId="0" xr:uid="{00000000-0006-0000-0500-00000E000000}">
      <text>
        <r>
          <rPr>
            <b/>
            <sz val="9"/>
            <color indexed="81"/>
            <rFont val="Tahoma"/>
            <family val="2"/>
          </rPr>
          <t>usuario:</t>
        </r>
        <r>
          <rPr>
            <sz val="9"/>
            <color indexed="81"/>
            <rFont val="Tahoma"/>
            <family val="2"/>
          </rPr>
          <t xml:space="preserve">
Ingresar el ultimo numero del código</t>
        </r>
      </text>
    </comment>
    <comment ref="F74" authorId="1" shapeId="0" xr:uid="{00000000-0006-0000-0500-00000F000000}">
      <text>
        <r>
          <rPr>
            <b/>
            <sz val="9"/>
            <color indexed="81"/>
            <rFont val="Tahoma"/>
            <family val="2"/>
          </rPr>
          <t>usuario:</t>
        </r>
        <r>
          <rPr>
            <sz val="9"/>
            <color indexed="81"/>
            <rFont val="Tahoma"/>
            <family val="2"/>
          </rPr>
          <t xml:space="preserve">
Ingresar el ultimo numero del código</t>
        </r>
      </text>
    </comment>
    <comment ref="V74" authorId="1" shapeId="0" xr:uid="{00000000-0006-0000-0500-000010000000}">
      <text>
        <r>
          <rPr>
            <b/>
            <sz val="9"/>
            <color indexed="81"/>
            <rFont val="Tahoma"/>
            <family val="2"/>
          </rPr>
          <t>usuario:</t>
        </r>
        <r>
          <rPr>
            <sz val="9"/>
            <color indexed="81"/>
            <rFont val="Tahoma"/>
            <family val="2"/>
          </rPr>
          <t xml:space="preserve">
Ingresar el ultimo numero del código</t>
        </r>
      </text>
    </comment>
    <comment ref="F75" authorId="1" shapeId="0" xr:uid="{00000000-0006-0000-0500-000011000000}">
      <text>
        <r>
          <rPr>
            <b/>
            <sz val="9"/>
            <color indexed="81"/>
            <rFont val="Tahoma"/>
            <family val="2"/>
          </rPr>
          <t>usuario:</t>
        </r>
        <r>
          <rPr>
            <sz val="9"/>
            <color indexed="81"/>
            <rFont val="Tahoma"/>
            <family val="2"/>
          </rPr>
          <t xml:space="preserve">
Ingresar el ultimo numero del código</t>
        </r>
      </text>
    </comment>
    <comment ref="V75" authorId="1" shapeId="0" xr:uid="{00000000-0006-0000-0500-000012000000}">
      <text>
        <r>
          <rPr>
            <b/>
            <sz val="9"/>
            <color indexed="81"/>
            <rFont val="Tahoma"/>
            <family val="2"/>
          </rPr>
          <t>usuario:</t>
        </r>
        <r>
          <rPr>
            <sz val="9"/>
            <color indexed="81"/>
            <rFont val="Tahoma"/>
            <family val="2"/>
          </rPr>
          <t xml:space="preserve">
Ingresar el ultimo numero del código</t>
        </r>
      </text>
    </comment>
    <comment ref="F77" authorId="1" shapeId="0" xr:uid="{00000000-0006-0000-0500-000013000000}">
      <text>
        <r>
          <rPr>
            <b/>
            <sz val="9"/>
            <color indexed="81"/>
            <rFont val="Tahoma"/>
            <family val="2"/>
          </rPr>
          <t>usuario:</t>
        </r>
        <r>
          <rPr>
            <sz val="9"/>
            <color indexed="81"/>
            <rFont val="Tahoma"/>
            <family val="2"/>
          </rPr>
          <t xml:space="preserve">
Ingresar los dos  ultimos
 numero del código</t>
        </r>
      </text>
    </comment>
    <comment ref="V77" authorId="1" shapeId="0" xr:uid="{00000000-0006-0000-0500-000014000000}">
      <text>
        <r>
          <rPr>
            <b/>
            <sz val="9"/>
            <color indexed="81"/>
            <rFont val="Tahoma"/>
            <family val="2"/>
          </rPr>
          <t>usuario:</t>
        </r>
        <r>
          <rPr>
            <sz val="9"/>
            <color indexed="81"/>
            <rFont val="Tahoma"/>
            <family val="2"/>
          </rPr>
          <t xml:space="preserve">
Ingresar los dos  ultimos
 numero del código</t>
        </r>
      </text>
    </comment>
    <comment ref="F78" authorId="1" shapeId="0" xr:uid="{00000000-0006-0000-0500-000015000000}">
      <text>
        <r>
          <rPr>
            <b/>
            <sz val="9"/>
            <color indexed="81"/>
            <rFont val="Tahoma"/>
            <family val="2"/>
          </rPr>
          <t>usuario:</t>
        </r>
        <r>
          <rPr>
            <sz val="9"/>
            <color indexed="81"/>
            <rFont val="Tahoma"/>
            <family val="2"/>
          </rPr>
          <t xml:space="preserve">
Ingresar el ultimo numero del código</t>
        </r>
      </text>
    </comment>
    <comment ref="V78" authorId="1" shapeId="0" xr:uid="{00000000-0006-0000-0500-000016000000}">
      <text>
        <r>
          <rPr>
            <b/>
            <sz val="9"/>
            <color indexed="81"/>
            <rFont val="Tahoma"/>
            <family val="2"/>
          </rPr>
          <t>usuario:</t>
        </r>
        <r>
          <rPr>
            <sz val="9"/>
            <color indexed="81"/>
            <rFont val="Tahoma"/>
            <family val="2"/>
          </rPr>
          <t xml:space="preserve">
Ingresar el ultimo numero del código</t>
        </r>
      </text>
    </comment>
    <comment ref="F79" authorId="1" shapeId="0" xr:uid="{00000000-0006-0000-0500-000017000000}">
      <text>
        <r>
          <rPr>
            <b/>
            <sz val="9"/>
            <color indexed="81"/>
            <rFont val="Tahoma"/>
            <family val="2"/>
          </rPr>
          <t>usuario:</t>
        </r>
        <r>
          <rPr>
            <sz val="9"/>
            <color indexed="81"/>
            <rFont val="Tahoma"/>
            <family val="2"/>
          </rPr>
          <t xml:space="preserve">
Ingresar el ultimo numero del código</t>
        </r>
      </text>
    </comment>
    <comment ref="V79" authorId="1" shapeId="0" xr:uid="{00000000-0006-0000-0500-000018000000}">
      <text>
        <r>
          <rPr>
            <b/>
            <sz val="9"/>
            <color indexed="81"/>
            <rFont val="Tahoma"/>
            <family val="2"/>
          </rPr>
          <t>usuario:</t>
        </r>
        <r>
          <rPr>
            <sz val="9"/>
            <color indexed="81"/>
            <rFont val="Tahoma"/>
            <family val="2"/>
          </rPr>
          <t xml:space="preserve">
Ingresar el ultimo numero del código</t>
        </r>
      </text>
    </comment>
    <comment ref="F80" authorId="1" shapeId="0" xr:uid="{00000000-0006-0000-0500-000019000000}">
      <text>
        <r>
          <rPr>
            <b/>
            <sz val="9"/>
            <color indexed="81"/>
            <rFont val="Tahoma"/>
            <family val="2"/>
          </rPr>
          <t>usuario:</t>
        </r>
        <r>
          <rPr>
            <sz val="9"/>
            <color indexed="81"/>
            <rFont val="Tahoma"/>
            <family val="2"/>
          </rPr>
          <t xml:space="preserve">
Ingresar el ultimo numero del código</t>
        </r>
      </text>
    </comment>
    <comment ref="V80" authorId="1" shapeId="0" xr:uid="{00000000-0006-0000-0500-00001A000000}">
      <text>
        <r>
          <rPr>
            <b/>
            <sz val="9"/>
            <color indexed="81"/>
            <rFont val="Tahoma"/>
            <family val="2"/>
          </rPr>
          <t>usuario:</t>
        </r>
        <r>
          <rPr>
            <sz val="9"/>
            <color indexed="81"/>
            <rFont val="Tahoma"/>
            <family val="2"/>
          </rPr>
          <t xml:space="preserve">
Ingresar el ultimo numero del código</t>
        </r>
      </text>
    </comment>
    <comment ref="F82" authorId="1" shapeId="0" xr:uid="{00000000-0006-0000-0500-00001B000000}">
      <text>
        <r>
          <rPr>
            <b/>
            <sz val="9"/>
            <color indexed="81"/>
            <rFont val="Tahoma"/>
            <family val="2"/>
          </rPr>
          <t>usuario:</t>
        </r>
        <r>
          <rPr>
            <sz val="9"/>
            <color indexed="81"/>
            <rFont val="Tahoma"/>
            <family val="2"/>
          </rPr>
          <t xml:space="preserve">
Ingresar los dos  ultimos
 numero del código</t>
        </r>
      </text>
    </comment>
    <comment ref="V82" authorId="1" shapeId="0" xr:uid="{00000000-0006-0000-0500-00001C000000}">
      <text>
        <r>
          <rPr>
            <b/>
            <sz val="9"/>
            <color indexed="81"/>
            <rFont val="Tahoma"/>
            <family val="2"/>
          </rPr>
          <t>usuario:</t>
        </r>
        <r>
          <rPr>
            <sz val="9"/>
            <color indexed="81"/>
            <rFont val="Tahoma"/>
            <family val="2"/>
          </rPr>
          <t xml:space="preserve">
Ingresar los dos  ultimos
 numero del código</t>
        </r>
      </text>
    </comment>
    <comment ref="F83" authorId="1" shapeId="0" xr:uid="{00000000-0006-0000-0500-00001D000000}">
      <text>
        <r>
          <rPr>
            <b/>
            <sz val="9"/>
            <color indexed="81"/>
            <rFont val="Tahoma"/>
            <family val="2"/>
          </rPr>
          <t>usuario:</t>
        </r>
        <r>
          <rPr>
            <sz val="9"/>
            <color indexed="81"/>
            <rFont val="Tahoma"/>
            <family val="2"/>
          </rPr>
          <t xml:space="preserve">
Ingresar el ultimo numero del código</t>
        </r>
      </text>
    </comment>
    <comment ref="V83" authorId="1" shapeId="0" xr:uid="{00000000-0006-0000-0500-00001E000000}">
      <text>
        <r>
          <rPr>
            <b/>
            <sz val="9"/>
            <color indexed="81"/>
            <rFont val="Tahoma"/>
            <family val="2"/>
          </rPr>
          <t>usuario:</t>
        </r>
        <r>
          <rPr>
            <sz val="9"/>
            <color indexed="81"/>
            <rFont val="Tahoma"/>
            <family val="2"/>
          </rPr>
          <t xml:space="preserve">
Ingresar el ultimo numero del código</t>
        </r>
      </text>
    </comment>
    <comment ref="F84" authorId="1" shapeId="0" xr:uid="{00000000-0006-0000-0500-00001F000000}">
      <text>
        <r>
          <rPr>
            <b/>
            <sz val="9"/>
            <color indexed="81"/>
            <rFont val="Tahoma"/>
            <family val="2"/>
          </rPr>
          <t>usuario:</t>
        </r>
        <r>
          <rPr>
            <sz val="9"/>
            <color indexed="81"/>
            <rFont val="Tahoma"/>
            <family val="2"/>
          </rPr>
          <t xml:space="preserve">
Ingresar el ultimo numero del código</t>
        </r>
      </text>
    </comment>
    <comment ref="V84" authorId="1" shapeId="0" xr:uid="{00000000-0006-0000-0500-000020000000}">
      <text>
        <r>
          <rPr>
            <b/>
            <sz val="9"/>
            <color indexed="81"/>
            <rFont val="Tahoma"/>
            <family val="2"/>
          </rPr>
          <t>usuario:</t>
        </r>
        <r>
          <rPr>
            <sz val="9"/>
            <color indexed="81"/>
            <rFont val="Tahoma"/>
            <family val="2"/>
          </rPr>
          <t xml:space="preserve">
Ingresar el ultimo numero del código</t>
        </r>
      </text>
    </comment>
    <comment ref="F85" authorId="1" shapeId="0" xr:uid="{00000000-0006-0000-0500-000021000000}">
      <text>
        <r>
          <rPr>
            <b/>
            <sz val="9"/>
            <color indexed="81"/>
            <rFont val="Tahoma"/>
            <family val="2"/>
          </rPr>
          <t>usuario:</t>
        </r>
        <r>
          <rPr>
            <sz val="9"/>
            <color indexed="81"/>
            <rFont val="Tahoma"/>
            <family val="2"/>
          </rPr>
          <t xml:space="preserve">
Ingresar el ultimo numero del código</t>
        </r>
      </text>
    </comment>
    <comment ref="V85" authorId="1" shapeId="0" xr:uid="{00000000-0006-0000-0500-000022000000}">
      <text>
        <r>
          <rPr>
            <b/>
            <sz val="9"/>
            <color indexed="81"/>
            <rFont val="Tahoma"/>
            <family val="2"/>
          </rPr>
          <t>usuario:</t>
        </r>
        <r>
          <rPr>
            <sz val="9"/>
            <color indexed="81"/>
            <rFont val="Tahoma"/>
            <family val="2"/>
          </rPr>
          <t xml:space="preserve">
Ingresar el ultimo numero del código</t>
        </r>
      </text>
    </comment>
    <comment ref="F87" authorId="1" shapeId="0" xr:uid="{00000000-0006-0000-0500-000023000000}">
      <text>
        <r>
          <rPr>
            <b/>
            <sz val="9"/>
            <color indexed="81"/>
            <rFont val="Tahoma"/>
            <family val="2"/>
          </rPr>
          <t>usuario:</t>
        </r>
        <r>
          <rPr>
            <sz val="9"/>
            <color indexed="81"/>
            <rFont val="Tahoma"/>
            <family val="2"/>
          </rPr>
          <t xml:space="preserve">
Ingresar los dos  ultimos
 numero del código</t>
        </r>
      </text>
    </comment>
    <comment ref="V87" authorId="1" shapeId="0" xr:uid="{00000000-0006-0000-0500-000024000000}">
      <text>
        <r>
          <rPr>
            <b/>
            <sz val="9"/>
            <color indexed="81"/>
            <rFont val="Tahoma"/>
            <family val="2"/>
          </rPr>
          <t>usuario:</t>
        </r>
        <r>
          <rPr>
            <sz val="9"/>
            <color indexed="81"/>
            <rFont val="Tahoma"/>
            <family val="2"/>
          </rPr>
          <t xml:space="preserve">
Ingresar los dos  ultimos
 numero del código</t>
        </r>
      </text>
    </comment>
    <comment ref="F88" authorId="1" shapeId="0" xr:uid="{00000000-0006-0000-0500-000025000000}">
      <text>
        <r>
          <rPr>
            <b/>
            <sz val="9"/>
            <color indexed="81"/>
            <rFont val="Tahoma"/>
            <family val="2"/>
          </rPr>
          <t>usuario:</t>
        </r>
        <r>
          <rPr>
            <sz val="9"/>
            <color indexed="81"/>
            <rFont val="Tahoma"/>
            <family val="2"/>
          </rPr>
          <t xml:space="preserve">
Ingresar el ultimo numero del código</t>
        </r>
      </text>
    </comment>
    <comment ref="V88" authorId="1" shapeId="0" xr:uid="{00000000-0006-0000-0500-000026000000}">
      <text>
        <r>
          <rPr>
            <b/>
            <sz val="9"/>
            <color indexed="81"/>
            <rFont val="Tahoma"/>
            <family val="2"/>
          </rPr>
          <t>usuario:</t>
        </r>
        <r>
          <rPr>
            <sz val="9"/>
            <color indexed="81"/>
            <rFont val="Tahoma"/>
            <family val="2"/>
          </rPr>
          <t xml:space="preserve">
Ingresar el ultimo numero del código</t>
        </r>
      </text>
    </comment>
    <comment ref="F89" authorId="1" shapeId="0" xr:uid="{00000000-0006-0000-0500-000027000000}">
      <text>
        <r>
          <rPr>
            <b/>
            <sz val="9"/>
            <color indexed="81"/>
            <rFont val="Tahoma"/>
            <family val="2"/>
          </rPr>
          <t>usuario:</t>
        </r>
        <r>
          <rPr>
            <sz val="9"/>
            <color indexed="81"/>
            <rFont val="Tahoma"/>
            <family val="2"/>
          </rPr>
          <t xml:space="preserve">
Ingresar el ultimo numero del código</t>
        </r>
      </text>
    </comment>
    <comment ref="V89" authorId="1" shapeId="0" xr:uid="{00000000-0006-0000-0500-000028000000}">
      <text>
        <r>
          <rPr>
            <b/>
            <sz val="9"/>
            <color indexed="81"/>
            <rFont val="Tahoma"/>
            <family val="2"/>
          </rPr>
          <t>usuario:</t>
        </r>
        <r>
          <rPr>
            <sz val="9"/>
            <color indexed="81"/>
            <rFont val="Tahoma"/>
            <family val="2"/>
          </rPr>
          <t xml:space="preserve">
Ingresar el ultimo numero del código</t>
        </r>
      </text>
    </comment>
    <comment ref="F90" authorId="1" shapeId="0" xr:uid="{00000000-0006-0000-0500-000029000000}">
      <text>
        <r>
          <rPr>
            <b/>
            <sz val="9"/>
            <color indexed="81"/>
            <rFont val="Tahoma"/>
            <family val="2"/>
          </rPr>
          <t>usuario:</t>
        </r>
        <r>
          <rPr>
            <sz val="9"/>
            <color indexed="81"/>
            <rFont val="Tahoma"/>
            <family val="2"/>
          </rPr>
          <t xml:space="preserve">
Ingresar el ultimo numero del código</t>
        </r>
      </text>
    </comment>
    <comment ref="V90" authorId="1" shapeId="0" xr:uid="{00000000-0006-0000-0500-00002A000000}">
      <text>
        <r>
          <rPr>
            <b/>
            <sz val="9"/>
            <color indexed="81"/>
            <rFont val="Tahoma"/>
            <family val="2"/>
          </rPr>
          <t>usuario:</t>
        </r>
        <r>
          <rPr>
            <sz val="9"/>
            <color indexed="81"/>
            <rFont val="Tahoma"/>
            <family val="2"/>
          </rPr>
          <t xml:space="preserve">
Ingresar el ultimo numero del código</t>
        </r>
      </text>
    </comment>
    <comment ref="F91" authorId="1" shapeId="0" xr:uid="{00000000-0006-0000-0500-00002B000000}">
      <text>
        <r>
          <rPr>
            <b/>
            <sz val="9"/>
            <color indexed="81"/>
            <rFont val="Tahoma"/>
            <family val="2"/>
          </rPr>
          <t>usuario:</t>
        </r>
        <r>
          <rPr>
            <sz val="9"/>
            <color indexed="81"/>
            <rFont val="Tahoma"/>
            <family val="2"/>
          </rPr>
          <t xml:space="preserve">
Ingresar el ultimo numero del código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G2" authorId="0" shapeId="0" xr:uid="{00000000-0006-0000-0600-000001000000}">
      <text>
        <r>
          <rPr>
            <b/>
            <sz val="9"/>
            <color indexed="81"/>
            <rFont val="Tahoma"/>
            <family val="2"/>
          </rPr>
          <t>usuario:</t>
        </r>
        <r>
          <rPr>
            <sz val="9"/>
            <color indexed="81"/>
            <rFont val="Tahoma"/>
            <family val="2"/>
          </rPr>
          <t xml:space="preserve">
usuario:
 Calculada  de Acuerdo al numeral  A.1.1
. La versión simplificada de la fórmula CIPM, versión normal , se compara con la de la WEB  1.1835566    acuerdo al aplicativo  del CENAM  de Mexico
http://www.cenam.mx/publicaciones/cdensidad.aspx.  ESTO DEBIDO A  QUE LA PRESION DIO 814 y esta por fuera del alcance de las  formulas del  anexo A de la GUIA del CENAM</t>
        </r>
      </text>
    </comment>
    <comment ref="G7" authorId="0" shapeId="0" xr:uid="{00000000-0006-0000-0600-000002000000}">
      <text>
        <r>
          <rPr>
            <b/>
            <sz val="9"/>
            <color indexed="81"/>
            <rFont val="Tahoma"/>
            <family val="2"/>
          </rPr>
          <t>usuario:</t>
        </r>
        <r>
          <rPr>
            <sz val="9"/>
            <color indexed="81"/>
            <rFont val="Tahoma"/>
            <family val="2"/>
          </rPr>
          <t xml:space="preserve">
usuario:
 Calculada  de Acuerdo al numeral  A.1.1. La versión simplificada de la fórmula CIPM, versión normal , se compara con la de la WEB  1.1835566    acuerdo al aplicativo  del CENAM  de Mexico
http://www.cenam.mx/publicaciones/cdensidad.aspx.  ESTO DEBIDO A  QUE LA PRESION DIO 814 y esta por fuera del alcance de las  formulas del  anexo A de la GUIA del CENAM</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F3" authorId="0" shapeId="0" xr:uid="{00000000-0006-0000-0E00-000001000000}">
      <text>
        <r>
          <rPr>
            <b/>
            <sz val="9"/>
            <color indexed="81"/>
            <rFont val="Tahoma"/>
            <family val="2"/>
          </rPr>
          <t>usuario:</t>
        </r>
        <r>
          <rPr>
            <sz val="9"/>
            <color indexed="81"/>
            <rFont val="Tahoma"/>
            <family val="2"/>
          </rPr>
          <t xml:space="preserve">
usuario:
 Calculada  de Acuerdo al numeral  A.1.2. La versión simplificada de la fórmula CIPM, versión normal , se compara con la de la WEB  1.1835566    acuerdo al aplicativo  del CENAM  de Mexico
http://www.cenam.mx/publicaciones/cdensidad.aspx.  ESTO DEBIDO A  QUE LA PRESION DIO 814 y esta por fuera del alcance de las  formulas del  anexo A de la GUIA del CENAM</t>
        </r>
      </text>
    </comment>
  </commentList>
</comments>
</file>

<file path=xl/sharedStrings.xml><?xml version="1.0" encoding="utf-8"?>
<sst xmlns="http://schemas.openxmlformats.org/spreadsheetml/2006/main" count="5318" uniqueCount="1555">
  <si>
    <t>g</t>
  </si>
  <si>
    <t>CERTIFICADO No:</t>
  </si>
  <si>
    <t>Certificate number</t>
  </si>
  <si>
    <t>Calibrado por:</t>
  </si>
  <si>
    <t>Aprobado por:</t>
  </si>
  <si>
    <t>Calibrate by</t>
  </si>
  <si>
    <t>Approved by</t>
  </si>
  <si>
    <t>Issue Date</t>
  </si>
  <si>
    <t>Descripción</t>
  </si>
  <si>
    <t>Certificado No.</t>
  </si>
  <si>
    <t>Clase</t>
  </si>
  <si>
    <t>kg</t>
  </si>
  <si>
    <t>Modelo:</t>
  </si>
  <si>
    <t>Fabricante:</t>
  </si>
  <si>
    <t>Ubicación:</t>
  </si>
  <si>
    <t>Código</t>
  </si>
  <si>
    <t>Solicitante:</t>
  </si>
  <si>
    <t>Dirección:</t>
  </si>
  <si>
    <t>Repetición
No.</t>
  </si>
  <si>
    <t>Indicación 1:</t>
  </si>
  <si>
    <t>Indicación 2:</t>
  </si>
  <si>
    <t>Diferencia:</t>
  </si>
  <si>
    <t>Fuentes de incertidumbre</t>
  </si>
  <si>
    <t>k (95,45%)</t>
  </si>
  <si>
    <t>U(E)</t>
  </si>
  <si>
    <t>t</t>
  </si>
  <si>
    <t>Observaciones:</t>
  </si>
  <si>
    <t>FIRMAS AUTORIZADAS</t>
  </si>
  <si>
    <t>Autorized Signatures</t>
  </si>
  <si>
    <t>Número de serie:</t>
  </si>
  <si>
    <t>Identificación:</t>
  </si>
  <si>
    <t>Evaluación visual de las características de funcionamiento y ubicación del instrumento de pesaje</t>
  </si>
  <si>
    <t>Cumple</t>
  </si>
  <si>
    <t>Observaciones</t>
  </si>
  <si>
    <t>Calibrado por</t>
  </si>
  <si>
    <t>Hora inicio de la calibración:</t>
  </si>
  <si>
    <t>Hora final de la calibración:</t>
  </si>
  <si>
    <t xml:space="preserve">Fecha de calibración: </t>
  </si>
  <si>
    <t>Información del cliente</t>
  </si>
  <si>
    <t>Información del instrumento</t>
  </si>
  <si>
    <t>Iniciales:</t>
  </si>
  <si>
    <t>Finales:</t>
  </si>
  <si>
    <t>Temperatura [°C]</t>
  </si>
  <si>
    <t>Mediciones</t>
  </si>
  <si>
    <t>Unidades de medida</t>
  </si>
  <si>
    <t>Cargas aplicadas</t>
  </si>
  <si>
    <t>CERTIFICADO DE CALIBRACIÓN</t>
  </si>
  <si>
    <t>Certificate of calibration</t>
  </si>
  <si>
    <t>Posición No.</t>
  </si>
  <si>
    <t>Descripción de la trazabilidad</t>
  </si>
  <si>
    <t xml:space="preserve">Hasta </t>
  </si>
  <si>
    <t>1. Prueba de excentricidad de carga</t>
  </si>
  <si>
    <t>2. Prueba de repetibilidad</t>
  </si>
  <si>
    <t>3. Prueba para los errores de las indicaciones</t>
  </si>
  <si>
    <t>4. Mediciones auxiliares</t>
  </si>
  <si>
    <t>Rango a calibrar:</t>
  </si>
  <si>
    <t xml:space="preserve">Carga de prueba: </t>
  </si>
  <si>
    <t>Div. de escala:</t>
  </si>
  <si>
    <t>Si</t>
  </si>
  <si>
    <t>No</t>
  </si>
  <si>
    <t>El instrumento esta claramente identificado ?</t>
  </si>
  <si>
    <t>La indicación  del instrumento es legible?</t>
  </si>
  <si>
    <t>Características a evaluar:</t>
  </si>
  <si>
    <t>El cliente ajusta regularmente el instrumento?</t>
  </si>
  <si>
    <t>El instrumento esta libre de polvo, sustancias o agentes que alteren el resultado de la medición?</t>
  </si>
  <si>
    <t>Error de redondeo de la indicación sin carga y con carga</t>
  </si>
  <si>
    <t>Error debido a la imperfecta repetibilidad.</t>
  </si>
  <si>
    <t>Error debido a la colocación del centro de gravedad de la carga de prueba fuera de la posición central del receptor de carga del instrumento.</t>
  </si>
  <si>
    <t>Incertidumbre por pesas patrón.</t>
  </si>
  <si>
    <t>Incertidumbre por deriva.</t>
  </si>
  <si>
    <t>Incertidumbre por empuje.</t>
  </si>
  <si>
    <t>Carga           No.</t>
  </si>
  <si>
    <t xml:space="preserve">u(E) </t>
  </si>
  <si>
    <t>Balanzas</t>
  </si>
  <si>
    <t>Instrumento:</t>
  </si>
  <si>
    <t>Fecha de recepción:</t>
  </si>
  <si>
    <t>Fecha de calibración:</t>
  </si>
  <si>
    <t>Final</t>
  </si>
  <si>
    <t>Inicial</t>
  </si>
  <si>
    <t>Fecha de calibración</t>
  </si>
  <si>
    <t>Próxima fecha de calibración.</t>
  </si>
  <si>
    <t>Cuatro (4)</t>
  </si>
  <si>
    <t>Carga No.</t>
  </si>
  <si>
    <t xml:space="preserve"> </t>
  </si>
  <si>
    <t>Metrólogo</t>
  </si>
  <si>
    <t>Metrólogos</t>
  </si>
  <si>
    <t xml:space="preserve">Cargos </t>
  </si>
  <si>
    <r>
      <t>Certificado de calibración No</t>
    </r>
    <r>
      <rPr>
        <sz val="11"/>
        <rFont val="Calibri"/>
        <family val="2"/>
      </rPr>
      <t>:</t>
    </r>
  </si>
  <si>
    <t>Cliente:</t>
  </si>
  <si>
    <t>Ciudad :</t>
  </si>
  <si>
    <t>Código interno:</t>
  </si>
  <si>
    <t>Características metrológicas del instrumento de pesaje</t>
  </si>
  <si>
    <t>Medición de las condiciones ambientales</t>
  </si>
  <si>
    <t>Inicio de las pruebas de calibración</t>
  </si>
  <si>
    <t>Posición  No.</t>
  </si>
  <si>
    <t>Seleccionar el tipo de receptor de carga que posee el instrumento para pesar.</t>
  </si>
  <si>
    <t>Héctor F. Carabalí</t>
  </si>
  <si>
    <t>Humedad relativa           [% HR]</t>
  </si>
  <si>
    <t>Esta calibración es trazable al Sistema Internacional de Unidades (SI), a través de una cadena ininterrumpida de comparaciones, cada eslabón de la cadena esta documentado y la incertidumbre de medición ha sido estimada en cada paso.</t>
  </si>
  <si>
    <t>Tipo de instrumentos de pesaje</t>
  </si>
  <si>
    <t>Yamid Peláez</t>
  </si>
  <si>
    <t>Balanza de precisión</t>
  </si>
  <si>
    <t>% HR</t>
  </si>
  <si>
    <t>El método  de  calibración  corresponde  a  lo  recomendado  en  la  Guía  para  calibración  de  los  instrumentos  para pesar de funcionamiento no automático  SIM MWG7/cg-01/v.00:2009</t>
  </si>
  <si>
    <t>La   prueba   se   realizó   conforme   el numeral 5.1 de la Guía  SIM MWG7/cg-01/v.00:2009, las  desviaciones  estándar fueron</t>
  </si>
  <si>
    <t>La  prueba  se  realizó  conforme el numeral 5.2  de la Guía  SIM MWG7/cg-01/v.00:2009 los datos obtenidos en esta prueba se pueden observar en la siguiente tabla, con su respectiva gráfica.</t>
  </si>
  <si>
    <t>2-Los  resultados   contenidos  en   el   presente   certificado   se  refieren   al   momento   y   condiciones   en   que   se  realizaron    las mediciones.  El  laboratorio  de  Metrología de Tecservice S.A.S, no se responsabiliza de los perjuicios que puedan derivarse   del  uso  inadecuado del instrumento calibrado.</t>
  </si>
  <si>
    <t>1- Para  el  tratamiento  de  los  errores  hallados  del  instrumento  se  trabaja  con  las tolerancias indicadas por el  cliente  o por  las  especificaciones del fabricante.</t>
  </si>
  <si>
    <t xml:space="preserve">Precarga del instrumento </t>
  </si>
  <si>
    <t>No.</t>
  </si>
  <si>
    <r>
      <rPr>
        <b/>
        <sz val="10"/>
        <rFont val="Calibri"/>
        <family val="2"/>
      </rPr>
      <t xml:space="preserve">Nota: </t>
    </r>
    <r>
      <rPr>
        <sz val="10"/>
        <rFont val="Calibri"/>
        <family val="2"/>
      </rPr>
      <t>Si la diferencia entre las  dos indicaciones es diferente de cero, se debe mencionar como advertencia en el certificado de calibración que existe interacción magnética.</t>
    </r>
  </si>
  <si>
    <t>Hora inicio climatización pesas:</t>
  </si>
  <si>
    <t>Hora final climatización pesas:</t>
  </si>
  <si>
    <t>Este  certificado  es  emitido  de  acuerdo con los requerimientos de la norma  NTC- ISO/ IEC 17025:2005  (Requisitos  generales     para  la  competencia   de  los   laboratorios  de  ensayo  y calibración).  El   usuario   es   responsable  de  la  calibración  de  sus  instrumentos a intervalos apropiados.</t>
  </si>
  <si>
    <t>Procedimiento de calibración</t>
  </si>
  <si>
    <t>Prueba de excentricidad de la carga</t>
  </si>
  <si>
    <t>5. Prueba de repetibilidad</t>
  </si>
  <si>
    <t>Final del certificado</t>
  </si>
  <si>
    <t>Estimación de incertidumbre</t>
  </si>
  <si>
    <r>
      <t>m</t>
    </r>
    <r>
      <rPr>
        <vertAlign val="subscript"/>
        <sz val="18"/>
        <rFont val="Calibri"/>
        <family val="2"/>
      </rPr>
      <t>c</t>
    </r>
  </si>
  <si>
    <r>
      <rPr>
        <i/>
        <sz val="18"/>
        <rFont val="Calibri"/>
        <family val="2"/>
      </rPr>
      <t>υ</t>
    </r>
    <r>
      <rPr>
        <vertAlign val="subscript"/>
        <sz val="18"/>
        <rFont val="Calibri"/>
        <family val="2"/>
      </rPr>
      <t>eff</t>
    </r>
  </si>
  <si>
    <t>Aprobado por</t>
  </si>
  <si>
    <t>Fecha de emisión</t>
  </si>
  <si>
    <t>Incertidumbre por convección</t>
  </si>
  <si>
    <t xml:space="preserve">                        </t>
  </si>
  <si>
    <t xml:space="preserve">                     </t>
  </si>
  <si>
    <t>Efecto de  interacción magnética para balanzas con división de escala  ≤ 0,1 mg</t>
  </si>
  <si>
    <t>3- El   traslado  del  instrumento   a   otro   lugar   después   de   la   calibración  se  debe  evitar  debido  a  que esto puede invalidar  la  calibración   y   por   ende  el  certificado   de   calibración    no   se   podría   considerar  como prueba  de  Trazabilidad ;  A menos que el cliente  demuestre  que  la  nueva  ubicación  no  genera  cambios  representativos  en  los  resultados  generados   a  partir  de las mediciones realizadas, numeral 4.1.2 Guía SIM MWG7/cg-01/v.00:2009</t>
  </si>
  <si>
    <t>Medición auxiliar</t>
  </si>
  <si>
    <t>permiso por escrito del laboratorio que lo emite.</t>
  </si>
  <si>
    <t xml:space="preserve">Este  certificado  expresa  fielmente  el  resultado  de  las  mediciones  realizadas. Solo  podrá  ser reproducido  cuando se haya obtenido  previamente </t>
  </si>
  <si>
    <t>Condiciones ambientales medidas  durante la calibración</t>
  </si>
  <si>
    <t>Efecto de interacción magnética</t>
  </si>
  <si>
    <t xml:space="preserve"> determinadas a partir de </t>
  </si>
  <si>
    <t>Prueba para los errores de las indicaciones:</t>
  </si>
  <si>
    <t>Director  Técnico</t>
  </si>
  <si>
    <t>Coordinador Laboratorio Calibración</t>
  </si>
  <si>
    <t>Resolución (d):</t>
  </si>
  <si>
    <t>Número de páginas del certificado incluyendo anexos:</t>
  </si>
  <si>
    <t>El  proceso  inicia  asegurando  que  el  instrumento  de  pesaje  este en cero, como paso seguido se ubican las  pesas  sobre el receptor  de  carga  y  se  registra  el resultado de la medición; La calibración incluye las siguientes pruebas: Repetibilidad (5.1), Errores  de  indicación (5.2) y  Excentricidad de carga (5.3). En el caso de  instrumentos  de pesaje  con   una  división  de escala     ≤ 1 mg, se realiza la prueba de efecto de interacción magnética (5.4).</t>
  </si>
  <si>
    <t>Temperatura del aire:</t>
  </si>
  <si>
    <t>Humedad Relativa:</t>
  </si>
  <si>
    <t>Página 1 de 3</t>
  </si>
  <si>
    <t>Página 2 de 3</t>
  </si>
  <si>
    <t>Página 3 de 3</t>
  </si>
  <si>
    <t>No existe distinción.</t>
  </si>
  <si>
    <r>
      <t>m</t>
    </r>
    <r>
      <rPr>
        <b/>
        <vertAlign val="subscript"/>
        <sz val="18"/>
        <rFont val="Calibri"/>
        <family val="2"/>
      </rPr>
      <t>c</t>
    </r>
  </si>
  <si>
    <t>Presion Atmosferica [hPa]</t>
  </si>
  <si>
    <r>
      <rPr>
        <b/>
        <sz val="11"/>
        <rFont val="Calibri"/>
        <family val="2"/>
      </rPr>
      <t xml:space="preserve">1- </t>
    </r>
    <r>
      <rPr>
        <sz val="11"/>
        <rFont val="Calibri"/>
        <family val="2"/>
      </rPr>
      <t>Rango del Equipo:</t>
    </r>
  </si>
  <si>
    <t>Si aplica, el instrumento esta nivelado ?</t>
  </si>
  <si>
    <t>Donde w es cualquier carga aplicada en</t>
  </si>
  <si>
    <t>Se realiza el ajuste Inicial  con una masa diferente a las masas utilizadas en la calibración</t>
  </si>
  <si>
    <t>SI</t>
  </si>
  <si>
    <t>NO</t>
  </si>
  <si>
    <t>Fecha Proxima Calibración</t>
  </si>
  <si>
    <t>Nota: Se debe medir la temperatura a la pesa mas grade que se utilizará en la calibración.</t>
  </si>
  <si>
    <t>Temperatura Final [°C]</t>
  </si>
  <si>
    <t>Valor Nominal</t>
  </si>
  <si>
    <t>Indicacion del Instrumento</t>
  </si>
  <si>
    <t>Masa Convencional</t>
  </si>
  <si>
    <t>% Hr</t>
  </si>
  <si>
    <t>°C</t>
  </si>
  <si>
    <t>Condiciones de Referencia</t>
  </si>
  <si>
    <t xml:space="preserve">Presion </t>
  </si>
  <si>
    <t xml:space="preserve">% HR </t>
  </si>
  <si>
    <t xml:space="preserve">Temperatura </t>
  </si>
  <si>
    <t>Condiciones del Sitio de Calibración</t>
  </si>
  <si>
    <t>ƍo ( Densidad  Aire)</t>
  </si>
  <si>
    <t>Densidad  pesa utilizada en el ajuste</t>
  </si>
  <si>
    <t>ƍa =ƍas( Densidad Aire)</t>
  </si>
  <si>
    <t>Densidad Masa  con las que se calibra ƍs</t>
  </si>
  <si>
    <t>DENSIDAD Masa Usada en el ajuste ƍ ( cuando es diferente a las masa de la calibración)</t>
  </si>
  <si>
    <t>Diferencia de temperatura Ambiente vs Temperatura masa mayor</t>
  </si>
  <si>
    <t xml:space="preserve">Tabla  Convección </t>
  </si>
  <si>
    <t xml:space="preserve">Tabla F1.2 </t>
  </si>
  <si>
    <t xml:space="preserve">Intervalos de tiempo para la reducción en pasos de diferencias de temperatura </t>
  </si>
  <si>
    <t>m/Kg</t>
  </si>
  <si>
    <t>Tiempo de ambientación en min por T ∆ a ser alcanzado por el siguiente T ∆ mayor, Caso 3b</t>
  </si>
  <si>
    <t>Total</t>
  </si>
  <si>
    <t xml:space="preserve"> 129,9 129,9 239,1 </t>
  </si>
  <si>
    <t xml:space="preserve">Cambio conv m∆ en mg para pesas patrón, para diferencias de temperatura seleccionadas T ∆ </t>
  </si>
  <si>
    <t>Corrección por Convección</t>
  </si>
  <si>
    <t>Error</t>
  </si>
  <si>
    <t>Numero decimales</t>
  </si>
  <si>
    <t xml:space="preserve">La incertidumbre expandida de la medición reportada se establece como la incertidumbre estándar de medición multiplicada por el factor de </t>
  </si>
  <si>
    <t>cobertura “k”</t>
  </si>
  <si>
    <t>y la probabilidad de Cobertura ,la cual debe ser aproximada al 95% y no menor a este valor”.</t>
  </si>
  <si>
    <t>Este   valor   ha   sido   determinado,   siguiendo   los   pasos   indicados  en  la Guía  SIM MWG7/cg-01/v.00:2009;  en este resultado no se tuvo encuentra la estabilidad a largo plazo del objeto de calibración.</t>
  </si>
  <si>
    <t>R2</t>
  </si>
  <si>
    <t>R</t>
  </si>
  <si>
    <t>Tex</t>
  </si>
  <si>
    <t>T criticico</t>
  </si>
  <si>
    <t>Valoracion</t>
  </si>
  <si>
    <t>m/g</t>
  </si>
  <si>
    <t>mg</t>
  </si>
  <si>
    <t xml:space="preserve">Las condiciones normales de uso (flujo de aire, vibraciones, estabilidad del  lugar de pesada, etc.) son apropiados para el instrumento para pesar que se calibrará.? </t>
  </si>
  <si>
    <t>El instrumento se enciende un período antes de la calibración, p. e., un tiempo apropiado para que el instrumento se caliente, ó el adoptado por el cliente ?</t>
  </si>
  <si>
    <t xml:space="preserve">0,001 ,g </t>
  </si>
  <si>
    <t xml:space="preserve">0,002 ,g </t>
  </si>
  <si>
    <t xml:space="preserve">0,005 ,g </t>
  </si>
  <si>
    <t xml:space="preserve">0,01 ,g </t>
  </si>
  <si>
    <t xml:space="preserve">0,02 ,g </t>
  </si>
  <si>
    <t xml:space="preserve">0,05 ,g </t>
  </si>
  <si>
    <t xml:space="preserve">0,1 ,g </t>
  </si>
  <si>
    <t xml:space="preserve">0,2 ,g </t>
  </si>
  <si>
    <t xml:space="preserve">0,5 ,g </t>
  </si>
  <si>
    <t xml:space="preserve">1 ,g </t>
  </si>
  <si>
    <t xml:space="preserve">2 ,g </t>
  </si>
  <si>
    <t xml:space="preserve">5 ,g </t>
  </si>
  <si>
    <t xml:space="preserve">10 ,g </t>
  </si>
  <si>
    <t xml:space="preserve">20 ,g </t>
  </si>
  <si>
    <t xml:space="preserve">50 ,g </t>
  </si>
  <si>
    <t xml:space="preserve">100 ,g </t>
  </si>
  <si>
    <t xml:space="preserve">200 ,g </t>
  </si>
  <si>
    <t xml:space="preserve">500 ,g </t>
  </si>
  <si>
    <t xml:space="preserve">1000 ,g </t>
  </si>
  <si>
    <t xml:space="preserve">2000 ,g </t>
  </si>
  <si>
    <t xml:space="preserve">5000 ,g </t>
  </si>
  <si>
    <t xml:space="preserve">10000 ,g </t>
  </si>
  <si>
    <t xml:space="preserve">20000 ,g </t>
  </si>
  <si>
    <t>VALOR NOMINAL EN [g]</t>
  </si>
  <si>
    <t>ERROR DE LA MEDIDA [g]</t>
  </si>
  <si>
    <t>VALOR CONVENCIONAL [g]</t>
  </si>
  <si>
    <t>ERROR DE LA MEDIDA [mg]</t>
  </si>
  <si>
    <t>MASAS CLASE E2</t>
  </si>
  <si>
    <t>MASAS CLASE F1</t>
  </si>
  <si>
    <t>MASAS CLASE M1</t>
  </si>
  <si>
    <t xml:space="preserve">SERIE </t>
  </si>
  <si>
    <t>TEC-LAB-MP-05</t>
  </si>
  <si>
    <t>TEC-LAB-MP-04</t>
  </si>
  <si>
    <t>TEC-LAB-MP-01</t>
  </si>
  <si>
    <t>110 ,g</t>
  </si>
  <si>
    <t>120 ,g</t>
  </si>
  <si>
    <t>130 ,g</t>
  </si>
  <si>
    <t>140 ,g</t>
  </si>
  <si>
    <t>150 ,g</t>
  </si>
  <si>
    <t>160 ,g</t>
  </si>
  <si>
    <t>170 ,g</t>
  </si>
  <si>
    <t>180 ,g</t>
  </si>
  <si>
    <t>190 ,g</t>
  </si>
  <si>
    <t>210 ,g</t>
  </si>
  <si>
    <t>1200 ,g</t>
  </si>
  <si>
    <t>1300 ,g</t>
  </si>
  <si>
    <t>1400 ,g</t>
  </si>
  <si>
    <t>1500 ,g</t>
  </si>
  <si>
    <t>1600 ,g</t>
  </si>
  <si>
    <t>1700 ,g</t>
  </si>
  <si>
    <t>1800 ,g</t>
  </si>
  <si>
    <t>1900 ,g</t>
  </si>
  <si>
    <t>2100 ,g</t>
  </si>
  <si>
    <t>2200 ,g</t>
  </si>
  <si>
    <t>2300 ,g</t>
  </si>
  <si>
    <t>2400 ,g</t>
  </si>
  <si>
    <t>2500 ,g</t>
  </si>
  <si>
    <t>2600 ,g</t>
  </si>
  <si>
    <t>2700 ,g</t>
  </si>
  <si>
    <t>2800 ,g</t>
  </si>
  <si>
    <t>2900 ,g</t>
  </si>
  <si>
    <t>3000 ,g</t>
  </si>
  <si>
    <t>3100 ,g</t>
  </si>
  <si>
    <t>3200 ,g</t>
  </si>
  <si>
    <t>3300 ,g</t>
  </si>
  <si>
    <t>3400 ,g</t>
  </si>
  <si>
    <t>3500 ,g</t>
  </si>
  <si>
    <t>3600 ,g</t>
  </si>
  <si>
    <t>3700 ,g</t>
  </si>
  <si>
    <t>3800 ,g</t>
  </si>
  <si>
    <t>3900 ,g</t>
  </si>
  <si>
    <t>4000 ,g</t>
  </si>
  <si>
    <t>4100 ,g</t>
  </si>
  <si>
    <t>4200 ,g</t>
  </si>
  <si>
    <t>4300 ,g</t>
  </si>
  <si>
    <t>4400 ,g</t>
  </si>
  <si>
    <t>4500 ,g</t>
  </si>
  <si>
    <t>4600 ,g</t>
  </si>
  <si>
    <t>4700 ,g</t>
  </si>
  <si>
    <t>4800 ,g</t>
  </si>
  <si>
    <t>4900 ,g</t>
  </si>
  <si>
    <t>5100 ,g</t>
  </si>
  <si>
    <t>5200 ,g</t>
  </si>
  <si>
    <t>5300 ,g</t>
  </si>
  <si>
    <t>5400 ,g</t>
  </si>
  <si>
    <t>5500 ,g</t>
  </si>
  <si>
    <t>5600 ,g</t>
  </si>
  <si>
    <t>F1</t>
  </si>
  <si>
    <t>Cesar Augusto Cobo Cabal</t>
  </si>
  <si>
    <t>Carlos Carrejo</t>
  </si>
  <si>
    <t>Robert A. Teran</t>
  </si>
  <si>
    <t>CONCATENAR</t>
  </si>
  <si>
    <t>MARCA</t>
  </si>
  <si>
    <t>CÓDIGO</t>
  </si>
  <si>
    <t>CLASE</t>
  </si>
  <si>
    <t>E2</t>
  </si>
  <si>
    <t>Resumen</t>
  </si>
  <si>
    <t>Trazabilidad Masas Patron</t>
  </si>
  <si>
    <t>SUMA</t>
  </si>
  <si>
    <t>U Exp</t>
  </si>
  <si>
    <t>K</t>
  </si>
  <si>
    <t>Deriva</t>
  </si>
  <si>
    <t>x</t>
  </si>
  <si>
    <t>Detecto</t>
  </si>
  <si>
    <t>Resultado</t>
  </si>
  <si>
    <t>Densidad</t>
  </si>
  <si>
    <r>
      <rPr>
        <b/>
        <sz val="10"/>
        <rFont val="Calibri"/>
        <family val="2"/>
      </rPr>
      <t xml:space="preserve">Nota: </t>
    </r>
    <r>
      <rPr>
        <sz val="10"/>
        <rFont val="Calibri"/>
        <family val="2"/>
      </rPr>
      <t>se debe aplicar la corrección a cada valor medido de acuerdo al certificado de calibración del Medidior de condiciones ambientales.</t>
    </r>
  </si>
  <si>
    <r>
      <rPr>
        <b/>
        <sz val="11"/>
        <rFont val="Calibri"/>
        <family val="2"/>
      </rPr>
      <t xml:space="preserve">Nota: </t>
    </r>
    <r>
      <rPr>
        <sz val="11"/>
        <rFont val="Calibri"/>
        <family val="2"/>
      </rPr>
      <t>El error se calcula tomando como  referencia el punto número 1 ,con respecto a los demás puntos.</t>
    </r>
  </si>
  <si>
    <t>Kg/dm3</t>
  </si>
  <si>
    <r>
      <t>g/cm</t>
    </r>
    <r>
      <rPr>
        <vertAlign val="superscript"/>
        <sz val="11"/>
        <rFont val="Calibri"/>
        <family val="2"/>
      </rPr>
      <t>3</t>
    </r>
  </si>
  <si>
    <r>
      <t>g/cm</t>
    </r>
    <r>
      <rPr>
        <vertAlign val="superscript"/>
        <sz val="11"/>
        <color indexed="8"/>
        <rFont val="Calibri"/>
        <family val="2"/>
      </rPr>
      <t>3</t>
    </r>
  </si>
  <si>
    <t>34443 C</t>
  </si>
  <si>
    <t>Control Company</t>
  </si>
  <si>
    <t>6530-7700178</t>
  </si>
  <si>
    <t>N.I.</t>
  </si>
  <si>
    <t>CLT 87918</t>
  </si>
  <si>
    <t>TEC-MTT-TEM-02</t>
  </si>
  <si>
    <t>TEC-LAB-BAR-01</t>
  </si>
  <si>
    <t>Temperatura de las pesas (Climatización de las pesas justo antes de iniciar la Calibración)</t>
  </si>
  <si>
    <t>X</t>
  </si>
  <si>
    <t>EMP</t>
  </si>
  <si>
    <t>Deriva/EMP</t>
  </si>
  <si>
    <t>Division Escala  Vacio</t>
  </si>
  <si>
    <t>Divison Escala con Carga</t>
  </si>
  <si>
    <t>Repetibilidad</t>
  </si>
  <si>
    <t>Excentricidad</t>
  </si>
  <si>
    <t>Patron</t>
  </si>
  <si>
    <t>Empuje</t>
  </si>
  <si>
    <t>Conveccion</t>
  </si>
  <si>
    <t>Carga</t>
  </si>
  <si>
    <t>ERROR DE LA MEDIDA Año anterior</t>
  </si>
  <si>
    <t>hPa</t>
  </si>
  <si>
    <r>
      <t>Kg/dm</t>
    </r>
    <r>
      <rPr>
        <vertAlign val="superscript"/>
        <sz val="11"/>
        <color indexed="8"/>
        <rFont val="Calibri"/>
        <family val="2"/>
      </rPr>
      <t>3</t>
    </r>
    <r>
      <rPr>
        <sz val="11"/>
        <color indexed="8"/>
        <rFont val="Calibri"/>
        <family val="2"/>
      </rPr>
      <t xml:space="preserve"> (g/cm</t>
    </r>
    <r>
      <rPr>
        <vertAlign val="superscript"/>
        <sz val="11"/>
        <color indexed="8"/>
        <rFont val="Calibri"/>
        <family val="2"/>
      </rPr>
      <t>3</t>
    </r>
    <r>
      <rPr>
        <sz val="11"/>
        <color indexed="8"/>
        <rFont val="Calibri"/>
        <family val="2"/>
      </rPr>
      <t>)</t>
    </r>
  </si>
  <si>
    <t>Correccion  por Empuje del Aire</t>
  </si>
  <si>
    <t>m ref</t>
  </si>
  <si>
    <r>
      <t>Kg/m</t>
    </r>
    <r>
      <rPr>
        <vertAlign val="superscript"/>
        <sz val="11"/>
        <color indexed="8"/>
        <rFont val="Calibri"/>
        <family val="2"/>
      </rPr>
      <t>3</t>
    </r>
  </si>
  <si>
    <r>
      <t>g/cm</t>
    </r>
    <r>
      <rPr>
        <vertAlign val="superscript"/>
        <sz val="11"/>
        <color indexed="8"/>
        <rFont val="Calibri"/>
        <family val="2"/>
      </rPr>
      <t>3</t>
    </r>
  </si>
  <si>
    <t>Fuentes</t>
  </si>
  <si>
    <t>UC</t>
  </si>
  <si>
    <t>Ci</t>
  </si>
  <si>
    <t>CIUi</t>
  </si>
  <si>
    <r>
      <t>CIUi</t>
    </r>
    <r>
      <rPr>
        <vertAlign val="superscript"/>
        <sz val="11"/>
        <color indexed="8"/>
        <rFont val="Calibri"/>
        <family val="2"/>
      </rPr>
      <t>2</t>
    </r>
  </si>
  <si>
    <t>Calibración Barometro</t>
  </si>
  <si>
    <t>Resolución Barometro</t>
  </si>
  <si>
    <t xml:space="preserve">Variacion Presion </t>
  </si>
  <si>
    <t xml:space="preserve">Calibración Termohigrometro </t>
  </si>
  <si>
    <t xml:space="preserve">Resolución Termohigrometro </t>
  </si>
  <si>
    <t>Variacion  % HR</t>
  </si>
  <si>
    <t xml:space="preserve">Calibración Termohigrometro  en Temperatura </t>
  </si>
  <si>
    <t xml:space="preserve">Resolución Termohigrometro  en Temperatura </t>
  </si>
  <si>
    <t xml:space="preserve">Variacion Termohigrometro  en Temperatura </t>
  </si>
  <si>
    <t>Uexp</t>
  </si>
  <si>
    <t>ƍacal= ( Densidad Aire en Sitio)</t>
  </si>
  <si>
    <t>ƍo= ( Densidad Aire Condiciones Ideales)</t>
  </si>
  <si>
    <t>ƍcal= ( Densidad Pesas  Utilizadas)</t>
  </si>
  <si>
    <t>ƍC= ( Densidad Estandar Pesas )</t>
  </si>
  <si>
    <t>Uex</t>
  </si>
  <si>
    <t>M1</t>
  </si>
  <si>
    <t>D.ESTS</t>
  </si>
  <si>
    <t>D.ESTR</t>
  </si>
  <si>
    <t>Cantidad</t>
  </si>
  <si>
    <t>Valor masas</t>
  </si>
  <si>
    <t>Balanza analítica</t>
  </si>
  <si>
    <t>N/A</t>
  </si>
  <si>
    <t>5 ,kg</t>
  </si>
  <si>
    <t>10 ,kg</t>
  </si>
  <si>
    <t>20 ,kg</t>
  </si>
  <si>
    <t>Balanza</t>
  </si>
  <si>
    <t>Bascula</t>
  </si>
  <si>
    <t>U Conv</t>
  </si>
  <si>
    <t>Magnitud:</t>
  </si>
  <si>
    <t>Características Metrológicas del instrumento de medida</t>
  </si>
  <si>
    <t>Rango de Calibración:</t>
  </si>
  <si>
    <t>Error Maximo permitido lineal</t>
  </si>
  <si>
    <t>Error Maximo permitido Repetibilidad</t>
  </si>
  <si>
    <t>Hasta</t>
  </si>
  <si>
    <t>Rango de Medición:</t>
  </si>
  <si>
    <t>Resultado evaluación física:</t>
  </si>
  <si>
    <t>El instrumento a calibrar fué inspeccionado detalladamente para determinar su estado y condición física determinando que puede ser calibrado</t>
  </si>
  <si>
    <t>Accurate ltd</t>
  </si>
  <si>
    <t>36481 C</t>
  </si>
  <si>
    <t>KIT DE MASAS PATRON F2</t>
  </si>
  <si>
    <t>codigo</t>
  </si>
  <si>
    <t>Descripcion</t>
  </si>
  <si>
    <t>KIT DE MASAS PATRON E2</t>
  </si>
  <si>
    <t>MASAS M1</t>
  </si>
  <si>
    <t>34384 C</t>
  </si>
  <si>
    <t>TEC-BAL-041</t>
  </si>
  <si>
    <t>TECSERVICE S.A.S.</t>
  </si>
  <si>
    <t>AV 2FN # 54N-15 CENTRO COMERCIAL PACARA LOCAL 4</t>
  </si>
  <si>
    <t>CALI</t>
  </si>
  <si>
    <t>TEC-251-522</t>
  </si>
  <si>
    <t>VOLUMEN</t>
  </si>
  <si>
    <t>04</t>
  </si>
  <si>
    <t>Jorge Enrique Charry</t>
  </si>
  <si>
    <t>División de escala:</t>
  </si>
  <si>
    <t>Resolución:</t>
  </si>
  <si>
    <t>Error Maximo Permitido Lineal:</t>
  </si>
  <si>
    <t>Error Maximo Permitido Repetibilidad:</t>
  </si>
  <si>
    <t>Balanza semianalítica</t>
  </si>
  <si>
    <t>Ohaus</t>
  </si>
  <si>
    <t>T31P</t>
  </si>
  <si>
    <t xml:space="preserve">0,001 ,kg </t>
  </si>
  <si>
    <t xml:space="preserve">0,002 ,kg </t>
  </si>
  <si>
    <t xml:space="preserve">0,005 ,kg </t>
  </si>
  <si>
    <t xml:space="preserve">0,01 ,kg </t>
  </si>
  <si>
    <t xml:space="preserve">0,02 ,kg </t>
  </si>
  <si>
    <t xml:space="preserve">5 ,kg </t>
  </si>
  <si>
    <t xml:space="preserve">2 ,kg </t>
  </si>
  <si>
    <t xml:space="preserve">1 ,kg </t>
  </si>
  <si>
    <t xml:space="preserve">0,5 ,kg </t>
  </si>
  <si>
    <t xml:space="preserve">0,2 ,kg </t>
  </si>
  <si>
    <t xml:space="preserve">0,1 ,kg </t>
  </si>
  <si>
    <t xml:space="preserve">0,05 ,kg </t>
  </si>
  <si>
    <t>5000 ,g</t>
  </si>
  <si>
    <t>10000 ,g</t>
  </si>
  <si>
    <t>20000 ,g</t>
  </si>
  <si>
    <t>01</t>
  </si>
  <si>
    <t>05</t>
  </si>
  <si>
    <t>clase según codigo</t>
  </si>
  <si>
    <t>01 M1</t>
  </si>
  <si>
    <t>05 F1</t>
  </si>
  <si>
    <t>04 E2</t>
  </si>
  <si>
    <t xml:space="preserve">N.I. Sustitución </t>
  </si>
  <si>
    <t>AV 2FN # 54N-15 CENTRO COMERCIAL PACARA LOCAL 4, CALI</t>
  </si>
  <si>
    <t>0,000</t>
  </si>
  <si>
    <t>1200,000</t>
  </si>
  <si>
    <t>N.A.</t>
  </si>
  <si>
    <t/>
  </si>
  <si>
    <t>0,001</t>
  </si>
  <si>
    <t>Método de calibración utilizado: Comparación directa con pesas patrón</t>
  </si>
  <si>
    <t>LC-FR-20  V:01</t>
  </si>
  <si>
    <t>La prueba se realizó con una carga de 500 g de conformidad con la Guía SIM MWG7/ cg-01/v.00:2009, numeral 5.3</t>
  </si>
  <si>
    <t xml:space="preserve">Indicación del instrumento  (g)  </t>
  </si>
  <si>
    <t>500,002</t>
  </si>
  <si>
    <t>500,004</t>
  </si>
  <si>
    <t>500,000</t>
  </si>
  <si>
    <t>Dif. Máxima  (g)</t>
  </si>
  <si>
    <t>0,004</t>
  </si>
  <si>
    <t xml:space="preserve"> las 10 mediciones realizadas.</t>
  </si>
  <si>
    <t>200,001</t>
  </si>
  <si>
    <t>700,001</t>
  </si>
  <si>
    <t>700,000</t>
  </si>
  <si>
    <t>200,002</t>
  </si>
  <si>
    <t xml:space="preserve">Desviación Est.  (g)  </t>
  </si>
  <si>
    <t>0,0003162</t>
  </si>
  <si>
    <t>0,0004216</t>
  </si>
  <si>
    <t>Valor convencional (g )</t>
  </si>
  <si>
    <t>Indicacion del Instrumento  (g )</t>
  </si>
  <si>
    <t>Incertidumbre expandida (g)</t>
  </si>
  <si>
    <t>1,000</t>
  </si>
  <si>
    <t>100,000</t>
  </si>
  <si>
    <t>100,001</t>
  </si>
  <si>
    <t>300,001</t>
  </si>
  <si>
    <t>300,000</t>
  </si>
  <si>
    <t>-0,001</t>
  </si>
  <si>
    <t>500,001</t>
  </si>
  <si>
    <t>900,001</t>
  </si>
  <si>
    <t>900,000</t>
  </si>
  <si>
    <t>1000,002</t>
  </si>
  <si>
    <t>1000,001</t>
  </si>
  <si>
    <t>1050,002</t>
  </si>
  <si>
    <t>1050,001</t>
  </si>
  <si>
    <t>1100,003</t>
  </si>
  <si>
    <t>1100,001</t>
  </si>
  <si>
    <t>-0,002</t>
  </si>
  <si>
    <t>1200,003</t>
  </si>
  <si>
    <t>1200,001</t>
  </si>
  <si>
    <t>ACEPTADO</t>
  </si>
  <si>
    <t>Si se requiere obtener el valor de la incertidumbre para un valor de carga específico se debe utilizar la siguiente ecuación de regresión lineal.</t>
  </si>
  <si>
    <t>U=</t>
  </si>
  <si>
    <t>* W</t>
  </si>
  <si>
    <t>+</t>
  </si>
  <si>
    <t>4-De acuerdo al resultado de la verificación para detectar si existe efecto de interacción magnética, se informa al cliente que el instrumento presenta interacción magnética</t>
  </si>
  <si>
    <t>Certificado de calibración No:</t>
  </si>
  <si>
    <t>g/cm3</t>
  </si>
  <si>
    <t>1- Rango del Equipo:</t>
  </si>
  <si>
    <t>--</t>
  </si>
  <si>
    <t>Indicación del instrumento ( g  )</t>
  </si>
  <si>
    <t>Nota: se debe aplicar la corrección a cada valor medido de acuerdo al certificado de calibración del Medidior de condiciones ambientales.</t>
  </si>
  <si>
    <t>Carga aplicada (g)</t>
  </si>
  <si>
    <t>Retorno a Cero  (g )</t>
  </si>
  <si>
    <t>Nota: El error se calcula tomando como  referencia el punto número 1 ,con respecto a los demás puntos.</t>
  </si>
  <si>
    <t>Cargas aplicadas (g)</t>
  </si>
  <si>
    <t>Valor nominal  (g )</t>
  </si>
  <si>
    <t>Indicación (g)</t>
  </si>
  <si>
    <t>Existe interacción magnetica, informar al cliente</t>
  </si>
  <si>
    <t>Nota: Si la diferencia entre las  dos indicaciones es diferente de cero, se debe mencionar como advertencia en el certificado de calibración que existe interacción magnética.</t>
  </si>
  <si>
    <t>mc</t>
  </si>
  <si>
    <t>υeff</t>
  </si>
  <si>
    <t>Kg/m3</t>
  </si>
  <si>
    <t>20000-10</t>
  </si>
  <si>
    <t>10000-10</t>
  </si>
  <si>
    <t>5000-10</t>
  </si>
  <si>
    <t>2000-10</t>
  </si>
  <si>
    <t>1210-10</t>
  </si>
  <si>
    <t>1200-10</t>
  </si>
  <si>
    <t>1100-10</t>
  </si>
  <si>
    <t>1000-10</t>
  </si>
  <si>
    <t>Kg/dm3 (g/cm3)</t>
  </si>
  <si>
    <t>900-10</t>
  </si>
  <si>
    <t>800-10</t>
  </si>
  <si>
    <t>700-10</t>
  </si>
  <si>
    <t>600-10</t>
  </si>
  <si>
    <t>500-10</t>
  </si>
  <si>
    <t>400-10</t>
  </si>
  <si>
    <t>300-10</t>
  </si>
  <si>
    <t>250-10</t>
  </si>
  <si>
    <t>220-10</t>
  </si>
  <si>
    <t>210-10</t>
  </si>
  <si>
    <t>200-10</t>
  </si>
  <si>
    <t>170-10</t>
  </si>
  <si>
    <t>150-10</t>
  </si>
  <si>
    <t>100-10</t>
  </si>
  <si>
    <t>70-10</t>
  </si>
  <si>
    <t>50-10</t>
  </si>
  <si>
    <t>20-10</t>
  </si>
  <si>
    <t>10-10</t>
  </si>
  <si>
    <t>5-10</t>
  </si>
  <si>
    <t>2-10</t>
  </si>
  <si>
    <t>1-10</t>
  </si>
  <si>
    <t>0,5-10</t>
  </si>
  <si>
    <t>0,2-10</t>
  </si>
  <si>
    <t>0,1-10</t>
  </si>
  <si>
    <t>0,05-10</t>
  </si>
  <si>
    <t>0,01-10</t>
  </si>
  <si>
    <t>0,005-10</t>
  </si>
  <si>
    <t>0,002-10</t>
  </si>
  <si>
    <t>0,001-10</t>
  </si>
  <si>
    <t>20000-9</t>
  </si>
  <si>
    <t>10000-9</t>
  </si>
  <si>
    <t>5000-9</t>
  </si>
  <si>
    <t>2000-9</t>
  </si>
  <si>
    <t>1210-9</t>
  </si>
  <si>
    <t>1200-9</t>
  </si>
  <si>
    <t>1100-9</t>
  </si>
  <si>
    <t>1000-9</t>
  </si>
  <si>
    <t>900-9</t>
  </si>
  <si>
    <t>800-9</t>
  </si>
  <si>
    <t>700-9</t>
  </si>
  <si>
    <t>600-9</t>
  </si>
  <si>
    <t>500-9</t>
  </si>
  <si>
    <t>400-9</t>
  </si>
  <si>
    <t>300-9</t>
  </si>
  <si>
    <t>250-9</t>
  </si>
  <si>
    <t>220-9</t>
  </si>
  <si>
    <t>210-9</t>
  </si>
  <si>
    <t>200-9</t>
  </si>
  <si>
    <t>170-9</t>
  </si>
  <si>
    <t>150-9</t>
  </si>
  <si>
    <t>100-9</t>
  </si>
  <si>
    <t>70-9</t>
  </si>
  <si>
    <t>50-9</t>
  </si>
  <si>
    <t>20-9</t>
  </si>
  <si>
    <t>10-9</t>
  </si>
  <si>
    <t>5-9</t>
  </si>
  <si>
    <t>2-9</t>
  </si>
  <si>
    <t>1-9</t>
  </si>
  <si>
    <t>0,5-9</t>
  </si>
  <si>
    <t>0,2-9</t>
  </si>
  <si>
    <t>0,1-9</t>
  </si>
  <si>
    <t>0,05-9</t>
  </si>
  <si>
    <t>0,01-9</t>
  </si>
  <si>
    <t>0,005-9</t>
  </si>
  <si>
    <t>0,002-9</t>
  </si>
  <si>
    <t>0,001-9</t>
  </si>
  <si>
    <t>20000-8</t>
  </si>
  <si>
    <t>10000-8</t>
  </si>
  <si>
    <t>5000-8</t>
  </si>
  <si>
    <t>2000-8</t>
  </si>
  <si>
    <t>1210-8</t>
  </si>
  <si>
    <t>1200-8</t>
  </si>
  <si>
    <t>1100-8</t>
  </si>
  <si>
    <t>1000-8</t>
  </si>
  <si>
    <t>900-8</t>
  </si>
  <si>
    <t>800-8</t>
  </si>
  <si>
    <t>700-8</t>
  </si>
  <si>
    <t>600-8</t>
  </si>
  <si>
    <t>500-8</t>
  </si>
  <si>
    <t>400-8</t>
  </si>
  <si>
    <t>300-8</t>
  </si>
  <si>
    <t>250-8</t>
  </si>
  <si>
    <t>220-8</t>
  </si>
  <si>
    <t>210-8</t>
  </si>
  <si>
    <t>200-8</t>
  </si>
  <si>
    <t>170-8</t>
  </si>
  <si>
    <t>150-8</t>
  </si>
  <si>
    <t>100-8</t>
  </si>
  <si>
    <t>70-8</t>
  </si>
  <si>
    <t>50-8</t>
  </si>
  <si>
    <t>20-8</t>
  </si>
  <si>
    <t>10-8</t>
  </si>
  <si>
    <t>5-8</t>
  </si>
  <si>
    <t>2-8</t>
  </si>
  <si>
    <t>1-8</t>
  </si>
  <si>
    <t>0,5-8</t>
  </si>
  <si>
    <t>0,2-8</t>
  </si>
  <si>
    <t>0,1-8</t>
  </si>
  <si>
    <t>0,05-8</t>
  </si>
  <si>
    <t>0,01-8</t>
  </si>
  <si>
    <t>0,005-8</t>
  </si>
  <si>
    <t>0,002-8</t>
  </si>
  <si>
    <t>0,001-8</t>
  </si>
  <si>
    <t>20000-7</t>
  </si>
  <si>
    <t>10000-7</t>
  </si>
  <si>
    <t>5000-7</t>
  </si>
  <si>
    <t>2000-7</t>
  </si>
  <si>
    <t>1210-7</t>
  </si>
  <si>
    <t>1200-7</t>
  </si>
  <si>
    <t>1100-7</t>
  </si>
  <si>
    <t>1000-7</t>
  </si>
  <si>
    <t>900-7</t>
  </si>
  <si>
    <t>800-7</t>
  </si>
  <si>
    <t>700-7</t>
  </si>
  <si>
    <t>600-7</t>
  </si>
  <si>
    <t>500-7</t>
  </si>
  <si>
    <t>400-7</t>
  </si>
  <si>
    <t>300-7</t>
  </si>
  <si>
    <t>250-7</t>
  </si>
  <si>
    <t>220-7</t>
  </si>
  <si>
    <t>210-7</t>
  </si>
  <si>
    <t>200-7</t>
  </si>
  <si>
    <t>170-7</t>
  </si>
  <si>
    <t>150-7</t>
  </si>
  <si>
    <t>100-7</t>
  </si>
  <si>
    <t>70-7</t>
  </si>
  <si>
    <t>50-7</t>
  </si>
  <si>
    <t>20-7</t>
  </si>
  <si>
    <t>10-7</t>
  </si>
  <si>
    <t>5-7</t>
  </si>
  <si>
    <t>2-7</t>
  </si>
  <si>
    <t>1-7</t>
  </si>
  <si>
    <t>0,5-7</t>
  </si>
  <si>
    <t>0,2-7</t>
  </si>
  <si>
    <t>0,1-7</t>
  </si>
  <si>
    <t>0,05-7</t>
  </si>
  <si>
    <t>0,01-7</t>
  </si>
  <si>
    <t>0,005-7</t>
  </si>
  <si>
    <t>0,002-7</t>
  </si>
  <si>
    <t>0,001-7</t>
  </si>
  <si>
    <t>20000-6</t>
  </si>
  <si>
    <t>10000-6</t>
  </si>
  <si>
    <t>5000-6</t>
  </si>
  <si>
    <t>2000-6</t>
  </si>
  <si>
    <t>1210-6</t>
  </si>
  <si>
    <t>1200-6</t>
  </si>
  <si>
    <t>1100-6</t>
  </si>
  <si>
    <t>1000-6</t>
  </si>
  <si>
    <t>900-6</t>
  </si>
  <si>
    <t>800-6</t>
  </si>
  <si>
    <t>700-6</t>
  </si>
  <si>
    <t>600-6</t>
  </si>
  <si>
    <t>500-6</t>
  </si>
  <si>
    <t>400-6</t>
  </si>
  <si>
    <t>300-6</t>
  </si>
  <si>
    <t>250-6</t>
  </si>
  <si>
    <t>220-6</t>
  </si>
  <si>
    <t>210-6</t>
  </si>
  <si>
    <t>200-6</t>
  </si>
  <si>
    <t>170-6</t>
  </si>
  <si>
    <t>150-6</t>
  </si>
  <si>
    <t>100-6</t>
  </si>
  <si>
    <t>70-6</t>
  </si>
  <si>
    <t>50-6</t>
  </si>
  <si>
    <t>20-6</t>
  </si>
  <si>
    <t>10-6</t>
  </si>
  <si>
    <t>5-6</t>
  </si>
  <si>
    <t>2-6</t>
  </si>
  <si>
    <t>1-6</t>
  </si>
  <si>
    <t>0,5-6</t>
  </si>
  <si>
    <t>0,2-6</t>
  </si>
  <si>
    <t>0,1-6</t>
  </si>
  <si>
    <t>0,05-6</t>
  </si>
  <si>
    <t>0,01-6</t>
  </si>
  <si>
    <t>0,005-6</t>
  </si>
  <si>
    <t>0,002-6</t>
  </si>
  <si>
    <t>0,001-6</t>
  </si>
  <si>
    <t>20000-5</t>
  </si>
  <si>
    <t>10000-5</t>
  </si>
  <si>
    <t>5000-5</t>
  </si>
  <si>
    <t>2000-5</t>
  </si>
  <si>
    <t>1210-5</t>
  </si>
  <si>
    <t>1200-5</t>
  </si>
  <si>
    <t>1100-5</t>
  </si>
  <si>
    <t>1000-5</t>
  </si>
  <si>
    <t>900-5</t>
  </si>
  <si>
    <t>800-5</t>
  </si>
  <si>
    <t>700-5</t>
  </si>
  <si>
    <t>600-5</t>
  </si>
  <si>
    <t>500-5</t>
  </si>
  <si>
    <t>400-5</t>
  </si>
  <si>
    <t>300-5</t>
  </si>
  <si>
    <t>250-5</t>
  </si>
  <si>
    <t>220-5</t>
  </si>
  <si>
    <t>210-5</t>
  </si>
  <si>
    <t>200-5</t>
  </si>
  <si>
    <t>170-5</t>
  </si>
  <si>
    <t>150-5</t>
  </si>
  <si>
    <t>100-5</t>
  </si>
  <si>
    <t>70-5</t>
  </si>
  <si>
    <t>50-5</t>
  </si>
  <si>
    <t>20-5</t>
  </si>
  <si>
    <t>10-5</t>
  </si>
  <si>
    <t>5-5</t>
  </si>
  <si>
    <t>2-5</t>
  </si>
  <si>
    <t>1-5</t>
  </si>
  <si>
    <t>0,5-5</t>
  </si>
  <si>
    <t>0,2-5</t>
  </si>
  <si>
    <t>0,1-5</t>
  </si>
  <si>
    <t>0,05-5</t>
  </si>
  <si>
    <t>0,01-5</t>
  </si>
  <si>
    <t>0,005-5</t>
  </si>
  <si>
    <t>0,002-5</t>
  </si>
  <si>
    <t>0,001-5</t>
  </si>
  <si>
    <t>20000-4</t>
  </si>
  <si>
    <t>10000-4</t>
  </si>
  <si>
    <t>5000-4</t>
  </si>
  <si>
    <t>2000-4</t>
  </si>
  <si>
    <t>1210-4</t>
  </si>
  <si>
    <t>1200-4</t>
  </si>
  <si>
    <t>1100-4</t>
  </si>
  <si>
    <t>1000-4</t>
  </si>
  <si>
    <t>900-4</t>
  </si>
  <si>
    <t>800-4</t>
  </si>
  <si>
    <t>700-4</t>
  </si>
  <si>
    <t>600-4</t>
  </si>
  <si>
    <t>500-4</t>
  </si>
  <si>
    <t>400-4</t>
  </si>
  <si>
    <t>300-4</t>
  </si>
  <si>
    <t>250-4</t>
  </si>
  <si>
    <t>220-4</t>
  </si>
  <si>
    <t>210-4</t>
  </si>
  <si>
    <t>200-4</t>
  </si>
  <si>
    <t>170-4</t>
  </si>
  <si>
    <t>150-4</t>
  </si>
  <si>
    <t>100-4</t>
  </si>
  <si>
    <t>70-4</t>
  </si>
  <si>
    <t>50-4</t>
  </si>
  <si>
    <t>20-4</t>
  </si>
  <si>
    <t>10-4</t>
  </si>
  <si>
    <t>5-4</t>
  </si>
  <si>
    <t>2-4</t>
  </si>
  <si>
    <t>1-4</t>
  </si>
  <si>
    <t>0,5-4</t>
  </si>
  <si>
    <t>0,2-4</t>
  </si>
  <si>
    <t>0,1-4</t>
  </si>
  <si>
    <t>0,05-4</t>
  </si>
  <si>
    <t>0,01-4</t>
  </si>
  <si>
    <t>0,005-4</t>
  </si>
  <si>
    <t>0,002-4</t>
  </si>
  <si>
    <t>0,001-4</t>
  </si>
  <si>
    <t>20000-3</t>
  </si>
  <si>
    <t>10000-3</t>
  </si>
  <si>
    <t>5000-3</t>
  </si>
  <si>
    <t>2000-3</t>
  </si>
  <si>
    <t>1210-3</t>
  </si>
  <si>
    <t>1200-3</t>
  </si>
  <si>
    <t>1100-3</t>
  </si>
  <si>
    <t>1000-3</t>
  </si>
  <si>
    <t>900-3</t>
  </si>
  <si>
    <t>800-3</t>
  </si>
  <si>
    <t>700-3</t>
  </si>
  <si>
    <t>600-3</t>
  </si>
  <si>
    <t>500-3</t>
  </si>
  <si>
    <t>400-3</t>
  </si>
  <si>
    <t>300-3</t>
  </si>
  <si>
    <t>250-3</t>
  </si>
  <si>
    <t>220-3</t>
  </si>
  <si>
    <t>210-3</t>
  </si>
  <si>
    <t>200-3</t>
  </si>
  <si>
    <t>170-3</t>
  </si>
  <si>
    <t>150-3</t>
  </si>
  <si>
    <t>100-3</t>
  </si>
  <si>
    <t>70-3</t>
  </si>
  <si>
    <t>50-3</t>
  </si>
  <si>
    <t>20-3</t>
  </si>
  <si>
    <t>10-3</t>
  </si>
  <si>
    <t>5-3</t>
  </si>
  <si>
    <t>2-3</t>
  </si>
  <si>
    <t>1-3</t>
  </si>
  <si>
    <t>0,5-3</t>
  </si>
  <si>
    <t>0,2-3</t>
  </si>
  <si>
    <t>0,1-3</t>
  </si>
  <si>
    <t>0,05-3</t>
  </si>
  <si>
    <t>0,01-3</t>
  </si>
  <si>
    <t>0,005-3</t>
  </si>
  <si>
    <t>0,002-3</t>
  </si>
  <si>
    <t>0,001-3</t>
  </si>
  <si>
    <t>20000-2</t>
  </si>
  <si>
    <t>10000-2</t>
  </si>
  <si>
    <t>5000-2</t>
  </si>
  <si>
    <t>2000-2</t>
  </si>
  <si>
    <t>1210-2</t>
  </si>
  <si>
    <t>1200-2</t>
  </si>
  <si>
    <t>1100-2</t>
  </si>
  <si>
    <t>1000-2</t>
  </si>
  <si>
    <t>900-2</t>
  </si>
  <si>
    <t>800-2</t>
  </si>
  <si>
    <t>700-2</t>
  </si>
  <si>
    <t>600-2</t>
  </si>
  <si>
    <t>500-2</t>
  </si>
  <si>
    <t>400-2</t>
  </si>
  <si>
    <t>300-2</t>
  </si>
  <si>
    <t>250-2</t>
  </si>
  <si>
    <t>220-2</t>
  </si>
  <si>
    <t>210-2</t>
  </si>
  <si>
    <t>200-2</t>
  </si>
  <si>
    <t>170-2</t>
  </si>
  <si>
    <t>150-2</t>
  </si>
  <si>
    <t>100-2</t>
  </si>
  <si>
    <t>70-2</t>
  </si>
  <si>
    <t>50-2</t>
  </si>
  <si>
    <t>20-2</t>
  </si>
  <si>
    <t>10-2</t>
  </si>
  <si>
    <t>5-2</t>
  </si>
  <si>
    <t>2-2</t>
  </si>
  <si>
    <t>1-2</t>
  </si>
  <si>
    <t>0,5-2</t>
  </si>
  <si>
    <t>0,2-2</t>
  </si>
  <si>
    <t>0,1-2</t>
  </si>
  <si>
    <t>0,05-2</t>
  </si>
  <si>
    <t>0,01-2</t>
  </si>
  <si>
    <t>0,005-2</t>
  </si>
  <si>
    <t>0,002-2</t>
  </si>
  <si>
    <t>0,001-2</t>
  </si>
  <si>
    <t>20000-1</t>
  </si>
  <si>
    <t>10000-1</t>
  </si>
  <si>
    <t>5000-1</t>
  </si>
  <si>
    <t>2000-1</t>
  </si>
  <si>
    <t>1210-1</t>
  </si>
  <si>
    <t>1200-1</t>
  </si>
  <si>
    <t>1100-1</t>
  </si>
  <si>
    <t>1000-1</t>
  </si>
  <si>
    <t>900-1</t>
  </si>
  <si>
    <t>800-1</t>
  </si>
  <si>
    <t>700-1</t>
  </si>
  <si>
    <t>600-1</t>
  </si>
  <si>
    <t>500-1</t>
  </si>
  <si>
    <t>400-1</t>
  </si>
  <si>
    <t>300-1</t>
  </si>
  <si>
    <t>250-1</t>
  </si>
  <si>
    <t>220-1</t>
  </si>
  <si>
    <t>210-1</t>
  </si>
  <si>
    <t>200-1</t>
  </si>
  <si>
    <t>170-1</t>
  </si>
  <si>
    <t>150-1</t>
  </si>
  <si>
    <t>100-1</t>
  </si>
  <si>
    <t>70-1</t>
  </si>
  <si>
    <t>50-1</t>
  </si>
  <si>
    <t>20-1</t>
  </si>
  <si>
    <t>10-1</t>
  </si>
  <si>
    <t>5-1</t>
  </si>
  <si>
    <t>2-1</t>
  </si>
  <si>
    <t>1-1</t>
  </si>
  <si>
    <t>0,5-1</t>
  </si>
  <si>
    <t>0,2-1</t>
  </si>
  <si>
    <t>0,1-1</t>
  </si>
  <si>
    <t>0,05-1</t>
  </si>
  <si>
    <t>0,01-1</t>
  </si>
  <si>
    <t>0,005-1</t>
  </si>
  <si>
    <t>0,002-1</t>
  </si>
  <si>
    <t>0,001-1</t>
  </si>
  <si>
    <t>NO-0,001-04</t>
  </si>
  <si>
    <t>1-05</t>
  </si>
  <si>
    <t>NO-0,002-04</t>
  </si>
  <si>
    <t>2-05</t>
  </si>
  <si>
    <t>SI-0,002-04</t>
  </si>
  <si>
    <t>NO-0,005-04</t>
  </si>
  <si>
    <t>5-05</t>
  </si>
  <si>
    <t>NO-0,01-04</t>
  </si>
  <si>
    <t>10-05</t>
  </si>
  <si>
    <t>NO-0,02-04</t>
  </si>
  <si>
    <t>20-05</t>
  </si>
  <si>
    <t>SI-0,02-04</t>
  </si>
  <si>
    <t>NO-0,05-04</t>
  </si>
  <si>
    <t>50-05</t>
  </si>
  <si>
    <t>NO-0,1-04</t>
  </si>
  <si>
    <t>100-05</t>
  </si>
  <si>
    <t>NO-0,2-04</t>
  </si>
  <si>
    <t>200-05</t>
  </si>
  <si>
    <t>SI-0,2-04</t>
  </si>
  <si>
    <t>NO-0,5-04</t>
  </si>
  <si>
    <t>500-05</t>
  </si>
  <si>
    <t>NO-1-04</t>
  </si>
  <si>
    <t>1000-05</t>
  </si>
  <si>
    <t>NO-2-04</t>
  </si>
  <si>
    <t>2000-05</t>
  </si>
  <si>
    <t>SI-2-04</t>
  </si>
  <si>
    <t>NO-5-04</t>
  </si>
  <si>
    <t>5000-05</t>
  </si>
  <si>
    <t>NO-10-04</t>
  </si>
  <si>
    <t>110-05</t>
  </si>
  <si>
    <t>NO-20-04</t>
  </si>
  <si>
    <t>120-05</t>
  </si>
  <si>
    <t>SI-20-04</t>
  </si>
  <si>
    <t>130-05</t>
  </si>
  <si>
    <t>NO-50-04</t>
  </si>
  <si>
    <t>140-05</t>
  </si>
  <si>
    <t>NO-100-04</t>
  </si>
  <si>
    <t>150-05</t>
  </si>
  <si>
    <t>NO-200-04</t>
  </si>
  <si>
    <t>160-05</t>
  </si>
  <si>
    <t>SI-200-04</t>
  </si>
  <si>
    <t>170-05</t>
  </si>
  <si>
    <t>NO-1-05</t>
  </si>
  <si>
    <t>180-05</t>
  </si>
  <si>
    <t>NO-2-05</t>
  </si>
  <si>
    <t>190-05</t>
  </si>
  <si>
    <t>SI-2-05</t>
  </si>
  <si>
    <t>210-05</t>
  </si>
  <si>
    <t>NO-5-05</t>
  </si>
  <si>
    <t>1200-05</t>
  </si>
  <si>
    <t>NO-10-05</t>
  </si>
  <si>
    <t>1300-05</t>
  </si>
  <si>
    <t>NO-20-05</t>
  </si>
  <si>
    <t>1400-05</t>
  </si>
  <si>
    <t>SI-20-05</t>
  </si>
  <si>
    <t>1500-05</t>
  </si>
  <si>
    <t>NO-50-05</t>
  </si>
  <si>
    <t>1600-05</t>
  </si>
  <si>
    <t>NO-100-05</t>
  </si>
  <si>
    <t>1700-05</t>
  </si>
  <si>
    <t>NO-200-05</t>
  </si>
  <si>
    <t>1800-05</t>
  </si>
  <si>
    <t>SI-200-05</t>
  </si>
  <si>
    <t>1900-05</t>
  </si>
  <si>
    <t>NO-500-05</t>
  </si>
  <si>
    <t>2100-05</t>
  </si>
  <si>
    <t>NO-1000-05</t>
  </si>
  <si>
    <t>2200-05</t>
  </si>
  <si>
    <t>SI-2000-05</t>
  </si>
  <si>
    <t>2300-05</t>
  </si>
  <si>
    <t>NO-2000-05</t>
  </si>
  <si>
    <t>2400-05</t>
  </si>
  <si>
    <t>NO-5000-05</t>
  </si>
  <si>
    <t>NO-0,001-05</t>
  </si>
  <si>
    <t>NO-0,002-05</t>
  </si>
  <si>
    <t>SI-0,002-05</t>
  </si>
  <si>
    <t>NO-0,005-05</t>
  </si>
  <si>
    <t>NO-0,01-05</t>
  </si>
  <si>
    <t>NO-0,02-05</t>
  </si>
  <si>
    <t>SI-0,02-05</t>
  </si>
  <si>
    <t>NO-0,05-05</t>
  </si>
  <si>
    <t>NO-0,1-05</t>
  </si>
  <si>
    <t>NO-0,2-05</t>
  </si>
  <si>
    <t>SI-0,2-05</t>
  </si>
  <si>
    <t>NO-0,5-05</t>
  </si>
  <si>
    <t>N/A-5-01</t>
  </si>
  <si>
    <t>2500-05</t>
  </si>
  <si>
    <t>N/A-10-01</t>
  </si>
  <si>
    <t>2600-05</t>
  </si>
  <si>
    <t>N/A-20-01</t>
  </si>
  <si>
    <t>2700-05</t>
  </si>
  <si>
    <t>2800-05</t>
  </si>
  <si>
    <t>2900-05</t>
  </si>
  <si>
    <t>3000-05</t>
  </si>
  <si>
    <t>3100-05</t>
  </si>
  <si>
    <t>3200-05</t>
  </si>
  <si>
    <t>3300-05</t>
  </si>
  <si>
    <t>3400-05</t>
  </si>
  <si>
    <t>3500-05</t>
  </si>
  <si>
    <t>3600-05</t>
  </si>
  <si>
    <t>3700-05</t>
  </si>
  <si>
    <t>3800-05</t>
  </si>
  <si>
    <t>3900-05</t>
  </si>
  <si>
    <t>4000-05</t>
  </si>
  <si>
    <t>4100-05</t>
  </si>
  <si>
    <t>4200-05</t>
  </si>
  <si>
    <t>4300-05</t>
  </si>
  <si>
    <t>4400-05</t>
  </si>
  <si>
    <t>4500-05</t>
  </si>
  <si>
    <t>4600-05</t>
  </si>
  <si>
    <t>4700-05</t>
  </si>
  <si>
    <t>4800-05</t>
  </si>
  <si>
    <t>4900-05</t>
  </si>
  <si>
    <t>5100-05</t>
  </si>
  <si>
    <t>5200-05</t>
  </si>
  <si>
    <t>5300-05</t>
  </si>
  <si>
    <t>5400-05</t>
  </si>
  <si>
    <t>5500-05</t>
  </si>
  <si>
    <t>5600-05</t>
  </si>
  <si>
    <t>N/A-5000-01</t>
  </si>
  <si>
    <t>N/A-10000-01</t>
  </si>
  <si>
    <t>N/A-20000-01</t>
  </si>
  <si>
    <t>VERIFICACIÓN FINAL</t>
  </si>
  <si>
    <t xml:space="preserve">Control de cambios </t>
  </si>
  <si>
    <t>Versión</t>
  </si>
  <si>
    <t>Descripción del cambio</t>
  </si>
  <si>
    <t xml:space="preserve">Responsable </t>
  </si>
  <si>
    <t>Fecha de aprobación</t>
  </si>
  <si>
    <t>ALM-198-18</t>
  </si>
  <si>
    <t xml:space="preserve">Alpha Metrologia </t>
  </si>
  <si>
    <t>0 ,g</t>
  </si>
  <si>
    <t>TEC-LAB-MP-ce</t>
  </si>
  <si>
    <t>KIT DE MASAS PATRON F1</t>
  </si>
  <si>
    <t>TEC-LAB-MP-08</t>
  </si>
  <si>
    <t>08</t>
  </si>
  <si>
    <t>PESA INDIVIDUAL DE 5 kg</t>
  </si>
  <si>
    <t>VALOR CONVENCIONAL g, kg según corresponda</t>
  </si>
  <si>
    <t>CONDICIONES AMBIENTALES</t>
  </si>
  <si>
    <t>Tini</t>
  </si>
  <si>
    <t>Tfinal</t>
  </si>
  <si>
    <t>Hinicial</t>
  </si>
  <si>
    <t>H final</t>
  </si>
  <si>
    <t>%HR</t>
  </si>
  <si>
    <t>CONDICIONES AMBIENTALES REPETIBILIDAD</t>
  </si>
  <si>
    <t>CONDICIONES AMBIENTALES EXACTITUD</t>
  </si>
  <si>
    <t>Tinicial</t>
  </si>
  <si>
    <t>° C</t>
  </si>
  <si>
    <t>Digital</t>
  </si>
  <si>
    <t>Tipo indicación:</t>
  </si>
  <si>
    <t>Pais:</t>
  </si>
  <si>
    <t>Valor de la Carga Aproximado</t>
  </si>
  <si>
    <t>SERIE</t>
  </si>
  <si>
    <t>Minimas</t>
  </si>
  <si>
    <t>Maximas:</t>
  </si>
  <si>
    <t>Realizado por:</t>
  </si>
  <si>
    <t>la incertidumbre por deriva de las masas se cambio por raiz 3 y no 2 por raiz de 3. las casillas en blanco se colocan rayas, se cambia temperatura inicial y final por temperatura minima y maxima</t>
  </si>
  <si>
    <t>Analógico</t>
  </si>
  <si>
    <t>TEC-LAB-MP-07</t>
  </si>
  <si>
    <t>07</t>
  </si>
  <si>
    <t>1 ,g</t>
  </si>
  <si>
    <t>2 ,g</t>
  </si>
  <si>
    <t>5 ,g</t>
  </si>
  <si>
    <t>10 ,g</t>
  </si>
  <si>
    <t>20 ,g</t>
  </si>
  <si>
    <t>50 ,g</t>
  </si>
  <si>
    <t>100 ,g</t>
  </si>
  <si>
    <t>200 ,g</t>
  </si>
  <si>
    <t>500 ,g</t>
  </si>
  <si>
    <t>1000 ,g</t>
  </si>
  <si>
    <t>2000 ,g</t>
  </si>
  <si>
    <t>1 ,kg</t>
  </si>
  <si>
    <t>2 ,kg</t>
  </si>
  <si>
    <t>ce</t>
  </si>
  <si>
    <t>Efecto de  interacción magnética para balanzas con división de escala  ≤ 1 mg</t>
  </si>
  <si>
    <t>Coordinador de calidad</t>
  </si>
  <si>
    <t>Colombia</t>
  </si>
  <si>
    <t>U estandar</t>
  </si>
  <si>
    <t>se realizan cambios en la interpretacion de la prueba de excentricidad de carga.</t>
  </si>
  <si>
    <t>cifras significativas</t>
  </si>
  <si>
    <t>Masa</t>
  </si>
  <si>
    <t>Mínimo</t>
  </si>
  <si>
    <t>Máximo</t>
  </si>
  <si>
    <t>La incertidumbre expandida de medida corresponde a los valores relativos del valor medido relacionado en el intervalo de medición</t>
  </si>
  <si>
    <t>Intervalo de Medición:</t>
  </si>
  <si>
    <t>Intervalo de Calibración:</t>
  </si>
  <si>
    <t>Intervalo del Equipo:</t>
  </si>
  <si>
    <t>Intervalos a calibrar:</t>
  </si>
  <si>
    <t>ERROR DE LA MEDIDA Año 1</t>
  </si>
  <si>
    <t>ERROR DE LA MEDIDA Año 2</t>
  </si>
  <si>
    <t>ERROR DE LA MEDIDA Año 3</t>
  </si>
  <si>
    <t>k (95%)</t>
  </si>
  <si>
    <t>CASO PRESENTADO PARA LA CORRECCIÓN POR EFECTO DE EMPUJE:</t>
  </si>
  <si>
    <t>B. Instrumento fue ajustado independientemente de la calibración.</t>
  </si>
  <si>
    <t>A. Instrumento fue ajustado inmediatamente antes de la calibración.</t>
  </si>
  <si>
    <t>CASO GENERAL
CASO A</t>
  </si>
  <si>
    <t>CASO GENERAL
CASO B</t>
  </si>
  <si>
    <t xml:space="preserve">      </t>
  </si>
  <si>
    <t xml:space="preserve">MASA NOMINAL </t>
  </si>
  <si>
    <t xml:space="preserve">INDICACIÓN DE LECTURA </t>
  </si>
  <si>
    <t>Indicación de Lectura de cada Carga (g)</t>
  </si>
  <si>
    <t>MEP</t>
  </si>
  <si>
    <t>DENSIDAD DEL AIRE (ƍo)</t>
  </si>
  <si>
    <t>DENSIDAD PESAS (ƍc)</t>
  </si>
  <si>
    <t>CASOS A PRESENTARSE GENERALES:</t>
  </si>
  <si>
    <t>√3</t>
  </si>
  <si>
    <t>Diego Vera</t>
  </si>
  <si>
    <t>Equipo de Pesaje</t>
  </si>
  <si>
    <t>D.ESTS maxima</t>
  </si>
  <si>
    <t>Cargas de interes: consignar datos tomados en prueba error de indicacion  y repetibilidad simultanea</t>
  </si>
  <si>
    <t>CALIBRACIÓN INSTRUMENTOS DE PESAJE DE FUNCIONAMIENTO NO AUTOMATICO</t>
  </si>
  <si>
    <t>CODIGO: LC-FR-20</t>
  </si>
  <si>
    <t>VERSION: 4</t>
  </si>
  <si>
    <t>VERSIÓN</t>
  </si>
  <si>
    <t>DESCRIPCIÓN DE LOS CAMBIOS</t>
  </si>
  <si>
    <t>FECHA APROBACIÓN</t>
  </si>
  <si>
    <t>CD149-21.  Se actualiza encabezados de acuerdo con el Procedimiento  control de documentos y registros GP-PR-01 V7</t>
  </si>
  <si>
    <t>Revisó: 
Director Técnico                                                                                                                                                                                                                             Fecha: 2021-02-02</t>
  </si>
  <si>
    <t>Aprobó:                                                                                                                                                                                                                            Gerente General                                                                                                                                                                                                             Fecha: 2021-02-04</t>
  </si>
  <si>
    <t>se realizan cambios en la interpretación de la prueba de excentricidad de carga.</t>
  </si>
  <si>
    <t>la incertidumbre por deriva de las masas se cambio por raíz 3 y no 2 por raíz de 3. las casillas en blanco se colocan rayas, se cambia temperatura inicial y final por temperatura mínima y máxima</t>
  </si>
  <si>
    <t>DG1</t>
  </si>
  <si>
    <t>En sitio</t>
  </si>
  <si>
    <t>Intrumento de pesaje de funcionamiento no automático con d ≥ 0,1 mg</t>
  </si>
  <si>
    <t>Intrumento de pesaje de funcionamiento no automático con d ≥ 1 mg</t>
  </si>
  <si>
    <t>Intrumento de pesaje de funcionamiento no automático con d ≥ 0,1 g</t>
  </si>
  <si>
    <t>Intrumento de pesaje de funcionamiento no automático con d ≥ 0,01 kg</t>
  </si>
  <si>
    <t>Intrumento de pesaje de funcionamiento no automático con d ≥ 0,02 kg</t>
  </si>
  <si>
    <t>Intrumento de pesaje de funcionamiento no automático con d ≥ 0,1 kg</t>
  </si>
  <si>
    <t>Intrumento de pesaje de funcionamiento no automático con d ≥ 0,2 kg</t>
  </si>
  <si>
    <t>Urel (min)</t>
  </si>
  <si>
    <t>Urel (max)</t>
  </si>
  <si>
    <t>CMC (min)</t>
  </si>
  <si>
    <t>TEC-LAB-MP-20</t>
  </si>
  <si>
    <t>TEC-LAB-MP-19</t>
  </si>
  <si>
    <t>TEC-LAB-MP-13</t>
  </si>
  <si>
    <t>VALOR NOMINAL EN [mg, g, kg]</t>
  </si>
  <si>
    <t>Firmado digitalmente</t>
  </si>
  <si>
    <t>Dirección:*</t>
  </si>
  <si>
    <t>Fabricante:*</t>
  </si>
  <si>
    <t>Modelo:*</t>
  </si>
  <si>
    <t>Identificación:*</t>
  </si>
  <si>
    <t>Número de serie:*</t>
  </si>
  <si>
    <r>
      <t xml:space="preserve">No aplica  </t>
    </r>
    <r>
      <rPr>
        <sz val="11"/>
        <rFont val="Calibri"/>
        <family val="2"/>
        <scheme val="minor"/>
      </rPr>
      <t>(Marcar con "X" solo cuando no aplique la prueba de Excentricidad de Carga)</t>
    </r>
  </si>
  <si>
    <t>Se implementa uso de firma digital</t>
  </si>
  <si>
    <t>Se actualiza versión de acreditación de la norma NTC/ ISO  17025 2005 a NTC/ ISO  17025 2017</t>
  </si>
  <si>
    <t>Certifícate of calibration</t>
  </si>
  <si>
    <t>Certifícate number</t>
  </si>
  <si>
    <t>IR</t>
  </si>
  <si>
    <t>Decimales</t>
  </si>
  <si>
    <t>TEC-LAB-MP-09</t>
  </si>
  <si>
    <t>09</t>
  </si>
  <si>
    <t>PESA INDIVIDUAL F1 DE 10 kg</t>
  </si>
  <si>
    <t>PESA INDIVIDUAL F1 DE 20 kg</t>
  </si>
  <si>
    <t>PESA INDIVIDUAL F1 DE 5 kg</t>
  </si>
  <si>
    <t>WR Laboratorios</t>
  </si>
  <si>
    <t>Jean Pier Bolaños</t>
  </si>
  <si>
    <t>Este  certificado  expresa  fielmente  el  resultado  de  las  mediciones  realizadas única y exclusivamente al instrumento bajo calibración, aquí relacionado. No podrá ser reproducido parcialmente sin la debida autorización del emisor, excepto cuando se reproduce en su totalidad.</t>
  </si>
  <si>
    <t>FREC  CALIBACION [ Meses]</t>
  </si>
  <si>
    <t>Deriva |Cn-Cn-1|Para pesas no sometidas a adjuste y  Deriva (ec 7.1.2-10 guia SIM) Para pesas sometidas a adjuste</t>
  </si>
  <si>
    <t>1 ,mg</t>
  </si>
  <si>
    <t>2 ,mg</t>
  </si>
  <si>
    <t>5 ,mg</t>
  </si>
  <si>
    <t>10 ,mg</t>
  </si>
  <si>
    <t>20 ,mg</t>
  </si>
  <si>
    <t>50 ,mg</t>
  </si>
  <si>
    <t>100 ,mg</t>
  </si>
  <si>
    <t>200 ,mg</t>
  </si>
  <si>
    <t>500 ,mg</t>
  </si>
  <si>
    <t>1000 ,mg</t>
  </si>
  <si>
    <t>2000 ,mg</t>
  </si>
  <si>
    <t>5000 ,mg</t>
  </si>
  <si>
    <t>10000 ,mg</t>
  </si>
  <si>
    <t>20000 ,mg</t>
  </si>
  <si>
    <t>50000 ,mg</t>
  </si>
  <si>
    <t>100000 ,mg</t>
  </si>
  <si>
    <t>200000 ,mg</t>
  </si>
  <si>
    <t>500000 ,mg</t>
  </si>
  <si>
    <t>Validacion ID Masas</t>
  </si>
  <si>
    <t xml:space="preserve">Deriva (ecuacion 7.1.2-10 guia SIM) </t>
  </si>
  <si>
    <t>∆max V. Objectivo</t>
  </si>
  <si>
    <t>∆ min entre cargas</t>
  </si>
  <si>
    <t>kL= 5</t>
  </si>
  <si>
    <t>cargas para prueba de error de indicacion a 5 puntos</t>
  </si>
  <si>
    <t>kL=11</t>
  </si>
  <si>
    <t>cargas para prueba de error de indicacion a 11 puntos</t>
  </si>
  <si>
    <t>Lobj</t>
  </si>
  <si>
    <t>Lmin</t>
  </si>
  <si>
    <t>Lmax</t>
  </si>
  <si>
    <t>p medio</t>
  </si>
  <si>
    <t># datos-1</t>
  </si>
  <si>
    <t>% de carga</t>
  </si>
  <si>
    <t>punto medio</t>
  </si>
  <si>
    <r>
      <rPr>
        <sz val="12"/>
        <rFont val="Calibri"/>
        <family val="2"/>
      </rPr>
      <t>∆ Entre</t>
    </r>
    <r>
      <rPr>
        <sz val="12"/>
        <rFont val="Arial"/>
        <family val="2"/>
      </rPr>
      <t xml:space="preserve"> Cargas</t>
    </r>
  </si>
  <si>
    <t>Carga Obj</t>
  </si>
  <si>
    <r>
      <t>g/cm</t>
    </r>
    <r>
      <rPr>
        <vertAlign val="superscript"/>
        <sz val="11"/>
        <color theme="0" tint="-0.34998626667073579"/>
        <rFont val="Calibri"/>
        <family val="2"/>
      </rPr>
      <t>3</t>
    </r>
  </si>
  <si>
    <t>Este  certificado  es  emitido  de  acuerdo con los requerimientos de la norma ISO/IEC 17025:2017  (Requisitos generales para la competencia de  los laboratorios de ensayo y calibración).  El usuario es responsable de la calibración de sus instrumentos a intervalos apropiados.</t>
  </si>
  <si>
    <t>0 ,kg</t>
  </si>
  <si>
    <t>0 ,mg</t>
  </si>
  <si>
    <t>0,001 ,g</t>
  </si>
  <si>
    <t>0,002 ,g</t>
  </si>
  <si>
    <t>0,005 ,g</t>
  </si>
  <si>
    <t>0,01 ,g</t>
  </si>
  <si>
    <t>0,02 ,g</t>
  </si>
  <si>
    <t>0,05 ,g</t>
  </si>
  <si>
    <t>0,1 ,g</t>
  </si>
  <si>
    <t>0,2 ,g</t>
  </si>
  <si>
    <t>0,5 ,g</t>
  </si>
  <si>
    <t>SS</t>
  </si>
  <si>
    <t>Plata</t>
  </si>
  <si>
    <t>Laton</t>
  </si>
  <si>
    <t>Hierro F Gris</t>
  </si>
  <si>
    <t>Hierro F Blanco</t>
  </si>
  <si>
    <t>Aluminio</t>
  </si>
  <si>
    <t>ρkg/m3</t>
  </si>
  <si>
    <t>ρ kg/m3</t>
  </si>
  <si>
    <t>ρ</t>
  </si>
  <si>
    <r>
      <t>ρ</t>
    </r>
    <r>
      <rPr>
        <vertAlign val="subscript"/>
        <sz val="11"/>
        <color theme="1"/>
        <rFont val="Calibri"/>
        <family val="2"/>
        <scheme val="minor"/>
      </rPr>
      <t>a</t>
    </r>
  </si>
  <si>
    <r>
      <t>ρ</t>
    </r>
    <r>
      <rPr>
        <vertAlign val="subscript"/>
        <sz val="11"/>
        <color theme="1"/>
        <rFont val="Calibri"/>
        <family val="2"/>
        <scheme val="minor"/>
      </rPr>
      <t>0</t>
    </r>
  </si>
  <si>
    <r>
      <t>ρ</t>
    </r>
    <r>
      <rPr>
        <vertAlign val="subscript"/>
        <sz val="11"/>
        <color theme="1"/>
        <rFont val="Calibri"/>
        <family val="2"/>
        <scheme val="minor"/>
      </rPr>
      <t>c</t>
    </r>
  </si>
  <si>
    <t>uρ g/cm3</t>
  </si>
  <si>
    <t>0,000001 ,kg</t>
  </si>
  <si>
    <t>0,000002 ,kg</t>
  </si>
  <si>
    <t>0,000005 ,kg</t>
  </si>
  <si>
    <t>0,00001 ,kg</t>
  </si>
  <si>
    <t>0,00002 ,kg</t>
  </si>
  <si>
    <t>0,00005 ,kg</t>
  </si>
  <si>
    <t>0,0001 ,kg</t>
  </si>
  <si>
    <t>0,0002 ,kg</t>
  </si>
  <si>
    <t>0,0005 ,kg</t>
  </si>
  <si>
    <t>0,001 ,kg</t>
  </si>
  <si>
    <t>0,002 ,kg</t>
  </si>
  <si>
    <t>0,005 ,kg</t>
  </si>
  <si>
    <t>0,01 ,kg</t>
  </si>
  <si>
    <t>0,02 ,kg</t>
  </si>
  <si>
    <t>0,05 ,kg</t>
  </si>
  <si>
    <t>0,1 ,kg</t>
  </si>
  <si>
    <t>0,2 ,kg</t>
  </si>
  <si>
    <t>1000000 ,mg</t>
  </si>
  <si>
    <t>2000000 ,mg</t>
  </si>
  <si>
    <t>5000000 ,mg</t>
  </si>
  <si>
    <t>0,5 ,kg</t>
  </si>
  <si>
    <t>10000000 ,mg</t>
  </si>
  <si>
    <t>20000000 ,mg</t>
  </si>
  <si>
    <t>FALSO ,?</t>
  </si>
  <si>
    <t>ERROR DE LA MEDIDA [g] ?</t>
  </si>
  <si>
    <t>Formulado</t>
  </si>
  <si>
    <r>
      <t>1,6 x 10</t>
    </r>
    <r>
      <rPr>
        <vertAlign val="superscript"/>
        <sz val="11"/>
        <rFont val="Century Gothic"/>
        <family val="2"/>
      </rPr>
      <t>-4</t>
    </r>
  </si>
  <si>
    <t>Julian Andres Valencia</t>
  </si>
  <si>
    <t>TEC-LAB-MP-21</t>
  </si>
  <si>
    <t>N /A</t>
  </si>
  <si>
    <t>N O</t>
  </si>
  <si>
    <t>S I</t>
  </si>
  <si>
    <t>DETECTO</t>
  </si>
  <si>
    <t>55022 C</t>
  </si>
  <si>
    <t>TEC-LAB-PTHRI-03</t>
  </si>
  <si>
    <t>Tesla</t>
  </si>
  <si>
    <t>Datos Del Cliente:</t>
  </si>
  <si>
    <t>Datos del Instrumento:</t>
  </si>
  <si>
    <t>Error Máximo permitido lineal:</t>
  </si>
  <si>
    <t>Error Máximo permitido Repetibilidad :</t>
  </si>
  <si>
    <t xml:space="preserve">determinadas a partir  </t>
  </si>
  <si>
    <t>Prueba de repetibilidad</t>
  </si>
  <si>
    <t>Conformidad</t>
  </si>
  <si>
    <t>Diferencia Max.</t>
  </si>
  <si>
    <t>Masa convencional</t>
  </si>
  <si>
    <t>Incertidumbre</t>
  </si>
  <si>
    <t>Regla Decisión</t>
  </si>
  <si>
    <t>Simple</t>
  </si>
  <si>
    <t>Conservadora</t>
  </si>
  <si>
    <t>Regla de decisión</t>
  </si>
  <si>
    <t>Este   valor   ha   sido   determinado,   siguiendo   los   pasos   indicados  en  la Guía  SIM MWG7/cg-01/v.00:2009;  en este resultado no se tuvo en cuenta la estabilidad a largo plazo del objeto de calibración.</t>
  </si>
  <si>
    <t>LC-FR-08</t>
  </si>
  <si>
    <t xml:space="preserve">Plantilla Incertidumbre 
</t>
  </si>
  <si>
    <t xml:space="preserve">CODIGO: </t>
  </si>
  <si>
    <t xml:space="preserve">Revisó: </t>
  </si>
  <si>
    <t>Fecha:</t>
  </si>
  <si>
    <t>Aprobó:</t>
  </si>
  <si>
    <t>Gerente General</t>
  </si>
  <si>
    <t>VERSION:</t>
  </si>
  <si>
    <t>03</t>
  </si>
  <si>
    <t>Hr</t>
  </si>
  <si>
    <t>P Atm</t>
  </si>
  <si>
    <t>T</t>
  </si>
  <si>
    <t>Limites Condiciones Ambientales</t>
  </si>
  <si>
    <t>2023-12-04</t>
  </si>
  <si>
    <t>PESA INDIVIDUAL F1 DE 1 kg</t>
  </si>
  <si>
    <t xml:space="preserve">CD289-24.  Se actualiza logo ONAC, Se adicionan campos para declaración de conformidad. Se adicionan semáforos de alerta y revisión,  para control de diligenciamiento de datos cubriendo todas las condiciones ambientales </t>
  </si>
  <si>
    <t>58446 C</t>
  </si>
  <si>
    <t>unidad de medida</t>
  </si>
  <si>
    <t>50-1kg</t>
  </si>
  <si>
    <t>20-1kg</t>
  </si>
  <si>
    <t>10-1kg</t>
  </si>
  <si>
    <t>5-1kg</t>
  </si>
  <si>
    <t>2-1kg</t>
  </si>
  <si>
    <t>1-1kg</t>
  </si>
  <si>
    <t>0,5-1kg</t>
  </si>
  <si>
    <t>0,2-1kg</t>
  </si>
  <si>
    <t>0,1-1kg</t>
  </si>
  <si>
    <t>0,05-1kg</t>
  </si>
  <si>
    <t>0,02-1kg</t>
  </si>
  <si>
    <t>0,01-1kg</t>
  </si>
  <si>
    <t>50000-1g</t>
  </si>
  <si>
    <t>20000-1g</t>
  </si>
  <si>
    <t>10000-1g</t>
  </si>
  <si>
    <t>5000-1g</t>
  </si>
  <si>
    <t>2000-1g</t>
  </si>
  <si>
    <t>1000-1g</t>
  </si>
  <si>
    <t>500-1g</t>
  </si>
  <si>
    <t>200-1g</t>
  </si>
  <si>
    <t>100-1g</t>
  </si>
  <si>
    <t>50-1g</t>
  </si>
  <si>
    <t>20-1g</t>
  </si>
  <si>
    <t>10-1g</t>
  </si>
  <si>
    <t>50000000-1mg</t>
  </si>
  <si>
    <t>20000000-1mg</t>
  </si>
  <si>
    <t>10000000-1mg</t>
  </si>
  <si>
    <t>5000000-1mg</t>
  </si>
  <si>
    <t>2000000-1mg</t>
  </si>
  <si>
    <t>1000000-1mg</t>
  </si>
  <si>
    <t>500000-1mg</t>
  </si>
  <si>
    <t>200000-1mg</t>
  </si>
  <si>
    <t>100000-1mg</t>
  </si>
  <si>
    <t>50000-1mg</t>
  </si>
  <si>
    <t>20000-1mg</t>
  </si>
  <si>
    <t>10000-1mg</t>
  </si>
  <si>
    <t>50-2kg</t>
  </si>
  <si>
    <t>20-2kg</t>
  </si>
  <si>
    <t>10-2kg</t>
  </si>
  <si>
    <t>5-2kg</t>
  </si>
  <si>
    <t>2-2kg</t>
  </si>
  <si>
    <t>1-2kg</t>
  </si>
  <si>
    <t>0,5-2kg</t>
  </si>
  <si>
    <t>0,2-2kg</t>
  </si>
  <si>
    <t>0,1-2kg</t>
  </si>
  <si>
    <t>0,05-2kg</t>
  </si>
  <si>
    <t>0,02-2kg</t>
  </si>
  <si>
    <t>0,01-2kg</t>
  </si>
  <si>
    <t>50000-2g</t>
  </si>
  <si>
    <t>20000-2g</t>
  </si>
  <si>
    <t>10000-2g</t>
  </si>
  <si>
    <t>5000-2g</t>
  </si>
  <si>
    <t>2000-2g</t>
  </si>
  <si>
    <t>1000-2g</t>
  </si>
  <si>
    <t>500-2g</t>
  </si>
  <si>
    <t>200-2g</t>
  </si>
  <si>
    <t>100-2g</t>
  </si>
  <si>
    <t>50-2g</t>
  </si>
  <si>
    <t>20-2g</t>
  </si>
  <si>
    <t>10-2g</t>
  </si>
  <si>
    <t>50000000-2mg</t>
  </si>
  <si>
    <t>20000000-2mg</t>
  </si>
  <si>
    <t>10000000-2mg</t>
  </si>
  <si>
    <t>5000000-2mg</t>
  </si>
  <si>
    <t>2000000-2mg</t>
  </si>
  <si>
    <t>1000000-2mg</t>
  </si>
  <si>
    <t>500000-2mg</t>
  </si>
  <si>
    <t>200000-2mg</t>
  </si>
  <si>
    <t>100000-2mg</t>
  </si>
  <si>
    <t>50000-2mg</t>
  </si>
  <si>
    <t>20000-2mg</t>
  </si>
  <si>
    <t>10000-2mg</t>
  </si>
  <si>
    <t>50-3kg</t>
  </si>
  <si>
    <t>20-3kg</t>
  </si>
  <si>
    <t>10-3kg</t>
  </si>
  <si>
    <t>5-3kg</t>
  </si>
  <si>
    <t>2-3kg</t>
  </si>
  <si>
    <t>1-3kg</t>
  </si>
  <si>
    <t>0,5-3kg</t>
  </si>
  <si>
    <t>0,2-3kg</t>
  </si>
  <si>
    <t>0,1-3kg</t>
  </si>
  <si>
    <t>0,05-3kg</t>
  </si>
  <si>
    <t>0,02-3kg</t>
  </si>
  <si>
    <t>0,01-3kg</t>
  </si>
  <si>
    <t>50000-3g</t>
  </si>
  <si>
    <t>20000-3g</t>
  </si>
  <si>
    <t>10000-3g</t>
  </si>
  <si>
    <t>5000-3g</t>
  </si>
  <si>
    <t>2000-3g</t>
  </si>
  <si>
    <t>1000-3g</t>
  </si>
  <si>
    <t>500-3g</t>
  </si>
  <si>
    <t>200-3g</t>
  </si>
  <si>
    <t>100-3g</t>
  </si>
  <si>
    <t>50-3g</t>
  </si>
  <si>
    <t>20-3g</t>
  </si>
  <si>
    <t>10-3g</t>
  </si>
  <si>
    <t>50000000-3mg</t>
  </si>
  <si>
    <t>20000000-3mg</t>
  </si>
  <si>
    <t>10000000-3mg</t>
  </si>
  <si>
    <t>5000000-3mg</t>
  </si>
  <si>
    <t>2000000-3mg</t>
  </si>
  <si>
    <t>1000000-3mg</t>
  </si>
  <si>
    <t>500000-3mg</t>
  </si>
  <si>
    <t>200000-3mg</t>
  </si>
  <si>
    <t>100000-3mg</t>
  </si>
  <si>
    <t>50000-3mg</t>
  </si>
  <si>
    <t>20000-3mg</t>
  </si>
  <si>
    <t>10000-3mg</t>
  </si>
  <si>
    <t>ALM-080-24</t>
  </si>
  <si>
    <t>TLM-P-4418/TLM-TH-1858</t>
  </si>
  <si>
    <t>2024-02-14_2024-02-21</t>
  </si>
  <si>
    <t>2026/02/14 _2026/02/21</t>
  </si>
  <si>
    <t>Decimal</t>
  </si>
  <si>
    <t>Diferencia</t>
  </si>
  <si>
    <t>V Ajuste</t>
  </si>
  <si>
    <t>V Adj</t>
  </si>
  <si>
    <t>Ajustar ?</t>
  </si>
  <si>
    <t>Redondeo</t>
  </si>
  <si>
    <t xml:space="preserve">Masa </t>
  </si>
  <si>
    <t>Para CMC:</t>
  </si>
  <si>
    <t>Uc Sin Ajt</t>
  </si>
  <si>
    <t>Uc  Con Ajt</t>
  </si>
  <si>
    <t>Valores  ajustados ?</t>
  </si>
  <si>
    <t>Urel (Max)</t>
  </si>
  <si>
    <r>
      <t xml:space="preserve">Observaciones:  </t>
    </r>
    <r>
      <rPr>
        <sz val="12"/>
        <color theme="1"/>
        <rFont val="Tahoma"/>
        <family val="2"/>
      </rPr>
      <t>→</t>
    </r>
  </si>
  <si>
    <r>
      <t xml:space="preserve">Intrumento de pesaje de funcionamiento no automático con d </t>
    </r>
    <r>
      <rPr>
        <sz val="11"/>
        <rFont val="Calibri"/>
        <family val="2"/>
      </rPr>
      <t>≥</t>
    </r>
    <r>
      <rPr>
        <sz val="11"/>
        <rFont val="Century Gothic"/>
        <family val="2"/>
      </rPr>
      <t xml:space="preserve"> 0,001 mg</t>
    </r>
  </si>
  <si>
    <r>
      <t>7,6 x 10</t>
    </r>
    <r>
      <rPr>
        <vertAlign val="superscript"/>
        <sz val="11"/>
        <rFont val="Century Gothic"/>
        <family val="2"/>
      </rPr>
      <t>-6</t>
    </r>
  </si>
  <si>
    <r>
      <t xml:space="preserve">0 g &lt; </t>
    </r>
    <r>
      <rPr>
        <i/>
        <sz val="11"/>
        <rFont val="Century Gothic"/>
        <family val="2"/>
      </rPr>
      <t>m</t>
    </r>
    <r>
      <rPr>
        <sz val="11"/>
        <rFont val="Century Gothic"/>
        <family val="2"/>
      </rPr>
      <t xml:space="preserve"> </t>
    </r>
    <r>
      <rPr>
        <sz val="11"/>
        <rFont val="Calibri"/>
        <family val="2"/>
      </rPr>
      <t>≤</t>
    </r>
    <r>
      <rPr>
        <sz val="8.8000000000000007"/>
        <rFont val="Century Gothic"/>
        <family val="2"/>
      </rPr>
      <t xml:space="preserve"> 8 </t>
    </r>
    <r>
      <rPr>
        <sz val="11"/>
        <rFont val="Century Gothic"/>
        <family val="2"/>
      </rPr>
      <t>g</t>
    </r>
  </si>
  <si>
    <r>
      <t xml:space="preserve">0 g &lt; </t>
    </r>
    <r>
      <rPr>
        <i/>
        <sz val="11"/>
        <color rgb="FF0070C0"/>
        <rFont val="Century Gothic"/>
        <family val="2"/>
      </rPr>
      <t>m</t>
    </r>
    <r>
      <rPr>
        <sz val="11"/>
        <color rgb="FF0070C0"/>
        <rFont val="Century Gothic"/>
        <family val="2"/>
      </rPr>
      <t xml:space="preserve"> </t>
    </r>
    <r>
      <rPr>
        <sz val="11"/>
        <color rgb="FF0070C0"/>
        <rFont val="Calibri"/>
        <family val="2"/>
      </rPr>
      <t>≤</t>
    </r>
    <r>
      <rPr>
        <sz val="8.8000000000000007"/>
        <color rgb="FF0070C0"/>
        <rFont val="Century Gothic"/>
        <family val="2"/>
      </rPr>
      <t xml:space="preserve"> 8000 mg</t>
    </r>
  </si>
  <si>
    <r>
      <t xml:space="preserve">8 g &lt; </t>
    </r>
    <r>
      <rPr>
        <i/>
        <sz val="11"/>
        <rFont val="Century Gothic"/>
        <family val="2"/>
      </rPr>
      <t>m</t>
    </r>
    <r>
      <rPr>
        <sz val="11"/>
        <rFont val="Century Gothic"/>
        <family val="2"/>
      </rPr>
      <t xml:space="preserve"> ≤ 120 g</t>
    </r>
  </si>
  <si>
    <t>Intrumento de pesaje de funcionamiento no automático con d ≥ 0,01 mg</t>
  </si>
  <si>
    <r>
      <t>1,3 x 10</t>
    </r>
    <r>
      <rPr>
        <vertAlign val="superscript"/>
        <sz val="11"/>
        <rFont val="Century Gothic"/>
        <family val="2"/>
      </rPr>
      <t>-6</t>
    </r>
  </si>
  <si>
    <r>
      <t xml:space="preserve">120 g &lt; </t>
    </r>
    <r>
      <rPr>
        <i/>
        <sz val="11"/>
        <rFont val="Century Gothic"/>
        <family val="2"/>
      </rPr>
      <t>m</t>
    </r>
    <r>
      <rPr>
        <sz val="11"/>
        <rFont val="Century Gothic"/>
        <family val="2"/>
      </rPr>
      <t xml:space="preserve"> ≤ 510 g</t>
    </r>
  </si>
  <si>
    <r>
      <t>9,2 x 10</t>
    </r>
    <r>
      <rPr>
        <vertAlign val="superscript"/>
        <sz val="11"/>
        <rFont val="Century Gothic"/>
        <family val="2"/>
      </rPr>
      <t>-7</t>
    </r>
  </si>
  <si>
    <r>
      <t xml:space="preserve">8000 mg &lt; </t>
    </r>
    <r>
      <rPr>
        <i/>
        <sz val="11"/>
        <color rgb="FF0070C0"/>
        <rFont val="Century Gothic"/>
        <family val="2"/>
      </rPr>
      <t>m</t>
    </r>
    <r>
      <rPr>
        <sz val="11"/>
        <color rgb="FF0070C0"/>
        <rFont val="Century Gothic"/>
        <family val="2"/>
      </rPr>
      <t xml:space="preserve"> ≤ 120000 mg</t>
    </r>
  </si>
  <si>
    <r>
      <t xml:space="preserve">120000 mg &lt; </t>
    </r>
    <r>
      <rPr>
        <i/>
        <sz val="11"/>
        <color rgb="FF0070C0"/>
        <rFont val="Century Gothic"/>
        <family val="2"/>
      </rPr>
      <t>m</t>
    </r>
    <r>
      <rPr>
        <sz val="11"/>
        <color rgb="FF0070C0"/>
        <rFont val="Century Gothic"/>
        <family val="2"/>
      </rPr>
      <t xml:space="preserve"> ≤ 510000 mg</t>
    </r>
  </si>
  <si>
    <r>
      <t xml:space="preserve">510 g &lt; </t>
    </r>
    <r>
      <rPr>
        <i/>
        <sz val="11"/>
        <rFont val="Century Gothic"/>
        <family val="2"/>
      </rPr>
      <t>m</t>
    </r>
    <r>
      <rPr>
        <sz val="11"/>
        <rFont val="Century Gothic"/>
        <family val="2"/>
      </rPr>
      <t xml:space="preserve"> ≤ 1200 g</t>
    </r>
  </si>
  <si>
    <r>
      <t xml:space="preserve">510000 mg &lt; </t>
    </r>
    <r>
      <rPr>
        <i/>
        <sz val="11"/>
        <color rgb="FF0070C0"/>
        <rFont val="Century Gothic"/>
        <family val="2"/>
      </rPr>
      <t>m</t>
    </r>
    <r>
      <rPr>
        <sz val="11"/>
        <color rgb="FF0070C0"/>
        <rFont val="Century Gothic"/>
        <family val="2"/>
      </rPr>
      <t xml:space="preserve"> ≤ 1200000 mg</t>
    </r>
  </si>
  <si>
    <r>
      <t xml:space="preserve">1200 g &lt; </t>
    </r>
    <r>
      <rPr>
        <i/>
        <sz val="11"/>
        <rFont val="Century Gothic"/>
        <family val="2"/>
      </rPr>
      <t>m</t>
    </r>
    <r>
      <rPr>
        <sz val="11"/>
        <rFont val="Century Gothic"/>
        <family val="2"/>
      </rPr>
      <t xml:space="preserve"> ≤ 81000 g</t>
    </r>
  </si>
  <si>
    <t>Intrumento de pesaje de funcionamiento no automático con d ≥ 0,01 g</t>
  </si>
  <si>
    <r>
      <t>3,1 x 10</t>
    </r>
    <r>
      <rPr>
        <vertAlign val="superscript"/>
        <sz val="11"/>
        <rFont val="Century Gothic"/>
        <family val="2"/>
      </rPr>
      <t>-6</t>
    </r>
  </si>
  <si>
    <r>
      <t>3,0 x 10</t>
    </r>
    <r>
      <rPr>
        <vertAlign val="superscript"/>
        <sz val="11"/>
        <rFont val="Century Gothic"/>
        <family val="2"/>
      </rPr>
      <t>-6</t>
    </r>
  </si>
  <si>
    <r>
      <t xml:space="preserve">8,1 kg &lt; </t>
    </r>
    <r>
      <rPr>
        <i/>
        <sz val="11"/>
        <color rgb="FF7030A0"/>
        <rFont val="Century Gothic"/>
        <family val="2"/>
      </rPr>
      <t>m</t>
    </r>
    <r>
      <rPr>
        <sz val="11"/>
        <color rgb="FF7030A0"/>
        <rFont val="Century Gothic"/>
        <family val="2"/>
      </rPr>
      <t xml:space="preserve"> ≤ 60 kg</t>
    </r>
  </si>
  <si>
    <r>
      <t xml:space="preserve">1,2 kg &lt; </t>
    </r>
    <r>
      <rPr>
        <i/>
        <sz val="11"/>
        <color rgb="FF7030A0"/>
        <rFont val="Century Gothic"/>
        <family val="2"/>
      </rPr>
      <t>m</t>
    </r>
    <r>
      <rPr>
        <sz val="11"/>
        <color rgb="FF7030A0"/>
        <rFont val="Century Gothic"/>
        <family val="2"/>
      </rPr>
      <t xml:space="preserve"> ≤ 8,1 kg</t>
    </r>
  </si>
  <si>
    <r>
      <t>4,5 x 10</t>
    </r>
    <r>
      <rPr>
        <vertAlign val="superscript"/>
        <sz val="11"/>
        <rFont val="Century Gothic"/>
        <family val="2"/>
      </rPr>
      <t>-6</t>
    </r>
  </si>
  <si>
    <r>
      <t xml:space="preserve">8100 g &lt; </t>
    </r>
    <r>
      <rPr>
        <i/>
        <sz val="11"/>
        <rFont val="Century Gothic"/>
        <family val="2"/>
      </rPr>
      <t>m</t>
    </r>
    <r>
      <rPr>
        <sz val="11"/>
        <rFont val="Century Gothic"/>
        <family val="2"/>
      </rPr>
      <t xml:space="preserve"> ≤ 60000 g</t>
    </r>
  </si>
  <si>
    <r>
      <t xml:space="preserve">60 kg &lt; </t>
    </r>
    <r>
      <rPr>
        <i/>
        <sz val="11"/>
        <rFont val="Century Gothic"/>
        <family val="2"/>
      </rPr>
      <t>m</t>
    </r>
    <r>
      <rPr>
        <sz val="11"/>
        <rFont val="Century Gothic"/>
        <family val="2"/>
      </rPr>
      <t xml:space="preserve"> ≤ 100 kg</t>
    </r>
  </si>
  <si>
    <r>
      <t>8,4 x 10</t>
    </r>
    <r>
      <rPr>
        <vertAlign val="superscript"/>
        <sz val="11"/>
        <rFont val="Century Gothic"/>
        <family val="2"/>
      </rPr>
      <t>-5</t>
    </r>
  </si>
  <si>
    <r>
      <t xml:space="preserve">60000 g &lt; </t>
    </r>
    <r>
      <rPr>
        <i/>
        <sz val="11"/>
        <color rgb="FF0070C0"/>
        <rFont val="Century Gothic"/>
        <family val="2"/>
      </rPr>
      <t>m</t>
    </r>
    <r>
      <rPr>
        <sz val="11"/>
        <color rgb="FF0070C0"/>
        <rFont val="Century Gothic"/>
        <family val="2"/>
      </rPr>
      <t xml:space="preserve"> ≤ 100000 g</t>
    </r>
  </si>
  <si>
    <r>
      <t xml:space="preserve">100 kg &lt; </t>
    </r>
    <r>
      <rPr>
        <i/>
        <sz val="11"/>
        <rFont val="Century Gothic"/>
        <family val="2"/>
      </rPr>
      <t>m</t>
    </r>
    <r>
      <rPr>
        <sz val="11"/>
        <rFont val="Century Gothic"/>
        <family val="2"/>
      </rPr>
      <t xml:space="preserve"> ≤ 300 kg</t>
    </r>
  </si>
  <si>
    <r>
      <t>5,7 x 10</t>
    </r>
    <r>
      <rPr>
        <vertAlign val="superscript"/>
        <sz val="11"/>
        <rFont val="Century Gothic"/>
        <family val="2"/>
      </rPr>
      <t>-5</t>
    </r>
  </si>
  <si>
    <r>
      <t xml:space="preserve">300 kg &lt; </t>
    </r>
    <r>
      <rPr>
        <i/>
        <sz val="11"/>
        <rFont val="Century Gothic"/>
        <family val="2"/>
      </rPr>
      <t>m</t>
    </r>
    <r>
      <rPr>
        <sz val="11"/>
        <rFont val="Century Gothic"/>
        <family val="2"/>
      </rPr>
      <t xml:space="preserve"> ≤ 1000 kg</t>
    </r>
  </si>
  <si>
    <r>
      <t xml:space="preserve">1000 kg &lt; </t>
    </r>
    <r>
      <rPr>
        <i/>
        <sz val="11"/>
        <rFont val="Century Gothic"/>
        <family val="2"/>
      </rPr>
      <t>m</t>
    </r>
    <r>
      <rPr>
        <sz val="11"/>
        <rFont val="Century Gothic"/>
        <family val="2"/>
      </rPr>
      <t xml:space="preserve"> ≤ 1500 kg</t>
    </r>
  </si>
  <si>
    <r>
      <t>2,6 x 10</t>
    </r>
    <r>
      <rPr>
        <vertAlign val="superscript"/>
        <sz val="11"/>
        <rFont val="Century Gothic"/>
        <family val="2"/>
      </rPr>
      <t>-4</t>
    </r>
  </si>
  <si>
    <t>Resolucion Min</t>
  </si>
  <si>
    <t>Excenticidad</t>
  </si>
  <si>
    <t>ALM-228-24</t>
  </si>
  <si>
    <t>Union Metrologica</t>
  </si>
  <si>
    <t>M-10044</t>
  </si>
  <si>
    <t>TEC-LAB-BA-07</t>
  </si>
  <si>
    <t>Factor de cobertura [ k ]</t>
  </si>
  <si>
    <t>Límite de tolerancia superior único</t>
  </si>
  <si>
    <t>Otro Info</t>
  </si>
  <si>
    <t>https://youtu.be/WtRRT4YwAyM?si=vyZ179gciL1UpRil</t>
  </si>
  <si>
    <t xml:space="preserve">Minuto </t>
  </si>
  <si>
    <t xml:space="preserve"> 2:01:45 </t>
  </si>
  <si>
    <t>=</t>
  </si>
  <si>
    <t>Pc</t>
  </si>
  <si>
    <t>Intervalos de tolerancia bilaterales con FDP normales</t>
  </si>
  <si>
    <t>PC</t>
  </si>
  <si>
    <t>Valor de referencia</t>
  </si>
  <si>
    <t>Tu</t>
  </si>
  <si>
    <t>TL</t>
  </si>
  <si>
    <t>y</t>
  </si>
  <si>
    <t>u</t>
  </si>
  <si>
    <t>U</t>
  </si>
  <si>
    <t>k</t>
  </si>
  <si>
    <t>Pcu</t>
  </si>
  <si>
    <t>PcL</t>
  </si>
  <si>
    <t>Ztu</t>
  </si>
  <si>
    <t xml:space="preserve">ZTL </t>
  </si>
  <si>
    <t>s</t>
  </si>
  <si>
    <t>Prueba con datos de calibraciones</t>
  </si>
  <si>
    <t>Indicación</t>
  </si>
  <si>
    <t>Corrección</t>
  </si>
  <si>
    <t>uc</t>
  </si>
  <si>
    <t xml:space="preserve"> con w=0</t>
  </si>
  <si>
    <t>Regla Decisión Simple</t>
  </si>
  <si>
    <t>[EMP]</t>
  </si>
  <si>
    <t>[-EMP]</t>
  </si>
  <si>
    <t>Lim inf</t>
  </si>
  <si>
    <t>Lim Sup</t>
  </si>
  <si>
    <t>TU</t>
  </si>
  <si>
    <r>
      <t xml:space="preserve">Maxima </t>
    </r>
    <r>
      <rPr>
        <strike/>
        <sz val="11"/>
        <color theme="1"/>
        <rFont val="Calibri"/>
        <family val="2"/>
        <scheme val="minor"/>
      </rPr>
      <t xml:space="preserve"> Pc</t>
    </r>
    <r>
      <rPr>
        <sz val="11"/>
        <color theme="1"/>
        <rFont val="Calibri"/>
        <family val="2"/>
        <scheme val="minor"/>
      </rPr>
      <t xml:space="preserve"> =</t>
    </r>
  </si>
  <si>
    <t>con w=U</t>
  </si>
  <si>
    <t>Se hace con  Tu y TL siempre, de lo contario castigas el sistema</t>
  </si>
  <si>
    <t>Regla Decisión Conservadora</t>
  </si>
  <si>
    <t>[EMP-U]</t>
  </si>
  <si>
    <t>V+[EMP-U]</t>
  </si>
  <si>
    <t>[-EMP+U]</t>
  </si>
  <si>
    <t>V-[EMP-U]</t>
  </si>
  <si>
    <t>LES</t>
  </si>
  <si>
    <t>LEI</t>
  </si>
  <si>
    <t>PFA</t>
  </si>
  <si>
    <t>EMP Lineal</t>
  </si>
  <si>
    <t xml:space="preserve"> EMP Lineal</t>
  </si>
  <si>
    <t>Vigencia de calibración</t>
  </si>
  <si>
    <t>Pc :</t>
  </si>
  <si>
    <t>PNC :</t>
  </si>
  <si>
    <t xml:space="preserve">3. Prueba para los errores de las indicaciones </t>
  </si>
  <si>
    <t>Cuando se hace con los limites solo se considera que los valores medicos esten dentro de dichos límites, pero el % de aceptación o de falsa aceptacion se calcula siempre con  Tu y TL (EMP)</t>
  </si>
  <si>
    <t xml:space="preserve">  -EMP Lineal</t>
  </si>
  <si>
    <t>Telefono</t>
  </si>
  <si>
    <t>Contacto</t>
  </si>
  <si>
    <t>√n</t>
  </si>
  <si>
    <t>Incertidumbre por Reproducibilidad</t>
  </si>
  <si>
    <t>AL</t>
  </si>
  <si>
    <t>AL-</t>
  </si>
  <si>
    <t>TL-</t>
  </si>
  <si>
    <t>E</t>
  </si>
  <si>
    <t>emp</t>
  </si>
  <si>
    <t>AL+</t>
  </si>
  <si>
    <t>3- El   traslado  del  instrumento   a   otro   lugar   después   de   la   calibración  se  debe  evitar  debido  a  que esto puede invalidar  la  calibración   y   por   ende  el  certificado   de   calibración    no   se   podría   considerar  como prueba  de  Trazabilidad ;  A menos que el cliente  demuestre  que  la  nueva  ubicación  no  genera  cambios  representativos  en  los  resultados  generados   a  partir  de las mediciones realizadas, numeral 4.1.2 Guía SIM MWG7/cg-01/v.00:2009.</t>
  </si>
  <si>
    <r>
      <t>S</t>
    </r>
    <r>
      <rPr>
        <vertAlign val="subscript"/>
        <sz val="18"/>
        <rFont val="Calibri"/>
        <family val="2"/>
        <scheme val="minor"/>
      </rPr>
      <t>R</t>
    </r>
  </si>
  <si>
    <t>Reproducibilidad</t>
  </si>
  <si>
    <t>CONTROL DE CAMBIOS</t>
  </si>
  <si>
    <t>CD356-24.  Se actualiza encabezados de acuerdo con el Procedimiento  control de documentos y registros GP-PR-01 por revision periodica de documentos</t>
  </si>
  <si>
    <t>090-21  Se actualiza encabezados de acuerdo con el Procedimiento  control de documentos y registros GP-PR-01 V7</t>
  </si>
  <si>
    <t>Se realiza revisión del documento, se actualiza fecha y responsables. No se genera cambios significativos.</t>
  </si>
  <si>
    <t>4- N.I. = No indica     N.A. = No Aplica     EMP = Error máximo permitido     AL= Limite de aceptación     TL=Limite de tolerancia</t>
  </si>
  <si>
    <t>ALM-283-24</t>
  </si>
  <si>
    <t>NTC 2031</t>
  </si>
  <si>
    <t>Certifícate of calibración</t>
  </si>
  <si>
    <t>Comparación con d</t>
  </si>
  <si>
    <t>Confirmación ajuste</t>
  </si>
  <si>
    <t>1- Se identifican y registran, las especificaciones indicadas en el manual de operación del fabricante o las tolerancias del proceso asignadas por el cliente, siempre y cuando estas estén disponibles. Tecservice S.A.S. Realiza la declaración de conformidad de forma binaria (Cumple/No Cumple). Cuando es aplicada declaración de conformidad, si los resultados de calibración  se encuentren dentro de los límites de error permitido, se registran como "Cumple",en caso contrario se registran como "No Cumple". Su uso y aplicación quedan a criterio y responsabilidad del cliente. La regla de decisión utilizada para evaluación de conformidad en el presente certificado es:</t>
  </si>
  <si>
    <t>6- * Información suministrada por el cliente.  El  laboratorio  de  Metrología de Tecservice S.A.S, no se responsabiliza de los perjuicios que puedan derivarse  de la información  suministrada por el cliente, consignada en este certificado.</t>
  </si>
  <si>
    <t>CD366-24. Se adicionan campos para informar el factor de cobertura "k" en cada resultado de calibraciones modifica observación 1,para dar mayor claridad a la forma como se informa la declaración de conformidad. En la descripción de la trazabilidad, se actualiza el termino "trazabilidad" a "trazabilidad metrológica" Se cambia el campo fecha de calibración por vigencia de calibración. Se cambia el campo "Valor nominal" por "Carga ". Se actualiza la grafica de resultados de medición incluyendo los EMP y limites de tolerancia.</t>
  </si>
  <si>
    <t>CD286-23.  Se actualiza pie de pagina, con nueva dirección por cambio de sede, de acuerdo con el procedimiento  control de documentos y registros GQ-PR-01.</t>
  </si>
  <si>
    <t>CD-262-22: Se actualiza Declaración :  se cambia de "No podrá ser reproducido total o parcialmente sin la debida autorización del emisor" a "No podrá ser reproducido parcialmente sin la debida autorización del emisor, excepto cuando se reproduce en su totalidad."</t>
  </si>
  <si>
    <t>Se bloquean las opciones de selección para los casos A y B, dejando fija la opción B ya que no se realizan ajustes.</t>
  </si>
  <si>
    <t>Se realiza cambio en el calculo del aportante de incertidumbre por  Deriva. Se cambia de la diferencia evidente en mc de certificados de calibraciones consecutivos de las pesas patrón"|Cn-Cn-1|" a ecuación 7.1.2-10 de la guía SIM.</t>
  </si>
  <si>
    <t>Se Incluye descargo de responsabilidad por la información suministrada por el cliente, Se modifica la descripción de  la norma NTC/ ISO/ IEC 17025:2017 a solo ISO/ IEC 17025:2017. Se actualiza la versión de logo ONAC.</t>
  </si>
  <si>
    <t>Lugar de calibración</t>
  </si>
  <si>
    <t>Descripción de la trazabilidad Metrológica</t>
  </si>
  <si>
    <t>Resultado evaluación física</t>
  </si>
  <si>
    <r>
      <rPr>
        <b/>
        <sz val="12"/>
        <color indexed="8"/>
        <rFont val="Calibri"/>
        <family val="2"/>
      </rPr>
      <t>Método de calibración utilizado:</t>
    </r>
    <r>
      <rPr>
        <sz val="12"/>
        <color indexed="8"/>
        <rFont val="Calibri"/>
        <family val="2"/>
      </rPr>
      <t xml:space="preserve"> Comparación directa con pesas patrón.</t>
    </r>
  </si>
  <si>
    <t>Prueba para los errores de las indicaciones</t>
  </si>
  <si>
    <t>El  proceso  inicia  asegurando  que  el  instrumento  de  pesaje  este en cero, como paso seguido se ubican las  pesas  sobre el receptor  de  carga  y  se  registra  el resultado de la medición; La calibración incluye las siguientes pruebas: Repetibilidad (5.1), Errores  de  indicación (5.2) y  Excentricidad de carga (5.3). En el caso de  instrumentos  de pesaje  con   una  división  de escala   ≤ 1 mg, se realiza la prueba de efecto de interacción magnética (5.4).</t>
  </si>
  <si>
    <t xml:space="preserve">Incertidumbre estándar de la indicación  </t>
  </si>
  <si>
    <t>Redondeo ind con carga</t>
  </si>
  <si>
    <t>Redondeo ind sin carga</t>
  </si>
  <si>
    <t>desvestd</t>
  </si>
  <si>
    <t>Aportante</t>
  </si>
  <si>
    <t>Resolucion</t>
  </si>
  <si>
    <t>Distribucion</t>
  </si>
  <si>
    <t>Retangular</t>
  </si>
  <si>
    <t>Normal</t>
  </si>
  <si>
    <t xml:space="preserve"> (7.1.1-5) </t>
  </si>
  <si>
    <t xml:space="preserve"> (7.1-2a)</t>
  </si>
  <si>
    <t>(7.1.1)</t>
  </si>
  <si>
    <t>imperfecta repetibilidad</t>
  </si>
  <si>
    <t xml:space="preserve"> colocación del centro de gravedad de la carga </t>
  </si>
  <si>
    <t>(7.1.1-10)</t>
  </si>
  <si>
    <t>∆i</t>
  </si>
  <si>
    <r>
      <t>L</t>
    </r>
    <r>
      <rPr>
        <vertAlign val="subscript"/>
        <sz val="16"/>
        <rFont val="Calibri"/>
        <family val="2"/>
        <scheme val="minor"/>
      </rPr>
      <t>ecc</t>
    </r>
  </si>
  <si>
    <t xml:space="preserve"> Incertidumbre estándar de la masa de referencia</t>
  </si>
  <si>
    <t xml:space="preserve">7.1.2 </t>
  </si>
  <si>
    <t>Masa de referencia</t>
  </si>
  <si>
    <t>(7.1.2-2)</t>
  </si>
  <si>
    <t>U masa</t>
  </si>
  <si>
    <t>Deriva.</t>
  </si>
  <si>
    <t xml:space="preserve"> (7.1.2-10) </t>
  </si>
  <si>
    <r>
      <t>S</t>
    </r>
    <r>
      <rPr>
        <vertAlign val="subscript"/>
        <sz val="16"/>
        <rFont val="Calibri"/>
        <family val="2"/>
        <scheme val="minor"/>
      </rPr>
      <t>R</t>
    </r>
  </si>
  <si>
    <t xml:space="preserve"> (7.1.2-9) </t>
  </si>
  <si>
    <t>**_***</t>
  </si>
  <si>
    <t>CALIBRACIÓN INSTRUMENTOS DE PESAJE DE FUNCIONAMIENTO NO AUTOMATICO, LC-FR-20 V12</t>
  </si>
  <si>
    <t>CD-372-24</t>
  </si>
  <si>
    <t>Id Cargas en Alcance</t>
  </si>
  <si>
    <t>El instrumento a calibrar fue inspeccionado detalladamente para determinar su estado y condición física determinando que puede ser calibrado.</t>
  </si>
  <si>
    <t>El método  de  calibración  corresponde  a  lo  recomendado  en  la  Guía  para  calibración  de  los  instrumentos  para pesar de funcionamiento no automático  SIM MWG7/cg-01/v.00:2009.</t>
  </si>
  <si>
    <t>Ubicación:*</t>
  </si>
  <si>
    <t>CD372-24. Se implementa cambio en la presentación del documento. 
Se adiciona en observacion # 2 referente a los resultados de calibracion. Nota aclaratoria para informar los resultados de calibracion reportados que no hacen parte del alcance acreditado. En el campo “Ubicación" /"Lugar de calibracion.” Se modifico para complementar el registro del lugar donde se realiza la calibración de manera específica e independiente.</t>
  </si>
  <si>
    <t>Revisado Director Técnico, 2024-12-17 - Aprobado Gerente General, 2024-12-18</t>
  </si>
  <si>
    <t>TEC-LAB-MP-02</t>
  </si>
  <si>
    <t>TEC-LAB-MP-03</t>
  </si>
  <si>
    <t>61791 C</t>
  </si>
  <si>
    <t>61792 C</t>
  </si>
  <si>
    <t>61444 C</t>
  </si>
  <si>
    <t>CAP-1468-24</t>
  </si>
  <si>
    <t>CAP-1469-24</t>
  </si>
  <si>
    <t>KIT DE MASAS  PATRON M1</t>
  </si>
  <si>
    <t>20</t>
  </si>
  <si>
    <t>02</t>
  </si>
  <si>
    <t>19</t>
  </si>
  <si>
    <t>21</t>
  </si>
  <si>
    <t>13</t>
  </si>
  <si>
    <t>TM028-25A</t>
  </si>
  <si>
    <t>Cali</t>
  </si>
  <si>
    <t>Jhon Jairo Carabali</t>
  </si>
  <si>
    <t>315 866 50 13</t>
  </si>
  <si>
    <t>Mettler</t>
  </si>
  <si>
    <t>AE240</t>
  </si>
  <si>
    <t>TEC-MTT-BA-03</t>
  </si>
  <si>
    <t>J75412</t>
  </si>
  <si>
    <t>Mantenimiento</t>
  </si>
  <si>
    <t>Avenida 4 A Norte No. 45 - 56 B / La Flora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</si>
</sst>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quot;$&quot;\ * #,##0.00_);_(&quot;$&quot;\ * \(#,##0.00\);_(&quot;$&quot;\ * &quot;-&quot;??_);_(@_)"/>
    <numFmt numFmtId="165" formatCode="0.0"/>
    <numFmt numFmtId="166" formatCode="0.00000"/>
    <numFmt numFmtId="167" formatCode="yyyy\-mm\-dd;@"/>
    <numFmt numFmtId="168" formatCode="0.000"/>
    <numFmt numFmtId="169" formatCode="0.0E+00"/>
    <numFmt numFmtId="170" formatCode="0.000000"/>
    <numFmt numFmtId="171" formatCode="0.00000000"/>
    <numFmt numFmtId="172" formatCode="0.000000000"/>
    <numFmt numFmtId="173" formatCode="0.00000E+00"/>
    <numFmt numFmtId="174" formatCode="0.0000"/>
    <numFmt numFmtId="175" formatCode="0.0000000"/>
    <numFmt numFmtId="176" formatCode="#,###\°\C"/>
    <numFmt numFmtId="177" formatCode="h:mm;@"/>
    <numFmt numFmtId="178" formatCode="0.000000000000"/>
    <numFmt numFmtId="179" formatCode="0.00000000000000"/>
    <numFmt numFmtId="180" formatCode="0.000E+00"/>
    <numFmt numFmtId="181" formatCode="yyyy\-mm\-dd"/>
    <numFmt numFmtId="182" formatCode="0.0%"/>
  </numFmts>
  <fonts count="130">
    <font>
      <sz val="11"/>
      <color theme="1"/>
      <name val="Calibri"/>
      <family val="2"/>
      <scheme val="minor"/>
    </font>
    <font>
      <sz val="11"/>
      <color indexed="8"/>
      <name val="Calibri"/>
      <family val="2"/>
    </font>
    <font>
      <sz val="9"/>
      <color indexed="81"/>
      <name val="Tahoma"/>
      <family val="2"/>
    </font>
    <font>
      <b/>
      <sz val="9"/>
      <color indexed="81"/>
      <name val="Tahoma"/>
      <family val="2"/>
    </font>
    <font>
      <sz val="11"/>
      <name val="Calibri"/>
      <family val="2"/>
    </font>
    <font>
      <b/>
      <sz val="11"/>
      <name val="Calibri"/>
      <family val="2"/>
    </font>
    <font>
      <sz val="10"/>
      <name val="Calibri"/>
      <family val="2"/>
    </font>
    <font>
      <b/>
      <sz val="10"/>
      <name val="Calibri"/>
      <family val="2"/>
    </font>
    <font>
      <sz val="10"/>
      <name val="Arial"/>
      <family val="2"/>
    </font>
    <font>
      <vertAlign val="subscript"/>
      <sz val="18"/>
      <name val="Calibri"/>
      <family val="2"/>
    </font>
    <font>
      <i/>
      <sz val="18"/>
      <name val="Calibri"/>
      <family val="2"/>
    </font>
    <font>
      <b/>
      <vertAlign val="subscript"/>
      <sz val="18"/>
      <name val="Calibri"/>
      <family val="2"/>
    </font>
    <font>
      <vertAlign val="superscript"/>
      <sz val="11"/>
      <color indexed="8"/>
      <name val="Calibri"/>
      <family val="2"/>
    </font>
    <font>
      <vertAlign val="superscript"/>
      <sz val="11"/>
      <name val="Calibri"/>
      <family val="2"/>
    </font>
    <font>
      <sz val="11"/>
      <color theme="1"/>
      <name val="Calibri"/>
      <family val="2"/>
      <scheme val="minor"/>
    </font>
    <font>
      <sz val="11"/>
      <color theme="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b/>
      <sz val="10"/>
      <name val="Calibri"/>
      <family val="2"/>
      <scheme val="minor"/>
    </font>
    <font>
      <sz val="10"/>
      <name val="Calibri"/>
      <family val="2"/>
      <scheme val="minor"/>
    </font>
    <font>
      <sz val="9"/>
      <name val="Calibri"/>
      <family val="2"/>
      <scheme val="minor"/>
    </font>
    <font>
      <sz val="16"/>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
      <sz val="12"/>
      <color rgb="FF002060"/>
      <name val="Calibri"/>
      <family val="2"/>
      <scheme val="minor"/>
    </font>
    <font>
      <sz val="10"/>
      <color theme="1"/>
      <name val="Calibri"/>
      <family val="2"/>
      <scheme val="minor"/>
    </font>
    <font>
      <sz val="12"/>
      <name val="Calibri"/>
      <family val="2"/>
      <scheme val="minor"/>
    </font>
    <font>
      <b/>
      <sz val="14"/>
      <color theme="1"/>
      <name val="Calibri"/>
      <family val="2"/>
      <scheme val="minor"/>
    </font>
    <font>
      <b/>
      <sz val="12"/>
      <name val="Calibri"/>
      <family val="2"/>
      <scheme val="minor"/>
    </font>
    <font>
      <sz val="11"/>
      <color theme="1"/>
      <name val="Calibri"/>
      <family val="2"/>
    </font>
    <font>
      <sz val="22"/>
      <name val="Calibri"/>
      <family val="2"/>
      <scheme val="minor"/>
    </font>
    <font>
      <sz val="18"/>
      <name val="Calibri"/>
      <family val="2"/>
      <scheme val="minor"/>
    </font>
    <font>
      <sz val="12"/>
      <color theme="0" tint="-0.34998626667073579"/>
      <name val="Calibri"/>
      <family val="2"/>
      <scheme val="minor"/>
    </font>
    <font>
      <sz val="28"/>
      <name val="Calibri"/>
      <family val="2"/>
      <scheme val="minor"/>
    </font>
    <font>
      <b/>
      <sz val="18"/>
      <name val="Calibri"/>
      <family val="2"/>
      <scheme val="minor"/>
    </font>
    <font>
      <sz val="12"/>
      <color rgb="FFFF0000"/>
      <name val="Calibri"/>
      <family val="2"/>
      <scheme val="minor"/>
    </font>
    <font>
      <b/>
      <sz val="10"/>
      <color theme="1"/>
      <name val="Calibri"/>
      <family val="2"/>
      <scheme val="minor"/>
    </font>
    <font>
      <b/>
      <sz val="12"/>
      <color rgb="FF002060"/>
      <name val="Calibri"/>
      <family val="2"/>
      <scheme val="minor"/>
    </font>
    <font>
      <sz val="14"/>
      <color rgb="FF002060"/>
      <name val="Calibri"/>
      <family val="2"/>
      <scheme val="minor"/>
    </font>
    <font>
      <b/>
      <i/>
      <sz val="12"/>
      <color theme="9" tint="-0.249977111117893"/>
      <name val="Calibri"/>
      <family val="2"/>
      <scheme val="minor"/>
    </font>
    <font>
      <i/>
      <sz val="12"/>
      <color theme="9" tint="-0.249977111117893"/>
      <name val="Calibri"/>
      <family val="2"/>
      <scheme val="minor"/>
    </font>
    <font>
      <i/>
      <sz val="11"/>
      <color theme="9" tint="-0.249977111117893"/>
      <name val="Calibri"/>
      <family val="2"/>
      <scheme val="minor"/>
    </font>
    <font>
      <sz val="12"/>
      <color theme="0"/>
      <name val="Calibri"/>
      <family val="2"/>
      <scheme val="minor"/>
    </font>
    <font>
      <b/>
      <sz val="16"/>
      <color theme="1"/>
      <name val="Calibri"/>
      <family val="2"/>
      <scheme val="minor"/>
    </font>
    <font>
      <sz val="18"/>
      <color theme="1"/>
      <name val="Calibri"/>
      <family val="2"/>
      <scheme val="minor"/>
    </font>
    <font>
      <b/>
      <sz val="18"/>
      <color theme="1"/>
      <name val="Calibri"/>
      <family val="2"/>
      <scheme val="minor"/>
    </font>
    <font>
      <sz val="8"/>
      <name val="Calibri"/>
      <family val="2"/>
      <scheme val="minor"/>
    </font>
    <font>
      <b/>
      <sz val="12"/>
      <color indexed="8"/>
      <name val="Calibri"/>
      <family val="2"/>
    </font>
    <font>
      <sz val="12"/>
      <color indexed="8"/>
      <name val="Calibri"/>
      <family val="2"/>
    </font>
    <font>
      <b/>
      <i/>
      <u/>
      <sz val="12"/>
      <color theme="9" tint="-0.249977111117893"/>
      <name val="Calibri"/>
      <family val="2"/>
      <scheme val="minor"/>
    </font>
    <font>
      <b/>
      <sz val="18"/>
      <color indexed="81"/>
      <name val="Tahoma"/>
      <family val="2"/>
    </font>
    <font>
      <sz val="18"/>
      <color indexed="81"/>
      <name val="Tahoma"/>
      <family val="2"/>
    </font>
    <font>
      <b/>
      <sz val="14"/>
      <color indexed="81"/>
      <name val="Tahoma"/>
      <family val="2"/>
    </font>
    <font>
      <sz val="14"/>
      <color indexed="81"/>
      <name val="Tahoma"/>
      <family val="2"/>
    </font>
    <font>
      <b/>
      <sz val="16"/>
      <name val="Calibri"/>
      <family val="2"/>
      <scheme val="minor"/>
    </font>
    <font>
      <b/>
      <sz val="10"/>
      <name val="Arial"/>
      <family val="2"/>
    </font>
    <font>
      <sz val="8"/>
      <color theme="1"/>
      <name val="Calibri"/>
      <family val="2"/>
      <scheme val="minor"/>
    </font>
    <font>
      <sz val="10"/>
      <color rgb="FFFF0000"/>
      <name val="Calibri"/>
      <family val="2"/>
      <scheme val="minor"/>
    </font>
    <font>
      <i/>
      <sz val="18"/>
      <name val="Calibri"/>
      <family val="2"/>
      <scheme val="minor"/>
    </font>
    <font>
      <sz val="12"/>
      <color rgb="FF000000"/>
      <name val="TimesNewRoman"/>
    </font>
    <font>
      <b/>
      <sz val="12"/>
      <color theme="1"/>
      <name val="Arial"/>
      <family val="2"/>
    </font>
    <font>
      <b/>
      <sz val="10"/>
      <color theme="1"/>
      <name val="Arial"/>
      <family val="2"/>
    </font>
    <font>
      <b/>
      <sz val="8"/>
      <color theme="1"/>
      <name val="Arial"/>
      <family val="2"/>
    </font>
    <font>
      <sz val="12"/>
      <color theme="1"/>
      <name val="Arial"/>
      <family val="2"/>
    </font>
    <font>
      <sz val="11"/>
      <color theme="1"/>
      <name val="Arial"/>
      <family val="2"/>
    </font>
    <font>
      <b/>
      <sz val="14"/>
      <color theme="1"/>
      <name val="Arial"/>
      <family val="2"/>
    </font>
    <font>
      <sz val="11"/>
      <color rgb="FF00B050"/>
      <name val="Calibri"/>
      <family val="2"/>
      <scheme val="minor"/>
    </font>
    <font>
      <sz val="11"/>
      <name val="Century Gothic"/>
      <family val="2"/>
    </font>
    <font>
      <i/>
      <sz val="11"/>
      <name val="Century Gothic"/>
      <family val="2"/>
    </font>
    <font>
      <sz val="8.8000000000000007"/>
      <name val="Century Gothic"/>
      <family val="2"/>
    </font>
    <font>
      <vertAlign val="superscript"/>
      <sz val="11"/>
      <name val="Century Gothic"/>
      <family val="2"/>
    </font>
    <font>
      <b/>
      <sz val="9"/>
      <name val="Arial"/>
      <family val="2"/>
    </font>
    <font>
      <sz val="11"/>
      <color indexed="81"/>
      <name val="Tahoma"/>
      <family val="2"/>
    </font>
    <font>
      <b/>
      <sz val="11"/>
      <color indexed="81"/>
      <name val="Tahoma"/>
      <family val="2"/>
    </font>
    <font>
      <b/>
      <u/>
      <sz val="14"/>
      <color indexed="81"/>
      <name val="Tahoma"/>
      <family val="2"/>
    </font>
    <font>
      <b/>
      <u/>
      <sz val="9"/>
      <color indexed="81"/>
      <name val="Tahoma"/>
      <family val="2"/>
    </font>
    <font>
      <sz val="11"/>
      <color rgb="FF0070C0"/>
      <name val="Calibri"/>
      <family val="2"/>
      <scheme val="minor"/>
    </font>
    <font>
      <sz val="11"/>
      <color rgb="FF0070C0"/>
      <name val="Century Gothic"/>
      <family val="2"/>
    </font>
    <font>
      <i/>
      <sz val="11"/>
      <color rgb="FF0070C0"/>
      <name val="Century Gothic"/>
      <family val="2"/>
    </font>
    <font>
      <b/>
      <sz val="11"/>
      <color rgb="FF00B050"/>
      <name val="Calibri"/>
      <family val="2"/>
      <scheme val="minor"/>
    </font>
    <font>
      <b/>
      <sz val="11"/>
      <color rgb="FF002060"/>
      <name val="Calibri"/>
      <family val="2"/>
      <scheme val="minor"/>
    </font>
    <font>
      <b/>
      <sz val="10"/>
      <color rgb="FF002060"/>
      <name val="Calibri"/>
      <family val="2"/>
      <scheme val="minor"/>
    </font>
    <font>
      <b/>
      <sz val="8"/>
      <color rgb="FF002060"/>
      <name val="Calibri"/>
      <family val="2"/>
      <scheme val="minor"/>
    </font>
    <font>
      <b/>
      <sz val="11"/>
      <color rgb="FF0070C0"/>
      <name val="Calibri"/>
      <family val="2"/>
      <scheme val="minor"/>
    </font>
    <font>
      <sz val="12"/>
      <name val="Arial"/>
      <family val="2"/>
    </font>
    <font>
      <sz val="12"/>
      <name val="Calibri"/>
      <family val="2"/>
    </font>
    <font>
      <b/>
      <sz val="12"/>
      <name val="Arial"/>
      <family val="2"/>
    </font>
    <font>
      <sz val="11"/>
      <color theme="0" tint="-0.34998626667073579"/>
      <name val="Calibri"/>
      <family val="2"/>
      <scheme val="minor"/>
    </font>
    <font>
      <vertAlign val="superscript"/>
      <sz val="11"/>
      <color theme="0" tint="-0.34998626667073579"/>
      <name val="Calibri"/>
      <family val="2"/>
    </font>
    <font>
      <b/>
      <sz val="11"/>
      <color theme="0" tint="-0.34998626667073579"/>
      <name val="Calibri"/>
      <family val="2"/>
      <scheme val="minor"/>
    </font>
    <font>
      <sz val="10"/>
      <color rgb="FF00B050"/>
      <name val="Calibri"/>
      <family val="2"/>
      <scheme val="minor"/>
    </font>
    <font>
      <b/>
      <sz val="10"/>
      <color indexed="81"/>
      <name val="Tahoma"/>
      <family val="2"/>
    </font>
    <font>
      <sz val="10"/>
      <color indexed="81"/>
      <name val="Tahoma"/>
      <family val="2"/>
    </font>
    <font>
      <vertAlign val="subscript"/>
      <sz val="11"/>
      <color theme="1"/>
      <name val="Calibri"/>
      <family val="2"/>
      <scheme val="minor"/>
    </font>
    <font>
      <sz val="11"/>
      <color rgb="FF00B0F0"/>
      <name val="Calibri"/>
      <family val="2"/>
      <scheme val="minor"/>
    </font>
    <font>
      <b/>
      <sz val="11"/>
      <color rgb="FF00B0F0"/>
      <name val="Calibri"/>
      <family val="2"/>
      <scheme val="minor"/>
    </font>
    <font>
      <sz val="12"/>
      <color theme="9" tint="-0.249977111117893"/>
      <name val="Calibri"/>
      <family val="2"/>
      <scheme val="minor"/>
    </font>
    <font>
      <b/>
      <sz val="12"/>
      <color theme="0"/>
      <name val="Calibri"/>
      <family val="2"/>
      <scheme val="minor"/>
    </font>
    <font>
      <b/>
      <sz val="11"/>
      <color theme="0" tint="-4.9989318521683403E-2"/>
      <name val="Calibri"/>
      <family val="2"/>
      <scheme val="minor"/>
    </font>
    <font>
      <b/>
      <u/>
      <sz val="16"/>
      <name val="Calibri"/>
      <family val="2"/>
      <scheme val="minor"/>
    </font>
    <font>
      <sz val="8"/>
      <color theme="0"/>
      <name val="Calibri"/>
      <family val="2"/>
      <scheme val="minor"/>
    </font>
    <font>
      <sz val="11"/>
      <color rgb="FF0070C0"/>
      <name val="Calibri"/>
      <family val="2"/>
    </font>
    <font>
      <sz val="8.8000000000000007"/>
      <color rgb="FF0070C0"/>
      <name val="Century Gothic"/>
      <family val="2"/>
    </font>
    <font>
      <sz val="10"/>
      <color theme="0"/>
      <name val="Calibri"/>
      <family val="2"/>
      <scheme val="minor"/>
    </font>
    <font>
      <sz val="12"/>
      <color theme="1"/>
      <name val="Tahoma"/>
      <family val="2"/>
    </font>
    <font>
      <sz val="11"/>
      <color rgb="FF7030A0"/>
      <name val="Calibri"/>
      <family val="2"/>
      <scheme val="minor"/>
    </font>
    <font>
      <sz val="11"/>
      <color rgb="FF7030A0"/>
      <name val="Century Gothic"/>
      <family val="2"/>
    </font>
    <font>
      <i/>
      <sz val="11"/>
      <color rgb="FF7030A0"/>
      <name val="Century Gothic"/>
      <family val="2"/>
    </font>
    <font>
      <sz val="11"/>
      <name val="Arial"/>
      <family val="2"/>
    </font>
    <font>
      <sz val="11"/>
      <name val="Tahoma"/>
      <family val="2"/>
    </font>
    <font>
      <b/>
      <sz val="24"/>
      <name val="Calibri"/>
      <family val="2"/>
      <scheme val="minor"/>
    </font>
    <font>
      <sz val="14"/>
      <color rgb="FFFF0000"/>
      <name val="Calibri"/>
      <family val="2"/>
      <scheme val="minor"/>
    </font>
    <font>
      <b/>
      <sz val="12"/>
      <color rgb="FFFF0000"/>
      <name val="Calibri"/>
      <family val="2"/>
      <scheme val="minor"/>
    </font>
    <font>
      <u/>
      <sz val="11"/>
      <color theme="10"/>
      <name val="Calibri"/>
      <family val="2"/>
      <scheme val="minor"/>
    </font>
    <font>
      <strike/>
      <sz val="18"/>
      <color theme="1"/>
      <name val="Calibri"/>
      <family val="2"/>
      <scheme val="minor"/>
    </font>
    <font>
      <strike/>
      <sz val="11"/>
      <color theme="1"/>
      <name val="Calibri"/>
      <family val="2"/>
      <scheme val="minor"/>
    </font>
    <font>
      <sz val="11"/>
      <color theme="1"/>
      <name val="Symbol"/>
      <family val="1"/>
      <charset val="2"/>
    </font>
    <font>
      <b/>
      <sz val="11"/>
      <color rgb="FFFF0000"/>
      <name val="Calibri"/>
      <family val="2"/>
      <scheme val="minor"/>
    </font>
    <font>
      <sz val="10"/>
      <color theme="0"/>
      <name val="Arial"/>
      <family val="2"/>
    </font>
    <font>
      <vertAlign val="subscript"/>
      <sz val="18"/>
      <name val="Calibri"/>
      <family val="2"/>
      <scheme val="minor"/>
    </font>
    <font>
      <b/>
      <sz val="16"/>
      <name val="Arial"/>
      <family val="2"/>
    </font>
    <font>
      <sz val="12"/>
      <color rgb="FFFF0000"/>
      <name val="Arial"/>
      <family val="2"/>
    </font>
    <font>
      <sz val="16"/>
      <name val="Tahoma"/>
      <family val="2"/>
    </font>
    <font>
      <vertAlign val="subscript"/>
      <sz val="16"/>
      <name val="Calibri"/>
      <family val="2"/>
      <scheme val="minor"/>
    </font>
    <font>
      <b/>
      <sz val="20"/>
      <color rgb="FF002060"/>
      <name val="Arial"/>
      <family val="2"/>
    </font>
    <font>
      <sz val="16"/>
      <name val="Arial"/>
      <family val="2"/>
    </font>
  </fonts>
  <fills count="2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2" tint="-0.499984740745262"/>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theme="4" tint="0.39997558519241921"/>
        <bgColor indexed="64"/>
      </patternFill>
    </fill>
    <fill>
      <patternFill patternType="solid">
        <fgColor rgb="FF002060"/>
        <bgColor indexed="64"/>
      </patternFill>
    </fill>
    <fill>
      <patternFill patternType="solid">
        <fgColor theme="0" tint="-0.34998626667073579"/>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rgb="FF002E15"/>
        <bgColor indexed="64"/>
      </patternFill>
    </fill>
  </fills>
  <borders count="85">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right style="medium">
        <color indexed="64"/>
      </right>
      <top style="thin">
        <color indexed="64"/>
      </top>
      <bottom style="thin">
        <color indexed="64"/>
      </bottom>
      <diagonal/>
    </border>
    <border>
      <left style="thin">
        <color indexed="64"/>
      </left>
      <right style="medium">
        <color indexed="64"/>
      </right>
      <top/>
      <bottom/>
      <diagonal/>
    </border>
    <border>
      <left/>
      <right style="medium">
        <color indexed="64"/>
      </right>
      <top/>
      <bottom style="thin">
        <color indexed="64"/>
      </bottom>
      <diagonal/>
    </border>
    <border>
      <left style="medium">
        <color indexed="64"/>
      </left>
      <right style="thin">
        <color indexed="64"/>
      </right>
      <top/>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top style="thin">
        <color indexed="64"/>
      </top>
      <bottom/>
      <diagonal style="thin">
        <color indexed="64"/>
      </diagonal>
    </border>
    <border diagonalUp="1">
      <left style="thin">
        <color indexed="64"/>
      </left>
      <right/>
      <top/>
      <bottom/>
      <diagonal style="thin">
        <color indexed="64"/>
      </diagonal>
    </border>
    <border diagonalUp="1">
      <left/>
      <right/>
      <top/>
      <bottom/>
      <diagonal style="thin">
        <color indexed="64"/>
      </diagonal>
    </border>
    <border diagonalUp="1">
      <left/>
      <right style="thin">
        <color indexed="64"/>
      </right>
      <top/>
      <bottom/>
      <diagonal style="thin">
        <color indexed="64"/>
      </diagonal>
    </border>
    <border diagonalUp="1">
      <left style="thin">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diagonalUp="1">
      <left style="thin">
        <color indexed="64"/>
      </left>
      <right/>
      <top style="thin">
        <color indexed="64"/>
      </top>
      <bottom style="thin">
        <color indexed="64"/>
      </bottom>
      <diagonal style="thin">
        <color indexed="64"/>
      </diagonal>
    </border>
    <border>
      <left/>
      <right style="medium">
        <color indexed="64"/>
      </right>
      <top style="thin">
        <color indexed="64"/>
      </top>
      <bottom/>
      <diagonal/>
    </border>
    <border diagonalUp="1">
      <left style="thin">
        <color indexed="64"/>
      </left>
      <right style="thin">
        <color indexed="64"/>
      </right>
      <top style="thin">
        <color indexed="64"/>
      </top>
      <bottom/>
      <diagonal style="thin">
        <color indexed="64"/>
      </diagonal>
    </border>
    <border diagonalUp="1">
      <left style="medium">
        <color indexed="64"/>
      </left>
      <right style="thin">
        <color indexed="64"/>
      </right>
      <top/>
      <bottom/>
      <diagonal style="thin">
        <color indexed="64"/>
      </diagonal>
    </border>
    <border diagonalUp="1">
      <left style="thin">
        <color indexed="64"/>
      </left>
      <right style="thin">
        <color indexed="64"/>
      </right>
      <top/>
      <bottom style="thin">
        <color indexed="64"/>
      </bottom>
      <diagonal style="thin">
        <color indexed="64"/>
      </diagonal>
    </border>
    <border diagonalUp="1">
      <left style="medium">
        <color indexed="64"/>
      </left>
      <right style="thin">
        <color indexed="64"/>
      </right>
      <top/>
      <bottom style="thin">
        <color indexed="64"/>
      </bottom>
      <diagonal style="thin">
        <color indexed="64"/>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dotted">
        <color auto="1"/>
      </left>
      <right style="dotted">
        <color auto="1"/>
      </right>
      <top style="dotted">
        <color auto="1"/>
      </top>
      <bottom style="dotted">
        <color auto="1"/>
      </bottom>
      <diagonal/>
    </border>
    <border>
      <left style="thin">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9">
    <xf numFmtId="0" fontId="0" fillId="0" borderId="0"/>
    <xf numFmtId="164" fontId="14" fillId="0" borderId="0" applyFont="0" applyFill="0" applyBorder="0" applyAlignment="0" applyProtection="0"/>
    <xf numFmtId="0" fontId="8" fillId="0" borderId="0"/>
    <xf numFmtId="9" fontId="14" fillId="0" borderId="0" applyFont="0" applyFill="0" applyBorder="0" applyAlignment="0" applyProtection="0"/>
    <xf numFmtId="0" fontId="8" fillId="0" borderId="0"/>
    <xf numFmtId="0" fontId="14" fillId="0" borderId="0"/>
    <xf numFmtId="0" fontId="117" fillId="0" borderId="0" applyNumberFormat="0" applyFill="0" applyBorder="0" applyAlignment="0" applyProtection="0"/>
    <xf numFmtId="9" fontId="14" fillId="0" borderId="0" applyFont="0" applyFill="0" applyBorder="0" applyAlignment="0" applyProtection="0"/>
    <xf numFmtId="9" fontId="8" fillId="0" borderId="0" applyFont="0" applyFill="0" applyBorder="0" applyAlignment="0" applyProtection="0"/>
  </cellStyleXfs>
  <cellXfs count="1844">
    <xf numFmtId="0" fontId="0" fillId="0" borderId="0" xfId="0"/>
    <xf numFmtId="0" fontId="0" fillId="2" borderId="0" xfId="0" applyFill="1"/>
    <xf numFmtId="0" fontId="0" fillId="2" borderId="0" xfId="0" applyFill="1" applyAlignment="1">
      <alignment wrapText="1"/>
    </xf>
    <xf numFmtId="0" fontId="19" fillId="2" borderId="0" xfId="0" applyFont="1" applyFill="1"/>
    <xf numFmtId="0" fontId="21" fillId="2" borderId="0" xfId="0" applyFont="1" applyFill="1"/>
    <xf numFmtId="0" fontId="22" fillId="2" borderId="0" xfId="0" applyFont="1" applyFill="1"/>
    <xf numFmtId="0" fontId="23" fillId="2" borderId="0" xfId="0" applyFont="1" applyFill="1"/>
    <xf numFmtId="0" fontId="24" fillId="2" borderId="0" xfId="0" applyFont="1" applyFill="1"/>
    <xf numFmtId="0" fontId="24" fillId="2" borderId="0" xfId="0" applyFont="1" applyFill="1" applyAlignment="1">
      <alignment vertical="center"/>
    </xf>
    <xf numFmtId="0" fontId="24" fillId="2" borderId="0" xfId="0" applyFont="1" applyFill="1" applyAlignment="1">
      <alignment wrapText="1"/>
    </xf>
    <xf numFmtId="0" fontId="25" fillId="2" borderId="0" xfId="0" applyFont="1" applyFill="1"/>
    <xf numFmtId="0" fontId="25" fillId="2" borderId="0" xfId="0" applyFont="1" applyFill="1" applyAlignment="1">
      <alignment horizontal="left"/>
    </xf>
    <xf numFmtId="0" fontId="26" fillId="2" borderId="0" xfId="0" applyFont="1" applyFill="1"/>
    <xf numFmtId="0" fontId="27" fillId="2" borderId="0" xfId="0" applyFont="1" applyFill="1"/>
    <xf numFmtId="0" fontId="0" fillId="2" borderId="0" xfId="0" applyFill="1" applyAlignment="1">
      <alignment horizontal="left"/>
    </xf>
    <xf numFmtId="0" fontId="0" fillId="2" borderId="16" xfId="0" applyFill="1" applyBorder="1"/>
    <xf numFmtId="0" fontId="20" fillId="2" borderId="0" xfId="0" applyFont="1" applyFill="1"/>
    <xf numFmtId="0" fontId="25" fillId="2" borderId="0" xfId="0" applyFont="1" applyFill="1" applyAlignment="1">
      <alignment wrapText="1"/>
    </xf>
    <xf numFmtId="0" fontId="25" fillId="2" borderId="0" xfId="0" applyFont="1" applyFill="1" applyAlignment="1">
      <alignment vertical="center"/>
    </xf>
    <xf numFmtId="0" fontId="30" fillId="2" borderId="0" xfId="0" applyFont="1" applyFill="1"/>
    <xf numFmtId="0" fontId="30" fillId="2" borderId="0" xfId="0" applyFont="1" applyFill="1" applyAlignment="1">
      <alignment horizontal="left"/>
    </xf>
    <xf numFmtId="0" fontId="20" fillId="2" borderId="0" xfId="0" applyFont="1" applyFill="1" applyAlignment="1">
      <alignment vertical="center"/>
    </xf>
    <xf numFmtId="0" fontId="33" fillId="2" borderId="0" xfId="0" applyFont="1" applyFill="1"/>
    <xf numFmtId="0" fontId="0" fillId="2" borderId="21" xfId="0" applyFill="1" applyBorder="1"/>
    <xf numFmtId="0" fontId="33" fillId="2" borderId="21" xfId="0" applyFont="1" applyFill="1" applyBorder="1"/>
    <xf numFmtId="1" fontId="0" fillId="2" borderId="21" xfId="0" applyNumberFormat="1" applyFill="1" applyBorder="1"/>
    <xf numFmtId="175" fontId="24" fillId="2" borderId="0" xfId="0" applyNumberFormat="1" applyFont="1" applyFill="1" applyAlignment="1">
      <alignment wrapText="1"/>
    </xf>
    <xf numFmtId="2" fontId="0" fillId="2" borderId="21" xfId="0" applyNumberFormat="1" applyFill="1" applyBorder="1"/>
    <xf numFmtId="0" fontId="19" fillId="2" borderId="0" xfId="0" applyFont="1" applyFill="1" applyAlignment="1">
      <alignment vertical="center"/>
    </xf>
    <xf numFmtId="0" fontId="0" fillId="0" borderId="21" xfId="0" applyBorder="1"/>
    <xf numFmtId="0" fontId="20" fillId="0" borderId="16" xfId="0" applyFont="1" applyBorder="1" applyAlignment="1">
      <alignment horizontal="left" vertical="center"/>
    </xf>
    <xf numFmtId="0" fontId="22" fillId="2" borderId="0" xfId="0" applyFont="1" applyFill="1" applyAlignment="1">
      <alignment vertical="center" wrapText="1"/>
    </xf>
    <xf numFmtId="178" fontId="0" fillId="8" borderId="10" xfId="0" applyNumberFormat="1" applyFill="1" applyBorder="1"/>
    <xf numFmtId="178" fontId="0" fillId="8" borderId="0" xfId="0" applyNumberFormat="1" applyFill="1"/>
    <xf numFmtId="2" fontId="0" fillId="2" borderId="27" xfId="0" applyNumberFormat="1" applyFill="1" applyBorder="1"/>
    <xf numFmtId="2" fontId="0" fillId="2" borderId="28" xfId="0" applyNumberFormat="1" applyFill="1" applyBorder="1"/>
    <xf numFmtId="170" fontId="0" fillId="8" borderId="27" xfId="0" applyNumberFormat="1" applyFill="1" applyBorder="1"/>
    <xf numFmtId="170" fontId="0" fillId="8" borderId="28" xfId="0" applyNumberFormat="1" applyFill="1" applyBorder="1"/>
    <xf numFmtId="172" fontId="0" fillId="2" borderId="27" xfId="0" applyNumberFormat="1" applyFill="1" applyBorder="1" applyAlignment="1">
      <alignment horizontal="center" vertical="center"/>
    </xf>
    <xf numFmtId="170" fontId="0" fillId="2" borderId="25" xfId="0" applyNumberFormat="1" applyFill="1" applyBorder="1"/>
    <xf numFmtId="172" fontId="0" fillId="2" borderId="25" xfId="0" applyNumberFormat="1" applyFill="1" applyBorder="1" applyAlignment="1">
      <alignment horizontal="center" vertical="center"/>
    </xf>
    <xf numFmtId="172" fontId="0" fillId="2" borderId="25" xfId="0" applyNumberFormat="1" applyFill="1" applyBorder="1"/>
    <xf numFmtId="2" fontId="0" fillId="8" borderId="25" xfId="0" applyNumberFormat="1" applyFill="1" applyBorder="1"/>
    <xf numFmtId="172" fontId="0" fillId="2" borderId="11" xfId="0" applyNumberFormat="1" applyFill="1" applyBorder="1"/>
    <xf numFmtId="172" fontId="0" fillId="2" borderId="13" xfId="0" applyNumberFormat="1" applyFill="1" applyBorder="1"/>
    <xf numFmtId="172" fontId="0" fillId="2" borderId="20" xfId="0" applyNumberFormat="1" applyFill="1" applyBorder="1"/>
    <xf numFmtId="0" fontId="0" fillId="2" borderId="27" xfId="0" applyFill="1" applyBorder="1"/>
    <xf numFmtId="172" fontId="0" fillId="8" borderId="27" xfId="0" applyNumberFormat="1" applyFill="1" applyBorder="1" applyAlignment="1">
      <alignment horizontal="center"/>
    </xf>
    <xf numFmtId="172" fontId="0" fillId="8" borderId="28" xfId="0" applyNumberFormat="1" applyFill="1" applyBorder="1" applyAlignment="1">
      <alignment horizontal="center"/>
    </xf>
    <xf numFmtId="172" fontId="0" fillId="2" borderId="25" xfId="0" applyNumberFormat="1" applyFill="1" applyBorder="1" applyAlignment="1">
      <alignment horizontal="center"/>
    </xf>
    <xf numFmtId="0" fontId="0" fillId="2" borderId="25" xfId="0" applyFill="1" applyBorder="1"/>
    <xf numFmtId="0" fontId="39" fillId="2" borderId="0" xfId="0" applyFont="1" applyFill="1"/>
    <xf numFmtId="166" fontId="19" fillId="2" borderId="0" xfId="0" applyNumberFormat="1" applyFont="1" applyFill="1" applyAlignment="1">
      <alignment horizontal="center" vertical="center"/>
    </xf>
    <xf numFmtId="0" fontId="40" fillId="2" borderId="21" xfId="0" applyFont="1" applyFill="1" applyBorder="1" applyAlignment="1">
      <alignment vertical="center" wrapText="1"/>
    </xf>
    <xf numFmtId="0" fontId="38" fillId="9" borderId="38" xfId="0" applyFont="1" applyFill="1" applyBorder="1" applyAlignment="1">
      <alignment horizontal="left" vertical="center" wrapText="1"/>
    </xf>
    <xf numFmtId="0" fontId="19" fillId="8" borderId="0" xfId="0" applyFont="1" applyFill="1" applyAlignment="1">
      <alignment horizontal="center" vertical="center" wrapText="1"/>
    </xf>
    <xf numFmtId="0" fontId="20" fillId="8" borderId="23" xfId="0" applyFont="1" applyFill="1" applyBorder="1" applyAlignment="1">
      <alignment vertical="center"/>
    </xf>
    <xf numFmtId="0" fontId="20" fillId="8" borderId="36" xfId="0" applyFont="1" applyFill="1" applyBorder="1" applyAlignment="1">
      <alignment vertical="center"/>
    </xf>
    <xf numFmtId="0" fontId="20" fillId="8" borderId="4" xfId="0" applyFont="1" applyFill="1" applyBorder="1" applyAlignment="1">
      <alignment vertical="center"/>
    </xf>
    <xf numFmtId="166" fontId="19" fillId="8" borderId="21" xfId="0" applyNumberFormat="1" applyFont="1" applyFill="1" applyBorder="1" applyAlignment="1">
      <alignment vertical="center"/>
    </xf>
    <xf numFmtId="11" fontId="24" fillId="2" borderId="0" xfId="0" applyNumberFormat="1" applyFont="1" applyFill="1"/>
    <xf numFmtId="169" fontId="24" fillId="2" borderId="0" xfId="0" applyNumberFormat="1" applyFont="1" applyFill="1"/>
    <xf numFmtId="173" fontId="24" fillId="2" borderId="0" xfId="0" applyNumberFormat="1" applyFont="1" applyFill="1"/>
    <xf numFmtId="170" fontId="24" fillId="2" borderId="0" xfId="0" applyNumberFormat="1" applyFont="1" applyFill="1"/>
    <xf numFmtId="0" fontId="0" fillId="2" borderId="21" xfId="0" applyFill="1" applyBorder="1" applyAlignment="1">
      <alignment horizontal="center"/>
    </xf>
    <xf numFmtId="0" fontId="0" fillId="2" borderId="12" xfId="0" applyFill="1" applyBorder="1"/>
    <xf numFmtId="0" fontId="0" fillId="2" borderId="40" xfId="0" applyFill="1" applyBorder="1"/>
    <xf numFmtId="0" fontId="0" fillId="2" borderId="41" xfId="0" applyFill="1" applyBorder="1" applyAlignment="1">
      <alignment horizontal="center"/>
    </xf>
    <xf numFmtId="0" fontId="0" fillId="2" borderId="45" xfId="0" applyFill="1" applyBorder="1"/>
    <xf numFmtId="0" fontId="0" fillId="2" borderId="46" xfId="0" applyFill="1" applyBorder="1"/>
    <xf numFmtId="0" fontId="0" fillId="2" borderId="17" xfId="0" applyFill="1" applyBorder="1"/>
    <xf numFmtId="0" fontId="0" fillId="2" borderId="47" xfId="0" applyFill="1" applyBorder="1"/>
    <xf numFmtId="0" fontId="0" fillId="2" borderId="35" xfId="0" applyFill="1" applyBorder="1"/>
    <xf numFmtId="0" fontId="33" fillId="2" borderId="35" xfId="0" applyFont="1" applyFill="1" applyBorder="1"/>
    <xf numFmtId="172" fontId="0" fillId="2" borderId="0" xfId="0" applyNumberFormat="1" applyFill="1" applyAlignment="1">
      <alignment horizontal="center"/>
    </xf>
    <xf numFmtId="168" fontId="16" fillId="0" borderId="16" xfId="0" applyNumberFormat="1" applyFont="1" applyBorder="1" applyAlignment="1">
      <alignment horizontal="left" vertical="center"/>
    </xf>
    <xf numFmtId="166" fontId="24" fillId="2" borderId="0" xfId="0" applyNumberFormat="1" applyFont="1" applyFill="1"/>
    <xf numFmtId="170" fontId="19" fillId="8" borderId="1" xfId="0" applyNumberFormat="1" applyFont="1" applyFill="1" applyBorder="1" applyAlignment="1">
      <alignment vertical="center"/>
    </xf>
    <xf numFmtId="170" fontId="19" fillId="8" borderId="2" xfId="0" applyNumberFormat="1" applyFont="1" applyFill="1" applyBorder="1" applyAlignment="1">
      <alignment vertical="center"/>
    </xf>
    <xf numFmtId="170" fontId="19" fillId="8" borderId="3" xfId="0" applyNumberFormat="1" applyFont="1" applyFill="1" applyBorder="1" applyAlignment="1">
      <alignment vertical="center"/>
    </xf>
    <xf numFmtId="170" fontId="19" fillId="8" borderId="0" xfId="0" applyNumberFormat="1" applyFont="1" applyFill="1" applyAlignment="1">
      <alignment vertical="center"/>
    </xf>
    <xf numFmtId="170" fontId="19" fillId="8" borderId="6" xfId="0" applyNumberFormat="1" applyFont="1" applyFill="1" applyBorder="1" applyAlignment="1">
      <alignment vertical="center"/>
    </xf>
    <xf numFmtId="0" fontId="24" fillId="2" borderId="0" xfId="0" applyFont="1" applyFill="1" applyAlignment="1">
      <alignment horizontal="left" wrapText="1"/>
    </xf>
    <xf numFmtId="0" fontId="38" fillId="9" borderId="16" xfId="0" applyFont="1" applyFill="1" applyBorder="1" applyAlignment="1">
      <alignment horizontal="left" vertical="center" wrapText="1"/>
    </xf>
    <xf numFmtId="172" fontId="34" fillId="2" borderId="21" xfId="0" applyNumberFormat="1" applyFont="1" applyFill="1" applyBorder="1" applyAlignment="1">
      <alignment horizontal="center" vertical="center"/>
    </xf>
    <xf numFmtId="172" fontId="34" fillId="2" borderId="29" xfId="0" applyNumberFormat="1" applyFont="1" applyFill="1" applyBorder="1" applyAlignment="1">
      <alignment horizontal="center" vertical="center"/>
    </xf>
    <xf numFmtId="175" fontId="35" fillId="2" borderId="21" xfId="0" applyNumberFormat="1" applyFont="1" applyFill="1" applyBorder="1" applyAlignment="1">
      <alignment horizontal="center" vertical="center"/>
    </xf>
    <xf numFmtId="175" fontId="35" fillId="2" borderId="40" xfId="0" applyNumberFormat="1" applyFont="1" applyFill="1" applyBorder="1" applyAlignment="1">
      <alignment horizontal="center" vertical="center"/>
    </xf>
    <xf numFmtId="172" fontId="24" fillId="2" borderId="0" xfId="0" applyNumberFormat="1" applyFont="1" applyFill="1"/>
    <xf numFmtId="0" fontId="19" fillId="2" borderId="8" xfId="0" applyFont="1" applyFill="1" applyBorder="1"/>
    <xf numFmtId="0" fontId="19" fillId="2" borderId="8" xfId="0" applyFont="1" applyFill="1" applyBorder="1" applyAlignment="1">
      <alignment horizontal="center"/>
    </xf>
    <xf numFmtId="0" fontId="19" fillId="2" borderId="25" xfId="0" applyFont="1" applyFill="1" applyBorder="1" applyAlignment="1" applyProtection="1">
      <alignment horizontal="left" vertical="center"/>
      <protection locked="0"/>
    </xf>
    <xf numFmtId="166" fontId="19" fillId="8" borderId="23" xfId="0" applyNumberFormat="1" applyFont="1" applyFill="1" applyBorder="1" applyAlignment="1">
      <alignment vertical="center"/>
    </xf>
    <xf numFmtId="0" fontId="19" fillId="3" borderId="4" xfId="0" applyFont="1" applyFill="1" applyBorder="1" applyAlignment="1">
      <alignment vertical="center"/>
    </xf>
    <xf numFmtId="0" fontId="19" fillId="3" borderId="4" xfId="0" applyFont="1" applyFill="1" applyBorder="1" applyAlignment="1">
      <alignment horizontal="left" vertical="center"/>
    </xf>
    <xf numFmtId="0" fontId="19" fillId="2" borderId="5" xfId="0" applyFont="1" applyFill="1" applyBorder="1" applyAlignment="1" applyProtection="1">
      <alignment horizontal="left" vertical="center"/>
      <protection locked="0"/>
    </xf>
    <xf numFmtId="0" fontId="20" fillId="2" borderId="26" xfId="0" applyFont="1" applyFill="1" applyBorder="1" applyAlignment="1">
      <alignment horizontal="center" vertical="center"/>
    </xf>
    <xf numFmtId="0" fontId="19" fillId="0" borderId="25" xfId="0" applyFont="1" applyBorder="1" applyAlignment="1" applyProtection="1">
      <alignment horizontal="center" vertical="center"/>
      <protection locked="0"/>
    </xf>
    <xf numFmtId="49" fontId="19" fillId="2" borderId="21" xfId="0" applyNumberFormat="1" applyFont="1" applyFill="1" applyBorder="1" applyAlignment="1" applyProtection="1">
      <alignment horizontal="center" vertical="center"/>
      <protection locked="0"/>
    </xf>
    <xf numFmtId="0" fontId="20" fillId="2" borderId="0" xfId="0" applyFont="1" applyFill="1" applyAlignment="1">
      <alignment horizontal="left" vertical="center"/>
    </xf>
    <xf numFmtId="0" fontId="19" fillId="2" borderId="23" xfId="0" applyFont="1" applyFill="1" applyBorder="1" applyAlignment="1" applyProtection="1">
      <alignment horizontal="center" vertical="center"/>
      <protection locked="0"/>
    </xf>
    <xf numFmtId="0" fontId="46" fillId="2" borderId="0" xfId="0" applyFont="1" applyFill="1"/>
    <xf numFmtId="0" fontId="19" fillId="2" borderId="3" xfId="0" applyFont="1" applyFill="1" applyBorder="1"/>
    <xf numFmtId="0" fontId="19" fillId="2" borderId="0" xfId="0" applyFont="1" applyFill="1" applyAlignment="1">
      <alignment vertical="center" wrapText="1"/>
    </xf>
    <xf numFmtId="167" fontId="19" fillId="2" borderId="0" xfId="0" applyNumberFormat="1" applyFont="1" applyFill="1" applyAlignment="1">
      <alignment horizontal="left" vertical="center"/>
    </xf>
    <xf numFmtId="20" fontId="19" fillId="2" borderId="0" xfId="0" applyNumberFormat="1" applyFont="1" applyFill="1" applyAlignment="1">
      <alignment vertical="center" wrapText="1"/>
    </xf>
    <xf numFmtId="1" fontId="15" fillId="2" borderId="0" xfId="0" applyNumberFormat="1" applyFont="1" applyFill="1"/>
    <xf numFmtId="1" fontId="19" fillId="2" borderId="0" xfId="0" applyNumberFormat="1" applyFont="1" applyFill="1"/>
    <xf numFmtId="0" fontId="17" fillId="2" borderId="0" xfId="0" applyFont="1" applyFill="1" applyAlignment="1">
      <alignment horizontal="left" vertical="center"/>
    </xf>
    <xf numFmtId="0" fontId="17" fillId="2" borderId="0" xfId="0" applyFont="1" applyFill="1"/>
    <xf numFmtId="14" fontId="19" fillId="2" borderId="0" xfId="0" applyNumberFormat="1" applyFont="1" applyFill="1"/>
    <xf numFmtId="165" fontId="19" fillId="2" borderId="0" xfId="0" applyNumberFormat="1" applyFont="1" applyFill="1" applyAlignment="1">
      <alignment horizontal="center" vertical="center" wrapText="1"/>
    </xf>
    <xf numFmtId="0" fontId="19" fillId="2" borderId="1" xfId="0" applyFont="1" applyFill="1" applyBorder="1"/>
    <xf numFmtId="0" fontId="19" fillId="2" borderId="2" xfId="0" applyFont="1" applyFill="1" applyBorder="1"/>
    <xf numFmtId="0" fontId="19" fillId="2" borderId="5" xfId="0" applyFont="1" applyFill="1" applyBorder="1"/>
    <xf numFmtId="0" fontId="19" fillId="2" borderId="3" xfId="0" applyFont="1" applyFill="1" applyBorder="1" applyAlignment="1">
      <alignment horizontal="center"/>
    </xf>
    <xf numFmtId="0" fontId="19" fillId="2" borderId="6" xfId="0" applyFont="1" applyFill="1" applyBorder="1"/>
    <xf numFmtId="0" fontId="19" fillId="2" borderId="7" xfId="0" applyFont="1" applyFill="1" applyBorder="1" applyAlignment="1">
      <alignment horizontal="center"/>
    </xf>
    <xf numFmtId="0" fontId="19" fillId="2" borderId="9" xfId="0" applyFont="1" applyFill="1" applyBorder="1"/>
    <xf numFmtId="2" fontId="19" fillId="2" borderId="4" xfId="0" applyNumberFormat="1" applyFont="1" applyFill="1" applyBorder="1" applyAlignment="1">
      <alignment horizontal="center" vertical="center"/>
    </xf>
    <xf numFmtId="49" fontId="19" fillId="8" borderId="21" xfId="0" applyNumberFormat="1" applyFont="1" applyFill="1" applyBorder="1" applyAlignment="1">
      <alignment horizontal="center" vertical="center"/>
    </xf>
    <xf numFmtId="165" fontId="19" fillId="8" borderId="23" xfId="0" applyNumberFormat="1" applyFont="1" applyFill="1" applyBorder="1" applyAlignment="1">
      <alignment horizontal="center"/>
    </xf>
    <xf numFmtId="166" fontId="19" fillId="2" borderId="0" xfId="0" applyNumberFormat="1" applyFont="1" applyFill="1" applyAlignment="1">
      <alignment horizontal="center" vertical="center" wrapText="1"/>
    </xf>
    <xf numFmtId="0" fontId="19" fillId="0" borderId="0" xfId="0" applyFont="1" applyAlignment="1">
      <alignment vertical="center"/>
    </xf>
    <xf numFmtId="0" fontId="19" fillId="3" borderId="0" xfId="0" applyFont="1" applyFill="1"/>
    <xf numFmtId="0" fontId="21" fillId="2" borderId="0" xfId="0" applyFont="1" applyFill="1" applyAlignment="1">
      <alignment vertical="center"/>
    </xf>
    <xf numFmtId="0" fontId="22" fillId="2" borderId="0" xfId="0" applyFont="1" applyFill="1" applyAlignment="1">
      <alignment horizontal="center" vertical="center"/>
    </xf>
    <xf numFmtId="0" fontId="22" fillId="2" borderId="0" xfId="0" applyFont="1" applyFill="1" applyAlignment="1">
      <alignment vertical="center"/>
    </xf>
    <xf numFmtId="0" fontId="19" fillId="2" borderId="10" xfId="0" applyFont="1" applyFill="1" applyBorder="1"/>
    <xf numFmtId="0" fontId="20" fillId="2" borderId="11" xfId="0" applyFont="1" applyFill="1" applyBorder="1"/>
    <xf numFmtId="0" fontId="19" fillId="2" borderId="12" xfId="0" applyFont="1" applyFill="1" applyBorder="1"/>
    <xf numFmtId="0" fontId="0" fillId="9" borderId="21" xfId="0" applyFill="1" applyBorder="1"/>
    <xf numFmtId="49" fontId="19" fillId="2" borderId="0" xfId="0" applyNumberFormat="1" applyFont="1" applyFill="1"/>
    <xf numFmtId="0" fontId="19" fillId="2" borderId="13" xfId="0" applyFont="1" applyFill="1" applyBorder="1"/>
    <xf numFmtId="0" fontId="19" fillId="2" borderId="14" xfId="0" applyFont="1" applyFill="1" applyBorder="1"/>
    <xf numFmtId="0" fontId="19" fillId="2" borderId="15" xfId="0" applyFont="1" applyFill="1" applyBorder="1"/>
    <xf numFmtId="0" fontId="19" fillId="2" borderId="16" xfId="0" applyFont="1" applyFill="1" applyBorder="1"/>
    <xf numFmtId="0" fontId="19" fillId="2" borderId="17" xfId="0" applyFont="1" applyFill="1" applyBorder="1"/>
    <xf numFmtId="0" fontId="22" fillId="2" borderId="25" xfId="0" applyFont="1" applyFill="1" applyBorder="1" applyAlignment="1" applyProtection="1">
      <alignment vertical="center" wrapText="1"/>
      <protection locked="0"/>
    </xf>
    <xf numFmtId="172" fontId="34" fillId="2" borderId="24" xfId="0" applyNumberFormat="1" applyFont="1" applyFill="1" applyBorder="1" applyAlignment="1">
      <alignment horizontal="center" vertical="center"/>
    </xf>
    <xf numFmtId="0" fontId="0" fillId="0" borderId="0" xfId="0" applyAlignment="1">
      <alignment horizontal="center"/>
    </xf>
    <xf numFmtId="0" fontId="0" fillId="6" borderId="0" xfId="0" applyFill="1"/>
    <xf numFmtId="0" fontId="0" fillId="5" borderId="0" xfId="0" applyFill="1" applyAlignment="1">
      <alignment horizontal="center"/>
    </xf>
    <xf numFmtId="0" fontId="0" fillId="0" borderId="37" xfId="0" applyBorder="1" applyAlignment="1">
      <alignment horizontal="center" vertical="center" wrapText="1"/>
    </xf>
    <xf numFmtId="0" fontId="0" fillId="6" borderId="21" xfId="0" applyFill="1" applyBorder="1" applyAlignment="1">
      <alignment horizontal="center" vertical="center" wrapText="1"/>
    </xf>
    <xf numFmtId="0" fontId="0" fillId="6" borderId="21" xfId="0" applyFill="1" applyBorder="1" applyAlignment="1">
      <alignment horizontal="center" vertical="center"/>
    </xf>
    <xf numFmtId="0" fontId="0" fillId="0" borderId="39" xfId="0" applyBorder="1"/>
    <xf numFmtId="0" fontId="0" fillId="0" borderId="35" xfId="0" applyBorder="1"/>
    <xf numFmtId="171" fontId="0" fillId="0" borderId="21" xfId="0" applyNumberFormat="1" applyBorder="1"/>
    <xf numFmtId="0" fontId="0" fillId="6" borderId="21" xfId="0" applyFill="1" applyBorder="1"/>
    <xf numFmtId="0" fontId="0" fillId="6" borderId="21" xfId="0" applyFill="1" applyBorder="1" applyAlignment="1">
      <alignment horizontal="center"/>
    </xf>
    <xf numFmtId="2" fontId="0" fillId="9" borderId="21" xfId="0" applyNumberFormat="1" applyFill="1" applyBorder="1"/>
    <xf numFmtId="165" fontId="0" fillId="9" borderId="21" xfId="0" applyNumberFormat="1" applyFill="1" applyBorder="1"/>
    <xf numFmtId="0" fontId="0" fillId="6" borderId="26" xfId="0" applyFill="1" applyBorder="1"/>
    <xf numFmtId="0" fontId="0" fillId="0" borderId="26" xfId="0" applyBorder="1"/>
    <xf numFmtId="171" fontId="0" fillId="0" borderId="39" xfId="0" applyNumberFormat="1" applyBorder="1"/>
    <xf numFmtId="171" fontId="0" fillId="2" borderId="21" xfId="0" applyNumberFormat="1" applyFill="1" applyBorder="1"/>
    <xf numFmtId="0" fontId="0" fillId="5" borderId="0" xfId="0" applyFill="1"/>
    <xf numFmtId="0" fontId="0" fillId="10" borderId="0" xfId="0" applyFill="1"/>
    <xf numFmtId="167" fontId="29" fillId="2" borderId="0" xfId="0" applyNumberFormat="1" applyFont="1" applyFill="1" applyAlignment="1">
      <alignment horizontal="center" vertical="center" wrapText="1"/>
    </xf>
    <xf numFmtId="0" fontId="0" fillId="0" borderId="20" xfId="0" applyBorder="1"/>
    <xf numFmtId="0" fontId="0" fillId="0" borderId="19" xfId="0" applyBorder="1"/>
    <xf numFmtId="0" fontId="0" fillId="0" borderId="18" xfId="0" applyBorder="1"/>
    <xf numFmtId="0" fontId="47" fillId="0" borderId="0" xfId="0" applyFont="1"/>
    <xf numFmtId="0" fontId="19" fillId="2" borderId="0" xfId="0" applyFont="1" applyFill="1" applyAlignment="1">
      <alignment horizontal="left" vertical="center"/>
    </xf>
    <xf numFmtId="0" fontId="22" fillId="2" borderId="0" xfId="0" applyFont="1" applyFill="1" applyAlignment="1">
      <alignment horizontal="left" vertical="center" wrapText="1"/>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20" fillId="2" borderId="16" xfId="0" applyFont="1" applyFill="1" applyBorder="1" applyAlignment="1">
      <alignment horizontal="center"/>
    </xf>
    <xf numFmtId="0" fontId="19" fillId="2" borderId="0" xfId="0" applyFont="1" applyFill="1" applyAlignment="1">
      <alignment horizontal="center"/>
    </xf>
    <xf numFmtId="0" fontId="19" fillId="2" borderId="0" xfId="0" applyFont="1" applyFill="1" applyAlignment="1">
      <alignment horizontal="left"/>
    </xf>
    <xf numFmtId="0" fontId="19" fillId="2" borderId="5" xfId="0" applyFont="1" applyFill="1" applyBorder="1" applyAlignment="1">
      <alignment horizontal="left" vertical="center"/>
    </xf>
    <xf numFmtId="0" fontId="19" fillId="8" borderId="21" xfId="0" applyFont="1" applyFill="1" applyBorder="1" applyAlignment="1">
      <alignment horizontal="center" vertical="center"/>
    </xf>
    <xf numFmtId="0" fontId="0" fillId="2" borderId="4" xfId="0" applyFill="1" applyBorder="1" applyAlignment="1">
      <alignment horizontal="center" vertical="center"/>
    </xf>
    <xf numFmtId="0" fontId="19" fillId="4" borderId="18" xfId="0" applyFont="1" applyFill="1" applyBorder="1" applyAlignment="1">
      <alignment horizontal="left" vertical="center"/>
    </xf>
    <xf numFmtId="0" fontId="22" fillId="2" borderId="0" xfId="0" applyFont="1" applyFill="1" applyProtection="1">
      <protection locked="0"/>
    </xf>
    <xf numFmtId="0" fontId="20" fillId="2" borderId="0" xfId="0" applyFont="1" applyFill="1" applyProtection="1">
      <protection locked="0"/>
    </xf>
    <xf numFmtId="14" fontId="0" fillId="0" borderId="0" xfId="0" applyNumberFormat="1"/>
    <xf numFmtId="0" fontId="0" fillId="9" borderId="0" xfId="0" applyFill="1"/>
    <xf numFmtId="0" fontId="19" fillId="2" borderId="25" xfId="0" applyFont="1" applyFill="1" applyBorder="1" applyAlignment="1" applyProtection="1">
      <alignment horizontal="center" vertical="center"/>
      <protection locked="0"/>
    </xf>
    <xf numFmtId="0" fontId="19" fillId="2" borderId="18" xfId="0" applyFont="1" applyFill="1" applyBorder="1" applyAlignment="1" applyProtection="1">
      <alignment horizontal="center" vertical="center" wrapText="1"/>
      <protection locked="0"/>
    </xf>
    <xf numFmtId="49" fontId="19" fillId="8" borderId="39" xfId="0" applyNumberFormat="1" applyFont="1" applyFill="1" applyBorder="1" applyAlignment="1">
      <alignment horizontal="center" vertical="center"/>
    </xf>
    <xf numFmtId="165" fontId="19" fillId="8" borderId="1" xfId="0" applyNumberFormat="1" applyFont="1" applyFill="1" applyBorder="1" applyAlignment="1">
      <alignment horizontal="center"/>
    </xf>
    <xf numFmtId="49" fontId="19" fillId="2" borderId="35" xfId="0" applyNumberFormat="1" applyFont="1" applyFill="1" applyBorder="1" applyAlignment="1" applyProtection="1">
      <alignment horizontal="center" vertical="center"/>
      <protection locked="0"/>
    </xf>
    <xf numFmtId="0" fontId="22" fillId="2" borderId="18" xfId="0" applyFont="1" applyFill="1" applyBorder="1" applyAlignment="1" applyProtection="1">
      <alignment vertical="center" wrapText="1"/>
      <protection locked="0"/>
    </xf>
    <xf numFmtId="175" fontId="24" fillId="2" borderId="0" xfId="0" applyNumberFormat="1" applyFont="1" applyFill="1"/>
    <xf numFmtId="1" fontId="19" fillId="2" borderId="9" xfId="0" applyNumberFormat="1" applyFont="1" applyFill="1" applyBorder="1" applyAlignment="1">
      <alignment horizontal="center" vertical="center"/>
    </xf>
    <xf numFmtId="1" fontId="19" fillId="2" borderId="4" xfId="0" applyNumberFormat="1" applyFont="1" applyFill="1" applyBorder="1" applyAlignment="1">
      <alignment horizontal="center" vertical="center"/>
    </xf>
    <xf numFmtId="0" fontId="19" fillId="2" borderId="21" xfId="0" applyFont="1" applyFill="1" applyBorder="1"/>
    <xf numFmtId="0" fontId="19" fillId="2" borderId="25" xfId="0" applyFont="1" applyFill="1" applyBorder="1" applyAlignment="1">
      <alignment horizontal="center" vertical="center" wrapText="1"/>
    </xf>
    <xf numFmtId="179" fontId="0" fillId="2" borderId="19" xfId="0" applyNumberFormat="1" applyFill="1" applyBorder="1" applyAlignment="1">
      <alignment horizontal="right"/>
    </xf>
    <xf numFmtId="0" fontId="0" fillId="2" borderId="20" xfId="0" applyFill="1" applyBorder="1"/>
    <xf numFmtId="0" fontId="0" fillId="2" borderId="19" xfId="0" applyFill="1" applyBorder="1"/>
    <xf numFmtId="0" fontId="0" fillId="2" borderId="18" xfId="0" applyFill="1" applyBorder="1"/>
    <xf numFmtId="0" fontId="25" fillId="2" borderId="0" xfId="0" applyFont="1" applyFill="1" applyAlignment="1">
      <alignment horizontal="right" vertical="center"/>
    </xf>
    <xf numFmtId="0" fontId="19" fillId="8" borderId="21" xfId="0" applyFont="1" applyFill="1" applyBorder="1" applyAlignment="1">
      <alignment horizontal="center" vertical="center" wrapText="1"/>
    </xf>
    <xf numFmtId="0" fontId="20" fillId="2" borderId="0" xfId="0" applyFont="1" applyFill="1" applyAlignment="1">
      <alignment horizontal="left"/>
    </xf>
    <xf numFmtId="0" fontId="19" fillId="2" borderId="21" xfId="0" applyFont="1" applyFill="1" applyBorder="1" applyAlignment="1">
      <alignment horizontal="center" vertical="center" wrapText="1"/>
    </xf>
    <xf numFmtId="0" fontId="19" fillId="2" borderId="23" xfId="0" applyFont="1" applyFill="1" applyBorder="1" applyAlignment="1">
      <alignment horizontal="center" vertical="center" wrapText="1"/>
    </xf>
    <xf numFmtId="0" fontId="19" fillId="0" borderId="0" xfId="0" applyFont="1" applyAlignment="1">
      <alignment horizontal="left" vertical="center"/>
    </xf>
    <xf numFmtId="1" fontId="19" fillId="2" borderId="21" xfId="0" applyNumberFormat="1" applyFont="1" applyFill="1" applyBorder="1" applyAlignment="1">
      <alignment horizontal="center" vertical="center"/>
    </xf>
    <xf numFmtId="0" fontId="19" fillId="2" borderId="4" xfId="0" applyFont="1" applyFill="1" applyBorder="1" applyAlignment="1">
      <alignment horizontal="left" vertical="center"/>
    </xf>
    <xf numFmtId="0" fontId="19" fillId="3" borderId="23" xfId="0" applyFont="1" applyFill="1" applyBorder="1" applyAlignment="1">
      <alignment horizontal="left" vertical="center"/>
    </xf>
    <xf numFmtId="0" fontId="26" fillId="2" borderId="0" xfId="0" applyFont="1" applyFill="1" applyAlignment="1">
      <alignment horizontal="center" vertical="center" wrapText="1"/>
    </xf>
    <xf numFmtId="1" fontId="19" fillId="2" borderId="0" xfId="0" applyNumberFormat="1" applyFont="1" applyFill="1" applyAlignment="1">
      <alignment horizontal="center" vertical="center"/>
    </xf>
    <xf numFmtId="0" fontId="19" fillId="2" borderId="25" xfId="0" applyFont="1" applyFill="1" applyBorder="1"/>
    <xf numFmtId="0" fontId="20" fillId="0" borderId="0" xfId="0" applyFont="1" applyAlignment="1">
      <alignment vertical="center"/>
    </xf>
    <xf numFmtId="0" fontId="19" fillId="2" borderId="21" xfId="0" applyFont="1" applyFill="1" applyBorder="1" applyAlignment="1" applyProtection="1">
      <alignment vertical="center"/>
      <protection locked="0"/>
    </xf>
    <xf numFmtId="0" fontId="20" fillId="8" borderId="3" xfId="0" applyFont="1" applyFill="1" applyBorder="1" applyAlignment="1">
      <alignment vertical="center" wrapText="1"/>
    </xf>
    <xf numFmtId="167" fontId="29" fillId="2" borderId="3" xfId="0" applyNumberFormat="1" applyFont="1" applyFill="1" applyBorder="1" applyAlignment="1">
      <alignment vertical="center" wrapText="1"/>
    </xf>
    <xf numFmtId="165" fontId="19" fillId="2" borderId="25" xfId="0" applyNumberFormat="1" applyFont="1" applyFill="1" applyBorder="1" applyAlignment="1" applyProtection="1">
      <alignment horizontal="left" vertical="center"/>
      <protection locked="0"/>
    </xf>
    <xf numFmtId="2" fontId="0" fillId="2" borderId="0" xfId="0" applyNumberFormat="1" applyFill="1"/>
    <xf numFmtId="0" fontId="19" fillId="0" borderId="0" xfId="0" applyFont="1"/>
    <xf numFmtId="0" fontId="0" fillId="0" borderId="21" xfId="0" applyBorder="1" applyAlignment="1">
      <alignment horizontal="center" vertical="center"/>
    </xf>
    <xf numFmtId="0" fontId="19" fillId="2" borderId="2" xfId="0" applyFont="1" applyFill="1" applyBorder="1" applyAlignment="1">
      <alignment horizontal="left" vertical="center"/>
    </xf>
    <xf numFmtId="0" fontId="19" fillId="2" borderId="25" xfId="0" applyFont="1" applyFill="1" applyBorder="1" applyAlignment="1">
      <alignment horizontal="left" vertical="center"/>
    </xf>
    <xf numFmtId="168" fontId="16" fillId="2" borderId="0" xfId="0" applyNumberFormat="1" applyFont="1" applyFill="1" applyAlignment="1">
      <alignment horizontal="left" vertical="center"/>
    </xf>
    <xf numFmtId="0" fontId="20" fillId="13" borderId="26" xfId="0" applyFont="1" applyFill="1" applyBorder="1" applyAlignment="1">
      <alignment horizontal="center" vertical="center"/>
    </xf>
    <xf numFmtId="0" fontId="20" fillId="2" borderId="0" xfId="0" applyFont="1" applyFill="1" applyAlignment="1">
      <alignment vertical="center" wrapText="1"/>
    </xf>
    <xf numFmtId="0" fontId="0" fillId="13" borderId="9" xfId="0" applyFill="1" applyBorder="1" applyAlignment="1">
      <alignment horizontal="center" vertical="center"/>
    </xf>
    <xf numFmtId="0" fontId="19" fillId="13" borderId="23" xfId="0" applyFont="1" applyFill="1" applyBorder="1" applyAlignment="1">
      <alignment horizontal="center" vertical="center" wrapText="1"/>
    </xf>
    <xf numFmtId="0" fontId="19" fillId="13" borderId="8" xfId="0" applyFont="1" applyFill="1" applyBorder="1"/>
    <xf numFmtId="0" fontId="19" fillId="13" borderId="9" xfId="0" applyFont="1" applyFill="1" applyBorder="1"/>
    <xf numFmtId="0" fontId="19" fillId="13" borderId="0" xfId="0" applyFont="1" applyFill="1" applyAlignment="1">
      <alignment horizontal="center" vertical="center" wrapText="1"/>
    </xf>
    <xf numFmtId="49" fontId="19" fillId="15" borderId="73" xfId="0" applyNumberFormat="1" applyFont="1" applyFill="1" applyBorder="1" applyAlignment="1">
      <alignment horizontal="center" vertical="center"/>
    </xf>
    <xf numFmtId="49" fontId="19" fillId="15" borderId="69" xfId="0" applyNumberFormat="1" applyFont="1" applyFill="1" applyBorder="1" applyAlignment="1">
      <alignment horizontal="center" vertical="center"/>
    </xf>
    <xf numFmtId="49" fontId="19" fillId="2" borderId="25" xfId="0" applyNumberFormat="1" applyFont="1" applyFill="1" applyBorder="1" applyAlignment="1" applyProtection="1">
      <alignment horizontal="center" vertical="center"/>
      <protection locked="0"/>
    </xf>
    <xf numFmtId="49" fontId="19" fillId="15" borderId="75" xfId="0" applyNumberFormat="1" applyFont="1" applyFill="1" applyBorder="1" applyAlignment="1">
      <alignment horizontal="center" vertical="center"/>
    </xf>
    <xf numFmtId="0" fontId="19" fillId="13" borderId="35" xfId="0" applyFont="1" applyFill="1" applyBorder="1" applyAlignment="1">
      <alignment horizontal="center" vertical="center" wrapText="1"/>
    </xf>
    <xf numFmtId="1" fontId="15" fillId="2" borderId="2" xfId="0" applyNumberFormat="1" applyFont="1" applyFill="1" applyBorder="1"/>
    <xf numFmtId="0" fontId="19" fillId="2" borderId="25" xfId="0" applyFont="1" applyFill="1" applyBorder="1" applyAlignment="1">
      <alignment vertical="center"/>
    </xf>
    <xf numFmtId="0" fontId="37" fillId="14" borderId="52" xfId="0" applyFont="1" applyFill="1" applyBorder="1" applyAlignment="1">
      <alignment horizontal="center" vertical="center" wrapText="1"/>
    </xf>
    <xf numFmtId="0" fontId="37" fillId="14" borderId="8" xfId="0" applyFont="1" applyFill="1" applyBorder="1" applyAlignment="1">
      <alignment horizontal="center" vertical="center" wrapText="1"/>
    </xf>
    <xf numFmtId="0" fontId="37" fillId="13" borderId="57" xfId="0" applyFont="1" applyFill="1" applyBorder="1" applyAlignment="1">
      <alignment horizontal="center" vertical="center"/>
    </xf>
    <xf numFmtId="0" fontId="37" fillId="13" borderId="52" xfId="0" applyFont="1" applyFill="1" applyBorder="1" applyAlignment="1">
      <alignment horizontal="center" vertical="center"/>
    </xf>
    <xf numFmtId="0" fontId="35" fillId="13" borderId="49" xfId="0" applyFont="1" applyFill="1" applyBorder="1" applyAlignment="1">
      <alignment vertical="center" wrapText="1"/>
    </xf>
    <xf numFmtId="0" fontId="38" fillId="13" borderId="8" xfId="0" applyFont="1" applyFill="1" applyBorder="1" applyAlignment="1">
      <alignment vertical="center" wrapText="1"/>
    </xf>
    <xf numFmtId="0" fontId="35" fillId="13" borderId="53" xfId="0" applyFont="1" applyFill="1" applyBorder="1" applyAlignment="1">
      <alignment vertical="center" wrapText="1"/>
    </xf>
    <xf numFmtId="0" fontId="35" fillId="13" borderId="22" xfId="0" applyFont="1" applyFill="1" applyBorder="1" applyAlignment="1">
      <alignment horizontal="left" vertical="center" wrapText="1"/>
    </xf>
    <xf numFmtId="0" fontId="35" fillId="13" borderId="49" xfId="0" applyFont="1" applyFill="1" applyBorder="1" applyAlignment="1">
      <alignment horizontal="left" vertical="center" wrapText="1"/>
    </xf>
    <xf numFmtId="0" fontId="30" fillId="0" borderId="0" xfId="0" applyFont="1"/>
    <xf numFmtId="0" fontId="25" fillId="0" borderId="0" xfId="0" applyFont="1"/>
    <xf numFmtId="0" fontId="25" fillId="0" borderId="0" xfId="0" applyFont="1" applyAlignment="1">
      <alignment horizontal="left"/>
    </xf>
    <xf numFmtId="0" fontId="26" fillId="0" borderId="0" xfId="0" applyFont="1"/>
    <xf numFmtId="0" fontId="18" fillId="0" borderId="0" xfId="0" applyFont="1"/>
    <xf numFmtId="0" fontId="25" fillId="0" borderId="16" xfId="0" applyFont="1" applyBorder="1"/>
    <xf numFmtId="0" fontId="25" fillId="0" borderId="16" xfId="0" applyFont="1" applyBorder="1" applyAlignment="1">
      <alignment horizontal="left"/>
    </xf>
    <xf numFmtId="0" fontId="26" fillId="0" borderId="0" xfId="0" applyFont="1" applyAlignment="1">
      <alignment horizontal="left"/>
    </xf>
    <xf numFmtId="0" fontId="25" fillId="0" borderId="0" xfId="0" applyFont="1" applyAlignment="1">
      <alignment horizontal="left" vertical="center" wrapText="1"/>
    </xf>
    <xf numFmtId="0" fontId="28" fillId="0" borderId="0" xfId="0" applyFont="1"/>
    <xf numFmtId="0" fontId="28" fillId="0" borderId="0" xfId="0" applyFont="1" applyAlignment="1">
      <alignment horizontal="left"/>
    </xf>
    <xf numFmtId="0" fontId="27" fillId="0" borderId="0" xfId="0" applyFont="1"/>
    <xf numFmtId="0" fontId="25" fillId="0" borderId="0" xfId="0" applyFont="1" applyAlignment="1">
      <alignment horizontal="left" wrapText="1"/>
    </xf>
    <xf numFmtId="0" fontId="25" fillId="0" borderId="0" xfId="0" applyFont="1" applyAlignment="1">
      <alignment horizontal="left" vertical="top" wrapText="1"/>
    </xf>
    <xf numFmtId="0" fontId="30" fillId="0" borderId="0" xfId="0" applyFont="1" applyAlignment="1">
      <alignment vertical="top" wrapText="1"/>
    </xf>
    <xf numFmtId="0" fontId="41" fillId="0" borderId="0" xfId="0" applyFont="1"/>
    <xf numFmtId="0" fontId="27" fillId="0" borderId="0" xfId="0" applyFont="1" applyAlignment="1">
      <alignment horizontal="left"/>
    </xf>
    <xf numFmtId="0" fontId="25" fillId="0" borderId="8" xfId="0" applyFont="1" applyBorder="1"/>
    <xf numFmtId="165" fontId="29" fillId="0" borderId="8" xfId="0" applyNumberFormat="1" applyFont="1" applyBorder="1"/>
    <xf numFmtId="1" fontId="29" fillId="0" borderId="8" xfId="0" applyNumberFormat="1" applyFont="1" applyBorder="1"/>
    <xf numFmtId="176" fontId="29" fillId="0" borderId="8" xfId="0" applyNumberFormat="1" applyFont="1" applyBorder="1"/>
    <xf numFmtId="166" fontId="25" fillId="0" borderId="0" xfId="0" applyNumberFormat="1" applyFont="1"/>
    <xf numFmtId="2" fontId="29" fillId="0" borderId="0" xfId="0" applyNumberFormat="1" applyFont="1"/>
    <xf numFmtId="165" fontId="25" fillId="0" borderId="0" xfId="0" applyNumberFormat="1" applyFont="1"/>
    <xf numFmtId="164" fontId="25" fillId="0" borderId="0" xfId="1" applyFont="1" applyFill="1" applyAlignment="1">
      <alignment horizontal="left"/>
    </xf>
    <xf numFmtId="0" fontId="25" fillId="0" borderId="0" xfId="1" applyNumberFormat="1" applyFont="1" applyFill="1" applyAlignment="1">
      <alignment horizontal="left"/>
    </xf>
    <xf numFmtId="164" fontId="25" fillId="0" borderId="0" xfId="1" applyFont="1" applyFill="1" applyAlignment="1">
      <alignment horizontal="left" vertical="center"/>
    </xf>
    <xf numFmtId="0" fontId="25" fillId="0" borderId="0" xfId="0" applyFont="1" applyAlignment="1">
      <alignment vertical="center"/>
    </xf>
    <xf numFmtId="0" fontId="25" fillId="0" borderId="25" xfId="0" applyFont="1" applyBorder="1" applyAlignment="1">
      <alignment horizontal="center" vertical="center"/>
    </xf>
    <xf numFmtId="1" fontId="25" fillId="0" borderId="0" xfId="0" applyNumberFormat="1" applyFont="1"/>
    <xf numFmtId="0" fontId="26" fillId="0" borderId="0" xfId="0" applyFont="1" applyAlignment="1">
      <alignment horizontal="center"/>
    </xf>
    <xf numFmtId="0" fontId="25" fillId="0" borderId="0" xfId="0" applyFont="1" applyAlignment="1">
      <alignment horizontal="center"/>
    </xf>
    <xf numFmtId="0" fontId="26" fillId="0" borderId="0" xfId="0" applyFont="1" applyAlignment="1">
      <alignment vertical="center"/>
    </xf>
    <xf numFmtId="174" fontId="25" fillId="0" borderId="0" xfId="0" applyNumberFormat="1" applyFont="1" applyAlignment="1">
      <alignment vertical="center"/>
    </xf>
    <xf numFmtId="1" fontId="25" fillId="0" borderId="0" xfId="0" applyNumberFormat="1" applyFont="1" applyAlignment="1">
      <alignment vertical="center"/>
    </xf>
    <xf numFmtId="170" fontId="26" fillId="0" borderId="0" xfId="0" applyNumberFormat="1" applyFont="1" applyAlignment="1">
      <alignment vertical="center"/>
    </xf>
    <xf numFmtId="2" fontId="25" fillId="0" borderId="0" xfId="0" applyNumberFormat="1" applyFont="1"/>
    <xf numFmtId="0" fontId="25" fillId="0" borderId="0" xfId="0" applyFont="1" applyAlignment="1">
      <alignment vertical="center" wrapText="1"/>
    </xf>
    <xf numFmtId="170" fontId="25" fillId="0" borderId="0" xfId="0" applyNumberFormat="1" applyFont="1"/>
    <xf numFmtId="170" fontId="25" fillId="0" borderId="0" xfId="0" applyNumberFormat="1" applyFont="1" applyAlignment="1">
      <alignment horizontal="left"/>
    </xf>
    <xf numFmtId="168" fontId="25" fillId="0" borderId="0" xfId="0" applyNumberFormat="1" applyFont="1"/>
    <xf numFmtId="0" fontId="45" fillId="0" borderId="0" xfId="0" applyFont="1" applyAlignment="1">
      <alignment horizontal="left"/>
    </xf>
    <xf numFmtId="0" fontId="31" fillId="0" borderId="0" xfId="0" applyFont="1" applyAlignment="1">
      <alignment vertical="center"/>
    </xf>
    <xf numFmtId="0" fontId="42" fillId="0" borderId="0" xfId="0" applyFont="1" applyAlignment="1">
      <alignment vertical="center"/>
    </xf>
    <xf numFmtId="0" fontId="25" fillId="0" borderId="4" xfId="0" applyFont="1" applyBorder="1"/>
    <xf numFmtId="0" fontId="25" fillId="0" borderId="0" xfId="0" applyFont="1" applyAlignment="1">
      <alignment wrapText="1"/>
    </xf>
    <xf numFmtId="11" fontId="25" fillId="0" borderId="0" xfId="0" applyNumberFormat="1" applyFont="1" applyAlignment="1">
      <alignment horizontal="right" vertical="center" wrapText="1"/>
    </xf>
    <xf numFmtId="0" fontId="25" fillId="0" borderId="0" xfId="0" applyFont="1" applyAlignment="1">
      <alignment horizontal="center" vertical="center" wrapText="1"/>
    </xf>
    <xf numFmtId="169" fontId="25" fillId="0" borderId="0" xfId="0" applyNumberFormat="1" applyFont="1" applyAlignment="1">
      <alignment horizontal="right" vertical="center" wrapText="1"/>
    </xf>
    <xf numFmtId="0" fontId="25" fillId="0" borderId="0" xfId="0" applyFont="1" applyAlignment="1">
      <alignment horizontal="center" wrapText="1"/>
    </xf>
    <xf numFmtId="174" fontId="25" fillId="0" borderId="0" xfId="0" applyNumberFormat="1" applyFont="1" applyAlignment="1">
      <alignment wrapText="1"/>
    </xf>
    <xf numFmtId="0" fontId="32" fillId="0" borderId="0" xfId="0" applyFont="1"/>
    <xf numFmtId="0" fontId="0" fillId="5" borderId="39" xfId="0" applyFill="1" applyBorder="1"/>
    <xf numFmtId="0" fontId="22" fillId="9" borderId="21" xfId="0" applyFont="1" applyFill="1" applyBorder="1" applyAlignment="1">
      <alignment horizontal="center" vertical="center"/>
    </xf>
    <xf numFmtId="180" fontId="8" fillId="16" borderId="37" xfId="0" applyNumberFormat="1" applyFont="1" applyFill="1" applyBorder="1" applyAlignment="1">
      <alignment horizontal="center" vertical="center"/>
    </xf>
    <xf numFmtId="180" fontId="8" fillId="17" borderId="37" xfId="0" applyNumberFormat="1" applyFont="1" applyFill="1" applyBorder="1" applyAlignment="1">
      <alignment horizontal="center" vertical="center"/>
    </xf>
    <xf numFmtId="0" fontId="59" fillId="9" borderId="55" xfId="0" applyFont="1" applyFill="1" applyBorder="1" applyAlignment="1">
      <alignment horizontal="center" vertical="center" wrapText="1"/>
    </xf>
    <xf numFmtId="0" fontId="59" fillId="18" borderId="55" xfId="0" applyFont="1" applyFill="1" applyBorder="1" applyAlignment="1">
      <alignment horizontal="center" vertical="center" wrapText="1"/>
    </xf>
    <xf numFmtId="0" fontId="60" fillId="0" borderId="0" xfId="0" applyFont="1"/>
    <xf numFmtId="0" fontId="18" fillId="9" borderId="0" xfId="0" applyFont="1" applyFill="1"/>
    <xf numFmtId="0" fontId="18" fillId="9" borderId="21" xfId="0" applyFont="1" applyFill="1" applyBorder="1" applyAlignment="1">
      <alignment horizontal="center" vertical="center"/>
    </xf>
    <xf numFmtId="0" fontId="35" fillId="9" borderId="49" xfId="0" applyFont="1" applyFill="1" applyBorder="1" applyAlignment="1">
      <alignment vertical="center" wrapText="1"/>
    </xf>
    <xf numFmtId="0" fontId="62" fillId="9" borderId="49" xfId="0" applyFont="1" applyFill="1" applyBorder="1" applyAlignment="1">
      <alignment vertical="center" wrapText="1"/>
    </xf>
    <xf numFmtId="0" fontId="35" fillId="9" borderId="53" xfId="0" applyFont="1" applyFill="1" applyBorder="1" applyAlignment="1">
      <alignment vertical="center" wrapText="1"/>
    </xf>
    <xf numFmtId="0" fontId="18" fillId="9" borderId="39" xfId="0" applyFont="1" applyFill="1" applyBorder="1" applyAlignment="1">
      <alignment horizontal="center" vertical="center"/>
    </xf>
    <xf numFmtId="0" fontId="22" fillId="9" borderId="39" xfId="0" applyFont="1" applyFill="1" applyBorder="1" applyAlignment="1">
      <alignment horizontal="center" vertical="center"/>
    </xf>
    <xf numFmtId="0" fontId="39" fillId="2" borderId="0" xfId="0" applyFont="1" applyFill="1" applyAlignment="1">
      <alignment vertical="center"/>
    </xf>
    <xf numFmtId="175" fontId="39" fillId="2" borderId="0" xfId="0" applyNumberFormat="1" applyFont="1" applyFill="1"/>
    <xf numFmtId="169" fontId="25" fillId="0" borderId="0" xfId="0" applyNumberFormat="1" applyFont="1" applyAlignment="1">
      <alignment vertical="center" wrapText="1"/>
    </xf>
    <xf numFmtId="0" fontId="19" fillId="2" borderId="0" xfId="0" applyFont="1" applyFill="1" applyAlignment="1">
      <alignment horizontal="center" vertical="center" wrapText="1"/>
    </xf>
    <xf numFmtId="0" fontId="19" fillId="13" borderId="1" xfId="0" applyFont="1" applyFill="1" applyBorder="1" applyAlignment="1">
      <alignment horizontal="center" vertical="center" wrapText="1"/>
    </xf>
    <xf numFmtId="0" fontId="63" fillId="9" borderId="0" xfId="0" applyFont="1" applyFill="1"/>
    <xf numFmtId="0" fontId="35" fillId="9" borderId="53" xfId="0" applyFont="1" applyFill="1" applyBorder="1" applyAlignment="1">
      <alignment horizontal="center" vertical="center" wrapText="1"/>
    </xf>
    <xf numFmtId="0" fontId="18" fillId="0" borderId="21" xfId="0" applyFont="1" applyBorder="1"/>
    <xf numFmtId="14" fontId="25" fillId="2" borderId="0" xfId="0" applyNumberFormat="1" applyFont="1" applyFill="1"/>
    <xf numFmtId="0" fontId="0" fillId="0" borderId="4" xfId="0" applyBorder="1"/>
    <xf numFmtId="0" fontId="0" fillId="0" borderId="21" xfId="0" applyBorder="1" applyAlignment="1">
      <alignment horizontal="center"/>
    </xf>
    <xf numFmtId="0" fontId="19" fillId="0" borderId="21" xfId="0" applyFont="1" applyBorder="1"/>
    <xf numFmtId="171" fontId="19" fillId="2" borderId="21" xfId="0" applyNumberFormat="1" applyFont="1" applyFill="1" applyBorder="1"/>
    <xf numFmtId="0" fontId="19" fillId="6" borderId="0" xfId="0" applyFont="1" applyFill="1"/>
    <xf numFmtId="0" fontId="19" fillId="6" borderId="21" xfId="0" applyFont="1" applyFill="1" applyBorder="1"/>
    <xf numFmtId="171" fontId="19" fillId="0" borderId="21" xfId="0" applyNumberFormat="1" applyFont="1" applyBorder="1"/>
    <xf numFmtId="0" fontId="71" fillId="0" borderId="21" xfId="0" applyFont="1" applyBorder="1" applyAlignment="1" applyProtection="1">
      <alignment horizontal="center" vertical="center" wrapText="1"/>
      <protection hidden="1"/>
    </xf>
    <xf numFmtId="0" fontId="71" fillId="0" borderId="21" xfId="0" applyFont="1" applyBorder="1" applyAlignment="1" applyProtection="1">
      <alignment horizontal="center" vertical="center" wrapText="1"/>
      <protection locked="0" hidden="1"/>
    </xf>
    <xf numFmtId="11" fontId="0" fillId="0" borderId="21" xfId="0" applyNumberFormat="1" applyBorder="1" applyAlignment="1">
      <alignment horizontal="center" vertical="center"/>
    </xf>
    <xf numFmtId="0" fontId="0" fillId="0" borderId="0" xfId="0" applyAlignment="1">
      <alignment horizontal="center" vertical="center"/>
    </xf>
    <xf numFmtId="0" fontId="30" fillId="2" borderId="21" xfId="0" applyFont="1" applyFill="1" applyBorder="1" applyAlignment="1">
      <alignment horizontal="center"/>
    </xf>
    <xf numFmtId="11" fontId="30" fillId="2" borderId="0" xfId="0" applyNumberFormat="1" applyFont="1" applyFill="1"/>
    <xf numFmtId="0" fontId="30" fillId="2" borderId="0" xfId="0" applyFont="1" applyFill="1" applyAlignment="1">
      <alignment vertical="center"/>
    </xf>
    <xf numFmtId="170" fontId="19" fillId="2" borderId="21" xfId="0" applyNumberFormat="1" applyFont="1" applyFill="1" applyBorder="1"/>
    <xf numFmtId="166" fontId="19" fillId="2" borderId="21" xfId="0" applyNumberFormat="1" applyFont="1" applyFill="1" applyBorder="1"/>
    <xf numFmtId="174" fontId="19" fillId="2" borderId="21" xfId="0" applyNumberFormat="1" applyFont="1" applyFill="1" applyBorder="1"/>
    <xf numFmtId="172" fontId="19" fillId="2" borderId="21" xfId="0" applyNumberFormat="1" applyFont="1" applyFill="1" applyBorder="1"/>
    <xf numFmtId="175" fontId="19" fillId="2" borderId="21" xfId="0" applyNumberFormat="1" applyFont="1" applyFill="1" applyBorder="1"/>
    <xf numFmtId="171" fontId="0" fillId="2" borderId="39" xfId="0" applyNumberFormat="1" applyFill="1" applyBorder="1"/>
    <xf numFmtId="166" fontId="0" fillId="2" borderId="21" xfId="0" applyNumberFormat="1" applyFill="1" applyBorder="1"/>
    <xf numFmtId="166" fontId="0" fillId="0" borderId="21" xfId="0" applyNumberFormat="1" applyBorder="1"/>
    <xf numFmtId="0" fontId="15" fillId="2" borderId="0" xfId="0" applyFont="1" applyFill="1"/>
    <xf numFmtId="168" fontId="0" fillId="2" borderId="21" xfId="0" applyNumberFormat="1" applyFill="1" applyBorder="1"/>
    <xf numFmtId="174" fontId="0" fillId="2" borderId="21" xfId="0" applyNumberFormat="1" applyFill="1" applyBorder="1"/>
    <xf numFmtId="170" fontId="0" fillId="0" borderId="21" xfId="0" applyNumberFormat="1" applyBorder="1"/>
    <xf numFmtId="174" fontId="0" fillId="0" borderId="21" xfId="0" applyNumberFormat="1" applyBorder="1"/>
    <xf numFmtId="0" fontId="0" fillId="9" borderId="21" xfId="0" applyFill="1" applyBorder="1" applyAlignment="1">
      <alignment horizontal="left"/>
    </xf>
    <xf numFmtId="0" fontId="80" fillId="0" borderId="21" xfId="0" applyFont="1" applyBorder="1" applyAlignment="1">
      <alignment horizontal="center" vertical="center"/>
    </xf>
    <xf numFmtId="0" fontId="81" fillId="0" borderId="21" xfId="0" applyFont="1" applyBorder="1" applyAlignment="1" applyProtection="1">
      <alignment horizontal="center" vertical="center" wrapText="1"/>
      <protection hidden="1"/>
    </xf>
    <xf numFmtId="0" fontId="81" fillId="0" borderId="21" xfId="0" applyFont="1" applyBorder="1" applyAlignment="1" applyProtection="1">
      <alignment horizontal="center" vertical="center" wrapText="1"/>
      <protection locked="0" hidden="1"/>
    </xf>
    <xf numFmtId="11" fontId="80" fillId="0" borderId="21" xfId="0" applyNumberFormat="1" applyFont="1" applyBorder="1" applyAlignment="1">
      <alignment horizontal="center" vertical="center"/>
    </xf>
    <xf numFmtId="0" fontId="80" fillId="0" borderId="0" xfId="0" applyFont="1"/>
    <xf numFmtId="0" fontId="19" fillId="2" borderId="0" xfId="0" applyFont="1" applyFill="1" applyAlignment="1" applyProtection="1">
      <alignment horizontal="center"/>
      <protection locked="0"/>
    </xf>
    <xf numFmtId="0" fontId="19" fillId="2" borderId="7" xfId="0" applyFont="1" applyFill="1" applyBorder="1"/>
    <xf numFmtId="0" fontId="17" fillId="2" borderId="0" xfId="0" applyFont="1" applyFill="1" applyAlignment="1">
      <alignment horizontal="center" vertical="center"/>
    </xf>
    <xf numFmtId="0" fontId="39" fillId="2" borderId="0" xfId="0" applyFont="1" applyFill="1" applyAlignment="1">
      <alignment horizontal="right"/>
    </xf>
    <xf numFmtId="0" fontId="19" fillId="8" borderId="0" xfId="0" applyFont="1" applyFill="1"/>
    <xf numFmtId="0" fontId="0" fillId="8" borderId="0" xfId="0" applyFill="1"/>
    <xf numFmtId="0" fontId="0" fillId="0" borderId="78" xfId="0" applyBorder="1" applyAlignment="1">
      <alignment horizontal="center" vertical="center" wrapText="1"/>
    </xf>
    <xf numFmtId="2" fontId="0" fillId="0" borderId="26" xfId="0" applyNumberFormat="1" applyBorder="1"/>
    <xf numFmtId="0" fontId="67" fillId="2" borderId="21" xfId="0" applyFont="1" applyFill="1" applyBorder="1" applyAlignment="1">
      <alignment horizontal="left" vertical="center" wrapText="1"/>
    </xf>
    <xf numFmtId="167" fontId="68" fillId="0" borderId="23" xfId="0" applyNumberFormat="1" applyFont="1" applyBorder="1" applyAlignment="1">
      <alignment horizontal="center" vertical="center"/>
    </xf>
    <xf numFmtId="167" fontId="68" fillId="0" borderId="36" xfId="0" applyNumberFormat="1" applyFont="1" applyBorder="1" applyAlignment="1">
      <alignment horizontal="center" vertical="center"/>
    </xf>
    <xf numFmtId="167" fontId="68" fillId="0" borderId="4" xfId="0" applyNumberFormat="1" applyFont="1" applyBorder="1" applyAlignment="1">
      <alignment horizontal="center" vertical="center"/>
    </xf>
    <xf numFmtId="0" fontId="67" fillId="2" borderId="21" xfId="0" applyFont="1" applyFill="1" applyBorder="1" applyAlignment="1">
      <alignment horizontal="center" vertical="center"/>
    </xf>
    <xf numFmtId="0" fontId="19" fillId="0" borderId="25" xfId="0" applyFont="1" applyBorder="1" applyAlignment="1">
      <alignment horizontal="center" vertical="center"/>
    </xf>
    <xf numFmtId="0" fontId="30" fillId="9" borderId="21" xfId="0" applyFont="1" applyFill="1" applyBorder="1" applyAlignment="1" applyProtection="1">
      <alignment vertical="center"/>
      <protection locked="0"/>
    </xf>
    <xf numFmtId="0" fontId="30" fillId="9" borderId="77" xfId="0" applyFont="1" applyFill="1" applyBorder="1" applyAlignment="1" applyProtection="1">
      <alignment vertical="center"/>
      <protection locked="0"/>
    </xf>
    <xf numFmtId="0" fontId="30" fillId="9" borderId="32" xfId="0" applyFont="1" applyFill="1" applyBorder="1" applyAlignment="1" applyProtection="1">
      <alignment vertical="center"/>
      <protection locked="0"/>
    </xf>
    <xf numFmtId="1" fontId="30" fillId="9" borderId="32" xfId="0" applyNumberFormat="1" applyFont="1" applyFill="1" applyBorder="1" applyAlignment="1" applyProtection="1">
      <alignment vertical="center"/>
      <protection locked="0"/>
    </xf>
    <xf numFmtId="0" fontId="0" fillId="6" borderId="4" xfId="0" applyFill="1" applyBorder="1"/>
    <xf numFmtId="0" fontId="0" fillId="6" borderId="6" xfId="0" applyFill="1" applyBorder="1"/>
    <xf numFmtId="0" fontId="70" fillId="0" borderId="0" xfId="0" applyFont="1" applyAlignment="1">
      <alignment horizontal="center"/>
    </xf>
    <xf numFmtId="0" fontId="70" fillId="0" borderId="21" xfId="0" applyFont="1" applyBorder="1" applyAlignment="1">
      <alignment horizontal="center" vertical="center" wrapText="1"/>
    </xf>
    <xf numFmtId="0" fontId="70" fillId="0" borderId="21" xfId="0" applyFont="1" applyBorder="1" applyAlignment="1">
      <alignment horizontal="center"/>
    </xf>
    <xf numFmtId="0" fontId="70" fillId="10" borderId="0" xfId="0" applyFont="1" applyFill="1" applyAlignment="1">
      <alignment horizontal="center"/>
    </xf>
    <xf numFmtId="167" fontId="0" fillId="9" borderId="21" xfId="0" applyNumberFormat="1" applyFill="1" applyBorder="1" applyAlignment="1">
      <alignment horizontal="left"/>
    </xf>
    <xf numFmtId="0" fontId="0" fillId="9" borderId="24" xfId="0" applyFill="1" applyBorder="1"/>
    <xf numFmtId="0" fontId="20" fillId="2" borderId="0" xfId="0" applyFont="1" applyFill="1" applyAlignment="1">
      <alignment horizontal="center"/>
    </xf>
    <xf numFmtId="0" fontId="20" fillId="2" borderId="10" xfId="0" applyFont="1" applyFill="1" applyBorder="1"/>
    <xf numFmtId="0" fontId="18" fillId="0" borderId="21" xfId="0" applyFont="1" applyBorder="1" applyAlignment="1">
      <alignment horizontal="center"/>
    </xf>
    <xf numFmtId="0" fontId="18" fillId="0" borderId="0" xfId="0" applyFont="1" applyAlignment="1">
      <alignment horizontal="center"/>
    </xf>
    <xf numFmtId="0" fontId="83" fillId="0" borderId="0" xfId="0" applyFont="1" applyAlignment="1">
      <alignment horizontal="center"/>
    </xf>
    <xf numFmtId="0" fontId="0" fillId="4" borderId="40" xfId="0" applyFill="1" applyBorder="1"/>
    <xf numFmtId="0" fontId="0" fillId="4" borderId="9" xfId="0" applyFill="1" applyBorder="1"/>
    <xf numFmtId="0" fontId="18" fillId="4" borderId="35" xfId="0" applyFont="1" applyFill="1" applyBorder="1"/>
    <xf numFmtId="0" fontId="18" fillId="4" borderId="21" xfId="0" applyFont="1" applyFill="1" applyBorder="1"/>
    <xf numFmtId="0" fontId="0" fillId="20" borderId="21" xfId="0" applyFill="1" applyBorder="1"/>
    <xf numFmtId="0" fontId="0" fillId="20" borderId="39" xfId="0" applyFill="1" applyBorder="1"/>
    <xf numFmtId="0" fontId="0" fillId="21" borderId="21" xfId="0" applyFill="1" applyBorder="1"/>
    <xf numFmtId="0" fontId="0" fillId="21" borderId="39" xfId="0" applyFill="1" applyBorder="1"/>
    <xf numFmtId="168" fontId="19" fillId="2" borderId="21" xfId="0" applyNumberFormat="1" applyFont="1" applyFill="1" applyBorder="1"/>
    <xf numFmtId="1" fontId="19" fillId="2" borderId="21" xfId="0" applyNumberFormat="1" applyFont="1" applyFill="1" applyBorder="1"/>
    <xf numFmtId="174" fontId="61" fillId="9" borderId="21" xfId="0" applyNumberFormat="1" applyFont="1" applyFill="1" applyBorder="1" applyAlignment="1">
      <alignment horizontal="center" vertical="center"/>
    </xf>
    <xf numFmtId="0" fontId="18" fillId="5" borderId="39" xfId="0" applyFont="1" applyFill="1" applyBorder="1"/>
    <xf numFmtId="0" fontId="84" fillId="0" borderId="37" xfId="0" applyFont="1" applyBorder="1" applyAlignment="1">
      <alignment horizontal="center" vertical="center" wrapText="1"/>
    </xf>
    <xf numFmtId="0" fontId="84" fillId="0" borderId="35" xfId="0" applyFont="1" applyBorder="1"/>
    <xf numFmtId="0" fontId="84" fillId="0" borderId="26" xfId="0" applyFont="1" applyBorder="1"/>
    <xf numFmtId="0" fontId="84" fillId="0" borderId="21" xfId="0" applyFont="1" applyBorder="1"/>
    <xf numFmtId="0" fontId="84" fillId="2" borderId="21" xfId="0" applyFont="1" applyFill="1" applyBorder="1"/>
    <xf numFmtId="0" fontId="85" fillId="2" borderId="25" xfId="0" applyFont="1" applyFill="1" applyBorder="1" applyAlignment="1">
      <alignment horizontal="center" vertical="center" wrapText="1"/>
    </xf>
    <xf numFmtId="171" fontId="84" fillId="0" borderId="23" xfId="0" applyNumberFormat="1" applyFont="1" applyBorder="1"/>
    <xf numFmtId="0" fontId="86" fillId="2" borderId="25" xfId="0" applyFont="1" applyFill="1" applyBorder="1" applyAlignment="1">
      <alignment horizontal="center" wrapText="1"/>
    </xf>
    <xf numFmtId="171" fontId="84" fillId="0" borderId="41" xfId="0" applyNumberFormat="1" applyFont="1" applyBorder="1"/>
    <xf numFmtId="0" fontId="0" fillId="0" borderId="0" xfId="0" applyAlignment="1">
      <alignment horizontal="center" vertical="center" wrapText="1"/>
    </xf>
    <xf numFmtId="0" fontId="80" fillId="0" borderId="21" xfId="0" applyFont="1" applyBorder="1"/>
    <xf numFmtId="0" fontId="80" fillId="2" borderId="21" xfId="0" applyFont="1" applyFill="1" applyBorder="1"/>
    <xf numFmtId="0" fontId="87" fillId="0" borderId="21" xfId="0" applyFont="1" applyBorder="1"/>
    <xf numFmtId="174" fontId="80" fillId="2" borderId="21" xfId="0" applyNumberFormat="1" applyFont="1" applyFill="1" applyBorder="1"/>
    <xf numFmtId="171" fontId="80" fillId="0" borderId="21" xfId="0" applyNumberFormat="1" applyFont="1" applyBorder="1"/>
    <xf numFmtId="0" fontId="80" fillId="0" borderId="21" xfId="0" applyFont="1" applyBorder="1" applyAlignment="1">
      <alignment horizontal="center"/>
    </xf>
    <xf numFmtId="0" fontId="80" fillId="6" borderId="0" xfId="0" applyFont="1" applyFill="1"/>
    <xf numFmtId="175" fontId="0" fillId="0" borderId="0" xfId="0" applyNumberFormat="1"/>
    <xf numFmtId="0" fontId="86" fillId="2" borderId="25" xfId="0" applyFont="1" applyFill="1" applyBorder="1" applyAlignment="1">
      <alignment horizontal="center" vertical="center" wrapText="1"/>
    </xf>
    <xf numFmtId="2" fontId="35" fillId="9" borderId="21" xfId="0" applyNumberFormat="1" applyFont="1" applyFill="1" applyBorder="1" applyAlignment="1">
      <alignment horizontal="center" vertical="center"/>
    </xf>
    <xf numFmtId="14" fontId="30" fillId="2" borderId="0" xfId="0" applyNumberFormat="1" applyFont="1" applyFill="1"/>
    <xf numFmtId="0" fontId="88" fillId="0" borderId="0" xfId="4" applyFont="1"/>
    <xf numFmtId="1" fontId="88" fillId="0" borderId="0" xfId="4" applyNumberFormat="1" applyFont="1"/>
    <xf numFmtId="0" fontId="32" fillId="2" borderId="0" xfId="0" applyFont="1" applyFill="1"/>
    <xf numFmtId="0" fontId="30" fillId="2" borderId="10" xfId="0" applyFont="1" applyFill="1" applyBorder="1"/>
    <xf numFmtId="49" fontId="30" fillId="2" borderId="10" xfId="0" applyNumberFormat="1" applyFont="1" applyFill="1" applyBorder="1"/>
    <xf numFmtId="0" fontId="30" fillId="2" borderId="12" xfId="0" applyFont="1" applyFill="1" applyBorder="1"/>
    <xf numFmtId="49" fontId="30" fillId="2" borderId="0" xfId="0" applyNumberFormat="1" applyFont="1" applyFill="1"/>
    <xf numFmtId="0" fontId="30" fillId="2" borderId="16" xfId="0" applyFont="1" applyFill="1" applyBorder="1"/>
    <xf numFmtId="0" fontId="88" fillId="0" borderId="0" xfId="4" applyFont="1" applyAlignment="1">
      <alignment horizontal="center"/>
    </xf>
    <xf numFmtId="0" fontId="30" fillId="2" borderId="0" xfId="0" applyFont="1" applyFill="1" applyProtection="1">
      <protection hidden="1"/>
    </xf>
    <xf numFmtId="0" fontId="8" fillId="0" borderId="0" xfId="0" applyFont="1" applyProtection="1">
      <protection hidden="1"/>
    </xf>
    <xf numFmtId="0" fontId="88" fillId="0" borderId="0" xfId="4" applyFont="1" applyAlignment="1" applyProtection="1">
      <alignment horizontal="center"/>
      <protection hidden="1"/>
    </xf>
    <xf numFmtId="0" fontId="88" fillId="0" borderId="0" xfId="4" applyFont="1" applyProtection="1">
      <protection hidden="1"/>
    </xf>
    <xf numFmtId="0" fontId="88" fillId="0" borderId="21" xfId="4" applyFont="1" applyBorder="1" applyAlignment="1" applyProtection="1">
      <alignment horizontal="center"/>
      <protection hidden="1"/>
    </xf>
    <xf numFmtId="0" fontId="88" fillId="0" borderId="23" xfId="4" applyFont="1" applyBorder="1" applyAlignment="1" applyProtection="1">
      <alignment horizontal="left"/>
      <protection hidden="1"/>
    </xf>
    <xf numFmtId="0" fontId="88" fillId="0" borderId="36" xfId="4" applyFont="1" applyBorder="1" applyAlignment="1" applyProtection="1">
      <alignment horizontal="center"/>
      <protection hidden="1"/>
    </xf>
    <xf numFmtId="0" fontId="88" fillId="0" borderId="36" xfId="4" applyFont="1" applyBorder="1" applyProtection="1">
      <protection hidden="1"/>
    </xf>
    <xf numFmtId="9" fontId="88" fillId="0" borderId="23" xfId="3" applyFont="1" applyFill="1" applyBorder="1" applyAlignment="1" applyProtection="1">
      <alignment horizontal="center" wrapText="1"/>
      <protection hidden="1"/>
    </xf>
    <xf numFmtId="9" fontId="88" fillId="0" borderId="21" xfId="4" applyNumberFormat="1" applyFont="1" applyBorder="1" applyAlignment="1" applyProtection="1">
      <alignment horizontal="center"/>
      <protection hidden="1"/>
    </xf>
    <xf numFmtId="0" fontId="88" fillId="0" borderId="23" xfId="4" applyFont="1" applyBorder="1" applyAlignment="1" applyProtection="1">
      <alignment horizontal="center" vertical="center"/>
      <protection hidden="1"/>
    </xf>
    <xf numFmtId="0" fontId="90" fillId="0" borderId="36" xfId="4" applyFont="1" applyBorder="1" applyAlignment="1" applyProtection="1">
      <alignment horizontal="center" vertical="center"/>
      <protection hidden="1"/>
    </xf>
    <xf numFmtId="0" fontId="88" fillId="0" borderId="21" xfId="4" applyFont="1" applyBorder="1" applyAlignment="1" applyProtection="1">
      <alignment horizontal="center" vertical="center"/>
      <protection hidden="1"/>
    </xf>
    <xf numFmtId="0" fontId="88" fillId="8" borderId="23" xfId="4" applyFont="1" applyFill="1" applyBorder="1" applyAlignment="1" applyProtection="1">
      <alignment horizontal="center" vertical="center"/>
      <protection hidden="1"/>
    </xf>
    <xf numFmtId="9" fontId="90" fillId="8" borderId="4" xfId="4" applyNumberFormat="1" applyFont="1" applyFill="1" applyBorder="1" applyAlignment="1" applyProtection="1">
      <alignment horizontal="center" vertical="center"/>
      <protection hidden="1"/>
    </xf>
    <xf numFmtId="0" fontId="88" fillId="8" borderId="21" xfId="4" applyFont="1" applyFill="1" applyBorder="1" applyAlignment="1" applyProtection="1">
      <alignment horizontal="center" vertical="center"/>
      <protection hidden="1"/>
    </xf>
    <xf numFmtId="0" fontId="88" fillId="0" borderId="39" xfId="4" applyFont="1" applyBorder="1" applyAlignment="1" applyProtection="1">
      <alignment horizontal="center" vertical="center"/>
      <protection hidden="1"/>
    </xf>
    <xf numFmtId="0" fontId="30" fillId="2" borderId="35" xfId="0" applyFont="1" applyFill="1" applyBorder="1" applyAlignment="1" applyProtection="1">
      <alignment horizontal="center" vertical="center"/>
      <protection hidden="1"/>
    </xf>
    <xf numFmtId="0" fontId="8" fillId="0" borderId="0" xfId="0" applyFont="1" applyAlignment="1" applyProtection="1">
      <alignment horizontal="center"/>
      <protection hidden="1"/>
    </xf>
    <xf numFmtId="1" fontId="88" fillId="0" borderId="21" xfId="4" applyNumberFormat="1" applyFont="1" applyBorder="1" applyAlignment="1" applyProtection="1">
      <alignment horizontal="center" vertical="center"/>
      <protection hidden="1"/>
    </xf>
    <xf numFmtId="1" fontId="88" fillId="0" borderId="35" xfId="4" applyNumberFormat="1" applyFont="1" applyBorder="1" applyAlignment="1" applyProtection="1">
      <alignment horizontal="center" vertical="center"/>
      <protection hidden="1"/>
    </xf>
    <xf numFmtId="0" fontId="88" fillId="0" borderId="21" xfId="4" applyFont="1" applyBorder="1" applyProtection="1">
      <protection hidden="1"/>
    </xf>
    <xf numFmtId="174" fontId="88" fillId="0" borderId="21" xfId="4" applyNumberFormat="1" applyFont="1" applyBorder="1" applyAlignment="1" applyProtection="1">
      <alignment horizontal="center" vertical="center"/>
      <protection hidden="1"/>
    </xf>
    <xf numFmtId="0" fontId="18" fillId="8" borderId="0" xfId="0" applyFont="1" applyFill="1"/>
    <xf numFmtId="168" fontId="0" fillId="0" borderId="26" xfId="0" applyNumberFormat="1" applyBorder="1"/>
    <xf numFmtId="170" fontId="0" fillId="0" borderId="26" xfId="0" applyNumberFormat="1" applyBorder="1"/>
    <xf numFmtId="0" fontId="19" fillId="21" borderId="21" xfId="0" applyFont="1" applyFill="1" applyBorder="1"/>
    <xf numFmtId="0" fontId="37" fillId="13" borderId="48" xfId="0" applyFont="1" applyFill="1" applyBorder="1" applyAlignment="1">
      <alignment horizontal="center" vertical="center"/>
    </xf>
    <xf numFmtId="172" fontId="34" fillId="2" borderId="30" xfId="0" applyNumberFormat="1" applyFont="1" applyFill="1" applyBorder="1" applyAlignment="1">
      <alignment horizontal="center" vertical="center"/>
    </xf>
    <xf numFmtId="175" fontId="35" fillId="2" borderId="41" xfId="0" applyNumberFormat="1" applyFont="1" applyFill="1" applyBorder="1" applyAlignment="1">
      <alignment horizontal="center" vertical="center"/>
    </xf>
    <xf numFmtId="0" fontId="91" fillId="2" borderId="0" xfId="0" applyFont="1" applyFill="1"/>
    <xf numFmtId="1" fontId="91" fillId="2" borderId="0" xfId="0" applyNumberFormat="1" applyFont="1" applyFill="1"/>
    <xf numFmtId="0" fontId="91" fillId="2" borderId="0" xfId="0" applyFont="1" applyFill="1" applyAlignment="1">
      <alignment vertical="center"/>
    </xf>
    <xf numFmtId="14" fontId="91" fillId="2" borderId="0" xfId="0" applyNumberFormat="1" applyFont="1" applyFill="1"/>
    <xf numFmtId="14" fontId="91" fillId="7" borderId="0" xfId="0" applyNumberFormat="1" applyFont="1" applyFill="1"/>
    <xf numFmtId="0" fontId="93" fillId="2" borderId="0" xfId="0" applyFont="1" applyFill="1"/>
    <xf numFmtId="0" fontId="36" fillId="2" borderId="0" xfId="0" applyFont="1" applyFill="1"/>
    <xf numFmtId="0" fontId="19" fillId="2" borderId="20" xfId="0" applyFont="1" applyFill="1" applyBorder="1" applyAlignment="1" applyProtection="1">
      <alignment horizontal="center" vertical="center" wrapText="1"/>
      <protection locked="0"/>
    </xf>
    <xf numFmtId="0" fontId="19" fillId="2" borderId="20" xfId="0" applyFont="1" applyFill="1" applyBorder="1" applyAlignment="1">
      <alignment horizontal="center" vertical="center" wrapText="1"/>
    </xf>
    <xf numFmtId="0" fontId="19" fillId="2" borderId="16" xfId="0" applyFont="1" applyFill="1" applyBorder="1" applyAlignment="1" applyProtection="1">
      <alignment horizontal="center" vertical="center" wrapText="1"/>
      <protection locked="0"/>
    </xf>
    <xf numFmtId="0" fontId="19" fillId="2" borderId="19" xfId="0" applyFont="1" applyFill="1" applyBorder="1" applyAlignment="1" applyProtection="1">
      <alignment horizontal="center" vertical="center" wrapText="1"/>
      <protection locked="0"/>
    </xf>
    <xf numFmtId="0" fontId="19" fillId="2" borderId="19" xfId="0" applyFont="1" applyFill="1" applyBorder="1" applyAlignment="1">
      <alignment horizontal="center" vertical="center" wrapText="1"/>
    </xf>
    <xf numFmtId="0" fontId="22" fillId="2" borderId="19" xfId="0" applyFont="1" applyFill="1" applyBorder="1" applyAlignment="1" applyProtection="1">
      <alignment horizontal="center" vertical="center" wrapText="1"/>
      <protection locked="0"/>
    </xf>
    <xf numFmtId="1" fontId="19" fillId="2" borderId="5" xfId="0" applyNumberFormat="1" applyFont="1" applyFill="1" applyBorder="1" applyAlignment="1">
      <alignment horizontal="center" vertical="center" wrapText="1"/>
    </xf>
    <xf numFmtId="1" fontId="19" fillId="2" borderId="6" xfId="0" applyNumberFormat="1" applyFont="1" applyFill="1" applyBorder="1" applyAlignment="1">
      <alignment horizontal="center" vertical="center" wrapText="1"/>
    </xf>
    <xf numFmtId="1" fontId="22" fillId="2" borderId="6" xfId="0" applyNumberFormat="1" applyFont="1" applyFill="1" applyBorder="1" applyAlignment="1">
      <alignment horizontal="center" vertical="center" wrapText="1"/>
    </xf>
    <xf numFmtId="1" fontId="19" fillId="2" borderId="39" xfId="0" applyNumberFormat="1" applyFont="1" applyFill="1" applyBorder="1" applyAlignment="1">
      <alignment horizontal="center" vertical="center" wrapText="1"/>
    </xf>
    <xf numFmtId="1" fontId="19" fillId="2" borderId="26" xfId="0" applyNumberFormat="1" applyFont="1" applyFill="1" applyBorder="1" applyAlignment="1">
      <alignment horizontal="center" vertical="center" wrapText="1"/>
    </xf>
    <xf numFmtId="1" fontId="22" fillId="2" borderId="26" xfId="0" applyNumberFormat="1" applyFont="1" applyFill="1" applyBorder="1" applyAlignment="1">
      <alignment horizontal="center" vertical="center" wrapText="1"/>
    </xf>
    <xf numFmtId="1" fontId="70" fillId="2" borderId="39" xfId="0" applyNumberFormat="1" applyFont="1" applyFill="1" applyBorder="1" applyAlignment="1">
      <alignment horizontal="center" vertical="center" wrapText="1"/>
    </xf>
    <xf numFmtId="1" fontId="70" fillId="2" borderId="26" xfId="0" applyNumberFormat="1" applyFont="1" applyFill="1" applyBorder="1" applyAlignment="1">
      <alignment horizontal="center" vertical="center" wrapText="1"/>
    </xf>
    <xf numFmtId="1" fontId="94" fillId="2" borderId="26" xfId="0" applyNumberFormat="1" applyFont="1" applyFill="1" applyBorder="1" applyAlignment="1">
      <alignment horizontal="center" vertical="center" wrapText="1"/>
    </xf>
    <xf numFmtId="0" fontId="0" fillId="11" borderId="21" xfId="0" applyFill="1" applyBorder="1" applyAlignment="1">
      <alignment horizontal="center"/>
    </xf>
    <xf numFmtId="0" fontId="0" fillId="0" borderId="23" xfId="0" applyBorder="1"/>
    <xf numFmtId="0" fontId="0" fillId="11" borderId="23" xfId="0" applyFill="1" applyBorder="1"/>
    <xf numFmtId="0" fontId="0" fillId="0" borderId="36" xfId="0" applyBorder="1"/>
    <xf numFmtId="0" fontId="0" fillId="11" borderId="36" xfId="0" applyFill="1" applyBorder="1"/>
    <xf numFmtId="0" fontId="0" fillId="4" borderId="40" xfId="0" applyFill="1" applyBorder="1" applyAlignment="1">
      <alignment horizontal="left"/>
    </xf>
    <xf numFmtId="0" fontId="18" fillId="0" borderId="21" xfId="0" applyFont="1" applyBorder="1" applyAlignment="1">
      <alignment horizontal="left"/>
    </xf>
    <xf numFmtId="0" fontId="98" fillId="4" borderId="40" xfId="0" applyFont="1" applyFill="1" applyBorder="1"/>
    <xf numFmtId="0" fontId="99" fillId="0" borderId="21" xfId="0" applyFont="1" applyBorder="1"/>
    <xf numFmtId="170" fontId="84" fillId="0" borderId="37" xfId="0" applyNumberFormat="1" applyFont="1" applyBorder="1" applyAlignment="1">
      <alignment horizontal="center" vertical="center" wrapText="1"/>
    </xf>
    <xf numFmtId="170" fontId="84" fillId="0" borderId="7" xfId="0" applyNumberFormat="1" applyFont="1" applyBorder="1"/>
    <xf numFmtId="170" fontId="18" fillId="0" borderId="0" xfId="0" applyNumberFormat="1" applyFont="1"/>
    <xf numFmtId="1" fontId="18" fillId="0" borderId="21" xfId="0" applyNumberFormat="1" applyFont="1" applyBorder="1" applyAlignment="1">
      <alignment horizontal="center"/>
    </xf>
    <xf numFmtId="0" fontId="18" fillId="0" borderId="10" xfId="0" applyFont="1" applyBorder="1" applyAlignment="1">
      <alignment horizontal="center" vertical="center"/>
    </xf>
    <xf numFmtId="0" fontId="20" fillId="0" borderId="10" xfId="0" applyFont="1" applyBorder="1" applyAlignment="1">
      <alignment horizontal="center" vertical="center"/>
    </xf>
    <xf numFmtId="0" fontId="18" fillId="0" borderId="37" xfId="0" applyFont="1" applyBorder="1" applyAlignment="1">
      <alignment horizontal="center" vertical="center" wrapText="1"/>
    </xf>
    <xf numFmtId="0" fontId="18" fillId="2" borderId="25" xfId="0" applyFont="1" applyFill="1" applyBorder="1" applyAlignment="1">
      <alignment horizontal="center" vertical="center"/>
    </xf>
    <xf numFmtId="0" fontId="19" fillId="0" borderId="21" xfId="0" applyFont="1" applyBorder="1" applyAlignment="1">
      <alignment horizontal="center" vertical="center"/>
    </xf>
    <xf numFmtId="11" fontId="19" fillId="0" borderId="21" xfId="0" applyNumberFormat="1" applyFont="1" applyBorder="1" applyAlignment="1">
      <alignment horizontal="center" vertical="center"/>
    </xf>
    <xf numFmtId="0" fontId="25" fillId="0" borderId="1" xfId="1" applyNumberFormat="1" applyFont="1" applyFill="1" applyBorder="1" applyAlignment="1">
      <alignment horizontal="left"/>
    </xf>
    <xf numFmtId="0" fontId="25" fillId="0" borderId="2" xfId="1" applyNumberFormat="1" applyFont="1" applyFill="1" applyBorder="1" applyAlignment="1">
      <alignment horizontal="left"/>
    </xf>
    <xf numFmtId="0" fontId="25" fillId="0" borderId="2" xfId="0" applyFont="1" applyBorder="1"/>
    <xf numFmtId="0" fontId="25" fillId="0" borderId="5" xfId="0" applyFont="1" applyBorder="1" applyAlignment="1">
      <alignment vertical="center" wrapText="1"/>
    </xf>
    <xf numFmtId="0" fontId="25" fillId="0" borderId="3" xfId="1" applyNumberFormat="1" applyFont="1" applyFill="1" applyBorder="1" applyAlignment="1">
      <alignment horizontal="left"/>
    </xf>
    <xf numFmtId="0" fontId="25" fillId="0" borderId="0" xfId="1" applyNumberFormat="1" applyFont="1" applyFill="1" applyBorder="1" applyAlignment="1">
      <alignment horizontal="left"/>
    </xf>
    <xf numFmtId="0" fontId="25" fillId="0" borderId="6" xfId="0" applyFont="1" applyBorder="1" applyAlignment="1">
      <alignment vertical="center" wrapText="1"/>
    </xf>
    <xf numFmtId="0" fontId="25" fillId="0" borderId="3" xfId="0" applyFont="1" applyBorder="1" applyAlignment="1">
      <alignment vertical="center"/>
    </xf>
    <xf numFmtId="0" fontId="25" fillId="0" borderId="0" xfId="0" applyFont="1" applyAlignment="1">
      <alignment horizontal="left" vertical="center"/>
    </xf>
    <xf numFmtId="0" fontId="25" fillId="0" borderId="6" xfId="0" applyFont="1" applyBorder="1" applyAlignment="1">
      <alignment vertical="center"/>
    </xf>
    <xf numFmtId="164" fontId="25" fillId="0" borderId="7" xfId="1" applyFont="1" applyFill="1" applyBorder="1" applyAlignment="1">
      <alignment horizontal="left" vertical="center"/>
    </xf>
    <xf numFmtId="0" fontId="25" fillId="0" borderId="8" xfId="0" applyFont="1" applyBorder="1" applyAlignment="1">
      <alignment vertical="center"/>
    </xf>
    <xf numFmtId="1" fontId="25" fillId="0" borderId="8" xfId="0" applyNumberFormat="1" applyFont="1" applyBorder="1" applyAlignment="1">
      <alignment vertical="center"/>
    </xf>
    <xf numFmtId="0" fontId="25" fillId="0" borderId="8" xfId="0" applyFont="1" applyBorder="1" applyAlignment="1">
      <alignment horizontal="left" vertical="center"/>
    </xf>
    <xf numFmtId="0" fontId="25" fillId="0" borderId="9" xfId="0" applyFont="1" applyBorder="1" applyAlignment="1">
      <alignment vertical="center"/>
    </xf>
    <xf numFmtId="0" fontId="20" fillId="0" borderId="20" xfId="0" applyFont="1" applyBorder="1" applyAlignment="1">
      <alignment vertical="center" wrapText="1"/>
    </xf>
    <xf numFmtId="0" fontId="20" fillId="0" borderId="76" xfId="0" applyFont="1" applyBorder="1" applyAlignment="1">
      <alignment vertical="center" wrapText="1"/>
    </xf>
    <xf numFmtId="171" fontId="84" fillId="0" borderId="21" xfId="0" applyNumberFormat="1" applyFont="1" applyBorder="1"/>
    <xf numFmtId="168" fontId="0" fillId="21" borderId="21" xfId="0" applyNumberFormat="1" applyFill="1" applyBorder="1"/>
    <xf numFmtId="170" fontId="18" fillId="4" borderId="21" xfId="0" applyNumberFormat="1" applyFont="1" applyFill="1" applyBorder="1"/>
    <xf numFmtId="172" fontId="0" fillId="0" borderId="21" xfId="0" applyNumberFormat="1" applyBorder="1"/>
    <xf numFmtId="170" fontId="0" fillId="2" borderId="21" xfId="0" applyNumberFormat="1" applyFill="1" applyBorder="1"/>
    <xf numFmtId="0" fontId="0" fillId="4" borderId="21" xfId="0" applyFill="1" applyBorder="1"/>
    <xf numFmtId="0" fontId="20" fillId="0" borderId="21" xfId="0" applyFont="1" applyBorder="1"/>
    <xf numFmtId="0" fontId="98" fillId="4" borderId="21" xfId="0" applyFont="1" applyFill="1" applyBorder="1"/>
    <xf numFmtId="0" fontId="98" fillId="0" borderId="21" xfId="0" applyFont="1" applyBorder="1"/>
    <xf numFmtId="0" fontId="0" fillId="0" borderId="21" xfId="0" applyBorder="1" applyAlignment="1">
      <alignment horizontal="left"/>
    </xf>
    <xf numFmtId="0" fontId="0" fillId="4" borderId="21" xfId="0" applyFill="1" applyBorder="1" applyAlignment="1">
      <alignment horizontal="left"/>
    </xf>
    <xf numFmtId="11" fontId="0" fillId="0" borderId="21" xfId="0" applyNumberFormat="1" applyBorder="1"/>
    <xf numFmtId="0" fontId="25" fillId="2" borderId="0" xfId="0" applyFont="1" applyFill="1" applyAlignment="1">
      <alignment horizontal="center"/>
    </xf>
    <xf numFmtId="0" fontId="39" fillId="2" borderId="0" xfId="0" applyFont="1" applyFill="1" applyAlignment="1">
      <alignment horizontal="center"/>
    </xf>
    <xf numFmtId="0" fontId="44" fillId="2" borderId="0" xfId="0" applyFont="1" applyFill="1"/>
    <xf numFmtId="0" fontId="25" fillId="0" borderId="0" xfId="2" applyFont="1" applyProtection="1">
      <protection hidden="1"/>
    </xf>
    <xf numFmtId="0" fontId="28" fillId="0" borderId="0" xfId="0" applyFont="1" applyAlignment="1">
      <alignment vertical="top" wrapText="1"/>
    </xf>
    <xf numFmtId="0" fontId="27" fillId="0" borderId="0" xfId="0" applyFont="1" applyAlignment="1">
      <alignment vertical="center"/>
    </xf>
    <xf numFmtId="0" fontId="25" fillId="2" borderId="0" xfId="0" applyFont="1" applyFill="1" applyAlignment="1">
      <alignment horizontal="left" vertical="center"/>
    </xf>
    <xf numFmtId="0" fontId="26" fillId="0" borderId="0" xfId="0" applyFont="1" applyAlignment="1">
      <alignment horizontal="left" vertical="center"/>
    </xf>
    <xf numFmtId="0" fontId="39" fillId="2" borderId="0" xfId="0" applyFont="1" applyFill="1" applyAlignment="1">
      <alignment horizontal="left" vertical="center"/>
    </xf>
    <xf numFmtId="167" fontId="25" fillId="0" borderId="0" xfId="0" applyNumberFormat="1" applyFont="1" applyAlignment="1">
      <alignment vertical="center"/>
    </xf>
    <xf numFmtId="0" fontId="30" fillId="0" borderId="0" xfId="0" applyFont="1" applyAlignment="1">
      <alignment horizontal="left" vertical="center"/>
    </xf>
    <xf numFmtId="167" fontId="30" fillId="0" borderId="0" xfId="0" applyNumberFormat="1" applyFont="1" applyAlignment="1">
      <alignment vertical="center"/>
    </xf>
    <xf numFmtId="166" fontId="30" fillId="0" borderId="16" xfId="0" applyNumberFormat="1" applyFont="1" applyBorder="1" applyAlignment="1">
      <alignment horizontal="center"/>
    </xf>
    <xf numFmtId="166" fontId="30" fillId="0" borderId="0" xfId="0" applyNumberFormat="1" applyFont="1" applyAlignment="1">
      <alignment horizontal="center"/>
    </xf>
    <xf numFmtId="174" fontId="30" fillId="0" borderId="0" xfId="0" applyNumberFormat="1" applyFont="1"/>
    <xf numFmtId="2" fontId="30" fillId="0" borderId="0" xfId="0" applyNumberFormat="1" applyFont="1"/>
    <xf numFmtId="1" fontId="30" fillId="0" borderId="0" xfId="0" applyNumberFormat="1" applyFont="1" applyAlignment="1">
      <alignment horizontal="left"/>
    </xf>
    <xf numFmtId="0" fontId="30" fillId="0" borderId="0" xfId="0" applyFont="1" applyAlignment="1">
      <alignment horizontal="center"/>
    </xf>
    <xf numFmtId="166" fontId="32" fillId="0" borderId="0" xfId="0" applyNumberFormat="1" applyFont="1" applyAlignment="1">
      <alignment horizontal="left"/>
    </xf>
    <xf numFmtId="2" fontId="30" fillId="0" borderId="0" xfId="0" applyNumberFormat="1" applyFont="1" applyAlignment="1">
      <alignment horizontal="left"/>
    </xf>
    <xf numFmtId="168" fontId="25" fillId="0" borderId="0" xfId="0" applyNumberFormat="1" applyFont="1" applyAlignment="1">
      <alignment horizontal="right"/>
    </xf>
    <xf numFmtId="0" fontId="27" fillId="0" borderId="0" xfId="0" applyFont="1" applyAlignment="1">
      <alignment horizontal="left" vertical="center" wrapText="1"/>
    </xf>
    <xf numFmtId="0" fontId="26" fillId="0" borderId="0" xfId="0" applyFont="1" applyAlignment="1">
      <alignment vertical="center" wrapText="1"/>
    </xf>
    <xf numFmtId="2" fontId="101" fillId="0" borderId="0" xfId="0" applyNumberFormat="1" applyFont="1" applyAlignment="1">
      <alignment vertical="center" wrapText="1"/>
    </xf>
    <xf numFmtId="171" fontId="46" fillId="0" borderId="0" xfId="0" applyNumberFormat="1" applyFont="1" applyAlignment="1">
      <alignment vertical="center" wrapText="1"/>
    </xf>
    <xf numFmtId="0" fontId="32" fillId="0" borderId="0" xfId="0" applyFont="1" applyAlignment="1">
      <alignment vertical="center"/>
    </xf>
    <xf numFmtId="0" fontId="30" fillId="0" borderId="0" xfId="0" applyFont="1" applyAlignment="1">
      <alignment vertical="center"/>
    </xf>
    <xf numFmtId="2" fontId="32" fillId="0" borderId="0" xfId="0" applyNumberFormat="1" applyFont="1"/>
    <xf numFmtId="0" fontId="26" fillId="2" borderId="10" xfId="0" applyFont="1" applyFill="1" applyBorder="1" applyAlignment="1">
      <alignment horizontal="left" vertical="center"/>
    </xf>
    <xf numFmtId="0" fontId="25" fillId="2" borderId="10" xfId="0" applyFont="1" applyFill="1" applyBorder="1" applyAlignment="1">
      <alignment horizontal="left" vertical="center"/>
    </xf>
    <xf numFmtId="0" fontId="25" fillId="0" borderId="10" xfId="0" applyFont="1" applyBorder="1" applyAlignment="1">
      <alignment vertical="center" wrapText="1"/>
    </xf>
    <xf numFmtId="0" fontId="26" fillId="0" borderId="10" xfId="0" applyFont="1" applyBorder="1" applyAlignment="1">
      <alignment vertical="center"/>
    </xf>
    <xf numFmtId="0" fontId="26" fillId="0" borderId="10" xfId="0" applyFont="1" applyBorder="1" applyAlignment="1">
      <alignment horizontal="left" vertical="center"/>
    </xf>
    <xf numFmtId="0" fontId="27" fillId="0" borderId="10" xfId="0" applyFont="1" applyBorder="1" applyAlignment="1">
      <alignment vertical="center"/>
    </xf>
    <xf numFmtId="0" fontId="25" fillId="0" borderId="10" xfId="0" applyFont="1" applyBorder="1" applyAlignment="1">
      <alignment horizontal="left" vertical="center"/>
    </xf>
    <xf numFmtId="0" fontId="25" fillId="0" borderId="10" xfId="0" applyFont="1" applyBorder="1" applyAlignment="1">
      <alignment vertical="center"/>
    </xf>
    <xf numFmtId="0" fontId="19" fillId="2" borderId="4" xfId="0" applyFont="1" applyFill="1" applyBorder="1" applyAlignment="1">
      <alignment horizontal="center" vertical="center"/>
    </xf>
    <xf numFmtId="0" fontId="19" fillId="2" borderId="21" xfId="0" applyFont="1" applyFill="1" applyBorder="1" applyAlignment="1">
      <alignment horizontal="center" vertical="center"/>
    </xf>
    <xf numFmtId="0" fontId="64" fillId="0" borderId="0" xfId="0" applyFont="1" applyAlignment="1">
      <alignment horizontal="center" vertical="center"/>
    </xf>
    <xf numFmtId="171" fontId="39" fillId="0" borderId="0" xfId="0" applyNumberFormat="1" applyFont="1" applyAlignment="1">
      <alignment vertical="center" wrapText="1"/>
    </xf>
    <xf numFmtId="2" fontId="39" fillId="0" borderId="0" xfId="0" applyNumberFormat="1" applyFont="1" applyAlignment="1">
      <alignment vertical="center" wrapText="1"/>
    </xf>
    <xf numFmtId="2" fontId="30" fillId="0" borderId="0" xfId="0" applyNumberFormat="1" applyFont="1" applyAlignment="1">
      <alignment horizontal="center" vertical="center" wrapText="1"/>
    </xf>
    <xf numFmtId="174" fontId="25" fillId="0" borderId="0" xfId="0" applyNumberFormat="1" applyFont="1" applyAlignment="1">
      <alignment horizontal="center" vertical="center" wrapText="1"/>
    </xf>
    <xf numFmtId="170" fontId="25" fillId="2" borderId="0" xfId="0" applyNumberFormat="1" applyFont="1" applyFill="1" applyAlignment="1">
      <alignment horizontal="center" vertical="center"/>
    </xf>
    <xf numFmtId="0" fontId="25" fillId="2" borderId="0" xfId="0" applyFont="1" applyFill="1" applyAlignment="1">
      <alignment horizontal="center" vertical="center"/>
    </xf>
    <xf numFmtId="175" fontId="30" fillId="2" borderId="0" xfId="0" applyNumberFormat="1" applyFont="1" applyFill="1" applyAlignment="1">
      <alignment horizontal="center" vertical="center" wrapText="1"/>
    </xf>
    <xf numFmtId="1" fontId="30" fillId="9" borderId="0" xfId="0" applyNumberFormat="1" applyFont="1" applyFill="1" applyAlignment="1" applyProtection="1">
      <alignment vertical="center"/>
      <protection locked="0"/>
    </xf>
    <xf numFmtId="0" fontId="30" fillId="9" borderId="0" xfId="0" applyFont="1" applyFill="1" applyAlignment="1" applyProtection="1">
      <alignment vertical="center"/>
      <protection locked="0"/>
    </xf>
    <xf numFmtId="0" fontId="30" fillId="2" borderId="21" xfId="0" applyFont="1" applyFill="1" applyBorder="1" applyAlignment="1">
      <alignment horizontal="center" vertical="center"/>
    </xf>
    <xf numFmtId="0" fontId="19" fillId="2" borderId="11" xfId="0" applyFont="1" applyFill="1" applyBorder="1"/>
    <xf numFmtId="0" fontId="30" fillId="2" borderId="23" xfId="0" applyFont="1" applyFill="1" applyBorder="1" applyAlignment="1">
      <alignment horizontal="center" vertical="center"/>
    </xf>
    <xf numFmtId="0" fontId="19" fillId="19" borderId="21" xfId="0" applyFont="1" applyFill="1" applyBorder="1" applyAlignment="1">
      <alignment horizontal="left" vertical="center"/>
    </xf>
    <xf numFmtId="0" fontId="19" fillId="9" borderId="36" xfId="0" applyFont="1" applyFill="1" applyBorder="1" applyAlignment="1">
      <alignment horizontal="center" vertical="center"/>
    </xf>
    <xf numFmtId="0" fontId="30" fillId="9" borderId="36" xfId="0" applyFont="1" applyFill="1" applyBorder="1"/>
    <xf numFmtId="0" fontId="19" fillId="9" borderId="4" xfId="0" applyFont="1" applyFill="1" applyBorder="1"/>
    <xf numFmtId="0" fontId="19" fillId="9" borderId="23" xfId="0" applyFont="1" applyFill="1" applyBorder="1" applyAlignment="1">
      <alignment horizontal="left" vertical="center"/>
    </xf>
    <xf numFmtId="0" fontId="30" fillId="2" borderId="2" xfId="0" applyFont="1" applyFill="1" applyBorder="1"/>
    <xf numFmtId="0" fontId="30" fillId="2" borderId="8" xfId="0" applyFont="1" applyFill="1" applyBorder="1"/>
    <xf numFmtId="0" fontId="19" fillId="2" borderId="6" xfId="0" applyFont="1" applyFill="1" applyBorder="1" applyAlignment="1">
      <alignment horizontal="center" vertical="center"/>
    </xf>
    <xf numFmtId="0" fontId="19" fillId="2" borderId="9" xfId="0" applyFont="1" applyFill="1" applyBorder="1" applyAlignment="1">
      <alignment horizontal="center" vertical="center"/>
    </xf>
    <xf numFmtId="0" fontId="30" fillId="2" borderId="6" xfId="0" applyFont="1" applyFill="1" applyBorder="1" applyAlignment="1">
      <alignment horizontal="center" vertical="center"/>
    </xf>
    <xf numFmtId="0" fontId="30" fillId="2" borderId="9" xfId="0" applyFont="1" applyFill="1" applyBorder="1" applyAlignment="1">
      <alignment horizontal="center" vertical="center"/>
    </xf>
    <xf numFmtId="1" fontId="19" fillId="2" borderId="21" xfId="0" applyNumberFormat="1" applyFont="1" applyFill="1" applyBorder="1" applyAlignment="1">
      <alignment horizontal="center" vertical="center" wrapText="1"/>
    </xf>
    <xf numFmtId="174" fontId="70" fillId="2" borderId="21" xfId="0" applyNumberFormat="1" applyFont="1" applyFill="1" applyBorder="1" applyAlignment="1">
      <alignment horizontal="center" vertical="center" wrapText="1"/>
    </xf>
    <xf numFmtId="1" fontId="19" fillId="2" borderId="4" xfId="0" applyNumberFormat="1" applyFont="1" applyFill="1" applyBorder="1" applyAlignment="1">
      <alignment horizontal="center" vertical="center" wrapText="1"/>
    </xf>
    <xf numFmtId="1" fontId="70" fillId="2" borderId="21" xfId="0" applyNumberFormat="1" applyFont="1" applyFill="1" applyBorder="1" applyAlignment="1">
      <alignment horizontal="center" vertical="center" wrapText="1"/>
    </xf>
    <xf numFmtId="1" fontId="22" fillId="2" borderId="21" xfId="0" applyNumberFormat="1" applyFont="1" applyFill="1" applyBorder="1" applyAlignment="1">
      <alignment horizontal="center" vertical="center" wrapText="1"/>
    </xf>
    <xf numFmtId="1" fontId="94" fillId="2" borderId="21" xfId="0" applyNumberFormat="1" applyFont="1" applyFill="1" applyBorder="1" applyAlignment="1">
      <alignment horizontal="center" vertical="center" wrapText="1"/>
    </xf>
    <xf numFmtId="1" fontId="22" fillId="2" borderId="4" xfId="0" applyNumberFormat="1" applyFont="1" applyFill="1" applyBorder="1" applyAlignment="1">
      <alignment horizontal="center" vertical="center" wrapText="1"/>
    </xf>
    <xf numFmtId="2" fontId="102" fillId="2" borderId="0" xfId="0" applyNumberFormat="1" applyFont="1" applyFill="1" applyAlignment="1">
      <alignment horizontal="center" vertical="center"/>
    </xf>
    <xf numFmtId="2" fontId="102" fillId="2" borderId="0" xfId="0" applyNumberFormat="1" applyFont="1" applyFill="1" applyAlignment="1">
      <alignment vertical="center"/>
    </xf>
    <xf numFmtId="0" fontId="46" fillId="2" borderId="0" xfId="0" applyFont="1" applyFill="1" applyAlignment="1">
      <alignment horizontal="center"/>
    </xf>
    <xf numFmtId="0" fontId="46" fillId="19" borderId="79" xfId="0" applyFont="1" applyFill="1" applyBorder="1"/>
    <xf numFmtId="0" fontId="46" fillId="2" borderId="0" xfId="0" applyFont="1" applyFill="1" applyAlignment="1">
      <alignment horizontal="left" vertical="center"/>
    </xf>
    <xf numFmtId="0" fontId="66" fillId="0" borderId="0" xfId="0" applyFont="1" applyAlignment="1">
      <alignment horizontal="left" vertical="center" wrapText="1"/>
    </xf>
    <xf numFmtId="0" fontId="24" fillId="2" borderId="0" xfId="0" applyFont="1" applyFill="1" applyAlignment="1">
      <alignment horizontal="center"/>
    </xf>
    <xf numFmtId="177" fontId="19" fillId="2" borderId="0" xfId="0" applyNumberFormat="1" applyFont="1" applyFill="1"/>
    <xf numFmtId="0" fontId="22" fillId="9" borderId="23" xfId="0" applyFont="1" applyFill="1" applyBorder="1" applyAlignment="1">
      <alignment vertical="center"/>
    </xf>
    <xf numFmtId="0" fontId="22" fillId="9" borderId="36" xfId="0" applyFont="1" applyFill="1" applyBorder="1" applyAlignment="1">
      <alignment horizontal="center"/>
    </xf>
    <xf numFmtId="0" fontId="22" fillId="9" borderId="36" xfId="0" applyFont="1" applyFill="1" applyBorder="1"/>
    <xf numFmtId="0" fontId="22" fillId="9" borderId="4" xfId="0" applyFont="1" applyFill="1" applyBorder="1"/>
    <xf numFmtId="0" fontId="22" fillId="2" borderId="21" xfId="0" applyFont="1" applyFill="1" applyBorder="1" applyAlignment="1">
      <alignment horizontal="center" vertical="center"/>
    </xf>
    <xf numFmtId="165" fontId="19" fillId="2" borderId="0" xfId="0" applyNumberFormat="1" applyFont="1" applyFill="1"/>
    <xf numFmtId="0" fontId="25" fillId="0" borderId="0" xfId="0" applyFont="1" applyAlignment="1">
      <alignment vertical="top" wrapText="1"/>
    </xf>
    <xf numFmtId="0" fontId="16" fillId="2" borderId="0" xfId="0" applyFont="1" applyFill="1" applyAlignment="1">
      <alignment horizontal="left" vertical="center"/>
    </xf>
    <xf numFmtId="1" fontId="29" fillId="0" borderId="0" xfId="0" applyNumberFormat="1" applyFont="1"/>
    <xf numFmtId="165" fontId="19" fillId="2" borderId="4" xfId="0" applyNumberFormat="1" applyFont="1" applyFill="1" applyBorder="1" applyAlignment="1">
      <alignment horizontal="center" vertical="center"/>
    </xf>
    <xf numFmtId="165" fontId="19" fillId="2" borderId="9" xfId="0" applyNumberFormat="1" applyFont="1" applyFill="1" applyBorder="1" applyAlignment="1">
      <alignment horizontal="center" vertical="center"/>
    </xf>
    <xf numFmtId="0" fontId="17" fillId="9" borderId="0" xfId="0" applyFont="1" applyFill="1"/>
    <xf numFmtId="11" fontId="0" fillId="0" borderId="0" xfId="0" applyNumberFormat="1" applyAlignment="1">
      <alignment horizontal="center"/>
    </xf>
    <xf numFmtId="11" fontId="0" fillId="0" borderId="0" xfId="0" applyNumberFormat="1"/>
    <xf numFmtId="11" fontId="39" fillId="2" borderId="0" xfId="0" applyNumberFormat="1" applyFont="1" applyFill="1"/>
    <xf numFmtId="0" fontId="25" fillId="2" borderId="21" xfId="0" applyFont="1" applyFill="1" applyBorder="1" applyAlignment="1">
      <alignment horizontal="center" vertical="center"/>
    </xf>
    <xf numFmtId="0" fontId="25" fillId="2" borderId="0" xfId="0" applyFont="1" applyFill="1" applyAlignment="1">
      <alignment horizontal="right"/>
    </xf>
    <xf numFmtId="0" fontId="39" fillId="2" borderId="0" xfId="0" applyFont="1" applyFill="1" applyAlignment="1">
      <alignment vertical="top"/>
    </xf>
    <xf numFmtId="0" fontId="25" fillId="2" borderId="21" xfId="0" applyFont="1" applyFill="1" applyBorder="1" applyAlignment="1">
      <alignment vertical="center"/>
    </xf>
    <xf numFmtId="11" fontId="25" fillId="2" borderId="21" xfId="0" applyNumberFormat="1" applyFont="1" applyFill="1" applyBorder="1" applyAlignment="1">
      <alignment vertical="center"/>
    </xf>
    <xf numFmtId="169" fontId="25" fillId="2" borderId="21" xfId="0" applyNumberFormat="1" applyFont="1" applyFill="1" applyBorder="1" applyAlignment="1">
      <alignment vertical="center"/>
    </xf>
    <xf numFmtId="11" fontId="30" fillId="2" borderId="21" xfId="0" applyNumberFormat="1" applyFont="1" applyFill="1" applyBorder="1" applyAlignment="1">
      <alignment vertical="center"/>
    </xf>
    <xf numFmtId="0" fontId="39" fillId="2" borderId="21" xfId="0" applyFont="1" applyFill="1" applyBorder="1" applyAlignment="1" applyProtection="1">
      <alignment horizontal="center" vertical="center"/>
      <protection locked="0"/>
    </xf>
    <xf numFmtId="0" fontId="30" fillId="9" borderId="0" xfId="0" applyFont="1" applyFill="1"/>
    <xf numFmtId="0" fontId="29" fillId="2" borderId="21" xfId="0" applyFont="1" applyFill="1" applyBorder="1" applyAlignment="1">
      <alignment horizontal="center" vertical="center" wrapText="1"/>
    </xf>
    <xf numFmtId="0" fontId="61" fillId="9" borderId="21" xfId="0" applyFont="1" applyFill="1" applyBorder="1" applyAlignment="1">
      <alignment horizontal="center" vertical="center" wrapText="1"/>
    </xf>
    <xf numFmtId="0" fontId="25" fillId="2" borderId="23" xfId="0" applyFont="1" applyFill="1" applyBorder="1" applyAlignment="1">
      <alignment vertical="center"/>
    </xf>
    <xf numFmtId="0" fontId="25" fillId="2" borderId="36" xfId="0" applyFont="1" applyFill="1" applyBorder="1"/>
    <xf numFmtId="0" fontId="25" fillId="2" borderId="4" xfId="0" applyFont="1" applyFill="1" applyBorder="1"/>
    <xf numFmtId="0" fontId="36" fillId="2" borderId="0" xfId="0" applyFont="1" applyFill="1" applyAlignment="1">
      <alignment vertical="center"/>
    </xf>
    <xf numFmtId="0" fontId="107" fillId="2" borderId="21" xfId="0" applyFont="1" applyFill="1" applyBorder="1" applyAlignment="1">
      <alignment horizontal="center" vertical="center" wrapText="1"/>
    </xf>
    <xf numFmtId="0" fontId="30" fillId="2" borderId="0" xfId="0" applyFont="1" applyFill="1" applyAlignment="1">
      <alignment horizontal="center"/>
    </xf>
    <xf numFmtId="0" fontId="30" fillId="2" borderId="39" xfId="0" applyFont="1" applyFill="1" applyBorder="1" applyAlignment="1">
      <alignment horizontal="center"/>
    </xf>
    <xf numFmtId="11" fontId="30" fillId="2" borderId="21" xfId="0" applyNumberFormat="1" applyFont="1" applyFill="1" applyBorder="1"/>
    <xf numFmtId="0" fontId="30" fillId="0" borderId="0" xfId="0" applyFont="1" applyAlignment="1">
      <alignment vertical="center" wrapText="1"/>
    </xf>
    <xf numFmtId="0" fontId="32" fillId="2" borderId="35" xfId="0" applyFont="1" applyFill="1" applyBorder="1" applyAlignment="1">
      <alignment horizontal="center"/>
    </xf>
    <xf numFmtId="11" fontId="25" fillId="2" borderId="23" xfId="0" applyNumberFormat="1" applyFont="1" applyFill="1" applyBorder="1"/>
    <xf numFmtId="0" fontId="39" fillId="2" borderId="36" xfId="0" applyFont="1" applyFill="1" applyBorder="1"/>
    <xf numFmtId="0" fontId="39" fillId="2" borderId="4" xfId="0" applyFont="1" applyFill="1" applyBorder="1"/>
    <xf numFmtId="11" fontId="30" fillId="2" borderId="39" xfId="0" applyNumberFormat="1" applyFont="1" applyFill="1" applyBorder="1"/>
    <xf numFmtId="11" fontId="30" fillId="2" borderId="23" xfId="0" applyNumberFormat="1" applyFont="1" applyFill="1" applyBorder="1" applyAlignment="1">
      <alignment vertical="center"/>
    </xf>
    <xf numFmtId="0" fontId="25" fillId="2" borderId="36" xfId="0" applyFont="1" applyFill="1" applyBorder="1" applyAlignment="1">
      <alignment vertical="center"/>
    </xf>
    <xf numFmtId="0" fontId="25" fillId="2" borderId="4" xfId="0" applyFont="1" applyFill="1" applyBorder="1" applyAlignment="1">
      <alignment vertical="center"/>
    </xf>
    <xf numFmtId="0" fontId="71" fillId="11" borderId="21" xfId="0" applyFont="1" applyFill="1" applyBorder="1" applyAlignment="1" applyProtection="1">
      <alignment horizontal="center" vertical="center" wrapText="1"/>
      <protection locked="0" hidden="1"/>
    </xf>
    <xf numFmtId="0" fontId="109" fillId="0" borderId="21" xfId="0" applyFont="1" applyBorder="1" applyAlignment="1">
      <alignment horizontal="center" vertical="center"/>
    </xf>
    <xf numFmtId="0" fontId="110" fillId="0" borderId="21" xfId="0" applyFont="1" applyBorder="1" applyAlignment="1" applyProtection="1">
      <alignment horizontal="center" vertical="center" wrapText="1"/>
      <protection hidden="1"/>
    </xf>
    <xf numFmtId="0" fontId="110" fillId="0" borderId="21" xfId="0" applyFont="1" applyBorder="1" applyAlignment="1" applyProtection="1">
      <alignment horizontal="center" vertical="center" wrapText="1"/>
      <protection locked="0" hidden="1"/>
    </xf>
    <xf numFmtId="11" fontId="109" fillId="0" borderId="21" xfId="0" applyNumberFormat="1" applyFont="1" applyBorder="1" applyAlignment="1">
      <alignment horizontal="center" vertical="center"/>
    </xf>
    <xf numFmtId="0" fontId="109" fillId="0" borderId="0" xfId="0" applyFont="1"/>
    <xf numFmtId="11" fontId="39" fillId="2" borderId="21" xfId="0" applyNumberFormat="1" applyFont="1" applyFill="1" applyBorder="1" applyAlignment="1">
      <alignment vertical="center"/>
    </xf>
    <xf numFmtId="0" fontId="39" fillId="2" borderId="21" xfId="0" applyFont="1" applyFill="1" applyBorder="1" applyAlignment="1">
      <alignment vertical="center"/>
    </xf>
    <xf numFmtId="0" fontId="25" fillId="2" borderId="1" xfId="0" applyFont="1" applyFill="1" applyBorder="1"/>
    <xf numFmtId="0" fontId="25" fillId="2" borderId="5" xfId="0" applyFont="1" applyFill="1" applyBorder="1"/>
    <xf numFmtId="0" fontId="25" fillId="2" borderId="3" xfId="0" applyFont="1" applyFill="1" applyBorder="1" applyAlignment="1">
      <alignment horizontal="center"/>
    </xf>
    <xf numFmtId="0" fontId="25" fillId="2" borderId="6" xfId="0" applyFont="1" applyFill="1" applyBorder="1"/>
    <xf numFmtId="0" fontId="25" fillId="2" borderId="9" xfId="0" applyFont="1" applyFill="1" applyBorder="1"/>
    <xf numFmtId="0" fontId="39" fillId="2" borderId="7" xfId="0" applyFont="1" applyFill="1" applyBorder="1" applyAlignment="1">
      <alignment horizontal="center"/>
    </xf>
    <xf numFmtId="0" fontId="44" fillId="0" borderId="0" xfId="0" applyFont="1"/>
    <xf numFmtId="171" fontId="80" fillId="0" borderId="21" xfId="0" applyNumberFormat="1" applyFont="1" applyBorder="1" applyAlignment="1">
      <alignment horizontal="center" vertical="center"/>
    </xf>
    <xf numFmtId="171" fontId="109" fillId="0" borderId="21" xfId="0" applyNumberFormat="1" applyFont="1" applyBorder="1" applyAlignment="1">
      <alignment horizontal="center" vertical="center"/>
    </xf>
    <xf numFmtId="2" fontId="30" fillId="2" borderId="21" xfId="0" applyNumberFormat="1" applyFont="1" applyFill="1" applyBorder="1" applyAlignment="1">
      <alignment horizontal="center" vertical="center" wrapText="1"/>
    </xf>
    <xf numFmtId="170" fontId="30" fillId="2" borderId="21" xfId="0" applyNumberFormat="1" applyFont="1" applyFill="1" applyBorder="1" applyAlignment="1">
      <alignment horizontal="center" vertical="center"/>
    </xf>
    <xf numFmtId="170" fontId="30" fillId="2" borderId="0" xfId="0" applyNumberFormat="1" applyFont="1" applyFill="1"/>
    <xf numFmtId="170" fontId="30" fillId="2" borderId="8" xfId="0" applyNumberFormat="1" applyFont="1" applyFill="1" applyBorder="1"/>
    <xf numFmtId="166" fontId="19" fillId="2" borderId="21" xfId="0" applyNumberFormat="1" applyFont="1" applyFill="1" applyBorder="1" applyAlignment="1">
      <alignment horizontal="center" vertical="center"/>
    </xf>
    <xf numFmtId="166" fontId="19" fillId="2" borderId="3" xfId="0" applyNumberFormat="1" applyFont="1" applyFill="1" applyBorder="1" applyAlignment="1">
      <alignment horizontal="center" vertical="center"/>
    </xf>
    <xf numFmtId="166" fontId="19" fillId="2" borderId="7" xfId="0" applyNumberFormat="1" applyFont="1" applyFill="1" applyBorder="1" applyAlignment="1">
      <alignment horizontal="center" vertical="center"/>
    </xf>
    <xf numFmtId="0" fontId="115" fillId="2" borderId="0" xfId="0" applyFont="1" applyFill="1"/>
    <xf numFmtId="0" fontId="26" fillId="0" borderId="3" xfId="0" applyFont="1" applyBorder="1" applyAlignment="1">
      <alignment vertical="center" wrapText="1"/>
    </xf>
    <xf numFmtId="168" fontId="25" fillId="0" borderId="3" xfId="0" applyNumberFormat="1" applyFont="1" applyBorder="1" applyAlignment="1">
      <alignment vertical="center" wrapText="1"/>
    </xf>
    <xf numFmtId="0" fontId="39" fillId="0" borderId="0" xfId="0" applyFont="1"/>
    <xf numFmtId="0" fontId="116" fillId="0" borderId="0" xfId="0" applyFont="1" applyAlignment="1">
      <alignment vertical="center" wrapText="1"/>
    </xf>
    <xf numFmtId="0" fontId="14" fillId="0" borderId="0" xfId="5"/>
    <xf numFmtId="0" fontId="117" fillId="0" borderId="0" xfId="6"/>
    <xf numFmtId="21" fontId="14" fillId="0" borderId="0" xfId="5" applyNumberFormat="1"/>
    <xf numFmtId="0" fontId="14" fillId="0" borderId="0" xfId="5" applyAlignment="1">
      <alignment horizontal="center" vertical="center"/>
    </xf>
    <xf numFmtId="0" fontId="118" fillId="0" borderId="0" xfId="5" applyFont="1" applyAlignment="1">
      <alignment vertical="center"/>
    </xf>
    <xf numFmtId="0" fontId="14" fillId="0" borderId="0" xfId="5" applyAlignment="1">
      <alignment horizontal="center"/>
    </xf>
    <xf numFmtId="0" fontId="14" fillId="0" borderId="0" xfId="5" applyAlignment="1">
      <alignment horizontal="left"/>
    </xf>
    <xf numFmtId="0" fontId="14" fillId="0" borderId="21" xfId="5" applyBorder="1" applyAlignment="1">
      <alignment horizontal="center"/>
    </xf>
    <xf numFmtId="0" fontId="14" fillId="9" borderId="21" xfId="5" applyFill="1" applyBorder="1"/>
    <xf numFmtId="0" fontId="14" fillId="9" borderId="21" xfId="5" applyFill="1" applyBorder="1" applyAlignment="1">
      <alignment horizontal="center"/>
    </xf>
    <xf numFmtId="168" fontId="14" fillId="0" borderId="21" xfId="5" applyNumberFormat="1" applyBorder="1" applyAlignment="1">
      <alignment horizontal="center"/>
    </xf>
    <xf numFmtId="0" fontId="33" fillId="0" borderId="23" xfId="5" applyFont="1" applyBorder="1" applyAlignment="1">
      <alignment horizontal="center" vertical="center"/>
    </xf>
    <xf numFmtId="2" fontId="14" fillId="0" borderId="23" xfId="5" applyNumberFormat="1" applyBorder="1" applyAlignment="1">
      <alignment horizontal="center" vertical="center"/>
    </xf>
    <xf numFmtId="0" fontId="14" fillId="0" borderId="4" xfId="5" applyBorder="1" applyAlignment="1">
      <alignment horizontal="center"/>
    </xf>
    <xf numFmtId="0" fontId="14" fillId="0" borderId="21" xfId="5" applyBorder="1"/>
    <xf numFmtId="2" fontId="14" fillId="0" borderId="21" xfId="5" applyNumberFormat="1" applyBorder="1" applyAlignment="1">
      <alignment horizontal="center"/>
    </xf>
    <xf numFmtId="9" fontId="0" fillId="0" borderId="21" xfId="7" applyFont="1" applyBorder="1"/>
    <xf numFmtId="2" fontId="14" fillId="0" borderId="21" xfId="5" applyNumberFormat="1" applyBorder="1"/>
    <xf numFmtId="166" fontId="14" fillId="0" borderId="21" xfId="5" applyNumberFormat="1" applyBorder="1" applyAlignment="1">
      <alignment horizontal="center"/>
    </xf>
    <xf numFmtId="9" fontId="0" fillId="0" borderId="21" xfId="7" applyFont="1" applyBorder="1" applyAlignment="1">
      <alignment horizontal="center"/>
    </xf>
    <xf numFmtId="182" fontId="0" fillId="0" borderId="21" xfId="7" applyNumberFormat="1" applyFont="1" applyBorder="1" applyAlignment="1">
      <alignment horizontal="center"/>
    </xf>
    <xf numFmtId="0" fontId="120" fillId="9" borderId="21" xfId="5" applyFont="1" applyFill="1" applyBorder="1" applyAlignment="1">
      <alignment horizontal="center"/>
    </xf>
    <xf numFmtId="0" fontId="15" fillId="22" borderId="0" xfId="5" applyFont="1" applyFill="1" applyAlignment="1">
      <alignment horizontal="center"/>
    </xf>
    <xf numFmtId="0" fontId="14" fillId="0" borderId="23" xfId="5" applyBorder="1" applyAlignment="1">
      <alignment horizontal="left"/>
    </xf>
    <xf numFmtId="0" fontId="14" fillId="0" borderId="36" xfId="5" applyBorder="1" applyAlignment="1">
      <alignment horizontal="left"/>
    </xf>
    <xf numFmtId="0" fontId="14" fillId="0" borderId="4" xfId="5" applyBorder="1" applyAlignment="1">
      <alignment horizontal="left"/>
    </xf>
    <xf numFmtId="0" fontId="14" fillId="9" borderId="4" xfId="5" applyFill="1" applyBorder="1"/>
    <xf numFmtId="2" fontId="14" fillId="0" borderId="21" xfId="5" applyNumberFormat="1" applyBorder="1" applyAlignment="1">
      <alignment horizontal="center" vertical="center"/>
    </xf>
    <xf numFmtId="0" fontId="14" fillId="0" borderId="21" xfId="5" applyBorder="1" applyAlignment="1">
      <alignment horizontal="left"/>
    </xf>
    <xf numFmtId="166" fontId="14" fillId="0" borderId="0" xfId="5" applyNumberFormat="1"/>
    <xf numFmtId="174" fontId="14" fillId="0" borderId="21" xfId="5" applyNumberFormat="1" applyBorder="1" applyAlignment="1">
      <alignment horizontal="center"/>
    </xf>
    <xf numFmtId="166" fontId="14" fillId="0" borderId="4" xfId="5" applyNumberFormat="1" applyBorder="1"/>
    <xf numFmtId="9" fontId="0" fillId="0" borderId="21" xfId="7" applyFont="1" applyBorder="1" applyAlignment="1">
      <alignment horizontal="left"/>
    </xf>
    <xf numFmtId="182" fontId="0" fillId="0" borderId="21" xfId="7" applyNumberFormat="1" applyFont="1" applyBorder="1"/>
    <xf numFmtId="0" fontId="14" fillId="23" borderId="0" xfId="5" applyFill="1"/>
    <xf numFmtId="2" fontId="14" fillId="23" borderId="0" xfId="5" applyNumberFormat="1" applyFill="1"/>
    <xf numFmtId="2" fontId="14" fillId="23" borderId="0" xfId="5" applyNumberFormat="1" applyFill="1" applyAlignment="1">
      <alignment horizontal="center"/>
    </xf>
    <xf numFmtId="182" fontId="14" fillId="23" borderId="0" xfId="5" applyNumberFormat="1" applyFill="1" applyAlignment="1">
      <alignment horizontal="center"/>
    </xf>
    <xf numFmtId="0" fontId="14" fillId="23" borderId="0" xfId="5" applyFill="1" applyAlignment="1">
      <alignment horizontal="left"/>
    </xf>
    <xf numFmtId="2" fontId="14" fillId="0" borderId="0" xfId="5" applyNumberFormat="1"/>
    <xf numFmtId="2" fontId="14" fillId="0" borderId="0" xfId="5" applyNumberFormat="1" applyAlignment="1">
      <alignment horizontal="center"/>
    </xf>
    <xf numFmtId="182" fontId="14" fillId="0" borderId="0" xfId="5" applyNumberFormat="1" applyAlignment="1">
      <alignment horizontal="center"/>
    </xf>
    <xf numFmtId="0" fontId="15" fillId="22" borderId="36" xfId="5" applyFont="1" applyFill="1" applyBorder="1"/>
    <xf numFmtId="0" fontId="14" fillId="0" borderId="23" xfId="5" applyBorder="1"/>
    <xf numFmtId="0" fontId="14" fillId="0" borderId="36" xfId="5" applyBorder="1"/>
    <xf numFmtId="14" fontId="14" fillId="0" borderId="4" xfId="5" applyNumberFormat="1" applyBorder="1" applyAlignment="1">
      <alignment horizontal="center"/>
    </xf>
    <xf numFmtId="0" fontId="14" fillId="0" borderId="2" xfId="5" applyBorder="1"/>
    <xf numFmtId="2" fontId="14" fillId="0" borderId="2" xfId="5" applyNumberFormat="1" applyBorder="1"/>
    <xf numFmtId="2" fontId="14" fillId="0" borderId="2" xfId="5" applyNumberFormat="1" applyBorder="1" applyAlignment="1">
      <alignment horizontal="center"/>
    </xf>
    <xf numFmtId="182" fontId="14" fillId="0" borderId="2" xfId="5" applyNumberFormat="1" applyBorder="1" applyAlignment="1">
      <alignment horizontal="center"/>
    </xf>
    <xf numFmtId="0" fontId="14" fillId="0" borderId="2" xfId="5" applyBorder="1" applyAlignment="1">
      <alignment horizontal="left"/>
    </xf>
    <xf numFmtId="0" fontId="15" fillId="22" borderId="4" xfId="5" applyFont="1" applyFill="1" applyBorder="1" applyAlignment="1">
      <alignment horizontal="center"/>
    </xf>
    <xf numFmtId="0" fontId="15" fillId="22" borderId="35" xfId="5" applyFont="1" applyFill="1" applyBorder="1" applyAlignment="1">
      <alignment horizontal="center"/>
    </xf>
    <xf numFmtId="0" fontId="14" fillId="3" borderId="21" xfId="5" applyFill="1" applyBorder="1" applyAlignment="1">
      <alignment horizontal="center"/>
    </xf>
    <xf numFmtId="0" fontId="119" fillId="3" borderId="21" xfId="5" applyFont="1" applyFill="1" applyBorder="1" applyAlignment="1">
      <alignment horizontal="center" vertical="center"/>
    </xf>
    <xf numFmtId="2" fontId="14" fillId="0" borderId="21" xfId="5" applyNumberFormat="1" applyBorder="1" applyAlignment="1">
      <alignment horizontal="left" vertical="center"/>
    </xf>
    <xf numFmtId="182" fontId="14" fillId="0" borderId="21" xfId="8" applyNumberFormat="1" applyFont="1" applyBorder="1" applyAlignment="1">
      <alignment horizontal="center"/>
    </xf>
    <xf numFmtId="166" fontId="14" fillId="0" borderId="0" xfId="5" applyNumberFormat="1" applyAlignment="1">
      <alignment horizontal="center" vertical="center"/>
    </xf>
    <xf numFmtId="174" fontId="14" fillId="0" borderId="4" xfId="5" applyNumberFormat="1" applyBorder="1" applyAlignment="1">
      <alignment horizontal="center"/>
    </xf>
    <xf numFmtId="174" fontId="14" fillId="0" borderId="4" xfId="5" applyNumberFormat="1" applyBorder="1"/>
    <xf numFmtId="10" fontId="0" fillId="0" borderId="21" xfId="7" applyNumberFormat="1" applyFont="1" applyBorder="1"/>
    <xf numFmtId="0" fontId="121" fillId="9" borderId="0" xfId="5" applyFont="1" applyFill="1"/>
    <xf numFmtId="0" fontId="14" fillId="0" borderId="8" xfId="5" applyBorder="1"/>
    <xf numFmtId="168" fontId="14" fillId="0" borderId="0" xfId="5" applyNumberFormat="1"/>
    <xf numFmtId="10" fontId="14" fillId="0" borderId="0" xfId="8" applyNumberFormat="1" applyFont="1"/>
    <xf numFmtId="0" fontId="14" fillId="9" borderId="0" xfId="5" applyFill="1"/>
    <xf numFmtId="0" fontId="14" fillId="9" borderId="0" xfId="5" applyFill="1" applyAlignment="1">
      <alignment horizontal="left"/>
    </xf>
    <xf numFmtId="0" fontId="14" fillId="25" borderId="0" xfId="5" applyFill="1" applyAlignment="1">
      <alignment horizontal="center"/>
    </xf>
    <xf numFmtId="2" fontId="14" fillId="25" borderId="0" xfId="5" applyNumberFormat="1" applyFill="1" applyAlignment="1">
      <alignment horizontal="center"/>
    </xf>
    <xf numFmtId="168" fontId="14" fillId="25" borderId="0" xfId="5" applyNumberFormat="1" applyFill="1" applyAlignment="1">
      <alignment horizontal="center"/>
    </xf>
    <xf numFmtId="9" fontId="14" fillId="25" borderId="0" xfId="8" applyFont="1" applyFill="1" applyAlignment="1">
      <alignment horizontal="center"/>
    </xf>
    <xf numFmtId="0" fontId="14" fillId="25" borderId="0" xfId="5" applyFill="1"/>
    <xf numFmtId="9" fontId="14" fillId="25" borderId="0" xfId="5" applyNumberFormat="1" applyFill="1" applyAlignment="1">
      <alignment horizontal="center"/>
    </xf>
    <xf numFmtId="10" fontId="8" fillId="0" borderId="21" xfId="7" applyNumberFormat="1" applyFont="1" applyBorder="1"/>
    <xf numFmtId="182" fontId="19" fillId="0" borderId="21" xfId="7" applyNumberFormat="1" applyFont="1" applyBorder="1" applyAlignment="1">
      <alignment horizontal="center"/>
    </xf>
    <xf numFmtId="170" fontId="14" fillId="0" borderId="21" xfId="5" applyNumberFormat="1" applyBorder="1" applyAlignment="1">
      <alignment horizontal="center"/>
    </xf>
    <xf numFmtId="175" fontId="14" fillId="0" borderId="21" xfId="5" applyNumberFormat="1" applyBorder="1" applyAlignment="1">
      <alignment horizontal="center"/>
    </xf>
    <xf numFmtId="175" fontId="14" fillId="0" borderId="4" xfId="5" applyNumberFormat="1" applyBorder="1" applyAlignment="1">
      <alignment horizontal="center"/>
    </xf>
    <xf numFmtId="10" fontId="14" fillId="0" borderId="21" xfId="8" applyNumberFormat="1" applyFont="1" applyBorder="1" applyAlignment="1">
      <alignment horizontal="center"/>
    </xf>
    <xf numFmtId="0" fontId="46" fillId="0" borderId="0" xfId="0" applyFont="1" applyAlignment="1">
      <alignment vertical="center" wrapText="1"/>
    </xf>
    <xf numFmtId="0" fontId="104" fillId="0" borderId="0" xfId="0" applyFont="1" applyAlignment="1">
      <alignment horizontal="center" wrapText="1"/>
    </xf>
    <xf numFmtId="0" fontId="46" fillId="0" borderId="0" xfId="0" applyFont="1"/>
    <xf numFmtId="2" fontId="46" fillId="0" borderId="0" xfId="0" applyNumberFormat="1" applyFont="1" applyAlignment="1">
      <alignment vertical="center" wrapText="1"/>
    </xf>
    <xf numFmtId="171" fontId="46" fillId="0" borderId="0" xfId="0" applyNumberFormat="1" applyFont="1" applyAlignment="1">
      <alignment vertical="center"/>
    </xf>
    <xf numFmtId="182" fontId="19" fillId="0" borderId="21" xfId="7" applyNumberFormat="1" applyFont="1" applyBorder="1"/>
    <xf numFmtId="182" fontId="8" fillId="0" borderId="21" xfId="7" applyNumberFormat="1" applyFont="1" applyBorder="1"/>
    <xf numFmtId="10" fontId="19" fillId="0" borderId="21" xfId="7" applyNumberFormat="1" applyFont="1" applyBorder="1"/>
    <xf numFmtId="174" fontId="35" fillId="2" borderId="21" xfId="0" applyNumberFormat="1" applyFont="1" applyFill="1" applyBorder="1" applyAlignment="1">
      <alignment horizontal="center" vertical="center"/>
    </xf>
    <xf numFmtId="174" fontId="35" fillId="2" borderId="40" xfId="0" applyNumberFormat="1" applyFont="1" applyFill="1" applyBorder="1" applyAlignment="1">
      <alignment horizontal="center" vertical="center"/>
    </xf>
    <xf numFmtId="174" fontId="35" fillId="2" borderId="41" xfId="0" applyNumberFormat="1" applyFont="1" applyFill="1" applyBorder="1" applyAlignment="1">
      <alignment horizontal="center" vertical="center"/>
    </xf>
    <xf numFmtId="166" fontId="22" fillId="9" borderId="21" xfId="0" applyNumberFormat="1" applyFont="1" applyFill="1" applyBorder="1" applyAlignment="1">
      <alignment horizontal="center" vertical="center"/>
    </xf>
    <xf numFmtId="175" fontId="14" fillId="0" borderId="0" xfId="5" applyNumberFormat="1"/>
    <xf numFmtId="170" fontId="14" fillId="0" borderId="0" xfId="5" applyNumberFormat="1"/>
    <xf numFmtId="174" fontId="14" fillId="0" borderId="0" xfId="5" applyNumberFormat="1"/>
    <xf numFmtId="0" fontId="0" fillId="0" borderId="0" xfId="5" applyFont="1"/>
    <xf numFmtId="0" fontId="122" fillId="2" borderId="1" xfId="0" applyFont="1" applyFill="1" applyBorder="1" applyAlignment="1">
      <alignment horizontal="center" vertical="center"/>
    </xf>
    <xf numFmtId="9" fontId="46" fillId="2" borderId="2" xfId="3" applyFont="1" applyFill="1" applyBorder="1" applyAlignment="1">
      <alignment horizontal="center" vertical="center"/>
    </xf>
    <xf numFmtId="2" fontId="107" fillId="2" borderId="2" xfId="0" applyNumberFormat="1" applyFont="1" applyFill="1" applyBorder="1" applyAlignment="1">
      <alignment horizontal="center" vertical="center"/>
    </xf>
    <xf numFmtId="9" fontId="15" fillId="2" borderId="5" xfId="3" applyFont="1" applyFill="1" applyBorder="1" applyAlignment="1">
      <alignment horizontal="center" vertical="center"/>
    </xf>
    <xf numFmtId="166" fontId="15" fillId="2" borderId="3" xfId="0" applyNumberFormat="1" applyFont="1" applyFill="1" applyBorder="1" applyAlignment="1">
      <alignment horizontal="center" vertical="center"/>
    </xf>
    <xf numFmtId="9" fontId="46" fillId="2" borderId="0" xfId="3" applyFont="1" applyFill="1" applyBorder="1" applyAlignment="1">
      <alignment horizontal="center" vertical="center"/>
    </xf>
    <xf numFmtId="170" fontId="46" fillId="2" borderId="0" xfId="0" applyNumberFormat="1" applyFont="1" applyFill="1"/>
    <xf numFmtId="9" fontId="15" fillId="2" borderId="6" xfId="3" applyFont="1" applyFill="1" applyBorder="1" applyAlignment="1">
      <alignment horizontal="center" vertical="center"/>
    </xf>
    <xf numFmtId="9" fontId="46" fillId="2" borderId="2" xfId="3" applyFont="1" applyFill="1" applyBorder="1" applyAlignment="1" applyProtection="1">
      <alignment horizontal="center" vertical="center"/>
    </xf>
    <xf numFmtId="9" fontId="15" fillId="2" borderId="5" xfId="3" applyFont="1" applyFill="1" applyBorder="1" applyAlignment="1" applyProtection="1">
      <alignment horizontal="center" vertical="center"/>
    </xf>
    <xf numFmtId="9" fontId="46" fillId="2" borderId="0" xfId="3" applyFont="1" applyFill="1" applyBorder="1" applyAlignment="1" applyProtection="1">
      <alignment horizontal="center" vertical="center"/>
    </xf>
    <xf numFmtId="9" fontId="15" fillId="2" borderId="6" xfId="3" applyFont="1" applyFill="1" applyBorder="1" applyAlignment="1" applyProtection="1">
      <alignment horizontal="center" vertical="center"/>
    </xf>
    <xf numFmtId="0" fontId="122" fillId="2" borderId="0" xfId="0" applyFont="1" applyFill="1" applyAlignment="1">
      <alignment horizontal="center" vertical="center"/>
    </xf>
    <xf numFmtId="166" fontId="15" fillId="2" borderId="0" xfId="0" applyNumberFormat="1" applyFont="1" applyFill="1" applyAlignment="1">
      <alignment horizontal="center" vertical="center"/>
    </xf>
    <xf numFmtId="0" fontId="35" fillId="9" borderId="52" xfId="0" applyFont="1" applyFill="1" applyBorder="1" applyAlignment="1">
      <alignment vertical="center" wrapText="1"/>
    </xf>
    <xf numFmtId="0" fontId="35" fillId="9" borderId="3" xfId="0" applyFont="1" applyFill="1" applyBorder="1" applyAlignment="1">
      <alignment vertical="center" wrapText="1"/>
    </xf>
    <xf numFmtId="0" fontId="35" fillId="9" borderId="38" xfId="0" applyFont="1" applyFill="1" applyBorder="1" applyAlignment="1">
      <alignment vertical="center" wrapText="1"/>
    </xf>
    <xf numFmtId="0" fontId="35" fillId="9" borderId="10" xfId="0" applyFont="1" applyFill="1" applyBorder="1" applyAlignment="1">
      <alignment vertical="center" wrapText="1"/>
    </xf>
    <xf numFmtId="0" fontId="62" fillId="9" borderId="0" xfId="0" applyFont="1" applyFill="1" applyAlignment="1">
      <alignment vertical="center" wrapText="1"/>
    </xf>
    <xf numFmtId="0" fontId="35" fillId="9" borderId="16" xfId="0" applyFont="1" applyFill="1" applyBorder="1" applyAlignment="1">
      <alignment horizontal="center" vertical="center" wrapText="1"/>
    </xf>
    <xf numFmtId="171" fontId="38" fillId="13" borderId="21" xfId="0" applyNumberFormat="1" applyFont="1" applyFill="1" applyBorder="1" applyAlignment="1">
      <alignment horizontal="center" vertical="center"/>
    </xf>
    <xf numFmtId="172" fontId="34" fillId="13" borderId="21" xfId="0" applyNumberFormat="1" applyFont="1" applyFill="1" applyBorder="1" applyAlignment="1">
      <alignment horizontal="center" vertical="center"/>
    </xf>
    <xf numFmtId="175" fontId="34" fillId="9" borderId="21" xfId="0" applyNumberFormat="1" applyFont="1" applyFill="1" applyBorder="1" applyAlignment="1">
      <alignment horizontal="center" vertical="center"/>
    </xf>
    <xf numFmtId="174" fontId="34" fillId="9" borderId="21" xfId="0" applyNumberFormat="1" applyFont="1" applyFill="1" applyBorder="1" applyAlignment="1">
      <alignment horizontal="center" vertical="center"/>
    </xf>
    <xf numFmtId="172" fontId="34" fillId="9" borderId="21" xfId="0" applyNumberFormat="1" applyFont="1" applyFill="1" applyBorder="1" applyAlignment="1">
      <alignment horizontal="center" vertical="center"/>
    </xf>
    <xf numFmtId="175" fontId="35" fillId="13" borderId="21" xfId="0" applyNumberFormat="1" applyFont="1" applyFill="1" applyBorder="1" applyAlignment="1">
      <alignment horizontal="center" vertical="center"/>
    </xf>
    <xf numFmtId="170" fontId="35" fillId="2" borderId="21" xfId="0" applyNumberFormat="1" applyFont="1" applyFill="1" applyBorder="1" applyAlignment="1">
      <alignment horizontal="center" vertical="center"/>
    </xf>
    <xf numFmtId="171" fontId="35" fillId="9" borderId="21" xfId="0" applyNumberFormat="1" applyFont="1" applyFill="1" applyBorder="1" applyAlignment="1">
      <alignment horizontal="center" vertical="center"/>
    </xf>
    <xf numFmtId="171" fontId="35" fillId="2" borderId="21" xfId="0" applyNumberFormat="1" applyFont="1" applyFill="1" applyBorder="1" applyAlignment="1">
      <alignment horizontal="center" vertical="center"/>
    </xf>
    <xf numFmtId="2" fontId="35" fillId="13" borderId="21" xfId="0" applyNumberFormat="1" applyFont="1" applyFill="1" applyBorder="1" applyAlignment="1">
      <alignment horizontal="center" vertical="center" wrapText="1"/>
    </xf>
    <xf numFmtId="172" fontId="34" fillId="2" borderId="40" xfId="0" applyNumberFormat="1" applyFont="1" applyFill="1" applyBorder="1" applyAlignment="1">
      <alignment horizontal="center" vertical="center"/>
    </xf>
    <xf numFmtId="172" fontId="34" fillId="2" borderId="41" xfId="0" applyNumberFormat="1" applyFont="1" applyFill="1" applyBorder="1" applyAlignment="1">
      <alignment horizontal="center" vertical="center"/>
    </xf>
    <xf numFmtId="172" fontId="34" fillId="13" borderId="40" xfId="0" applyNumberFormat="1" applyFont="1" applyFill="1" applyBorder="1" applyAlignment="1">
      <alignment horizontal="center" vertical="center"/>
    </xf>
    <xf numFmtId="172" fontId="34" fillId="13" borderId="41" xfId="0" applyNumberFormat="1" applyFont="1" applyFill="1" applyBorder="1" applyAlignment="1">
      <alignment horizontal="center" vertical="center"/>
    </xf>
    <xf numFmtId="175" fontId="34" fillId="9" borderId="40" xfId="0" applyNumberFormat="1" applyFont="1" applyFill="1" applyBorder="1" applyAlignment="1">
      <alignment horizontal="center" vertical="center"/>
    </xf>
    <xf numFmtId="175" fontId="34" fillId="9" borderId="41" xfId="0" applyNumberFormat="1" applyFont="1" applyFill="1" applyBorder="1" applyAlignment="1">
      <alignment horizontal="center" vertical="center"/>
    </xf>
    <xf numFmtId="174" fontId="34" fillId="9" borderId="40" xfId="0" applyNumberFormat="1" applyFont="1" applyFill="1" applyBorder="1" applyAlignment="1">
      <alignment horizontal="center" vertical="center"/>
    </xf>
    <xf numFmtId="174" fontId="34" fillId="9" borderId="41" xfId="0" applyNumberFormat="1" applyFont="1" applyFill="1" applyBorder="1" applyAlignment="1">
      <alignment horizontal="center" vertical="center"/>
    </xf>
    <xf numFmtId="172" fontId="34" fillId="9" borderId="40" xfId="0" applyNumberFormat="1" applyFont="1" applyFill="1" applyBorder="1" applyAlignment="1">
      <alignment horizontal="center" vertical="center"/>
    </xf>
    <xf numFmtId="172" fontId="34" fillId="9" borderId="41" xfId="0" applyNumberFormat="1" applyFont="1" applyFill="1" applyBorder="1" applyAlignment="1">
      <alignment horizontal="center" vertical="center"/>
    </xf>
    <xf numFmtId="175" fontId="35" fillId="13" borderId="40" xfId="0" applyNumberFormat="1" applyFont="1" applyFill="1" applyBorder="1" applyAlignment="1">
      <alignment horizontal="center" vertical="center"/>
    </xf>
    <xf numFmtId="175" fontId="35" fillId="13" borderId="41" xfId="0" applyNumberFormat="1" applyFont="1" applyFill="1" applyBorder="1" applyAlignment="1">
      <alignment horizontal="center" vertical="center"/>
    </xf>
    <xf numFmtId="171" fontId="38" fillId="13" borderId="40" xfId="0" applyNumberFormat="1" applyFont="1" applyFill="1" applyBorder="1" applyAlignment="1">
      <alignment horizontal="center" vertical="center"/>
    </xf>
    <xf numFmtId="171" fontId="38" fillId="13" borderId="41" xfId="0" applyNumberFormat="1" applyFont="1" applyFill="1" applyBorder="1" applyAlignment="1">
      <alignment horizontal="center" vertical="center"/>
    </xf>
    <xf numFmtId="170" fontId="35" fillId="2" borderId="40" xfId="0" applyNumberFormat="1" applyFont="1" applyFill="1" applyBorder="1" applyAlignment="1">
      <alignment horizontal="center" vertical="center"/>
    </xf>
    <xf numFmtId="171" fontId="35" fillId="9" borderId="41" xfId="0" applyNumberFormat="1" applyFont="1" applyFill="1" applyBorder="1" applyAlignment="1">
      <alignment horizontal="center" vertical="center"/>
    </xf>
    <xf numFmtId="171" fontId="35" fillId="2" borderId="40" xfId="0" applyNumberFormat="1" applyFont="1" applyFill="1" applyBorder="1" applyAlignment="1">
      <alignment horizontal="center" vertical="center"/>
    </xf>
    <xf numFmtId="170" fontId="35" fillId="2" borderId="41" xfId="0" applyNumberFormat="1" applyFont="1" applyFill="1" applyBorder="1" applyAlignment="1">
      <alignment horizontal="center" vertical="center"/>
    </xf>
    <xf numFmtId="171" fontId="35" fillId="2" borderId="41" xfId="0" applyNumberFormat="1" applyFont="1" applyFill="1" applyBorder="1" applyAlignment="1">
      <alignment horizontal="center" vertical="center"/>
    </xf>
    <xf numFmtId="2" fontId="35" fillId="13" borderId="40" xfId="0" applyNumberFormat="1" applyFont="1" applyFill="1" applyBorder="1" applyAlignment="1">
      <alignment horizontal="center" vertical="center" wrapText="1"/>
    </xf>
    <xf numFmtId="2" fontId="35" fillId="13" borderId="41" xfId="0" applyNumberFormat="1" applyFont="1" applyFill="1" applyBorder="1" applyAlignment="1">
      <alignment horizontal="center" vertical="center" wrapText="1"/>
    </xf>
    <xf numFmtId="2" fontId="35" fillId="9" borderId="40" xfId="0" applyNumberFormat="1" applyFont="1" applyFill="1" applyBorder="1" applyAlignment="1">
      <alignment horizontal="center" vertical="center"/>
    </xf>
    <xf numFmtId="2" fontId="35" fillId="9" borderId="41" xfId="0" applyNumberFormat="1" applyFont="1" applyFill="1" applyBorder="1" applyAlignment="1">
      <alignment horizontal="center" vertical="center"/>
    </xf>
    <xf numFmtId="175" fontId="38" fillId="9" borderId="45" xfId="0" applyNumberFormat="1" applyFont="1" applyFill="1" applyBorder="1" applyAlignment="1">
      <alignment horizontal="center" vertical="center"/>
    </xf>
    <xf numFmtId="175" fontId="38" fillId="9" borderId="46" xfId="0" applyNumberFormat="1" applyFont="1" applyFill="1" applyBorder="1" applyAlignment="1">
      <alignment horizontal="center" vertical="center"/>
    </xf>
    <xf numFmtId="175" fontId="38" fillId="9" borderId="43" xfId="0" applyNumberFormat="1" applyFont="1" applyFill="1" applyBorder="1" applyAlignment="1">
      <alignment horizontal="center" vertical="center"/>
    </xf>
    <xf numFmtId="171" fontId="24" fillId="2" borderId="0" xfId="0" applyNumberFormat="1" applyFont="1" applyFill="1"/>
    <xf numFmtId="0" fontId="0" fillId="0" borderId="0" xfId="0" applyAlignment="1">
      <alignment horizontal="left"/>
    </xf>
    <xf numFmtId="0" fontId="19" fillId="14" borderId="39" xfId="0" applyFont="1" applyFill="1" applyBorder="1" applyAlignment="1">
      <alignment horizontal="center" vertical="center" wrapText="1"/>
    </xf>
    <xf numFmtId="1" fontId="101" fillId="0" borderId="0" xfId="0" applyNumberFormat="1" applyFont="1" applyAlignment="1">
      <alignment vertical="center" wrapText="1"/>
    </xf>
    <xf numFmtId="174" fontId="125" fillId="0" borderId="21" xfId="4" applyNumberFormat="1" applyFont="1" applyBorder="1" applyAlignment="1" applyProtection="1">
      <alignment horizontal="center" vertical="center"/>
      <protection hidden="1"/>
    </xf>
    <xf numFmtId="0" fontId="125" fillId="0" borderId="21" xfId="4" applyFont="1" applyBorder="1" applyAlignment="1" applyProtection="1">
      <alignment horizontal="center" vertical="center"/>
      <protection hidden="1"/>
    </xf>
    <xf numFmtId="168" fontId="30" fillId="2" borderId="0" xfId="0" applyNumberFormat="1" applyFont="1" applyFill="1"/>
    <xf numFmtId="174" fontId="30" fillId="2" borderId="0" xfId="0" applyNumberFormat="1" applyFont="1" applyFill="1"/>
    <xf numFmtId="165" fontId="88" fillId="0" borderId="21" xfId="4" applyNumberFormat="1" applyFont="1" applyBorder="1" applyAlignment="1" applyProtection="1">
      <alignment horizontal="center" vertical="center"/>
      <protection hidden="1"/>
    </xf>
    <xf numFmtId="2" fontId="19" fillId="2" borderId="4" xfId="0" applyNumberFormat="1" applyFont="1" applyFill="1" applyBorder="1" applyAlignment="1">
      <alignment horizontal="center" vertical="center" wrapText="1"/>
    </xf>
    <xf numFmtId="2" fontId="19" fillId="2" borderId="21" xfId="0" applyNumberFormat="1" applyFont="1" applyFill="1" applyBorder="1" applyAlignment="1">
      <alignment horizontal="center" vertical="center" wrapText="1"/>
    </xf>
    <xf numFmtId="0" fontId="19" fillId="2" borderId="21" xfId="0" applyFont="1" applyFill="1" applyBorder="1" applyAlignment="1" applyProtection="1">
      <alignment horizontal="center" vertical="center"/>
      <protection locked="0"/>
    </xf>
    <xf numFmtId="49" fontId="30" fillId="2" borderId="21" xfId="0" applyNumberFormat="1" applyFont="1" applyFill="1" applyBorder="1" applyAlignment="1" applyProtection="1">
      <alignment horizontal="center" vertical="center"/>
      <protection locked="0"/>
    </xf>
    <xf numFmtId="0" fontId="19" fillId="2" borderId="81" xfId="0" applyFont="1" applyFill="1" applyBorder="1" applyAlignment="1" applyProtection="1">
      <alignment horizontal="center" vertical="center"/>
      <protection locked="0"/>
    </xf>
    <xf numFmtId="49" fontId="19" fillId="2" borderId="81" xfId="0" applyNumberFormat="1" applyFont="1" applyFill="1" applyBorder="1" applyAlignment="1" applyProtection="1">
      <alignment horizontal="center" vertical="center"/>
      <protection locked="0"/>
    </xf>
    <xf numFmtId="0" fontId="19" fillId="2" borderId="15" xfId="0" applyFont="1" applyFill="1" applyBorder="1" applyAlignment="1" applyProtection="1">
      <alignment horizontal="center" vertical="center" wrapText="1"/>
      <protection locked="0"/>
    </xf>
    <xf numFmtId="0" fontId="24" fillId="14" borderId="25" xfId="0" applyFont="1" applyFill="1" applyBorder="1"/>
    <xf numFmtId="0" fontId="19" fillId="19" borderId="21" xfId="0" applyFont="1" applyFill="1" applyBorder="1" applyAlignment="1">
      <alignment vertical="center" wrapText="1"/>
    </xf>
    <xf numFmtId="0" fontId="30" fillId="19" borderId="21" xfId="0" applyFont="1" applyFill="1" applyBorder="1" applyAlignment="1">
      <alignment vertical="center" wrapText="1"/>
    </xf>
    <xf numFmtId="0" fontId="0" fillId="9" borderId="4" xfId="5" applyFont="1" applyFill="1" applyBorder="1"/>
    <xf numFmtId="165" fontId="14" fillId="0" borderId="21" xfId="5" applyNumberFormat="1" applyBorder="1" applyAlignment="1">
      <alignment horizontal="center"/>
    </xf>
    <xf numFmtId="0" fontId="20" fillId="0" borderId="0" xfId="0" applyFont="1" applyAlignment="1">
      <alignment horizontal="right" vertical="center" wrapText="1"/>
    </xf>
    <xf numFmtId="0" fontId="37" fillId="13" borderId="28" xfId="0" applyFont="1" applyFill="1" applyBorder="1" applyAlignment="1">
      <alignment horizontal="center" vertical="center"/>
    </xf>
    <xf numFmtId="172" fontId="34" fillId="2" borderId="82" xfId="0" applyNumberFormat="1" applyFont="1" applyFill="1" applyBorder="1" applyAlignment="1">
      <alignment horizontal="center" vertical="center"/>
    </xf>
    <xf numFmtId="172" fontId="34" fillId="2" borderId="83" xfId="0" applyNumberFormat="1" applyFont="1" applyFill="1" applyBorder="1" applyAlignment="1">
      <alignment horizontal="center" vertical="center"/>
    </xf>
    <xf numFmtId="172" fontId="34" fillId="13" borderId="83" xfId="0" applyNumberFormat="1" applyFont="1" applyFill="1" applyBorder="1" applyAlignment="1">
      <alignment horizontal="center" vertical="center"/>
    </xf>
    <xf numFmtId="175" fontId="34" fillId="9" borderId="83" xfId="0" applyNumberFormat="1" applyFont="1" applyFill="1" applyBorder="1" applyAlignment="1">
      <alignment horizontal="center" vertical="center"/>
    </xf>
    <xf numFmtId="174" fontId="34" fillId="9" borderId="83" xfId="0" applyNumberFormat="1" applyFont="1" applyFill="1" applyBorder="1" applyAlignment="1">
      <alignment horizontal="center" vertical="center"/>
    </xf>
    <xf numFmtId="172" fontId="34" fillId="9" borderId="83" xfId="0" applyNumberFormat="1" applyFont="1" applyFill="1" applyBorder="1" applyAlignment="1">
      <alignment horizontal="center" vertical="center"/>
    </xf>
    <xf numFmtId="175" fontId="35" fillId="2" borderId="83" xfId="0" applyNumberFormat="1" applyFont="1" applyFill="1" applyBorder="1" applyAlignment="1">
      <alignment horizontal="center" vertical="center"/>
    </xf>
    <xf numFmtId="175" fontId="35" fillId="13" borderId="83" xfId="0" applyNumberFormat="1" applyFont="1" applyFill="1" applyBorder="1" applyAlignment="1">
      <alignment horizontal="center" vertical="center"/>
    </xf>
    <xf numFmtId="171" fontId="38" fillId="13" borderId="83" xfId="0" applyNumberFormat="1" applyFont="1" applyFill="1" applyBorder="1" applyAlignment="1">
      <alignment horizontal="center" vertical="center"/>
    </xf>
    <xf numFmtId="170" fontId="35" fillId="2" borderId="83" xfId="0" applyNumberFormat="1" applyFont="1" applyFill="1" applyBorder="1" applyAlignment="1">
      <alignment horizontal="center" vertical="center"/>
    </xf>
    <xf numFmtId="174" fontId="35" fillId="2" borderId="83" xfId="0" applyNumberFormat="1" applyFont="1" applyFill="1" applyBorder="1" applyAlignment="1">
      <alignment horizontal="center" vertical="center"/>
    </xf>
    <xf numFmtId="170" fontId="35" fillId="9" borderId="83" xfId="0" applyNumberFormat="1" applyFont="1" applyFill="1" applyBorder="1" applyAlignment="1">
      <alignment horizontal="center" vertical="center"/>
    </xf>
    <xf numFmtId="171" fontId="35" fillId="2" borderId="83" xfId="0" applyNumberFormat="1" applyFont="1" applyFill="1" applyBorder="1" applyAlignment="1">
      <alignment horizontal="center" vertical="center"/>
    </xf>
    <xf numFmtId="2" fontId="35" fillId="13" borderId="83" xfId="0" applyNumberFormat="1" applyFont="1" applyFill="1" applyBorder="1" applyAlignment="1">
      <alignment horizontal="center" vertical="center" wrapText="1"/>
    </xf>
    <xf numFmtId="2" fontId="35" fillId="9" borderId="83" xfId="0" applyNumberFormat="1" applyFont="1" applyFill="1" applyBorder="1" applyAlignment="1">
      <alignment horizontal="center" vertical="center"/>
    </xf>
    <xf numFmtId="175" fontId="38" fillId="9" borderId="84" xfId="0" applyNumberFormat="1" applyFont="1" applyFill="1" applyBorder="1" applyAlignment="1">
      <alignment horizontal="center" vertical="center"/>
    </xf>
    <xf numFmtId="0" fontId="19" fillId="14" borderId="21" xfId="0" applyFont="1" applyFill="1" applyBorder="1" applyAlignment="1">
      <alignment horizontal="center" vertical="center" wrapText="1"/>
    </xf>
    <xf numFmtId="0" fontId="19" fillId="2" borderId="21" xfId="0" applyFont="1" applyFill="1" applyBorder="1" applyAlignment="1" applyProtection="1">
      <alignment horizontal="center" vertical="center" wrapText="1"/>
      <protection locked="0"/>
    </xf>
    <xf numFmtId="2" fontId="0" fillId="0" borderId="21" xfId="0" applyNumberFormat="1" applyBorder="1"/>
    <xf numFmtId="0" fontId="19" fillId="0" borderId="0" xfId="0" applyFont="1" applyAlignment="1">
      <alignment vertical="center" wrapText="1"/>
    </xf>
    <xf numFmtId="0" fontId="112" fillId="2" borderId="3" xfId="0" applyFont="1" applyFill="1" applyBorder="1" applyAlignment="1">
      <alignment horizontal="left" vertical="center"/>
    </xf>
    <xf numFmtId="0" fontId="19" fillId="19" borderId="36" xfId="0" applyFont="1" applyFill="1" applyBorder="1" applyAlignment="1" applyProtection="1">
      <alignment vertical="center"/>
      <protection hidden="1"/>
    </xf>
    <xf numFmtId="0" fontId="19" fillId="14" borderId="39" xfId="0" applyFont="1" applyFill="1" applyBorder="1" applyAlignment="1" applyProtection="1">
      <alignment horizontal="center" vertical="center" wrapText="1"/>
      <protection locked="0"/>
    </xf>
    <xf numFmtId="0" fontId="19" fillId="0" borderId="35" xfId="0" applyFont="1" applyBorder="1" applyAlignment="1">
      <alignment horizontal="center" vertical="center" wrapText="1"/>
    </xf>
    <xf numFmtId="0" fontId="30" fillId="2" borderId="5" xfId="0" applyFont="1" applyFill="1" applyBorder="1"/>
    <xf numFmtId="0" fontId="30" fillId="2" borderId="6" xfId="0" applyFont="1" applyFill="1" applyBorder="1"/>
    <xf numFmtId="0" fontId="30" fillId="2" borderId="9" xfId="0" applyFont="1" applyFill="1" applyBorder="1"/>
    <xf numFmtId="0" fontId="20" fillId="9" borderId="0" xfId="0" applyFont="1" applyFill="1" applyAlignment="1">
      <alignment vertical="center"/>
    </xf>
    <xf numFmtId="0" fontId="19" fillId="14" borderId="23" xfId="0" applyFont="1" applyFill="1" applyBorder="1"/>
    <xf numFmtId="0" fontId="19" fillId="14" borderId="36" xfId="0" applyFont="1" applyFill="1" applyBorder="1"/>
    <xf numFmtId="0" fontId="19" fillId="14" borderId="4" xfId="0" applyFont="1" applyFill="1" applyBorder="1"/>
    <xf numFmtId="171" fontId="30" fillId="0" borderId="0" xfId="0" applyNumberFormat="1" applyFont="1" applyAlignment="1">
      <alignment horizontal="center"/>
    </xf>
    <xf numFmtId="0" fontId="25" fillId="0" borderId="10" xfId="0" applyFont="1" applyBorder="1" applyAlignment="1">
      <alignment wrapText="1"/>
    </xf>
    <xf numFmtId="166" fontId="24" fillId="2" borderId="0" xfId="0" applyNumberFormat="1" applyFont="1" applyFill="1" applyAlignment="1">
      <alignment vertical="center"/>
    </xf>
    <xf numFmtId="175" fontId="24" fillId="2" borderId="0" xfId="0" applyNumberFormat="1" applyFont="1" applyFill="1" applyAlignment="1">
      <alignment vertical="center"/>
    </xf>
    <xf numFmtId="0" fontId="24" fillId="2" borderId="0" xfId="0" applyFont="1" applyFill="1" applyAlignment="1">
      <alignment horizontal="right"/>
    </xf>
    <xf numFmtId="0" fontId="24" fillId="2" borderId="0" xfId="0" applyFont="1" applyFill="1" applyAlignment="1">
      <alignment horizontal="center" vertical="center"/>
    </xf>
    <xf numFmtId="0" fontId="126" fillId="2" borderId="0" xfId="0" applyFont="1" applyFill="1" applyAlignment="1">
      <alignment vertical="center"/>
    </xf>
    <xf numFmtId="0" fontId="58" fillId="2" borderId="0" xfId="0" applyFont="1" applyFill="1" applyAlignment="1">
      <alignment vertical="center"/>
    </xf>
    <xf numFmtId="0" fontId="24" fillId="2" borderId="23" xfId="0" applyFont="1" applyFill="1" applyBorder="1" applyAlignment="1">
      <alignment horizontal="left" vertical="center"/>
    </xf>
    <xf numFmtId="0" fontId="24" fillId="2" borderId="23" xfId="0" applyFont="1" applyFill="1" applyBorder="1" applyAlignment="1">
      <alignment vertical="center"/>
    </xf>
    <xf numFmtId="0" fontId="24" fillId="2" borderId="26" xfId="0" applyFont="1" applyFill="1" applyBorder="1"/>
    <xf numFmtId="0" fontId="24" fillId="2" borderId="35" xfId="0" applyFont="1" applyFill="1" applyBorder="1"/>
    <xf numFmtId="0" fontId="24" fillId="2" borderId="4" xfId="0" applyFont="1" applyFill="1" applyBorder="1" applyAlignment="1">
      <alignment vertical="center"/>
    </xf>
    <xf numFmtId="0" fontId="24" fillId="2" borderId="0" xfId="0" applyFont="1" applyFill="1" applyAlignment="1">
      <alignment vertical="center" wrapText="1"/>
    </xf>
    <xf numFmtId="170" fontId="24" fillId="2" borderId="0" xfId="0" applyNumberFormat="1" applyFont="1" applyFill="1" applyAlignment="1">
      <alignment vertical="center"/>
    </xf>
    <xf numFmtId="171" fontId="24" fillId="2" borderId="0" xfId="0" applyNumberFormat="1" applyFont="1" applyFill="1" applyAlignment="1">
      <alignment vertical="center"/>
    </xf>
    <xf numFmtId="172" fontId="35" fillId="9" borderId="40" xfId="0" applyNumberFormat="1" applyFont="1" applyFill="1" applyBorder="1" applyAlignment="1">
      <alignment horizontal="center" vertical="center"/>
    </xf>
    <xf numFmtId="11" fontId="0" fillId="8" borderId="0" xfId="0" applyNumberFormat="1" applyFill="1"/>
    <xf numFmtId="11" fontId="8" fillId="16" borderId="37" xfId="0" applyNumberFormat="1" applyFont="1" applyFill="1" applyBorder="1" applyAlignment="1">
      <alignment horizontal="center" vertical="center"/>
    </xf>
    <xf numFmtId="11" fontId="8" fillId="17" borderId="37" xfId="0" applyNumberFormat="1" applyFont="1" applyFill="1" applyBorder="1" applyAlignment="1">
      <alignment horizontal="center" vertical="center"/>
    </xf>
    <xf numFmtId="0" fontId="17" fillId="8" borderId="0" xfId="0" applyFont="1" applyFill="1"/>
    <xf numFmtId="0" fontId="15" fillId="2" borderId="0" xfId="0" applyFont="1" applyFill="1" applyAlignment="1">
      <alignment horizontal="center" vertical="center"/>
    </xf>
    <xf numFmtId="2" fontId="46" fillId="0" borderId="0" xfId="0" applyNumberFormat="1" applyFont="1" applyAlignment="1">
      <alignment vertical="center"/>
    </xf>
    <xf numFmtId="0" fontId="46" fillId="0" borderId="0" xfId="0" applyFont="1" applyAlignment="1">
      <alignment vertical="center"/>
    </xf>
    <xf numFmtId="0" fontId="46" fillId="2" borderId="0" xfId="0" applyFont="1" applyFill="1" applyAlignment="1">
      <alignment vertical="center"/>
    </xf>
    <xf numFmtId="2" fontId="32" fillId="2" borderId="21" xfId="0" applyNumberFormat="1" applyFont="1" applyFill="1" applyBorder="1" applyAlignment="1">
      <alignment horizontal="center" vertical="center" wrapText="1"/>
    </xf>
    <xf numFmtId="0" fontId="64" fillId="0" borderId="0" xfId="0" applyFont="1" applyAlignment="1">
      <alignment vertical="center"/>
    </xf>
    <xf numFmtId="0" fontId="69" fillId="22" borderId="0" xfId="0" applyFont="1" applyFill="1" applyAlignment="1">
      <alignment vertical="center"/>
    </xf>
    <xf numFmtId="0" fontId="64" fillId="22" borderId="0" xfId="0" applyFont="1" applyFill="1" applyAlignment="1">
      <alignment vertical="center"/>
    </xf>
    <xf numFmtId="0" fontId="64" fillId="0" borderId="0" xfId="0" applyFont="1" applyAlignment="1">
      <alignment vertical="center" wrapText="1"/>
    </xf>
    <xf numFmtId="0" fontId="65" fillId="0" borderId="0" xfId="0" applyFont="1" applyAlignment="1">
      <alignment vertical="center"/>
    </xf>
    <xf numFmtId="0" fontId="66" fillId="22" borderId="0" xfId="0" applyFont="1" applyFill="1" applyAlignment="1">
      <alignment vertical="center" wrapText="1"/>
    </xf>
    <xf numFmtId="0" fontId="19" fillId="26" borderId="0" xfId="0" applyFont="1" applyFill="1"/>
    <xf numFmtId="0" fontId="30" fillId="26" borderId="0" xfId="0" applyFont="1" applyFill="1"/>
    <xf numFmtId="0" fontId="90" fillId="26" borderId="0" xfId="0" applyFont="1" applyFill="1"/>
    <xf numFmtId="0" fontId="88" fillId="26" borderId="0" xfId="0" applyFont="1" applyFill="1"/>
    <xf numFmtId="0" fontId="88" fillId="26" borderId="0" xfId="0" applyFont="1" applyFill="1" applyAlignment="1">
      <alignment vertical="center" wrapText="1"/>
    </xf>
    <xf numFmtId="167" fontId="112" fillId="26" borderId="0" xfId="0" applyNumberFormat="1" applyFont="1" applyFill="1" applyAlignment="1">
      <alignment vertical="center"/>
    </xf>
    <xf numFmtId="0" fontId="38" fillId="26" borderId="0" xfId="0" applyFont="1" applyFill="1"/>
    <xf numFmtId="0" fontId="19" fillId="14" borderId="21" xfId="0" applyFont="1" applyFill="1" applyBorder="1" applyAlignment="1">
      <alignment horizontal="center" wrapText="1"/>
    </xf>
    <xf numFmtId="0" fontId="19" fillId="14" borderId="21" xfId="0" applyFont="1" applyFill="1" applyBorder="1" applyAlignment="1">
      <alignment horizontal="center"/>
    </xf>
    <xf numFmtId="0" fontId="26" fillId="0" borderId="0" xfId="0" applyFont="1" applyAlignment="1">
      <alignment horizontal="left" vertical="top"/>
    </xf>
    <xf numFmtId="167" fontId="0" fillId="0" borderId="0" xfId="0" applyNumberFormat="1"/>
    <xf numFmtId="168" fontId="19" fillId="2" borderId="0" xfId="0" applyNumberFormat="1" applyFont="1" applyFill="1"/>
    <xf numFmtId="0" fontId="0" fillId="9" borderId="46" xfId="0" applyFill="1" applyBorder="1"/>
    <xf numFmtId="0" fontId="30" fillId="2" borderId="16" xfId="0" applyFont="1" applyFill="1" applyBorder="1" applyAlignment="1">
      <alignment horizontal="left"/>
    </xf>
    <xf numFmtId="49" fontId="30" fillId="2" borderId="14" xfId="0" applyNumberFormat="1" applyFont="1" applyFill="1" applyBorder="1"/>
    <xf numFmtId="49" fontId="30" fillId="2" borderId="14" xfId="0" applyNumberFormat="1" applyFont="1" applyFill="1" applyBorder="1" applyAlignment="1">
      <alignment horizontal="left"/>
    </xf>
    <xf numFmtId="49" fontId="30" fillId="2" borderId="17" xfId="0" applyNumberFormat="1" applyFont="1" applyFill="1" applyBorder="1" applyAlignment="1">
      <alignment horizontal="left"/>
    </xf>
    <xf numFmtId="166" fontId="19" fillId="2" borderId="25" xfId="0" applyNumberFormat="1" applyFont="1" applyFill="1" applyBorder="1" applyAlignment="1" applyProtection="1">
      <alignment horizontal="left" vertical="center"/>
      <protection locked="0"/>
    </xf>
    <xf numFmtId="166" fontId="19" fillId="2" borderId="0" xfId="0" applyNumberFormat="1" applyFont="1" applyFill="1" applyAlignment="1">
      <alignment vertical="center"/>
    </xf>
    <xf numFmtId="166" fontId="19" fillId="8" borderId="1" xfId="0" applyNumberFormat="1" applyFont="1" applyFill="1" applyBorder="1" applyAlignment="1">
      <alignment horizontal="center"/>
    </xf>
    <xf numFmtId="166" fontId="19" fillId="8" borderId="23" xfId="0" applyNumberFormat="1" applyFont="1" applyFill="1" applyBorder="1" applyAlignment="1">
      <alignment horizontal="center"/>
    </xf>
    <xf numFmtId="0" fontId="14" fillId="24" borderId="2" xfId="5" applyFill="1" applyBorder="1" applyAlignment="1">
      <alignment horizontal="center" vertical="center" textRotation="180"/>
    </xf>
    <xf numFmtId="0" fontId="14" fillId="24" borderId="0" xfId="5" applyFill="1" applyAlignment="1">
      <alignment horizontal="center" vertical="center" textRotation="180"/>
    </xf>
    <xf numFmtId="0" fontId="14" fillId="0" borderId="21" xfId="5" applyBorder="1" applyAlignment="1">
      <alignment horizontal="center"/>
    </xf>
    <xf numFmtId="0" fontId="119" fillId="0" borderId="21" xfId="5" applyFont="1" applyBorder="1" applyAlignment="1">
      <alignment horizontal="center" wrapText="1"/>
    </xf>
    <xf numFmtId="0" fontId="119" fillId="0" borderId="21" xfId="5" applyFont="1" applyBorder="1" applyAlignment="1">
      <alignment horizontal="center"/>
    </xf>
    <xf numFmtId="2" fontId="14" fillId="0" borderId="23" xfId="5" applyNumberFormat="1" applyBorder="1" applyAlignment="1">
      <alignment horizontal="center" vertical="center"/>
    </xf>
    <xf numFmtId="2" fontId="14" fillId="0" borderId="4" xfId="5" applyNumberFormat="1" applyBorder="1" applyAlignment="1">
      <alignment horizontal="center" vertical="center"/>
    </xf>
    <xf numFmtId="0" fontId="14" fillId="0" borderId="23" xfId="5" applyBorder="1" applyAlignment="1">
      <alignment horizontal="center"/>
    </xf>
    <xf numFmtId="0" fontId="14" fillId="0" borderId="4" xfId="5" applyBorder="1" applyAlignment="1">
      <alignment horizontal="center"/>
    </xf>
    <xf numFmtId="182" fontId="119" fillId="0" borderId="21" xfId="5" applyNumberFormat="1" applyFont="1" applyBorder="1" applyAlignment="1">
      <alignment horizontal="center"/>
    </xf>
    <xf numFmtId="2" fontId="14" fillId="0" borderId="21" xfId="5" applyNumberFormat="1" applyBorder="1" applyAlignment="1">
      <alignment horizontal="center"/>
    </xf>
    <xf numFmtId="0" fontId="6" fillId="0" borderId="39" xfId="4" applyFont="1" applyBorder="1" applyAlignment="1" applyProtection="1">
      <alignment horizontal="center" vertical="center" wrapText="1"/>
      <protection hidden="1"/>
    </xf>
    <xf numFmtId="0" fontId="6" fillId="0" borderId="35" xfId="4" applyFont="1" applyBorder="1" applyAlignment="1" applyProtection="1">
      <alignment horizontal="center" vertical="center" wrapText="1"/>
      <protection hidden="1"/>
    </xf>
    <xf numFmtId="0" fontId="19" fillId="13" borderId="1" xfId="0" applyFont="1" applyFill="1" applyBorder="1" applyAlignment="1">
      <alignment horizontal="center" vertical="center" wrapText="1"/>
    </xf>
    <xf numFmtId="0" fontId="19" fillId="13" borderId="2" xfId="0" applyFont="1" applyFill="1" applyBorder="1" applyAlignment="1">
      <alignment horizontal="center" vertical="center" wrapText="1"/>
    </xf>
    <xf numFmtId="0" fontId="19" fillId="13" borderId="5" xfId="0" applyFont="1" applyFill="1" applyBorder="1" applyAlignment="1">
      <alignment horizontal="center" vertical="center" wrapText="1"/>
    </xf>
    <xf numFmtId="0" fontId="19" fillId="2" borderId="20" xfId="0" applyFont="1" applyFill="1" applyBorder="1" applyAlignment="1" applyProtection="1">
      <alignment horizontal="center" vertical="center"/>
      <protection locked="0"/>
    </xf>
    <xf numFmtId="0" fontId="19" fillId="2" borderId="18" xfId="0" applyFont="1" applyFill="1" applyBorder="1" applyAlignment="1" applyProtection="1">
      <alignment horizontal="center" vertical="center"/>
      <protection locked="0"/>
    </xf>
    <xf numFmtId="166" fontId="19" fillId="2" borderId="55" xfId="0" quotePrefix="1" applyNumberFormat="1" applyFont="1" applyFill="1" applyBorder="1" applyAlignment="1" applyProtection="1">
      <alignment horizontal="center" vertical="center" wrapText="1"/>
      <protection locked="0"/>
    </xf>
    <xf numFmtId="166" fontId="19" fillId="2" borderId="37" xfId="0" quotePrefix="1" applyNumberFormat="1" applyFont="1" applyFill="1" applyBorder="1" applyAlignment="1" applyProtection="1">
      <alignment horizontal="center" vertical="center" wrapText="1"/>
      <protection locked="0"/>
    </xf>
    <xf numFmtId="166" fontId="19" fillId="2" borderId="44" xfId="0" quotePrefix="1" applyNumberFormat="1" applyFont="1" applyFill="1" applyBorder="1" applyAlignment="1" applyProtection="1">
      <alignment horizontal="center" vertical="center" wrapText="1"/>
      <protection locked="0"/>
    </xf>
    <xf numFmtId="0" fontId="20" fillId="13" borderId="21" xfId="0" applyFont="1" applyFill="1" applyBorder="1" applyAlignment="1">
      <alignment horizontal="center" vertical="center" wrapText="1"/>
    </xf>
    <xf numFmtId="166" fontId="0" fillId="2" borderId="21" xfId="0" applyNumberFormat="1" applyFill="1" applyBorder="1" applyAlignment="1" applyProtection="1">
      <alignment horizontal="center" vertical="center"/>
      <protection locked="0"/>
    </xf>
    <xf numFmtId="166" fontId="0" fillId="2" borderId="41" xfId="0" applyNumberFormat="1" applyFill="1" applyBorder="1" applyAlignment="1" applyProtection="1">
      <alignment horizontal="center" vertical="center"/>
      <protection locked="0"/>
    </xf>
    <xf numFmtId="0" fontId="19" fillId="13" borderId="21" xfId="0" applyFont="1" applyFill="1" applyBorder="1" applyAlignment="1">
      <alignment horizontal="center" vertical="center" wrapText="1"/>
    </xf>
    <xf numFmtId="0" fontId="19" fillId="13" borderId="23" xfId="0" applyFont="1" applyFill="1" applyBorder="1" applyAlignment="1">
      <alignment horizontal="center" vertical="center" wrapText="1"/>
    </xf>
    <xf numFmtId="168" fontId="19" fillId="2" borderId="15" xfId="0" applyNumberFormat="1" applyFont="1" applyFill="1" applyBorder="1" applyAlignment="1" applyProtection="1">
      <alignment horizontal="center" vertical="center"/>
      <protection locked="0"/>
    </xf>
    <xf numFmtId="168" fontId="19" fillId="2" borderId="17" xfId="0" applyNumberFormat="1" applyFont="1" applyFill="1" applyBorder="1" applyAlignment="1" applyProtection="1">
      <alignment horizontal="center" vertical="center"/>
      <protection locked="0"/>
    </xf>
    <xf numFmtId="0" fontId="19" fillId="2" borderId="0" xfId="0" applyFont="1" applyFill="1" applyAlignment="1" applyProtection="1">
      <alignment horizontal="center"/>
      <protection locked="0"/>
    </xf>
    <xf numFmtId="0" fontId="22" fillId="2" borderId="0" xfId="0" applyFont="1" applyFill="1" applyAlignment="1">
      <alignment horizontal="left" vertical="center" wrapText="1"/>
    </xf>
    <xf numFmtId="0" fontId="19" fillId="13" borderId="21" xfId="0" applyFont="1" applyFill="1" applyBorder="1" applyAlignment="1">
      <alignment horizontal="center" vertical="center"/>
    </xf>
    <xf numFmtId="0" fontId="19" fillId="13" borderId="23" xfId="0" applyFont="1" applyFill="1" applyBorder="1" applyAlignment="1">
      <alignment horizontal="center" vertical="center"/>
    </xf>
    <xf numFmtId="0" fontId="20" fillId="13" borderId="26" xfId="0" applyFont="1" applyFill="1" applyBorder="1" applyAlignment="1">
      <alignment horizontal="center" vertical="center" wrapText="1"/>
    </xf>
    <xf numFmtId="0" fontId="19" fillId="13" borderId="3" xfId="0" applyFont="1" applyFill="1" applyBorder="1" applyAlignment="1">
      <alignment horizontal="center" vertical="center"/>
    </xf>
    <xf numFmtId="0" fontId="19" fillId="13" borderId="0" xfId="0" applyFont="1" applyFill="1" applyAlignment="1">
      <alignment horizontal="center" vertical="center"/>
    </xf>
    <xf numFmtId="0" fontId="19" fillId="13" borderId="7" xfId="0" applyFont="1" applyFill="1" applyBorder="1" applyAlignment="1">
      <alignment horizontal="center" vertical="center"/>
    </xf>
    <xf numFmtId="0" fontId="19" fillId="13" borderId="9" xfId="0" applyFont="1" applyFill="1" applyBorder="1" applyAlignment="1">
      <alignment horizontal="center" vertical="center"/>
    </xf>
    <xf numFmtId="166" fontId="70" fillId="2" borderId="55" xfId="0" applyNumberFormat="1" applyFont="1" applyFill="1" applyBorder="1" applyAlignment="1" applyProtection="1">
      <alignment horizontal="center" vertical="center"/>
      <protection locked="0"/>
    </xf>
    <xf numFmtId="166" fontId="70" fillId="2" borderId="37" xfId="0" applyNumberFormat="1" applyFont="1" applyFill="1" applyBorder="1" applyAlignment="1" applyProtection="1">
      <alignment horizontal="center" vertical="center"/>
      <protection locked="0"/>
    </xf>
    <xf numFmtId="166" fontId="70" fillId="2" borderId="44" xfId="0" applyNumberFormat="1" applyFont="1" applyFill="1" applyBorder="1" applyAlignment="1" applyProtection="1">
      <alignment horizontal="center" vertical="center"/>
      <protection locked="0"/>
    </xf>
    <xf numFmtId="166" fontId="70" fillId="2" borderId="20" xfId="0" applyNumberFormat="1" applyFont="1" applyFill="1" applyBorder="1" applyAlignment="1" applyProtection="1">
      <alignment horizontal="center" vertical="center" wrapText="1"/>
      <protection locked="0"/>
    </xf>
    <xf numFmtId="166" fontId="70" fillId="2" borderId="18" xfId="0" applyNumberFormat="1" applyFont="1" applyFill="1" applyBorder="1" applyAlignment="1" applyProtection="1">
      <alignment horizontal="center" vertical="center" wrapText="1"/>
      <protection locked="0"/>
    </xf>
    <xf numFmtId="0" fontId="22" fillId="2" borderId="0" xfId="0" applyFont="1" applyFill="1" applyAlignment="1">
      <alignment horizontal="center" vertical="center" wrapText="1"/>
    </xf>
    <xf numFmtId="20" fontId="22" fillId="2" borderId="0" xfId="0" applyNumberFormat="1" applyFont="1" applyFill="1" applyAlignment="1">
      <alignment horizontal="center" vertical="center" wrapText="1"/>
    </xf>
    <xf numFmtId="0" fontId="19" fillId="14" borderId="1" xfId="0" applyFont="1" applyFill="1" applyBorder="1" applyAlignment="1">
      <alignment horizontal="center" vertical="center" wrapText="1"/>
    </xf>
    <xf numFmtId="0" fontId="19" fillId="14" borderId="2" xfId="0" applyFont="1" applyFill="1" applyBorder="1" applyAlignment="1">
      <alignment horizontal="center" vertical="center" wrapText="1"/>
    </xf>
    <xf numFmtId="0" fontId="19" fillId="14" borderId="5" xfId="0" applyFont="1" applyFill="1" applyBorder="1" applyAlignment="1">
      <alignment horizontal="center" vertical="center" wrapText="1"/>
    </xf>
    <xf numFmtId="0" fontId="19" fillId="14" borderId="7" xfId="0" applyFont="1" applyFill="1" applyBorder="1" applyAlignment="1">
      <alignment horizontal="center" vertical="center" wrapText="1"/>
    </xf>
    <xf numFmtId="0" fontId="19" fillId="14" borderId="8" xfId="0" applyFont="1" applyFill="1" applyBorder="1" applyAlignment="1">
      <alignment horizontal="center" vertical="center" wrapText="1"/>
    </xf>
    <xf numFmtId="0" fontId="19" fillId="14" borderId="9" xfId="0" applyFont="1" applyFill="1" applyBorder="1" applyAlignment="1">
      <alignment horizontal="center" vertical="center" wrapText="1"/>
    </xf>
    <xf numFmtId="166" fontId="19" fillId="2" borderId="20" xfId="0" applyNumberFormat="1" applyFont="1" applyFill="1" applyBorder="1" applyAlignment="1" applyProtection="1">
      <alignment horizontal="center"/>
      <protection locked="0"/>
    </xf>
    <xf numFmtId="166" fontId="19" fillId="2" borderId="19" xfId="0" applyNumberFormat="1" applyFont="1" applyFill="1" applyBorder="1" applyAlignment="1" applyProtection="1">
      <alignment horizontal="center"/>
      <protection locked="0"/>
    </xf>
    <xf numFmtId="166" fontId="19" fillId="2" borderId="18" xfId="0" applyNumberFormat="1" applyFont="1" applyFill="1" applyBorder="1" applyAlignment="1" applyProtection="1">
      <alignment horizontal="center"/>
      <protection locked="0"/>
    </xf>
    <xf numFmtId="0" fontId="88" fillId="0" borderId="39" xfId="4" applyFont="1" applyBorder="1" applyAlignment="1" applyProtection="1">
      <alignment horizontal="center"/>
      <protection hidden="1"/>
    </xf>
    <xf numFmtId="0" fontId="88" fillId="0" borderId="26" xfId="4" applyFont="1" applyBorder="1" applyAlignment="1" applyProtection="1">
      <alignment horizontal="center"/>
      <protection hidden="1"/>
    </xf>
    <xf numFmtId="0" fontId="88" fillId="0" borderId="35" xfId="4" applyFont="1" applyBorder="1" applyAlignment="1" applyProtection="1">
      <alignment horizontal="center"/>
      <protection hidden="1"/>
    </xf>
    <xf numFmtId="1" fontId="19" fillId="2" borderId="20" xfId="0" applyNumberFormat="1" applyFont="1" applyFill="1" applyBorder="1" applyAlignment="1" applyProtection="1">
      <alignment horizontal="center" vertical="center"/>
      <protection locked="0"/>
    </xf>
    <xf numFmtId="1" fontId="19" fillId="2" borderId="18" xfId="0" applyNumberFormat="1" applyFont="1" applyFill="1" applyBorder="1" applyAlignment="1" applyProtection="1">
      <alignment horizontal="center" vertical="center"/>
      <protection locked="0"/>
    </xf>
    <xf numFmtId="168" fontId="19" fillId="15" borderId="74" xfId="0" applyNumberFormat="1" applyFont="1" applyFill="1" applyBorder="1" applyAlignment="1">
      <alignment horizontal="center" vertical="center"/>
    </xf>
    <xf numFmtId="168" fontId="19" fillId="15" borderId="67" xfId="0" applyNumberFormat="1" applyFont="1" applyFill="1" applyBorder="1" applyAlignment="1">
      <alignment horizontal="center" vertical="center"/>
    </xf>
    <xf numFmtId="168" fontId="19" fillId="15" borderId="62" xfId="0" applyNumberFormat="1" applyFont="1" applyFill="1" applyBorder="1" applyAlignment="1">
      <alignment horizontal="center" vertical="center"/>
    </xf>
    <xf numFmtId="168" fontId="19" fillId="15" borderId="70" xfId="0" applyNumberFormat="1" applyFont="1" applyFill="1" applyBorder="1" applyAlignment="1">
      <alignment horizontal="center" vertical="center"/>
    </xf>
    <xf numFmtId="168" fontId="19" fillId="15" borderId="72" xfId="0" applyNumberFormat="1" applyFont="1" applyFill="1" applyBorder="1" applyAlignment="1">
      <alignment horizontal="center" vertical="center"/>
    </xf>
    <xf numFmtId="168" fontId="19" fillId="15" borderId="63" xfId="0" applyNumberFormat="1" applyFont="1" applyFill="1" applyBorder="1" applyAlignment="1">
      <alignment horizontal="center" vertical="center"/>
    </xf>
    <xf numFmtId="0" fontId="19" fillId="2" borderId="0" xfId="0" applyFont="1" applyFill="1" applyAlignment="1">
      <alignment horizontal="left"/>
    </xf>
    <xf numFmtId="0" fontId="8" fillId="0" borderId="21" xfId="0" applyFont="1" applyBorder="1" applyAlignment="1">
      <alignment horizontal="center" vertical="center" wrapText="1"/>
    </xf>
    <xf numFmtId="0" fontId="75" fillId="13" borderId="21" xfId="0" applyFont="1" applyFill="1" applyBorder="1" applyAlignment="1">
      <alignment horizontal="center" vertical="center" wrapText="1"/>
    </xf>
    <xf numFmtId="165" fontId="19" fillId="2" borderId="20" xfId="0" applyNumberFormat="1" applyFont="1" applyFill="1" applyBorder="1" applyAlignment="1" applyProtection="1">
      <alignment horizontal="center" vertical="center" wrapText="1"/>
      <protection locked="0"/>
    </xf>
    <xf numFmtId="165" fontId="19" fillId="2" borderId="18" xfId="0" applyNumberFormat="1" applyFont="1" applyFill="1" applyBorder="1" applyAlignment="1" applyProtection="1">
      <alignment horizontal="center" vertical="center" wrapText="1"/>
      <protection locked="0"/>
    </xf>
    <xf numFmtId="165" fontId="19" fillId="2" borderId="55" xfId="0" applyNumberFormat="1" applyFont="1" applyFill="1" applyBorder="1" applyAlignment="1" applyProtection="1">
      <alignment horizontal="center" vertical="center"/>
      <protection locked="0"/>
    </xf>
    <xf numFmtId="165" fontId="19" fillId="2" borderId="37" xfId="0" applyNumberFormat="1" applyFont="1" applyFill="1" applyBorder="1" applyAlignment="1" applyProtection="1">
      <alignment horizontal="center" vertical="center"/>
      <protection locked="0"/>
    </xf>
    <xf numFmtId="165" fontId="19" fillId="2" borderId="44" xfId="0" applyNumberFormat="1" applyFont="1" applyFill="1" applyBorder="1" applyAlignment="1" applyProtection="1">
      <alignment horizontal="center" vertical="center"/>
      <protection locked="0"/>
    </xf>
    <xf numFmtId="0" fontId="19" fillId="13" borderId="1" xfId="0" applyFont="1" applyFill="1" applyBorder="1" applyAlignment="1">
      <alignment horizontal="center" vertical="center"/>
    </xf>
    <xf numFmtId="0" fontId="19" fillId="13" borderId="2" xfId="0" applyFont="1" applyFill="1" applyBorder="1" applyAlignment="1">
      <alignment horizontal="center" vertical="center"/>
    </xf>
    <xf numFmtId="0" fontId="19" fillId="2" borderId="19" xfId="0" applyFont="1" applyFill="1" applyBorder="1" applyAlignment="1" applyProtection="1">
      <alignment horizontal="center" vertical="center"/>
      <protection locked="0"/>
    </xf>
    <xf numFmtId="165" fontId="19" fillId="2" borderId="19" xfId="0" applyNumberFormat="1" applyFont="1" applyFill="1" applyBorder="1" applyAlignment="1" applyProtection="1">
      <alignment horizontal="center" vertical="center" wrapText="1"/>
      <protection locked="0"/>
    </xf>
    <xf numFmtId="0" fontId="19" fillId="13" borderId="39" xfId="0" applyFont="1" applyFill="1" applyBorder="1" applyAlignment="1">
      <alignment horizontal="center" wrapText="1"/>
    </xf>
    <xf numFmtId="0" fontId="22" fillId="14" borderId="21" xfId="0" applyFont="1" applyFill="1" applyBorder="1" applyAlignment="1">
      <alignment horizontal="center" vertical="center" wrapText="1"/>
    </xf>
    <xf numFmtId="0" fontId="22" fillId="14" borderId="23" xfId="0" applyFont="1" applyFill="1" applyBorder="1" applyAlignment="1">
      <alignment horizontal="center" vertical="center" wrapText="1"/>
    </xf>
    <xf numFmtId="168" fontId="19" fillId="15" borderId="64" xfId="0" applyNumberFormat="1" applyFont="1" applyFill="1" applyBorder="1" applyAlignment="1">
      <alignment horizontal="center" vertical="center"/>
    </xf>
    <xf numFmtId="168" fontId="19" fillId="15" borderId="65" xfId="0" applyNumberFormat="1" applyFont="1" applyFill="1" applyBorder="1" applyAlignment="1">
      <alignment horizontal="center" vertical="center"/>
    </xf>
    <xf numFmtId="168" fontId="19" fillId="15" borderId="66" xfId="0" applyNumberFormat="1" applyFont="1" applyFill="1" applyBorder="1" applyAlignment="1">
      <alignment horizontal="center" vertical="center"/>
    </xf>
    <xf numFmtId="168" fontId="19" fillId="15" borderId="68" xfId="0" applyNumberFormat="1" applyFont="1" applyFill="1" applyBorder="1" applyAlignment="1">
      <alignment horizontal="center" vertical="center"/>
    </xf>
    <xf numFmtId="168" fontId="19" fillId="15" borderId="69" xfId="0" applyNumberFormat="1" applyFont="1" applyFill="1" applyBorder="1" applyAlignment="1">
      <alignment horizontal="center" vertical="center"/>
    </xf>
    <xf numFmtId="165" fontId="19" fillId="2" borderId="20" xfId="0" applyNumberFormat="1" applyFont="1" applyFill="1" applyBorder="1" applyAlignment="1" applyProtection="1">
      <alignment horizontal="center" vertical="center"/>
      <protection locked="0"/>
    </xf>
    <xf numFmtId="165" fontId="19" fillId="2" borderId="18" xfId="0" applyNumberFormat="1" applyFont="1" applyFill="1" applyBorder="1" applyAlignment="1" applyProtection="1">
      <alignment horizontal="center" vertical="center"/>
      <protection locked="0"/>
    </xf>
    <xf numFmtId="0" fontId="19" fillId="13" borderId="36" xfId="0" applyFont="1" applyFill="1" applyBorder="1" applyAlignment="1">
      <alignment horizontal="center" vertical="center"/>
    </xf>
    <xf numFmtId="166" fontId="19" fillId="2" borderId="55" xfId="0" applyNumberFormat="1" applyFont="1" applyFill="1" applyBorder="1" applyAlignment="1" applyProtection="1">
      <alignment horizontal="center" vertical="center"/>
      <protection locked="0"/>
    </xf>
    <xf numFmtId="166" fontId="19" fillId="2" borderId="37" xfId="0" applyNumberFormat="1" applyFont="1" applyFill="1" applyBorder="1" applyAlignment="1" applyProtection="1">
      <alignment horizontal="center" vertical="center"/>
      <protection locked="0"/>
    </xf>
    <xf numFmtId="166" fontId="19" fillId="2" borderId="44" xfId="0" applyNumberFormat="1" applyFont="1" applyFill="1" applyBorder="1" applyAlignment="1" applyProtection="1">
      <alignment horizontal="center" vertical="center"/>
      <protection locked="0"/>
    </xf>
    <xf numFmtId="0" fontId="19" fillId="2" borderId="25" xfId="0" applyFont="1" applyFill="1" applyBorder="1" applyAlignment="1" applyProtection="1">
      <alignment horizontal="center" vertical="center"/>
      <protection locked="0"/>
    </xf>
    <xf numFmtId="0" fontId="22" fillId="2" borderId="23" xfId="0" applyFont="1" applyFill="1" applyBorder="1" applyAlignment="1">
      <alignment horizontal="center" vertical="center"/>
    </xf>
    <xf numFmtId="0" fontId="22" fillId="2" borderId="4" xfId="0" applyFont="1" applyFill="1" applyBorder="1" applyAlignment="1">
      <alignment horizontal="center" vertical="center"/>
    </xf>
    <xf numFmtId="0" fontId="20" fillId="14" borderId="21" xfId="0" applyFont="1" applyFill="1" applyBorder="1" applyAlignment="1">
      <alignment horizontal="center"/>
    </xf>
    <xf numFmtId="1" fontId="19" fillId="8" borderId="7" xfId="0" applyNumberFormat="1" applyFont="1" applyFill="1" applyBorder="1" applyAlignment="1">
      <alignment horizontal="center" vertical="center"/>
    </xf>
    <xf numFmtId="1" fontId="19" fillId="8" borderId="60" xfId="0" applyNumberFormat="1" applyFont="1" applyFill="1" applyBorder="1" applyAlignment="1">
      <alignment horizontal="center" vertical="center"/>
    </xf>
    <xf numFmtId="0" fontId="20" fillId="19" borderId="55" xfId="0" applyFont="1" applyFill="1" applyBorder="1" applyAlignment="1">
      <alignment horizontal="center" vertical="center" wrapText="1"/>
    </xf>
    <xf numFmtId="0" fontId="20" fillId="19" borderId="37" xfId="0" applyFont="1" applyFill="1" applyBorder="1" applyAlignment="1">
      <alignment horizontal="center" vertical="center" wrapText="1"/>
    </xf>
    <xf numFmtId="0" fontId="20" fillId="19" borderId="80" xfId="0" applyFont="1" applyFill="1" applyBorder="1" applyAlignment="1">
      <alignment horizontal="center" vertical="center" wrapText="1"/>
    </xf>
    <xf numFmtId="166" fontId="20" fillId="2" borderId="20" xfId="0" applyNumberFormat="1" applyFont="1" applyFill="1" applyBorder="1" applyAlignment="1">
      <alignment horizontal="center" vertical="center"/>
    </xf>
    <xf numFmtId="166" fontId="20" fillId="2" borderId="19" xfId="0" applyNumberFormat="1" applyFont="1" applyFill="1" applyBorder="1" applyAlignment="1">
      <alignment horizontal="center" vertical="center"/>
    </xf>
    <xf numFmtId="166" fontId="20" fillId="2" borderId="18" xfId="0" applyNumberFormat="1" applyFont="1" applyFill="1" applyBorder="1" applyAlignment="1">
      <alignment horizontal="center" vertical="center"/>
    </xf>
    <xf numFmtId="0" fontId="19" fillId="19" borderId="16" xfId="0" applyFont="1" applyFill="1" applyBorder="1" applyAlignment="1">
      <alignment horizontal="center" vertical="center"/>
    </xf>
    <xf numFmtId="0" fontId="19" fillId="19" borderId="17" xfId="0" applyFont="1" applyFill="1" applyBorder="1" applyAlignment="1">
      <alignment horizontal="center" vertical="center"/>
    </xf>
    <xf numFmtId="0" fontId="19" fillId="2" borderId="0" xfId="0" applyFont="1" applyFill="1" applyAlignment="1">
      <alignment horizontal="center"/>
    </xf>
    <xf numFmtId="166" fontId="20" fillId="9" borderId="55" xfId="0" applyNumberFormat="1" applyFont="1" applyFill="1" applyBorder="1" applyAlignment="1">
      <alignment horizontal="center" vertical="center" wrapText="1"/>
    </xf>
    <xf numFmtId="166" fontId="20" fillId="9" borderId="37" xfId="0" applyNumberFormat="1" applyFont="1" applyFill="1" applyBorder="1" applyAlignment="1">
      <alignment horizontal="center" vertical="center" wrapText="1"/>
    </xf>
    <xf numFmtId="166" fontId="20" fillId="9" borderId="44" xfId="0" applyNumberFormat="1" applyFont="1" applyFill="1" applyBorder="1" applyAlignment="1">
      <alignment horizontal="center" vertical="center" wrapText="1"/>
    </xf>
    <xf numFmtId="2" fontId="19" fillId="15" borderId="64" xfId="0" applyNumberFormat="1" applyFont="1" applyFill="1" applyBorder="1" applyAlignment="1">
      <alignment horizontal="center" vertical="center"/>
    </xf>
    <xf numFmtId="2" fontId="19" fillId="15" borderId="65" xfId="0" applyNumberFormat="1" applyFont="1" applyFill="1" applyBorder="1" applyAlignment="1">
      <alignment horizontal="center" vertical="center"/>
    </xf>
    <xf numFmtId="2" fontId="19" fillId="15" borderId="66" xfId="0" applyNumberFormat="1" applyFont="1" applyFill="1" applyBorder="1" applyAlignment="1">
      <alignment horizontal="center" vertical="center"/>
    </xf>
    <xf numFmtId="0" fontId="19" fillId="13" borderId="55" xfId="0" applyFont="1" applyFill="1" applyBorder="1" applyAlignment="1">
      <alignment horizontal="center" vertical="center" wrapText="1"/>
    </xf>
    <xf numFmtId="0" fontId="19" fillId="13" borderId="37" xfId="0" applyFont="1" applyFill="1" applyBorder="1" applyAlignment="1">
      <alignment horizontal="center" vertical="center" wrapText="1"/>
    </xf>
    <xf numFmtId="0" fontId="19" fillId="13" borderId="44" xfId="0" applyFont="1" applyFill="1" applyBorder="1" applyAlignment="1">
      <alignment horizontal="center" vertical="center" wrapText="1"/>
    </xf>
    <xf numFmtId="166" fontId="19" fillId="13" borderId="0" xfId="0" applyNumberFormat="1" applyFont="1" applyFill="1" applyAlignment="1">
      <alignment horizontal="center" vertical="center" wrapText="1"/>
    </xf>
    <xf numFmtId="0" fontId="19" fillId="13" borderId="36" xfId="0" applyFont="1" applyFill="1" applyBorder="1" applyAlignment="1">
      <alignment horizontal="center" vertical="center" wrapText="1"/>
    </xf>
    <xf numFmtId="0" fontId="19" fillId="13" borderId="4" xfId="0" applyFont="1" applyFill="1" applyBorder="1" applyAlignment="1">
      <alignment horizontal="center" vertical="center" wrapText="1"/>
    </xf>
    <xf numFmtId="165" fontId="19" fillId="2" borderId="23" xfId="0" applyNumberFormat="1" applyFont="1" applyFill="1" applyBorder="1" applyAlignment="1" applyProtection="1">
      <alignment horizontal="center" vertical="center"/>
      <protection locked="0"/>
    </xf>
    <xf numFmtId="165" fontId="19" fillId="2" borderId="4" xfId="0" applyNumberFormat="1" applyFont="1" applyFill="1" applyBorder="1" applyAlignment="1" applyProtection="1">
      <alignment horizontal="center" vertical="center"/>
      <protection locked="0"/>
    </xf>
    <xf numFmtId="0" fontId="20" fillId="9" borderId="23" xfId="0" applyFont="1" applyFill="1" applyBorder="1" applyAlignment="1">
      <alignment horizontal="center" vertical="center"/>
    </xf>
    <xf numFmtId="0" fontId="20" fillId="9" borderId="36" xfId="0" applyFont="1" applyFill="1" applyBorder="1" applyAlignment="1">
      <alignment horizontal="center" vertical="center"/>
    </xf>
    <xf numFmtId="0" fontId="20" fillId="9" borderId="4" xfId="0" applyFont="1" applyFill="1" applyBorder="1" applyAlignment="1">
      <alignment horizontal="center" vertical="center"/>
    </xf>
    <xf numFmtId="0" fontId="20" fillId="2" borderId="13" xfId="0" applyFont="1" applyFill="1" applyBorder="1" applyAlignment="1">
      <alignment horizontal="left" wrapText="1"/>
    </xf>
    <xf numFmtId="0" fontId="20" fillId="2" borderId="0" xfId="0" applyFont="1" applyFill="1" applyAlignment="1">
      <alignment horizontal="left" wrapText="1"/>
    </xf>
    <xf numFmtId="0" fontId="20" fillId="2" borderId="6" xfId="0" applyFont="1" applyFill="1" applyBorder="1" applyAlignment="1">
      <alignment horizontal="left" wrapText="1"/>
    </xf>
    <xf numFmtId="0" fontId="19" fillId="2" borderId="13" xfId="0" applyFont="1" applyFill="1" applyBorder="1" applyAlignment="1">
      <alignment horizontal="center"/>
    </xf>
    <xf numFmtId="0" fontId="19" fillId="2" borderId="6" xfId="0" applyFont="1" applyFill="1" applyBorder="1" applyAlignment="1">
      <alignment horizontal="center"/>
    </xf>
    <xf numFmtId="1" fontId="19" fillId="2" borderId="55" xfId="0" applyNumberFormat="1" applyFont="1" applyFill="1" applyBorder="1" applyAlignment="1" applyProtection="1">
      <alignment horizontal="center" vertical="center" wrapText="1"/>
      <protection locked="0"/>
    </xf>
    <xf numFmtId="1" fontId="19" fillId="2" borderId="37" xfId="0" applyNumberFormat="1" applyFont="1" applyFill="1" applyBorder="1" applyAlignment="1" applyProtection="1">
      <alignment horizontal="center" vertical="center" wrapText="1"/>
      <protection locked="0"/>
    </xf>
    <xf numFmtId="1" fontId="19" fillId="2" borderId="44" xfId="0" applyNumberFormat="1" applyFont="1" applyFill="1" applyBorder="1" applyAlignment="1" applyProtection="1">
      <alignment horizontal="center" vertical="center" wrapText="1"/>
      <protection locked="0"/>
    </xf>
    <xf numFmtId="0" fontId="20" fillId="13" borderId="39" xfId="0" applyFont="1" applyFill="1" applyBorder="1" applyAlignment="1">
      <alignment horizontal="center" vertical="center"/>
    </xf>
    <xf numFmtId="165" fontId="19" fillId="8" borderId="0" xfId="0" applyNumberFormat="1" applyFont="1" applyFill="1" applyAlignment="1">
      <alignment horizontal="center" vertical="center"/>
    </xf>
    <xf numFmtId="166" fontId="19" fillId="2" borderId="11" xfId="0" applyNumberFormat="1" applyFont="1" applyFill="1" applyBorder="1" applyAlignment="1">
      <alignment horizontal="center" vertical="center" wrapText="1"/>
    </xf>
    <xf numFmtId="166" fontId="19" fillId="2" borderId="10" xfId="0" applyNumberFormat="1" applyFont="1" applyFill="1" applyBorder="1" applyAlignment="1">
      <alignment horizontal="center" vertical="center" wrapText="1"/>
    </xf>
    <xf numFmtId="166" fontId="19" fillId="2" borderId="12" xfId="0" applyNumberFormat="1" applyFont="1" applyFill="1" applyBorder="1" applyAlignment="1">
      <alignment horizontal="center" vertical="center" wrapText="1"/>
    </xf>
    <xf numFmtId="0" fontId="19" fillId="0" borderId="0" xfId="0" applyFont="1" applyAlignment="1">
      <alignment horizontal="center" vertical="center" wrapText="1"/>
    </xf>
    <xf numFmtId="0" fontId="19" fillId="14" borderId="21" xfId="0" applyFont="1" applyFill="1" applyBorder="1" applyAlignment="1">
      <alignment horizontal="center" vertical="center" wrapText="1"/>
    </xf>
    <xf numFmtId="0" fontId="19" fillId="14" borderId="39" xfId="0" applyFont="1" applyFill="1" applyBorder="1" applyAlignment="1">
      <alignment horizontal="center" vertical="center" wrapText="1"/>
    </xf>
    <xf numFmtId="0" fontId="5" fillId="14" borderId="21" xfId="0" applyFont="1" applyFill="1" applyBorder="1" applyAlignment="1">
      <alignment horizontal="center" vertical="center" wrapText="1"/>
    </xf>
    <xf numFmtId="0" fontId="65" fillId="0" borderId="0" xfId="0" applyFont="1" applyAlignment="1">
      <alignment horizontal="left" vertical="center"/>
    </xf>
    <xf numFmtId="167" fontId="66" fillId="0" borderId="0" xfId="0" applyNumberFormat="1" applyFont="1" applyAlignment="1">
      <alignment horizontal="left" vertical="center" wrapText="1"/>
    </xf>
    <xf numFmtId="0" fontId="66" fillId="0" borderId="0" xfId="0" applyFont="1" applyAlignment="1">
      <alignment horizontal="left" vertical="center" wrapText="1"/>
    </xf>
    <xf numFmtId="0" fontId="19" fillId="13" borderId="2" xfId="0" applyFont="1" applyFill="1" applyBorder="1" applyAlignment="1">
      <alignment horizontal="center"/>
    </xf>
    <xf numFmtId="0" fontId="19" fillId="13" borderId="5" xfId="0" applyFont="1" applyFill="1" applyBorder="1" applyAlignment="1">
      <alignment horizontal="center"/>
    </xf>
    <xf numFmtId="0" fontId="19" fillId="13" borderId="39" xfId="0" applyFont="1" applyFill="1" applyBorder="1" applyAlignment="1">
      <alignment horizontal="center" vertical="center" wrapText="1"/>
    </xf>
    <xf numFmtId="0" fontId="50" fillId="2" borderId="20" xfId="0" applyFont="1" applyFill="1" applyBorder="1" applyAlignment="1" applyProtection="1">
      <alignment horizontal="center" vertical="center" wrapText="1"/>
      <protection locked="0"/>
    </xf>
    <xf numFmtId="0" fontId="50" fillId="2" borderId="18" xfId="0" applyFont="1" applyFill="1" applyBorder="1" applyAlignment="1" applyProtection="1">
      <alignment horizontal="center" vertical="center" wrapText="1"/>
      <protection locked="0"/>
    </xf>
    <xf numFmtId="0" fontId="22" fillId="14" borderId="35" xfId="0" applyFont="1" applyFill="1" applyBorder="1" applyAlignment="1">
      <alignment horizontal="center" vertical="center" wrapText="1"/>
    </xf>
    <xf numFmtId="0" fontId="22" fillId="14" borderId="26" xfId="0" applyFont="1" applyFill="1" applyBorder="1" applyAlignment="1">
      <alignment horizontal="center" vertical="center" wrapText="1"/>
    </xf>
    <xf numFmtId="0" fontId="19" fillId="0" borderId="55" xfId="0" applyFont="1" applyBorder="1" applyAlignment="1" applyProtection="1">
      <alignment horizontal="left" vertical="center"/>
      <protection locked="0"/>
    </xf>
    <xf numFmtId="0" fontId="19" fillId="0" borderId="37" xfId="0" applyFont="1" applyBorder="1" applyAlignment="1" applyProtection="1">
      <alignment horizontal="left" vertical="center"/>
      <protection locked="0"/>
    </xf>
    <xf numFmtId="0" fontId="19" fillId="0" borderId="44" xfId="0" applyFont="1" applyBorder="1" applyAlignment="1" applyProtection="1">
      <alignment horizontal="left" vertical="center"/>
      <protection locked="0"/>
    </xf>
    <xf numFmtId="0" fontId="20" fillId="13" borderId="3" xfId="0" applyFont="1" applyFill="1" applyBorder="1" applyAlignment="1">
      <alignment horizontal="center" vertical="center"/>
    </xf>
    <xf numFmtId="0" fontId="20" fillId="13" borderId="0" xfId="0" applyFont="1" applyFill="1" applyAlignment="1">
      <alignment horizontal="center" vertical="center"/>
    </xf>
    <xf numFmtId="0" fontId="20" fillId="13" borderId="6" xfId="0" applyFont="1" applyFill="1" applyBorder="1" applyAlignment="1">
      <alignment horizontal="center" vertical="center"/>
    </xf>
    <xf numFmtId="0" fontId="20" fillId="14" borderId="21" xfId="0" applyFont="1" applyFill="1" applyBorder="1" applyAlignment="1">
      <alignment horizontal="center" vertical="center"/>
    </xf>
    <xf numFmtId="167" fontId="29" fillId="2" borderId="40" xfId="0" applyNumberFormat="1" applyFont="1" applyFill="1" applyBorder="1" applyAlignment="1">
      <alignment horizontal="center" vertical="center" wrapText="1"/>
    </xf>
    <xf numFmtId="167" fontId="29" fillId="2" borderId="21" xfId="0" applyNumberFormat="1" applyFont="1" applyFill="1" applyBorder="1" applyAlignment="1">
      <alignment horizontal="center" vertical="center" wrapText="1"/>
    </xf>
    <xf numFmtId="167" fontId="29" fillId="2" borderId="41" xfId="0" applyNumberFormat="1" applyFont="1" applyFill="1" applyBorder="1" applyAlignment="1">
      <alignment horizontal="center" vertical="center" wrapText="1"/>
    </xf>
    <xf numFmtId="0" fontId="19" fillId="13" borderId="21" xfId="0" applyFont="1" applyFill="1" applyBorder="1" applyAlignment="1">
      <alignment horizontal="left" vertical="center"/>
    </xf>
    <xf numFmtId="0" fontId="19" fillId="13" borderId="23" xfId="0" applyFont="1" applyFill="1" applyBorder="1" applyAlignment="1">
      <alignment horizontal="left" vertical="center"/>
    </xf>
    <xf numFmtId="0" fontId="19" fillId="0" borderId="20" xfId="0" applyFont="1" applyBorder="1" applyAlignment="1" applyProtection="1">
      <alignment horizontal="left" vertical="center" wrapText="1"/>
      <protection locked="0"/>
    </xf>
    <xf numFmtId="0" fontId="19" fillId="0" borderId="19" xfId="0" applyFont="1" applyBorder="1" applyAlignment="1" applyProtection="1">
      <alignment horizontal="left" vertical="center" wrapText="1"/>
      <protection locked="0"/>
    </xf>
    <xf numFmtId="0" fontId="19" fillId="0" borderId="18" xfId="0" applyFont="1" applyBorder="1" applyAlignment="1" applyProtection="1">
      <alignment horizontal="left" vertical="center" wrapText="1"/>
      <protection locked="0"/>
    </xf>
    <xf numFmtId="0" fontId="19" fillId="0" borderId="20" xfId="0" applyFont="1" applyBorder="1" applyAlignment="1" applyProtection="1">
      <alignment horizontal="left" vertical="center"/>
      <protection locked="0"/>
    </xf>
    <xf numFmtId="0" fontId="19" fillId="0" borderId="19" xfId="0" applyFont="1" applyBorder="1" applyAlignment="1" applyProtection="1">
      <alignment horizontal="left" vertical="center"/>
      <protection locked="0"/>
    </xf>
    <xf numFmtId="0" fontId="19" fillId="0" borderId="18" xfId="0" applyFont="1" applyBorder="1" applyAlignment="1" applyProtection="1">
      <alignment horizontal="left" vertical="center"/>
      <protection locked="0"/>
    </xf>
    <xf numFmtId="0" fontId="19" fillId="0" borderId="55" xfId="0" applyFont="1" applyBorder="1" applyAlignment="1" applyProtection="1">
      <alignment horizontal="center" vertical="center"/>
      <protection locked="0"/>
    </xf>
    <xf numFmtId="0" fontId="19" fillId="0" borderId="37" xfId="0" applyFont="1" applyBorder="1" applyAlignment="1" applyProtection="1">
      <alignment horizontal="center" vertical="center"/>
      <protection locked="0"/>
    </xf>
    <xf numFmtId="0" fontId="19" fillId="0" borderId="44" xfId="0" applyFont="1" applyBorder="1" applyAlignment="1" applyProtection="1">
      <alignment horizontal="center" vertical="center"/>
      <protection locked="0"/>
    </xf>
    <xf numFmtId="0" fontId="19" fillId="13" borderId="21" xfId="0" applyFont="1" applyFill="1" applyBorder="1" applyAlignment="1">
      <alignment horizontal="left" vertical="center" wrapText="1"/>
    </xf>
    <xf numFmtId="0" fontId="19" fillId="13" borderId="23" xfId="0" applyFont="1" applyFill="1" applyBorder="1" applyAlignment="1">
      <alignment horizontal="left" vertical="center" wrapText="1"/>
    </xf>
    <xf numFmtId="0" fontId="20" fillId="14" borderId="23" xfId="0" applyFont="1" applyFill="1" applyBorder="1" applyAlignment="1">
      <alignment horizontal="center" vertical="center"/>
    </xf>
    <xf numFmtId="0" fontId="20" fillId="14" borderId="36" xfId="0" applyFont="1" applyFill="1" applyBorder="1" applyAlignment="1">
      <alignment horizontal="center" vertical="center"/>
    </xf>
    <xf numFmtId="0" fontId="20" fillId="14" borderId="4" xfId="0" applyFont="1" applyFill="1" applyBorder="1" applyAlignment="1">
      <alignment horizontal="center" vertical="center"/>
    </xf>
    <xf numFmtId="0" fontId="19" fillId="13" borderId="36" xfId="0" applyFont="1" applyFill="1" applyBorder="1" applyAlignment="1">
      <alignment horizontal="left" vertical="center" wrapText="1"/>
    </xf>
    <xf numFmtId="0" fontId="19" fillId="0" borderId="29" xfId="0" applyFont="1" applyBorder="1" applyAlignment="1">
      <alignment horizontal="center" vertical="center"/>
    </xf>
    <xf numFmtId="0" fontId="19" fillId="0" borderId="24" xfId="0" applyFont="1" applyBorder="1" applyAlignment="1">
      <alignment horizontal="center" vertical="center"/>
    </xf>
    <xf numFmtId="0" fontId="19" fillId="0" borderId="30" xfId="0" applyFont="1" applyBorder="1" applyAlignment="1">
      <alignment horizontal="center" vertical="center"/>
    </xf>
    <xf numFmtId="2" fontId="19" fillId="2" borderId="15" xfId="0" applyNumberFormat="1" applyFont="1" applyFill="1" applyBorder="1" applyAlignment="1" applyProtection="1">
      <alignment horizontal="center" vertical="center"/>
      <protection locked="0"/>
    </xf>
    <xf numFmtId="2" fontId="19" fillId="2" borderId="17" xfId="0" applyNumberFormat="1" applyFont="1" applyFill="1" applyBorder="1" applyAlignment="1" applyProtection="1">
      <alignment horizontal="center" vertical="center"/>
      <protection locked="0"/>
    </xf>
    <xf numFmtId="0" fontId="19" fillId="13" borderId="5" xfId="0" applyFont="1" applyFill="1" applyBorder="1" applyAlignment="1">
      <alignment horizontal="center" vertical="center"/>
    </xf>
    <xf numFmtId="0" fontId="20" fillId="14" borderId="23" xfId="0" applyFont="1" applyFill="1" applyBorder="1" applyAlignment="1">
      <alignment horizontal="center" vertical="center" wrapText="1"/>
    </xf>
    <xf numFmtId="0" fontId="20" fillId="14" borderId="36" xfId="0" applyFont="1" applyFill="1" applyBorder="1" applyAlignment="1">
      <alignment horizontal="center" vertical="center" wrapText="1"/>
    </xf>
    <xf numFmtId="0" fontId="20" fillId="14" borderId="4" xfId="0" applyFont="1" applyFill="1" applyBorder="1" applyAlignment="1">
      <alignment horizontal="center" vertical="center" wrapText="1"/>
    </xf>
    <xf numFmtId="166" fontId="70" fillId="2" borderId="20" xfId="0" applyNumberFormat="1" applyFont="1" applyFill="1" applyBorder="1" applyAlignment="1" applyProtection="1">
      <alignment horizontal="center" vertical="center"/>
      <protection locked="0"/>
    </xf>
    <xf numFmtId="166" fontId="70" fillId="2" borderId="19" xfId="0" applyNumberFormat="1" applyFont="1" applyFill="1" applyBorder="1" applyAlignment="1" applyProtection="1">
      <alignment horizontal="center" vertical="center"/>
      <protection locked="0"/>
    </xf>
    <xf numFmtId="166" fontId="70" fillId="2" borderId="18" xfId="0" applyNumberFormat="1" applyFont="1" applyFill="1" applyBorder="1" applyAlignment="1" applyProtection="1">
      <alignment horizontal="center" vertical="center"/>
      <protection locked="0"/>
    </xf>
    <xf numFmtId="0" fontId="19" fillId="2" borderId="76" xfId="0" applyFont="1" applyFill="1" applyBorder="1" applyAlignment="1" applyProtection="1">
      <alignment horizontal="center" vertical="center"/>
      <protection locked="0"/>
    </xf>
    <xf numFmtId="0" fontId="19" fillId="2" borderId="37" xfId="0" applyFont="1" applyFill="1" applyBorder="1" applyAlignment="1" applyProtection="1">
      <alignment horizontal="center" vertical="center"/>
      <protection locked="0"/>
    </xf>
    <xf numFmtId="0" fontId="19" fillId="2" borderId="44" xfId="0" applyFont="1" applyFill="1" applyBorder="1" applyAlignment="1" applyProtection="1">
      <alignment horizontal="center" vertical="center"/>
      <protection locked="0"/>
    </xf>
    <xf numFmtId="0" fontId="19" fillId="2" borderId="20" xfId="0" applyFont="1" applyFill="1" applyBorder="1" applyAlignment="1" applyProtection="1">
      <alignment horizontal="center" vertical="center" wrapText="1"/>
      <protection locked="0"/>
    </xf>
    <xf numFmtId="0" fontId="19" fillId="2" borderId="19" xfId="0" applyFont="1" applyFill="1" applyBorder="1" applyAlignment="1" applyProtection="1">
      <alignment horizontal="center" vertical="center" wrapText="1"/>
      <protection locked="0"/>
    </xf>
    <xf numFmtId="0" fontId="19" fillId="2" borderId="18" xfId="0" applyFont="1" applyFill="1" applyBorder="1" applyAlignment="1" applyProtection="1">
      <alignment horizontal="center" vertical="center" wrapText="1"/>
      <protection locked="0"/>
    </xf>
    <xf numFmtId="0" fontId="19" fillId="2" borderId="55" xfId="0" applyFont="1" applyFill="1" applyBorder="1" applyAlignment="1" applyProtection="1">
      <alignment horizontal="center" vertical="center"/>
      <protection locked="0"/>
    </xf>
    <xf numFmtId="0" fontId="20" fillId="14" borderId="35" xfId="0" applyFont="1" applyFill="1" applyBorder="1" applyAlignment="1">
      <alignment horizontal="center" vertical="center"/>
    </xf>
    <xf numFmtId="0" fontId="20" fillId="13" borderId="3" xfId="0" applyFont="1" applyFill="1" applyBorder="1" applyAlignment="1">
      <alignment horizontal="left" vertical="center"/>
    </xf>
    <xf numFmtId="0" fontId="20" fillId="13" borderId="0" xfId="0" applyFont="1" applyFill="1" applyAlignment="1">
      <alignment horizontal="left" vertical="center"/>
    </xf>
    <xf numFmtId="0" fontId="20" fillId="13" borderId="6" xfId="0" applyFont="1" applyFill="1" applyBorder="1" applyAlignment="1">
      <alignment horizontal="left" vertical="center"/>
    </xf>
    <xf numFmtId="0" fontId="20" fillId="13" borderId="7" xfId="0" applyFont="1" applyFill="1" applyBorder="1" applyAlignment="1">
      <alignment horizontal="left" vertical="center"/>
    </xf>
    <xf numFmtId="0" fontId="20" fillId="13" borderId="8" xfId="0" applyFont="1" applyFill="1" applyBorder="1" applyAlignment="1">
      <alignment horizontal="left" vertical="center"/>
    </xf>
    <xf numFmtId="0" fontId="20" fillId="13" borderId="9" xfId="0" applyFont="1" applyFill="1" applyBorder="1" applyAlignment="1">
      <alignment horizontal="left" vertical="center"/>
    </xf>
    <xf numFmtId="0" fontId="19" fillId="2" borderId="0" xfId="0" applyFont="1" applyFill="1" applyAlignment="1">
      <alignment horizontal="left" vertical="center"/>
    </xf>
    <xf numFmtId="0" fontId="19" fillId="13" borderId="9" xfId="0" applyFont="1" applyFill="1" applyBorder="1" applyAlignment="1">
      <alignment horizontal="left" vertical="center"/>
    </xf>
    <xf numFmtId="0" fontId="19" fillId="13" borderId="7" xfId="0" applyFont="1" applyFill="1" applyBorder="1" applyAlignment="1">
      <alignment horizontal="left" vertical="center"/>
    </xf>
    <xf numFmtId="0" fontId="19" fillId="13" borderId="35" xfId="0" applyFont="1" applyFill="1" applyBorder="1" applyAlignment="1">
      <alignment horizontal="left" vertical="center"/>
    </xf>
    <xf numFmtId="0" fontId="19" fillId="2" borderId="0" xfId="0" applyFont="1" applyFill="1" applyAlignment="1">
      <alignment horizontal="center" vertical="center"/>
    </xf>
    <xf numFmtId="0" fontId="20" fillId="14" borderId="21" xfId="0" applyFont="1" applyFill="1" applyBorder="1" applyAlignment="1">
      <alignment horizontal="center" vertical="center" wrapText="1"/>
    </xf>
    <xf numFmtId="165" fontId="104" fillId="2" borderId="36" xfId="0" applyNumberFormat="1" applyFont="1" applyFill="1" applyBorder="1" applyAlignment="1">
      <alignment horizontal="center" vertical="center"/>
    </xf>
    <xf numFmtId="165" fontId="104" fillId="2" borderId="0" xfId="0" applyNumberFormat="1" applyFont="1" applyFill="1" applyAlignment="1">
      <alignment horizontal="center" vertical="center"/>
    </xf>
    <xf numFmtId="0" fontId="64" fillId="0" borderId="0" xfId="0" applyFont="1" applyAlignment="1">
      <alignment horizontal="center" vertical="center"/>
    </xf>
    <xf numFmtId="0" fontId="22" fillId="14" borderId="21" xfId="0" applyFont="1" applyFill="1" applyBorder="1" applyAlignment="1">
      <alignment horizontal="left" vertical="center" wrapText="1"/>
    </xf>
    <xf numFmtId="0" fontId="22" fillId="14" borderId="39" xfId="0" applyFont="1" applyFill="1" applyBorder="1" applyAlignment="1">
      <alignment horizontal="left" vertical="center" wrapText="1"/>
    </xf>
    <xf numFmtId="0" fontId="22" fillId="14" borderId="1" xfId="0" applyFont="1" applyFill="1" applyBorder="1" applyAlignment="1">
      <alignment horizontal="left" vertical="center" wrapText="1"/>
    </xf>
    <xf numFmtId="0" fontId="20" fillId="2" borderId="0" xfId="0" applyFont="1" applyFill="1" applyAlignment="1">
      <alignment horizontal="center"/>
    </xf>
    <xf numFmtId="0" fontId="19" fillId="2" borderId="10" xfId="0" applyFont="1" applyFill="1" applyBorder="1" applyAlignment="1">
      <alignment horizontal="center"/>
    </xf>
    <xf numFmtId="0" fontId="104" fillId="2" borderId="10" xfId="0" applyFont="1" applyFill="1" applyBorder="1" applyAlignment="1">
      <alignment horizontal="center" vertical="center"/>
    </xf>
    <xf numFmtId="0" fontId="19" fillId="2" borderId="29" xfId="0" applyFont="1" applyFill="1" applyBorder="1" applyAlignment="1" applyProtection="1">
      <alignment horizontal="left"/>
      <protection locked="0"/>
    </xf>
    <xf numFmtId="0" fontId="19" fillId="2" borderId="24" xfId="0" applyFont="1" applyFill="1" applyBorder="1" applyAlignment="1" applyProtection="1">
      <alignment horizontal="left"/>
      <protection locked="0"/>
    </xf>
    <xf numFmtId="0" fontId="19" fillId="2" borderId="30" xfId="0" applyFont="1" applyFill="1" applyBorder="1" applyAlignment="1" applyProtection="1">
      <alignment horizontal="left"/>
      <protection locked="0"/>
    </xf>
    <xf numFmtId="0" fontId="20" fillId="14" borderId="42" xfId="0" applyFont="1" applyFill="1" applyBorder="1" applyAlignment="1">
      <alignment horizontal="left"/>
    </xf>
    <xf numFmtId="0" fontId="20" fillId="14" borderId="53" xfId="0" applyFont="1" applyFill="1" applyBorder="1" applyAlignment="1">
      <alignment horizontal="left"/>
    </xf>
    <xf numFmtId="0" fontId="20" fillId="14" borderId="54" xfId="0" applyFont="1" applyFill="1" applyBorder="1" applyAlignment="1">
      <alignment horizontal="left"/>
    </xf>
    <xf numFmtId="0" fontId="20" fillId="13" borderId="4" xfId="0" applyFont="1" applyFill="1" applyBorder="1" applyAlignment="1">
      <alignment horizontal="center" vertical="center"/>
    </xf>
    <xf numFmtId="0" fontId="20" fillId="13" borderId="21" xfId="0" applyFont="1" applyFill="1" applyBorder="1" applyAlignment="1">
      <alignment horizontal="center" vertical="center"/>
    </xf>
    <xf numFmtId="0" fontId="20" fillId="13" borderId="23" xfId="0" applyFont="1" applyFill="1" applyBorder="1" applyAlignment="1">
      <alignment horizontal="center" vertical="center"/>
    </xf>
    <xf numFmtId="0" fontId="20" fillId="13" borderId="2" xfId="0" applyFont="1" applyFill="1" applyBorder="1" applyAlignment="1">
      <alignment horizontal="center" vertical="center"/>
    </xf>
    <xf numFmtId="0" fontId="20" fillId="13" borderId="71" xfId="0" applyFont="1" applyFill="1" applyBorder="1" applyAlignment="1">
      <alignment horizontal="center" vertical="center"/>
    </xf>
    <xf numFmtId="1" fontId="19" fillId="8" borderId="3" xfId="0" applyNumberFormat="1" applyFont="1" applyFill="1" applyBorder="1" applyAlignment="1">
      <alignment horizontal="center" vertical="center"/>
    </xf>
    <xf numFmtId="1" fontId="19" fillId="8" borderId="14" xfId="0" applyNumberFormat="1" applyFont="1" applyFill="1" applyBorder="1" applyAlignment="1">
      <alignment horizontal="center" vertical="center"/>
    </xf>
    <xf numFmtId="0" fontId="19" fillId="2" borderId="15" xfId="0" applyFont="1" applyFill="1" applyBorder="1" applyAlignment="1" applyProtection="1">
      <alignment horizontal="center"/>
      <protection locked="0"/>
    </xf>
    <xf numFmtId="0" fontId="19" fillId="2" borderId="16" xfId="0" applyFont="1" applyFill="1" applyBorder="1" applyAlignment="1" applyProtection="1">
      <alignment horizontal="center"/>
      <protection locked="0"/>
    </xf>
    <xf numFmtId="0" fontId="19" fillId="2" borderId="17" xfId="0" applyFont="1" applyFill="1" applyBorder="1" applyAlignment="1" applyProtection="1">
      <alignment horizontal="center"/>
      <protection locked="0"/>
    </xf>
    <xf numFmtId="166" fontId="19" fillId="2" borderId="61" xfId="0" applyNumberFormat="1" applyFont="1" applyFill="1" applyBorder="1" applyAlignment="1" applyProtection="1">
      <alignment horizontal="center" vertical="center"/>
      <protection locked="0"/>
    </xf>
    <xf numFmtId="166" fontId="19" fillId="2" borderId="26" xfId="0" applyNumberFormat="1" applyFont="1" applyFill="1" applyBorder="1" applyAlignment="1" applyProtection="1">
      <alignment horizontal="center" vertical="center"/>
      <protection locked="0"/>
    </xf>
    <xf numFmtId="166" fontId="19" fillId="2" borderId="3" xfId="0" applyNumberFormat="1" applyFont="1" applyFill="1" applyBorder="1" applyAlignment="1" applyProtection="1">
      <alignment horizontal="center" vertical="center"/>
      <protection locked="0"/>
    </xf>
    <xf numFmtId="0" fontId="19" fillId="0" borderId="0" xfId="0" applyFont="1" applyAlignment="1">
      <alignment horizontal="center"/>
    </xf>
    <xf numFmtId="0" fontId="20" fillId="2" borderId="20" xfId="0" applyFont="1" applyFill="1" applyBorder="1" applyAlignment="1">
      <alignment horizontal="left" vertical="center"/>
    </xf>
    <xf numFmtId="0" fontId="20" fillId="2" borderId="19" xfId="0" applyFont="1" applyFill="1" applyBorder="1" applyAlignment="1">
      <alignment horizontal="left" vertical="center"/>
    </xf>
    <xf numFmtId="0" fontId="20" fillId="2" borderId="16" xfId="0" applyFont="1" applyFill="1" applyBorder="1" applyAlignment="1">
      <alignment horizontal="left" vertical="center"/>
    </xf>
    <xf numFmtId="0" fontId="20" fillId="2" borderId="18" xfId="0" applyFont="1" applyFill="1" applyBorder="1" applyAlignment="1">
      <alignment horizontal="left" vertical="center"/>
    </xf>
    <xf numFmtId="0" fontId="20" fillId="13" borderId="36" xfId="0" applyFont="1" applyFill="1" applyBorder="1" applyAlignment="1">
      <alignment horizontal="center" vertical="center"/>
    </xf>
    <xf numFmtId="0" fontId="20" fillId="13" borderId="8" xfId="0" applyFont="1" applyFill="1" applyBorder="1" applyAlignment="1">
      <alignment horizontal="center" vertical="center"/>
    </xf>
    <xf numFmtId="2" fontId="19" fillId="15" borderId="67" xfId="0" applyNumberFormat="1" applyFont="1" applyFill="1" applyBorder="1" applyAlignment="1">
      <alignment horizontal="center" vertical="center"/>
    </xf>
    <xf numFmtId="2" fontId="19" fillId="15" borderId="68" xfId="0" applyNumberFormat="1" applyFont="1" applyFill="1" applyBorder="1" applyAlignment="1">
      <alignment horizontal="center" vertical="center"/>
    </xf>
    <xf numFmtId="2" fontId="19" fillId="15" borderId="69" xfId="0" applyNumberFormat="1" applyFont="1" applyFill="1" applyBorder="1" applyAlignment="1">
      <alignment horizontal="center" vertical="center"/>
    </xf>
    <xf numFmtId="165" fontId="19" fillId="8" borderId="7" xfId="0" applyNumberFormat="1" applyFont="1" applyFill="1" applyBorder="1" applyAlignment="1">
      <alignment horizontal="center" vertical="center"/>
    </xf>
    <xf numFmtId="165" fontId="19" fillId="8" borderId="60" xfId="0" applyNumberFormat="1" applyFont="1" applyFill="1" applyBorder="1" applyAlignment="1">
      <alignment horizontal="center" vertical="center"/>
    </xf>
    <xf numFmtId="0" fontId="25" fillId="2" borderId="0" xfId="0" applyFont="1" applyFill="1" applyAlignment="1">
      <alignment horizontal="center"/>
    </xf>
    <xf numFmtId="0" fontId="30" fillId="26" borderId="0" xfId="0" applyFont="1" applyFill="1" applyAlignment="1">
      <alignment horizontal="center"/>
    </xf>
    <xf numFmtId="0" fontId="19" fillId="14" borderId="21" xfId="0" applyFont="1" applyFill="1" applyBorder="1" applyAlignment="1">
      <alignment horizontal="center" vertical="center"/>
    </xf>
    <xf numFmtId="0" fontId="19" fillId="14" borderId="39" xfId="0" applyFont="1" applyFill="1" applyBorder="1" applyAlignment="1">
      <alignment horizontal="center" vertical="center"/>
    </xf>
    <xf numFmtId="0" fontId="114" fillId="2" borderId="0" xfId="0" applyFont="1" applyFill="1" applyAlignment="1">
      <alignment horizontal="center" vertical="center"/>
    </xf>
    <xf numFmtId="177" fontId="19" fillId="2" borderId="20" xfId="0" applyNumberFormat="1" applyFont="1" applyFill="1" applyBorder="1" applyAlignment="1" applyProtection="1">
      <alignment horizontal="center" vertical="center"/>
      <protection locked="0"/>
    </xf>
    <xf numFmtId="177" fontId="19" fillId="2" borderId="18" xfId="0" applyNumberFormat="1" applyFont="1" applyFill="1" applyBorder="1" applyAlignment="1" applyProtection="1">
      <alignment horizontal="center" vertical="center"/>
      <protection locked="0"/>
    </xf>
    <xf numFmtId="0" fontId="20" fillId="2" borderId="11" xfId="0" applyFont="1" applyFill="1" applyBorder="1" applyAlignment="1">
      <alignment horizontal="center"/>
    </xf>
    <xf numFmtId="0" fontId="20" fillId="2" borderId="10" xfId="0" applyFont="1" applyFill="1" applyBorder="1" applyAlignment="1">
      <alignment horizontal="center"/>
    </xf>
    <xf numFmtId="0" fontId="20" fillId="2" borderId="12" xfId="0" applyFont="1" applyFill="1" applyBorder="1" applyAlignment="1">
      <alignment horizontal="center"/>
    </xf>
    <xf numFmtId="0" fontId="21" fillId="2" borderId="20" xfId="0" applyFont="1" applyFill="1" applyBorder="1" applyAlignment="1" applyProtection="1">
      <alignment horizontal="left" vertical="center"/>
      <protection locked="0"/>
    </xf>
    <xf numFmtId="0" fontId="21" fillId="2" borderId="19" xfId="0" applyFont="1" applyFill="1" applyBorder="1" applyAlignment="1" applyProtection="1">
      <alignment horizontal="left" vertical="center"/>
      <protection locked="0"/>
    </xf>
    <xf numFmtId="0" fontId="21" fillId="2" borderId="18" xfId="0" applyFont="1" applyFill="1" applyBorder="1" applyAlignment="1" applyProtection="1">
      <alignment horizontal="left" vertical="center"/>
      <protection locked="0"/>
    </xf>
    <xf numFmtId="0" fontId="19" fillId="2" borderId="56" xfId="0" applyFont="1" applyFill="1" applyBorder="1" applyAlignment="1" applyProtection="1">
      <alignment horizontal="left"/>
      <protection locked="0"/>
    </xf>
    <xf numFmtId="0" fontId="19" fillId="2" borderId="8" xfId="0" applyFont="1" applyFill="1" applyBorder="1" applyAlignment="1" applyProtection="1">
      <alignment horizontal="left"/>
      <protection locked="0"/>
    </xf>
    <xf numFmtId="0" fontId="19" fillId="2" borderId="60" xfId="0" applyFont="1" applyFill="1" applyBorder="1" applyAlignment="1" applyProtection="1">
      <alignment horizontal="left"/>
      <protection locked="0"/>
    </xf>
    <xf numFmtId="166" fontId="19" fillId="2" borderId="55" xfId="0" applyNumberFormat="1" applyFont="1" applyFill="1" applyBorder="1" applyAlignment="1">
      <alignment horizontal="center" vertical="center"/>
    </xf>
    <xf numFmtId="166" fontId="19" fillId="2" borderId="37" xfId="0" applyNumberFormat="1" applyFont="1" applyFill="1" applyBorder="1" applyAlignment="1">
      <alignment horizontal="center" vertical="center"/>
    </xf>
    <xf numFmtId="166" fontId="19" fillId="2" borderId="44" xfId="0" applyNumberFormat="1" applyFont="1" applyFill="1" applyBorder="1" applyAlignment="1">
      <alignment horizontal="center" vertical="center"/>
    </xf>
    <xf numFmtId="0" fontId="104" fillId="2" borderId="0" xfId="0" applyFont="1" applyFill="1" applyAlignment="1">
      <alignment horizontal="center" vertical="center"/>
    </xf>
    <xf numFmtId="0" fontId="22" fillId="4" borderId="20" xfId="0" applyFont="1" applyFill="1" applyBorder="1" applyAlignment="1" applyProtection="1">
      <alignment horizontal="left"/>
      <protection locked="0"/>
    </xf>
    <xf numFmtId="0" fontId="22" fillId="4" borderId="19" xfId="0" applyFont="1" applyFill="1" applyBorder="1" applyAlignment="1" applyProtection="1">
      <alignment horizontal="left"/>
      <protection locked="0"/>
    </xf>
    <xf numFmtId="0" fontId="22" fillId="4" borderId="18" xfId="0" applyFont="1" applyFill="1" applyBorder="1" applyAlignment="1" applyProtection="1">
      <alignment horizontal="left"/>
      <protection locked="0"/>
    </xf>
    <xf numFmtId="166" fontId="19" fillId="2" borderId="20" xfId="0" applyNumberFormat="1" applyFont="1" applyFill="1" applyBorder="1" applyAlignment="1" applyProtection="1">
      <alignment horizontal="center" vertical="center"/>
      <protection locked="0"/>
    </xf>
    <xf numFmtId="166" fontId="19" fillId="2" borderId="19" xfId="0" applyNumberFormat="1" applyFont="1" applyFill="1" applyBorder="1" applyAlignment="1" applyProtection="1">
      <alignment horizontal="center" vertical="center"/>
      <protection locked="0"/>
    </xf>
    <xf numFmtId="166" fontId="19" fillId="2" borderId="18" xfId="0" applyNumberFormat="1" applyFont="1" applyFill="1" applyBorder="1" applyAlignment="1" applyProtection="1">
      <alignment horizontal="center" vertical="center"/>
      <protection locked="0"/>
    </xf>
    <xf numFmtId="177" fontId="19" fillId="8" borderId="20" xfId="0" applyNumberFormat="1" applyFont="1" applyFill="1" applyBorder="1" applyAlignment="1">
      <alignment horizontal="center" vertical="center"/>
    </xf>
    <xf numFmtId="177" fontId="19" fillId="8" borderId="19" xfId="0" applyNumberFormat="1" applyFont="1" applyFill="1" applyBorder="1" applyAlignment="1">
      <alignment horizontal="center" vertical="center"/>
    </xf>
    <xf numFmtId="177" fontId="19" fillId="8" borderId="18" xfId="0" applyNumberFormat="1" applyFont="1" applyFill="1" applyBorder="1" applyAlignment="1">
      <alignment horizontal="center" vertical="center"/>
    </xf>
    <xf numFmtId="0" fontId="19" fillId="13" borderId="32" xfId="0" applyFont="1" applyFill="1" applyBorder="1" applyAlignment="1">
      <alignment horizontal="right" vertical="center"/>
    </xf>
    <xf numFmtId="0" fontId="19" fillId="13" borderId="36" xfId="0" applyFont="1" applyFill="1" applyBorder="1" applyAlignment="1">
      <alignment horizontal="right" vertical="center"/>
    </xf>
    <xf numFmtId="0" fontId="19" fillId="13" borderId="58" xfId="0" applyFont="1" applyFill="1" applyBorder="1" applyAlignment="1">
      <alignment horizontal="right" vertical="center"/>
    </xf>
    <xf numFmtId="0" fontId="19" fillId="13" borderId="36" xfId="0" applyFont="1" applyFill="1" applyBorder="1" applyAlignment="1">
      <alignment horizontal="left" vertical="center"/>
    </xf>
    <xf numFmtId="0" fontId="19" fillId="13" borderId="25" xfId="0" applyFont="1" applyFill="1" applyBorder="1" applyAlignment="1">
      <alignment horizontal="left" vertical="center"/>
    </xf>
    <xf numFmtId="0" fontId="19" fillId="13" borderId="22" xfId="0" applyFont="1" applyFill="1" applyBorder="1" applyAlignment="1">
      <alignment horizontal="left" vertical="center"/>
    </xf>
    <xf numFmtId="0" fontId="19" fillId="13" borderId="49" xfId="0" applyFont="1" applyFill="1" applyBorder="1" applyAlignment="1">
      <alignment horizontal="left" vertical="center"/>
    </xf>
    <xf numFmtId="0" fontId="20" fillId="14" borderId="16" xfId="0" applyFont="1" applyFill="1" applyBorder="1" applyAlignment="1">
      <alignment horizontal="center" vertical="center"/>
    </xf>
    <xf numFmtId="0" fontId="20" fillId="14" borderId="53" xfId="0" applyFont="1" applyFill="1" applyBorder="1" applyAlignment="1">
      <alignment horizontal="center" vertical="center"/>
    </xf>
    <xf numFmtId="0" fontId="20" fillId="14" borderId="54" xfId="0" applyFont="1" applyFill="1" applyBorder="1" applyAlignment="1">
      <alignment horizontal="center" vertical="center"/>
    </xf>
    <xf numFmtId="0" fontId="19" fillId="13" borderId="39" xfId="0" applyFont="1" applyFill="1" applyBorder="1" applyAlignment="1">
      <alignment horizontal="center" vertical="center"/>
    </xf>
    <xf numFmtId="0" fontId="19" fillId="2" borderId="61" xfId="0" applyFont="1" applyFill="1" applyBorder="1" applyAlignment="1">
      <alignment horizontal="left" vertical="center"/>
    </xf>
    <xf numFmtId="0" fontId="19" fillId="2" borderId="26" xfId="0" applyFont="1" applyFill="1" applyBorder="1" applyAlignment="1">
      <alignment horizontal="left" vertical="center"/>
    </xf>
    <xf numFmtId="0" fontId="19" fillId="2" borderId="59" xfId="0" applyFont="1" applyFill="1" applyBorder="1" applyAlignment="1">
      <alignment horizontal="left" vertical="center"/>
    </xf>
    <xf numFmtId="0" fontId="19" fillId="13" borderId="4" xfId="0" applyFont="1" applyFill="1" applyBorder="1" applyAlignment="1">
      <alignment horizontal="left" vertical="center"/>
    </xf>
    <xf numFmtId="0" fontId="19" fillId="13" borderId="41" xfId="0" applyFont="1" applyFill="1" applyBorder="1" applyAlignment="1">
      <alignment horizontal="left" vertical="center"/>
    </xf>
    <xf numFmtId="177" fontId="19" fillId="2" borderId="19" xfId="0" applyNumberFormat="1" applyFont="1" applyFill="1" applyBorder="1" applyAlignment="1" applyProtection="1">
      <alignment horizontal="center" vertical="center"/>
      <protection locked="0"/>
    </xf>
    <xf numFmtId="0" fontId="19" fillId="2" borderId="25" xfId="0" applyFont="1" applyFill="1" applyBorder="1" applyAlignment="1" applyProtection="1">
      <alignment horizontal="left" vertical="center"/>
      <protection locked="0"/>
    </xf>
    <xf numFmtId="0" fontId="19" fillId="13" borderId="8" xfId="0" applyFont="1" applyFill="1" applyBorder="1" applyAlignment="1">
      <alignment horizontal="left" vertical="center"/>
    </xf>
    <xf numFmtId="0" fontId="19" fillId="2" borderId="20" xfId="0" applyFont="1" applyFill="1" applyBorder="1" applyAlignment="1" applyProtection="1">
      <alignment horizontal="left" vertical="center"/>
      <protection locked="0"/>
    </xf>
    <xf numFmtId="0" fontId="19" fillId="2" borderId="19" xfId="0" applyFont="1" applyFill="1" applyBorder="1" applyAlignment="1" applyProtection="1">
      <alignment horizontal="left" vertical="center"/>
      <protection locked="0"/>
    </xf>
    <xf numFmtId="0" fontId="19" fillId="2" borderId="18" xfId="0" applyFont="1" applyFill="1" applyBorder="1" applyAlignment="1" applyProtection="1">
      <alignment horizontal="left" vertical="center"/>
      <protection locked="0"/>
    </xf>
    <xf numFmtId="0" fontId="88" fillId="0" borderId="39" xfId="4" applyFont="1" applyBorder="1" applyAlignment="1" applyProtection="1">
      <alignment horizontal="center" vertical="center" wrapText="1"/>
      <protection hidden="1"/>
    </xf>
    <xf numFmtId="0" fontId="88" fillId="0" borderId="26" xfId="4" applyFont="1" applyBorder="1" applyAlignment="1" applyProtection="1">
      <alignment horizontal="center" vertical="center" wrapText="1"/>
      <protection hidden="1"/>
    </xf>
    <xf numFmtId="0" fontId="88" fillId="0" borderId="35" xfId="4" applyFont="1" applyBorder="1" applyAlignment="1" applyProtection="1">
      <alignment horizontal="center" vertical="center" wrapText="1"/>
      <protection hidden="1"/>
    </xf>
    <xf numFmtId="0" fontId="113" fillId="9" borderId="23" xfId="0" applyFont="1" applyFill="1" applyBorder="1" applyAlignment="1" applyProtection="1">
      <alignment horizontal="center" vertical="center"/>
      <protection locked="0"/>
    </xf>
    <xf numFmtId="0" fontId="19" fillId="9" borderId="36" xfId="0" applyFont="1" applyFill="1" applyBorder="1" applyAlignment="1" applyProtection="1">
      <alignment horizontal="center" vertical="center"/>
      <protection locked="0"/>
    </xf>
    <xf numFmtId="0" fontId="19" fillId="9" borderId="4" xfId="0" applyFont="1" applyFill="1" applyBorder="1" applyAlignment="1" applyProtection="1">
      <alignment horizontal="center" vertical="center"/>
      <protection locked="0"/>
    </xf>
    <xf numFmtId="168" fontId="19" fillId="8" borderId="3" xfId="0" applyNumberFormat="1" applyFont="1" applyFill="1" applyBorder="1" applyAlignment="1">
      <alignment horizontal="center" vertical="center"/>
    </xf>
    <xf numFmtId="168" fontId="19" fillId="8" borderId="14" xfId="0" applyNumberFormat="1" applyFont="1" applyFill="1" applyBorder="1" applyAlignment="1">
      <alignment horizontal="center" vertical="center"/>
    </xf>
    <xf numFmtId="166" fontId="19" fillId="2" borderId="23" xfId="0" applyNumberFormat="1" applyFont="1" applyFill="1" applyBorder="1" applyAlignment="1" applyProtection="1">
      <alignment horizontal="center" vertical="center"/>
      <protection locked="0"/>
    </xf>
    <xf numFmtId="166" fontId="19" fillId="2" borderId="36" xfId="0" applyNumberFormat="1" applyFont="1" applyFill="1" applyBorder="1" applyAlignment="1" applyProtection="1">
      <alignment horizontal="center" vertical="center"/>
      <protection locked="0"/>
    </xf>
    <xf numFmtId="166" fontId="19" fillId="2" borderId="4" xfId="0" applyNumberFormat="1" applyFont="1" applyFill="1" applyBorder="1" applyAlignment="1" applyProtection="1">
      <alignment horizontal="center" vertical="center"/>
      <protection locked="0"/>
    </xf>
    <xf numFmtId="0" fontId="19" fillId="9" borderId="21" xfId="0" applyFont="1" applyFill="1" applyBorder="1" applyAlignment="1" applyProtection="1">
      <alignment horizontal="center" vertical="center"/>
      <protection locked="0"/>
    </xf>
    <xf numFmtId="0" fontId="23" fillId="9" borderId="23" xfId="0" applyFont="1" applyFill="1" applyBorder="1" applyAlignment="1">
      <alignment horizontal="left" vertical="center" wrapText="1"/>
    </xf>
    <xf numFmtId="0" fontId="23" fillId="9" borderId="36" xfId="0" applyFont="1" applyFill="1" applyBorder="1" applyAlignment="1">
      <alignment horizontal="left" vertical="center" wrapText="1"/>
    </xf>
    <xf numFmtId="0" fontId="23" fillId="9" borderId="4" xfId="0" applyFont="1" applyFill="1" applyBorder="1" applyAlignment="1">
      <alignment horizontal="left" vertical="center" wrapText="1"/>
    </xf>
    <xf numFmtId="0" fontId="19" fillId="14" borderId="23" xfId="0" applyFont="1" applyFill="1" applyBorder="1" applyAlignment="1">
      <alignment horizontal="center" vertical="center" wrapText="1"/>
    </xf>
    <xf numFmtId="0" fontId="19" fillId="14" borderId="36" xfId="0" applyFont="1" applyFill="1" applyBorder="1" applyAlignment="1">
      <alignment horizontal="center" vertical="center" wrapText="1"/>
    </xf>
    <xf numFmtId="0" fontId="19" fillId="14" borderId="4" xfId="0" applyFont="1" applyFill="1" applyBorder="1" applyAlignment="1">
      <alignment horizontal="center" vertical="center" wrapText="1"/>
    </xf>
    <xf numFmtId="170" fontId="19" fillId="15" borderId="64" xfId="0" applyNumberFormat="1" applyFont="1" applyFill="1" applyBorder="1" applyAlignment="1">
      <alignment horizontal="center" vertical="center"/>
    </xf>
    <xf numFmtId="170" fontId="19" fillId="15" borderId="65" xfId="0" applyNumberFormat="1" applyFont="1" applyFill="1" applyBorder="1" applyAlignment="1">
      <alignment horizontal="center" vertical="center"/>
    </xf>
    <xf numFmtId="170" fontId="19" fillId="15" borderId="66" xfId="0" applyNumberFormat="1" applyFont="1" applyFill="1" applyBorder="1" applyAlignment="1">
      <alignment horizontal="center" vertical="center"/>
    </xf>
    <xf numFmtId="167" fontId="29" fillId="2" borderId="45" xfId="0" applyNumberFormat="1" applyFont="1" applyFill="1" applyBorder="1" applyAlignment="1">
      <alignment horizontal="center" vertical="center" wrapText="1"/>
    </xf>
    <xf numFmtId="167" fontId="29" fillId="2" borderId="46" xfId="0" applyNumberFormat="1" applyFont="1" applyFill="1" applyBorder="1" applyAlignment="1">
      <alignment horizontal="center" vertical="center" wrapText="1"/>
    </xf>
    <xf numFmtId="167" fontId="29" fillId="2" borderId="43" xfId="0" applyNumberFormat="1" applyFont="1" applyFill="1" applyBorder="1" applyAlignment="1">
      <alignment horizontal="center" vertical="center" wrapText="1"/>
    </xf>
    <xf numFmtId="167" fontId="29" fillId="2" borderId="29" xfId="0" applyNumberFormat="1" applyFont="1" applyFill="1" applyBorder="1" applyAlignment="1">
      <alignment horizontal="center" vertical="center" wrapText="1"/>
    </xf>
    <xf numFmtId="167" fontId="29" fillId="2" borderId="24" xfId="0" applyNumberFormat="1" applyFont="1" applyFill="1" applyBorder="1" applyAlignment="1">
      <alignment horizontal="center" vertical="center" wrapText="1"/>
    </xf>
    <xf numFmtId="167" fontId="29" fillId="2" borderId="30" xfId="0" applyNumberFormat="1" applyFont="1" applyFill="1" applyBorder="1" applyAlignment="1">
      <alignment horizontal="center" vertical="center" wrapText="1"/>
    </xf>
    <xf numFmtId="177" fontId="19" fillId="2" borderId="55" xfId="0" applyNumberFormat="1" applyFont="1" applyFill="1" applyBorder="1" applyAlignment="1" applyProtection="1">
      <alignment horizontal="center" vertical="center" wrapText="1"/>
      <protection locked="0"/>
    </xf>
    <xf numFmtId="177" fontId="19" fillId="2" borderId="37" xfId="0" applyNumberFormat="1" applyFont="1" applyFill="1" applyBorder="1" applyAlignment="1" applyProtection="1">
      <alignment horizontal="center" vertical="center" wrapText="1"/>
      <protection locked="0"/>
    </xf>
    <xf numFmtId="177" fontId="19" fillId="2" borderId="44" xfId="0" applyNumberFormat="1" applyFont="1" applyFill="1" applyBorder="1" applyAlignment="1" applyProtection="1">
      <alignment horizontal="center" vertical="center" wrapText="1"/>
      <protection locked="0"/>
    </xf>
    <xf numFmtId="166" fontId="19" fillId="2" borderId="35" xfId="0" applyNumberFormat="1" applyFont="1" applyFill="1" applyBorder="1" applyAlignment="1">
      <alignment horizontal="center" vertical="center"/>
    </xf>
    <xf numFmtId="0" fontId="26" fillId="13" borderId="21" xfId="0" applyFont="1" applyFill="1" applyBorder="1" applyAlignment="1">
      <alignment horizontal="center" vertical="center" wrapText="1"/>
    </xf>
    <xf numFmtId="0" fontId="19" fillId="13" borderId="36" xfId="0" applyFont="1" applyFill="1" applyBorder="1" applyAlignment="1">
      <alignment horizontal="right"/>
    </xf>
    <xf numFmtId="0" fontId="19" fillId="13" borderId="58" xfId="0" applyFont="1" applyFill="1" applyBorder="1" applyAlignment="1">
      <alignment horizontal="right"/>
    </xf>
    <xf numFmtId="0" fontId="20" fillId="14" borderId="2" xfId="0" applyFont="1" applyFill="1" applyBorder="1" applyAlignment="1">
      <alignment horizontal="center" vertical="center"/>
    </xf>
    <xf numFmtId="0" fontId="20" fillId="14" borderId="5" xfId="0" applyFont="1" applyFill="1" applyBorder="1" applyAlignment="1">
      <alignment horizontal="center" vertical="center"/>
    </xf>
    <xf numFmtId="0" fontId="19" fillId="2" borderId="25" xfId="0" applyFont="1" applyFill="1" applyBorder="1" applyAlignment="1" applyProtection="1">
      <alignment horizontal="left" vertical="center" wrapText="1"/>
      <protection locked="0"/>
    </xf>
    <xf numFmtId="0" fontId="19" fillId="2" borderId="55" xfId="0" applyFont="1" applyFill="1" applyBorder="1" applyAlignment="1" applyProtection="1">
      <alignment horizontal="left" vertical="center"/>
      <protection locked="0"/>
    </xf>
    <xf numFmtId="0" fontId="19" fillId="2" borderId="37" xfId="0" applyFont="1" applyFill="1" applyBorder="1" applyAlignment="1" applyProtection="1">
      <alignment horizontal="left" vertical="center"/>
      <protection locked="0"/>
    </xf>
    <xf numFmtId="0" fontId="19" fillId="2" borderId="44" xfId="0" applyFont="1" applyFill="1" applyBorder="1" applyAlignment="1" applyProtection="1">
      <alignment horizontal="left" vertical="center"/>
      <protection locked="0"/>
    </xf>
    <xf numFmtId="1" fontId="30" fillId="2" borderId="55" xfId="0" applyNumberFormat="1" applyFont="1" applyFill="1" applyBorder="1" applyAlignment="1" applyProtection="1">
      <alignment horizontal="right" vertical="center"/>
      <protection locked="0"/>
    </xf>
    <xf numFmtId="1" fontId="30" fillId="2" borderId="37" xfId="0" applyNumberFormat="1" applyFont="1" applyFill="1" applyBorder="1" applyAlignment="1" applyProtection="1">
      <alignment horizontal="right" vertical="center"/>
      <protection locked="0"/>
    </xf>
    <xf numFmtId="1" fontId="30" fillId="2" borderId="44" xfId="0" applyNumberFormat="1" applyFont="1" applyFill="1" applyBorder="1" applyAlignment="1" applyProtection="1">
      <alignment horizontal="right" vertical="center"/>
      <protection locked="0"/>
    </xf>
    <xf numFmtId="1" fontId="19" fillId="2" borderId="55" xfId="0" applyNumberFormat="1" applyFont="1" applyFill="1" applyBorder="1" applyAlignment="1" applyProtection="1">
      <alignment horizontal="right" vertical="center"/>
      <protection locked="0"/>
    </xf>
    <xf numFmtId="1" fontId="19" fillId="2" borderId="44" xfId="0" applyNumberFormat="1" applyFont="1" applyFill="1" applyBorder="1" applyAlignment="1" applyProtection="1">
      <alignment horizontal="right" vertical="center"/>
      <protection locked="0"/>
    </xf>
    <xf numFmtId="167" fontId="19" fillId="2" borderId="20" xfId="0" applyNumberFormat="1" applyFont="1" applyFill="1" applyBorder="1" applyAlignment="1" applyProtection="1">
      <alignment horizontal="center" vertical="center"/>
      <protection locked="0"/>
    </xf>
    <xf numFmtId="167" fontId="19" fillId="2" borderId="19" xfId="0" applyNumberFormat="1" applyFont="1" applyFill="1" applyBorder="1" applyAlignment="1" applyProtection="1">
      <alignment horizontal="center" vertical="center"/>
      <protection locked="0"/>
    </xf>
    <xf numFmtId="167" fontId="19" fillId="2" borderId="18" xfId="0" applyNumberFormat="1" applyFont="1" applyFill="1" applyBorder="1" applyAlignment="1" applyProtection="1">
      <alignment horizontal="center" vertical="center"/>
      <protection locked="0"/>
    </xf>
    <xf numFmtId="49" fontId="19" fillId="2" borderId="20" xfId="0" applyNumberFormat="1" applyFont="1" applyFill="1" applyBorder="1" applyAlignment="1" applyProtection="1">
      <alignment horizontal="left" vertical="center"/>
      <protection locked="0"/>
    </xf>
    <xf numFmtId="49" fontId="19" fillId="2" borderId="19" xfId="0" applyNumberFormat="1" applyFont="1" applyFill="1" applyBorder="1" applyAlignment="1" applyProtection="1">
      <alignment horizontal="left" vertical="center"/>
      <protection locked="0"/>
    </xf>
    <xf numFmtId="49" fontId="19" fillId="2" borderId="18" xfId="0" applyNumberFormat="1" applyFont="1" applyFill="1" applyBorder="1" applyAlignment="1" applyProtection="1">
      <alignment horizontal="left" vertical="center"/>
      <protection locked="0"/>
    </xf>
    <xf numFmtId="1" fontId="19" fillId="2" borderId="20" xfId="0" applyNumberFormat="1" applyFont="1" applyFill="1" applyBorder="1" applyAlignment="1" applyProtection="1">
      <alignment horizontal="left" vertical="center"/>
      <protection locked="0"/>
    </xf>
    <xf numFmtId="1" fontId="19" fillId="2" borderId="19" xfId="0" applyNumberFormat="1" applyFont="1" applyFill="1" applyBorder="1" applyAlignment="1" applyProtection="1">
      <alignment horizontal="left" vertical="center"/>
      <protection locked="0"/>
    </xf>
    <xf numFmtId="1" fontId="19" fillId="2" borderId="18" xfId="0" applyNumberFormat="1" applyFont="1" applyFill="1" applyBorder="1" applyAlignment="1" applyProtection="1">
      <alignment horizontal="left" vertical="center"/>
      <protection locked="0"/>
    </xf>
    <xf numFmtId="0" fontId="4" fillId="13" borderId="21" xfId="0" applyFont="1" applyFill="1" applyBorder="1" applyAlignment="1">
      <alignment horizontal="left" vertical="center"/>
    </xf>
    <xf numFmtId="0" fontId="19" fillId="8" borderId="1" xfId="0" applyFont="1" applyFill="1" applyBorder="1" applyAlignment="1" applyProtection="1">
      <alignment horizontal="center" vertical="center"/>
      <protection locked="0"/>
    </xf>
    <xf numFmtId="0" fontId="19" fillId="8" borderId="2" xfId="0" applyFont="1" applyFill="1" applyBorder="1" applyAlignment="1" applyProtection="1">
      <alignment horizontal="center" vertical="center"/>
      <protection locked="0"/>
    </xf>
    <xf numFmtId="0" fontId="19" fillId="8" borderId="7" xfId="0" applyFont="1" applyFill="1" applyBorder="1" applyAlignment="1" applyProtection="1">
      <alignment horizontal="center" vertical="center"/>
      <protection locked="0"/>
    </xf>
    <xf numFmtId="0" fontId="19" fillId="8" borderId="8" xfId="0" applyFont="1" applyFill="1" applyBorder="1" applyAlignment="1" applyProtection="1">
      <alignment horizontal="center" vertical="center"/>
      <protection locked="0"/>
    </xf>
    <xf numFmtId="0" fontId="19" fillId="4" borderId="2" xfId="0" applyFont="1" applyFill="1" applyBorder="1" applyAlignment="1">
      <alignment horizontal="center" vertical="center"/>
    </xf>
    <xf numFmtId="0" fontId="19" fillId="4" borderId="8" xfId="0" applyFont="1" applyFill="1" applyBorder="1" applyAlignment="1">
      <alignment horizontal="center" vertical="center"/>
    </xf>
    <xf numFmtId="0" fontId="128" fillId="0" borderId="0" xfId="0" applyFont="1" applyAlignment="1">
      <alignment horizontal="center" vertical="center"/>
    </xf>
    <xf numFmtId="49" fontId="69" fillId="0" borderId="0" xfId="0" applyNumberFormat="1" applyFont="1" applyAlignment="1">
      <alignment horizontal="right" vertical="center"/>
    </xf>
    <xf numFmtId="0" fontId="129" fillId="0" borderId="0" xfId="0" applyFont="1" applyAlignment="1">
      <alignment horizontal="right" vertical="center"/>
    </xf>
    <xf numFmtId="0" fontId="20" fillId="13" borderId="21" xfId="0" applyFont="1" applyFill="1" applyBorder="1" applyAlignment="1">
      <alignment horizontal="center" wrapText="1"/>
    </xf>
    <xf numFmtId="0" fontId="19" fillId="2" borderId="0" xfId="0" applyFont="1" applyFill="1" applyAlignment="1">
      <alignment horizontal="center" vertical="center" wrapText="1"/>
    </xf>
    <xf numFmtId="166" fontId="20" fillId="2" borderId="55" xfId="0" applyNumberFormat="1" applyFont="1" applyFill="1" applyBorder="1" applyAlignment="1">
      <alignment horizontal="center" vertical="center" wrapText="1"/>
    </xf>
    <xf numFmtId="166" fontId="20" fillId="2" borderId="37" xfId="0" applyNumberFormat="1" applyFont="1" applyFill="1" applyBorder="1" applyAlignment="1">
      <alignment horizontal="center" vertical="center" wrapText="1"/>
    </xf>
    <xf numFmtId="166" fontId="20" fillId="2" borderId="44" xfId="0" applyNumberFormat="1" applyFont="1" applyFill="1" applyBorder="1" applyAlignment="1">
      <alignment horizontal="center" vertical="center" wrapText="1"/>
    </xf>
    <xf numFmtId="170" fontId="19" fillId="15" borderId="74" xfId="0" applyNumberFormat="1" applyFont="1" applyFill="1" applyBorder="1" applyAlignment="1">
      <alignment horizontal="center" vertical="center"/>
    </xf>
    <xf numFmtId="170" fontId="19" fillId="15" borderId="67" xfId="0" applyNumberFormat="1" applyFont="1" applyFill="1" applyBorder="1" applyAlignment="1">
      <alignment horizontal="center" vertical="center"/>
    </xf>
    <xf numFmtId="170" fontId="19" fillId="15" borderId="62" xfId="0" applyNumberFormat="1" applyFont="1" applyFill="1" applyBorder="1" applyAlignment="1">
      <alignment horizontal="center" vertical="center"/>
    </xf>
    <xf numFmtId="170" fontId="19" fillId="15" borderId="70" xfId="0" applyNumberFormat="1" applyFont="1" applyFill="1" applyBorder="1" applyAlignment="1">
      <alignment horizontal="center" vertical="center"/>
    </xf>
    <xf numFmtId="170" fontId="19" fillId="15" borderId="72" xfId="0" applyNumberFormat="1" applyFont="1" applyFill="1" applyBorder="1" applyAlignment="1">
      <alignment horizontal="center" vertical="center"/>
    </xf>
    <xf numFmtId="170" fontId="19" fillId="15" borderId="63" xfId="0" applyNumberFormat="1" applyFont="1" applyFill="1" applyBorder="1" applyAlignment="1">
      <alignment horizontal="center" vertical="center"/>
    </xf>
    <xf numFmtId="0" fontId="25" fillId="0" borderId="0" xfId="0" applyFont="1" applyAlignment="1">
      <alignment horizontal="left" vertical="center" wrapText="1"/>
    </xf>
    <xf numFmtId="0" fontId="31" fillId="0" borderId="0" xfId="0" applyFont="1" applyAlignment="1">
      <alignment horizontal="center"/>
    </xf>
    <xf numFmtId="0" fontId="25" fillId="0" borderId="21" xfId="0" applyFont="1" applyBorder="1" applyAlignment="1">
      <alignment horizontal="center" vertical="center"/>
    </xf>
    <xf numFmtId="0" fontId="43" fillId="0" borderId="0" xfId="0" applyFont="1" applyAlignment="1">
      <alignment horizontal="center" vertical="center"/>
    </xf>
    <xf numFmtId="0" fontId="45" fillId="0" borderId="0" xfId="0" applyFont="1" applyAlignment="1">
      <alignment horizontal="left"/>
    </xf>
    <xf numFmtId="0" fontId="44" fillId="0" borderId="0" xfId="0" applyFont="1" applyAlignment="1">
      <alignment horizontal="center" vertical="center"/>
    </xf>
    <xf numFmtId="0" fontId="0" fillId="0" borderId="21" xfId="0" applyBorder="1" applyAlignment="1">
      <alignment horizontal="center" vertical="center" wrapText="1"/>
    </xf>
    <xf numFmtId="1" fontId="25" fillId="0" borderId="0" xfId="0" applyNumberFormat="1" applyFont="1" applyAlignment="1">
      <alignment horizontal="left" vertical="center"/>
    </xf>
    <xf numFmtId="0" fontId="42" fillId="0" borderId="0" xfId="0" applyFont="1" applyAlignment="1">
      <alignment horizontal="center" vertical="center"/>
    </xf>
    <xf numFmtId="0" fontId="26" fillId="2" borderId="0" xfId="0" applyFont="1" applyFill="1" applyAlignment="1">
      <alignment horizontal="left"/>
    </xf>
    <xf numFmtId="0" fontId="44" fillId="2" borderId="0" xfId="0" applyFont="1" applyFill="1" applyAlignment="1">
      <alignment horizontal="left"/>
    </xf>
    <xf numFmtId="0" fontId="25" fillId="0" borderId="0" xfId="0" applyFont="1" applyAlignment="1">
      <alignment horizontal="left" wrapText="1"/>
    </xf>
    <xf numFmtId="0" fontId="52" fillId="0" borderId="0" xfId="0" applyFont="1" applyAlignment="1">
      <alignment horizontal="left"/>
    </xf>
    <xf numFmtId="0" fontId="25" fillId="0" borderId="0" xfId="0" applyFont="1" applyAlignment="1">
      <alignment horizontal="left"/>
    </xf>
    <xf numFmtId="0" fontId="26" fillId="0" borderId="0" xfId="0" applyFont="1" applyAlignment="1">
      <alignment horizontal="left"/>
    </xf>
    <xf numFmtId="0" fontId="43" fillId="0" borderId="0" xfId="0" applyFont="1" applyAlignment="1">
      <alignment horizontal="left"/>
    </xf>
    <xf numFmtId="0" fontId="26" fillId="0" borderId="21" xfId="0" applyFont="1" applyBorder="1" applyAlignment="1">
      <alignment horizontal="center" vertical="center" wrapText="1"/>
    </xf>
    <xf numFmtId="0" fontId="30" fillId="0" borderId="0" xfId="0" applyFont="1" applyAlignment="1">
      <alignment horizontal="center"/>
    </xf>
    <xf numFmtId="0" fontId="40" fillId="0" borderId="0" xfId="0" applyFont="1" applyAlignment="1">
      <alignment horizontal="center" vertical="center" wrapText="1"/>
    </xf>
    <xf numFmtId="0" fontId="25" fillId="0" borderId="16" xfId="0" applyFont="1" applyBorder="1" applyAlignment="1">
      <alignment horizontal="left" vertical="center" wrapText="1"/>
    </xf>
    <xf numFmtId="168" fontId="25" fillId="0" borderId="23" xfId="0" applyNumberFormat="1" applyFont="1" applyBorder="1" applyAlignment="1">
      <alignment horizontal="center" vertical="center" wrapText="1"/>
    </xf>
    <xf numFmtId="168" fontId="25" fillId="0" borderId="36" xfId="0" applyNumberFormat="1" applyFont="1" applyBorder="1" applyAlignment="1">
      <alignment horizontal="center" vertical="center" wrapText="1"/>
    </xf>
    <xf numFmtId="170" fontId="25" fillId="2" borderId="21" xfId="0" applyNumberFormat="1" applyFont="1" applyFill="1" applyBorder="1" applyAlignment="1">
      <alignment horizontal="center" vertical="center"/>
    </xf>
    <xf numFmtId="0" fontId="25" fillId="2" borderId="21" xfId="0" applyFont="1" applyFill="1" applyBorder="1" applyAlignment="1">
      <alignment horizontal="center" vertical="center"/>
    </xf>
    <xf numFmtId="174" fontId="25" fillId="0" borderId="21" xfId="0" applyNumberFormat="1" applyFont="1" applyBorder="1" applyAlignment="1">
      <alignment horizontal="center" vertical="center" wrapText="1"/>
    </xf>
    <xf numFmtId="2" fontId="30" fillId="0" borderId="23" xfId="0" applyNumberFormat="1" applyFont="1" applyBorder="1" applyAlignment="1">
      <alignment horizontal="center" vertical="center" wrapText="1"/>
    </xf>
    <xf numFmtId="2" fontId="30" fillId="0" borderId="36" xfId="0" applyNumberFormat="1" applyFont="1" applyBorder="1" applyAlignment="1">
      <alignment horizontal="center" vertical="center" wrapText="1"/>
    </xf>
    <xf numFmtId="2" fontId="30" fillId="0" borderId="4" xfId="0" applyNumberFormat="1" applyFont="1" applyBorder="1" applyAlignment="1">
      <alignment horizontal="center" vertical="center" wrapText="1"/>
    </xf>
    <xf numFmtId="0" fontId="25" fillId="0" borderId="0" xfId="0" applyFont="1" applyAlignment="1">
      <alignment horizontal="right"/>
    </xf>
    <xf numFmtId="2" fontId="30" fillId="2" borderId="23" xfId="0" applyNumberFormat="1" applyFont="1" applyFill="1" applyBorder="1" applyAlignment="1">
      <alignment horizontal="center" vertical="center" wrapText="1"/>
    </xf>
    <xf numFmtId="2" fontId="30" fillId="2" borderId="36" xfId="0" applyNumberFormat="1" applyFont="1" applyFill="1" applyBorder="1" applyAlignment="1">
      <alignment horizontal="center" vertical="center" wrapText="1"/>
    </xf>
    <xf numFmtId="0" fontId="22" fillId="0" borderId="0" xfId="0" applyFont="1" applyAlignment="1">
      <alignment horizontal="center" vertical="top"/>
    </xf>
    <xf numFmtId="0" fontId="25" fillId="0" borderId="0" xfId="0" applyFont="1" applyAlignment="1">
      <alignment horizontal="justify" vertical="center" wrapText="1"/>
    </xf>
    <xf numFmtId="2" fontId="26" fillId="0" borderId="0" xfId="0" applyNumberFormat="1" applyFont="1" applyAlignment="1">
      <alignment horizontal="right" vertical="center" wrapText="1"/>
    </xf>
    <xf numFmtId="0" fontId="26" fillId="0" borderId="36" xfId="0" applyFont="1" applyBorder="1" applyAlignment="1">
      <alignment horizontal="left"/>
    </xf>
    <xf numFmtId="0" fontId="25" fillId="2" borderId="23" xfId="0" applyFont="1" applyFill="1" applyBorder="1" applyAlignment="1">
      <alignment horizontal="center" vertical="center"/>
    </xf>
    <xf numFmtId="0" fontId="25" fillId="2" borderId="4" xfId="0" applyFont="1" applyFill="1" applyBorder="1" applyAlignment="1">
      <alignment horizontal="center" vertical="center"/>
    </xf>
    <xf numFmtId="0" fontId="25" fillId="0" borderId="0" xfId="0" applyFont="1" applyAlignment="1">
      <alignment horizontal="center"/>
    </xf>
    <xf numFmtId="168" fontId="25" fillId="0" borderId="36" xfId="0" applyNumberFormat="1" applyFont="1" applyBorder="1" applyAlignment="1">
      <alignment horizontal="center"/>
    </xf>
    <xf numFmtId="0" fontId="30" fillId="0" borderId="0" xfId="0" applyFont="1" applyAlignment="1">
      <alignment horizontal="left" vertical="center" wrapText="1"/>
    </xf>
    <xf numFmtId="168" fontId="25" fillId="0" borderId="0" xfId="0" applyNumberFormat="1" applyFont="1" applyAlignment="1">
      <alignment horizontal="center"/>
    </xf>
    <xf numFmtId="167" fontId="68" fillId="0" borderId="23" xfId="0" applyNumberFormat="1" applyFont="1" applyBorder="1" applyAlignment="1">
      <alignment horizontal="center" vertical="center"/>
    </xf>
    <xf numFmtId="167" fontId="68" fillId="0" borderId="36" xfId="0" applyNumberFormat="1" applyFont="1" applyBorder="1" applyAlignment="1">
      <alignment horizontal="center" vertical="center"/>
    </xf>
    <xf numFmtId="167" fontId="68" fillId="0" borderId="4" xfId="0" applyNumberFormat="1" applyFont="1" applyBorder="1" applyAlignment="1">
      <alignment horizontal="center" vertical="center"/>
    </xf>
    <xf numFmtId="0" fontId="67" fillId="2" borderId="1" xfId="0" applyFont="1" applyFill="1" applyBorder="1" applyAlignment="1">
      <alignment horizontal="center" vertical="center"/>
    </xf>
    <xf numFmtId="0" fontId="67" fillId="2" borderId="2" xfId="0" applyFont="1" applyFill="1" applyBorder="1" applyAlignment="1">
      <alignment horizontal="center" vertical="center"/>
    </xf>
    <xf numFmtId="0" fontId="67" fillId="2" borderId="5" xfId="0" applyFont="1" applyFill="1" applyBorder="1" applyAlignment="1">
      <alignment horizontal="center" vertical="center"/>
    </xf>
    <xf numFmtId="0" fontId="67" fillId="2" borderId="3" xfId="0" applyFont="1" applyFill="1" applyBorder="1" applyAlignment="1">
      <alignment horizontal="center" vertical="center"/>
    </xf>
    <xf numFmtId="0" fontId="67" fillId="2" borderId="0" xfId="0" applyFont="1" applyFill="1" applyAlignment="1">
      <alignment horizontal="center" vertical="center"/>
    </xf>
    <xf numFmtId="0" fontId="67" fillId="2" borderId="6" xfId="0" applyFont="1" applyFill="1" applyBorder="1" applyAlignment="1">
      <alignment horizontal="center" vertical="center"/>
    </xf>
    <xf numFmtId="0" fontId="67" fillId="2" borderId="7" xfId="0" applyFont="1" applyFill="1" applyBorder="1" applyAlignment="1">
      <alignment horizontal="center" vertical="center"/>
    </xf>
    <xf numFmtId="0" fontId="67" fillId="2" borderId="8" xfId="0" applyFont="1" applyFill="1" applyBorder="1" applyAlignment="1">
      <alignment horizontal="center" vertical="center"/>
    </xf>
    <xf numFmtId="0" fontId="67" fillId="2" borderId="9" xfId="0" applyFont="1" applyFill="1" applyBorder="1" applyAlignment="1">
      <alignment horizontal="center" vertical="center"/>
    </xf>
    <xf numFmtId="167" fontId="68" fillId="0" borderId="1" xfId="0" applyNumberFormat="1" applyFont="1" applyBorder="1" applyAlignment="1">
      <alignment horizontal="center" vertical="center"/>
    </xf>
    <xf numFmtId="167" fontId="68" fillId="0" borderId="2" xfId="0" applyNumberFormat="1" applyFont="1" applyBorder="1" applyAlignment="1">
      <alignment horizontal="center" vertical="center"/>
    </xf>
    <xf numFmtId="167" fontId="68" fillId="0" borderId="5" xfId="0" applyNumberFormat="1" applyFont="1" applyBorder="1" applyAlignment="1">
      <alignment horizontal="center" vertical="center"/>
    </xf>
    <xf numFmtId="167" fontId="68" fillId="0" borderId="3" xfId="0" applyNumberFormat="1" applyFont="1" applyBorder="1" applyAlignment="1">
      <alignment horizontal="center" vertical="center"/>
    </xf>
    <xf numFmtId="167" fontId="68" fillId="0" borderId="0" xfId="0" applyNumberFormat="1" applyFont="1" applyAlignment="1">
      <alignment horizontal="center" vertical="center"/>
    </xf>
    <xf numFmtId="167" fontId="68" fillId="0" borderId="6" xfId="0" applyNumberFormat="1" applyFont="1" applyBorder="1" applyAlignment="1">
      <alignment horizontal="center" vertical="center"/>
    </xf>
    <xf numFmtId="167" fontId="68" fillId="0" borderId="7" xfId="0" applyNumberFormat="1" applyFont="1" applyBorder="1" applyAlignment="1">
      <alignment horizontal="center" vertical="center"/>
    </xf>
    <xf numFmtId="167" fontId="68" fillId="0" borderId="8" xfId="0" applyNumberFormat="1" applyFont="1" applyBorder="1" applyAlignment="1">
      <alignment horizontal="center" vertical="center"/>
    </xf>
    <xf numFmtId="167" fontId="68" fillId="0" borderId="9" xfId="0" applyNumberFormat="1" applyFont="1" applyBorder="1" applyAlignment="1">
      <alignment horizontal="center" vertical="center"/>
    </xf>
    <xf numFmtId="0" fontId="26" fillId="0" borderId="0" xfId="0" applyFont="1" applyAlignment="1">
      <alignment horizontal="left" wrapText="1"/>
    </xf>
    <xf numFmtId="0" fontId="30" fillId="2" borderId="23" xfId="0" applyFont="1" applyFill="1" applyBorder="1" applyAlignment="1">
      <alignment horizontal="center" vertical="center"/>
    </xf>
    <xf numFmtId="0" fontId="30" fillId="2" borderId="4" xfId="0" applyFont="1" applyFill="1" applyBorder="1" applyAlignment="1">
      <alignment horizontal="center" vertical="center"/>
    </xf>
    <xf numFmtId="2" fontId="30" fillId="0" borderId="1" xfId="0" applyNumberFormat="1" applyFont="1" applyBorder="1" applyAlignment="1">
      <alignment horizontal="center" vertical="center" wrapText="1"/>
    </xf>
    <xf numFmtId="2" fontId="30" fillId="0" borderId="2" xfId="0" applyNumberFormat="1" applyFont="1" applyBorder="1" applyAlignment="1">
      <alignment horizontal="center" vertical="center" wrapText="1"/>
    </xf>
    <xf numFmtId="2" fontId="30" fillId="0" borderId="5" xfId="0" applyNumberFormat="1" applyFont="1" applyBorder="1" applyAlignment="1">
      <alignment horizontal="center" vertical="center" wrapText="1"/>
    </xf>
    <xf numFmtId="0" fontId="29" fillId="0" borderId="0" xfId="0" applyFont="1" applyAlignment="1">
      <alignment vertical="center" textRotation="90"/>
    </xf>
    <xf numFmtId="165" fontId="25" fillId="0" borderId="36" xfId="0" applyNumberFormat="1" applyFont="1" applyBorder="1" applyAlignment="1">
      <alignment horizontal="center"/>
    </xf>
    <xf numFmtId="0" fontId="25" fillId="0" borderId="0" xfId="0" applyFont="1" applyAlignment="1">
      <alignment horizontal="left" vertical="top" wrapText="1"/>
    </xf>
    <xf numFmtId="167" fontId="39" fillId="0" borderId="0" xfId="0" applyNumberFormat="1" applyFont="1" applyAlignment="1">
      <alignment horizontal="left" vertical="top" wrapText="1"/>
    </xf>
    <xf numFmtId="181" fontId="0" fillId="0" borderId="23" xfId="0" applyNumberFormat="1" applyBorder="1" applyAlignment="1">
      <alignment horizontal="center" vertical="center" wrapText="1"/>
    </xf>
    <xf numFmtId="181" fontId="0" fillId="0" borderId="36" xfId="0" applyNumberFormat="1" applyBorder="1" applyAlignment="1">
      <alignment horizontal="center" vertical="center" wrapText="1"/>
    </xf>
    <xf numFmtId="181" fontId="0" fillId="0" borderId="4" xfId="0" applyNumberFormat="1" applyBorder="1" applyAlignment="1">
      <alignment horizontal="center" vertical="center" wrapText="1"/>
    </xf>
    <xf numFmtId="0" fontId="100" fillId="0" borderId="0" xfId="0" applyFont="1" applyAlignment="1">
      <alignment horizontal="left" vertical="center" wrapText="1"/>
    </xf>
    <xf numFmtId="0" fontId="67" fillId="2" borderId="21" xfId="0" applyFont="1" applyFill="1" applyBorder="1" applyAlignment="1">
      <alignment horizontal="left" vertical="center" wrapText="1"/>
    </xf>
    <xf numFmtId="0" fontId="49" fillId="2" borderId="23" xfId="0" applyFont="1" applyFill="1" applyBorder="1" applyAlignment="1">
      <alignment horizontal="center"/>
    </xf>
    <xf numFmtId="0" fontId="49" fillId="2" borderId="36" xfId="0" applyFont="1" applyFill="1" applyBorder="1" applyAlignment="1">
      <alignment horizontal="center"/>
    </xf>
    <xf numFmtId="0" fontId="49" fillId="2" borderId="4" xfId="0" applyFont="1" applyFill="1" applyBorder="1" applyAlignment="1">
      <alignment horizontal="center"/>
    </xf>
    <xf numFmtId="0" fontId="64" fillId="2" borderId="21" xfId="0" applyFont="1" applyFill="1" applyBorder="1" applyAlignment="1">
      <alignment horizontal="center"/>
    </xf>
    <xf numFmtId="0" fontId="64" fillId="2" borderId="35" xfId="0" applyFont="1" applyFill="1" applyBorder="1" applyAlignment="1">
      <alignment horizontal="center"/>
    </xf>
    <xf numFmtId="0" fontId="64" fillId="2" borderId="23" xfId="0" applyFont="1" applyFill="1" applyBorder="1" applyAlignment="1">
      <alignment horizontal="center"/>
    </xf>
    <xf numFmtId="0" fontId="64" fillId="2" borderId="36" xfId="0" applyFont="1" applyFill="1" applyBorder="1" applyAlignment="1">
      <alignment horizontal="center"/>
    </xf>
    <xf numFmtId="0" fontId="64" fillId="2" borderId="4" xfId="0" applyFont="1" applyFill="1" applyBorder="1" applyAlignment="1">
      <alignment horizontal="center"/>
    </xf>
    <xf numFmtId="0" fontId="67" fillId="2" borderId="21" xfId="0" applyFont="1" applyFill="1" applyBorder="1" applyAlignment="1">
      <alignment horizontal="center"/>
    </xf>
    <xf numFmtId="0" fontId="67" fillId="2" borderId="26" xfId="0" applyFont="1" applyFill="1" applyBorder="1" applyAlignment="1" applyProtection="1">
      <alignment horizontal="left" vertical="center" wrapText="1"/>
      <protection locked="0"/>
    </xf>
    <xf numFmtId="0" fontId="67" fillId="2" borderId="21" xfId="0" applyFont="1" applyFill="1" applyBorder="1" applyAlignment="1">
      <alignment horizontal="center" vertical="center"/>
    </xf>
    <xf numFmtId="0" fontId="67" fillId="2" borderId="26" xfId="0" applyFont="1" applyFill="1" applyBorder="1" applyAlignment="1">
      <alignment horizontal="left" vertical="center" wrapText="1"/>
    </xf>
    <xf numFmtId="167" fontId="67" fillId="2" borderId="23" xfId="0" applyNumberFormat="1" applyFont="1" applyFill="1" applyBorder="1" applyAlignment="1">
      <alignment horizontal="center" vertical="center"/>
    </xf>
    <xf numFmtId="167" fontId="67" fillId="2" borderId="36" xfId="0" applyNumberFormat="1" applyFont="1" applyFill="1" applyBorder="1" applyAlignment="1">
      <alignment horizontal="center" vertical="center"/>
    </xf>
    <xf numFmtId="167" fontId="67" fillId="2" borderId="4" xfId="0" applyNumberFormat="1" applyFont="1" applyFill="1" applyBorder="1" applyAlignment="1">
      <alignment horizontal="center" vertical="center"/>
    </xf>
    <xf numFmtId="167" fontId="25" fillId="0" borderId="0" xfId="0" applyNumberFormat="1" applyFont="1" applyAlignment="1">
      <alignment horizontal="left"/>
    </xf>
    <xf numFmtId="0" fontId="30" fillId="0" borderId="0" xfId="0" applyFont="1" applyAlignment="1">
      <alignment horizontal="left" vertical="top" wrapText="1"/>
    </xf>
    <xf numFmtId="0" fontId="28" fillId="0" borderId="0" xfId="0" applyFont="1" applyAlignment="1">
      <alignment horizontal="left" vertical="center" wrapText="1"/>
    </xf>
    <xf numFmtId="0" fontId="25" fillId="0" borderId="16" xfId="0" applyFont="1" applyBorder="1" applyAlignment="1">
      <alignment horizontal="left"/>
    </xf>
    <xf numFmtId="0" fontId="25" fillId="0" borderId="0" xfId="0" applyFont="1" applyAlignment="1">
      <alignment wrapText="1"/>
    </xf>
    <xf numFmtId="168" fontId="25" fillId="0" borderId="21" xfId="0" applyNumberFormat="1"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4" xfId="0" applyFont="1" applyBorder="1" applyAlignment="1">
      <alignment horizontal="center" vertical="center"/>
    </xf>
    <xf numFmtId="0" fontId="26" fillId="0" borderId="21" xfId="0" applyFont="1" applyBorder="1" applyAlignment="1">
      <alignment horizontal="center" vertical="center"/>
    </xf>
    <xf numFmtId="0" fontId="26" fillId="0" borderId="39" xfId="0" applyFont="1" applyBorder="1" applyAlignment="1">
      <alignment horizontal="center" vertical="center"/>
    </xf>
    <xf numFmtId="174" fontId="25" fillId="0" borderId="39" xfId="0" applyNumberFormat="1" applyFont="1" applyBorder="1" applyAlignment="1">
      <alignment horizontal="center" vertical="center" wrapText="1"/>
    </xf>
    <xf numFmtId="0" fontId="67" fillId="2" borderId="7" xfId="0" applyFont="1" applyFill="1" applyBorder="1" applyAlignment="1">
      <alignment horizontal="left" vertical="center" wrapText="1"/>
    </xf>
    <xf numFmtId="0" fontId="67" fillId="2" borderId="8" xfId="0" applyFont="1" applyFill="1" applyBorder="1" applyAlignment="1">
      <alignment horizontal="left" vertical="center" wrapText="1"/>
    </xf>
    <xf numFmtId="0" fontId="67" fillId="2" borderId="9" xfId="0" applyFont="1" applyFill="1" applyBorder="1" applyAlignment="1">
      <alignment horizontal="left" vertical="center" wrapText="1"/>
    </xf>
    <xf numFmtId="0" fontId="26" fillId="0" borderId="36" xfId="0" applyFont="1" applyBorder="1" applyAlignment="1">
      <alignment horizontal="right"/>
    </xf>
    <xf numFmtId="0" fontId="26" fillId="0" borderId="32" xfId="0" applyFont="1" applyBorder="1" applyAlignment="1">
      <alignment horizontal="center"/>
    </xf>
    <xf numFmtId="0" fontId="26" fillId="0" borderId="36" xfId="0" applyFont="1" applyBorder="1" applyAlignment="1">
      <alignment horizontal="center"/>
    </xf>
    <xf numFmtId="167" fontId="67" fillId="2" borderId="1" xfId="0" applyNumberFormat="1" applyFont="1" applyFill="1" applyBorder="1" applyAlignment="1" applyProtection="1">
      <alignment horizontal="center" vertical="center"/>
      <protection locked="0"/>
    </xf>
    <xf numFmtId="167" fontId="67" fillId="2" borderId="2" xfId="0" applyNumberFormat="1" applyFont="1" applyFill="1" applyBorder="1" applyAlignment="1" applyProtection="1">
      <alignment horizontal="center" vertical="center"/>
      <protection locked="0"/>
    </xf>
    <xf numFmtId="167" fontId="67" fillId="2" borderId="5" xfId="0" applyNumberFormat="1" applyFont="1" applyFill="1" applyBorder="1" applyAlignment="1" applyProtection="1">
      <alignment horizontal="center" vertical="center"/>
      <protection locked="0"/>
    </xf>
    <xf numFmtId="167" fontId="25" fillId="0" borderId="0" xfId="0" applyNumberFormat="1" applyFont="1" applyAlignment="1" applyProtection="1">
      <alignment horizontal="left"/>
      <protection locked="0"/>
    </xf>
    <xf numFmtId="0" fontId="26" fillId="0" borderId="1" xfId="0" applyFont="1" applyBorder="1" applyAlignment="1">
      <alignment horizontal="center" vertical="center" wrapText="1"/>
    </xf>
    <xf numFmtId="0" fontId="26" fillId="0" borderId="2"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0" xfId="0" applyFont="1" applyAlignment="1">
      <alignment horizontal="center" vertical="center" wrapText="1"/>
    </xf>
    <xf numFmtId="0" fontId="26" fillId="0" borderId="6" xfId="0" applyFont="1" applyBorder="1" applyAlignment="1">
      <alignment horizontal="center" vertical="center" wrapText="1"/>
    </xf>
    <xf numFmtId="0" fontId="25" fillId="0" borderId="8" xfId="0" applyFont="1" applyBorder="1" applyAlignment="1">
      <alignment horizontal="center"/>
    </xf>
    <xf numFmtId="174" fontId="32" fillId="0" borderId="23" xfId="0" applyNumberFormat="1" applyFont="1" applyBorder="1" applyAlignment="1">
      <alignment horizontal="center" vertical="center" wrapText="1"/>
    </xf>
    <xf numFmtId="174" fontId="32" fillId="0" borderId="36" xfId="0" applyNumberFormat="1" applyFont="1" applyBorder="1" applyAlignment="1">
      <alignment horizontal="center" vertical="center" wrapText="1"/>
    </xf>
    <xf numFmtId="174" fontId="32" fillId="0" borderId="4" xfId="0" applyNumberFormat="1" applyFont="1" applyBorder="1" applyAlignment="1">
      <alignment horizontal="center" vertical="center" wrapText="1"/>
    </xf>
    <xf numFmtId="174" fontId="26" fillId="0" borderId="21" xfId="0" applyNumberFormat="1" applyFont="1" applyBorder="1" applyAlignment="1">
      <alignment horizontal="center" vertical="center" wrapText="1"/>
    </xf>
    <xf numFmtId="170" fontId="26" fillId="2" borderId="21" xfId="0" applyNumberFormat="1" applyFont="1" applyFill="1" applyBorder="1" applyAlignment="1">
      <alignment horizontal="center" vertical="center"/>
    </xf>
    <xf numFmtId="0" fontId="26" fillId="2" borderId="21" xfId="0" applyFont="1" applyFill="1" applyBorder="1" applyAlignment="1">
      <alignment horizontal="center" vertical="center"/>
    </xf>
    <xf numFmtId="0" fontId="26" fillId="0" borderId="7" xfId="0" applyFont="1" applyBorder="1" applyAlignment="1">
      <alignment horizontal="center" vertical="center" wrapText="1"/>
    </xf>
    <xf numFmtId="0" fontId="26" fillId="0" borderId="9" xfId="0" applyFont="1" applyBorder="1" applyAlignment="1">
      <alignment horizontal="center" vertical="center" wrapText="1"/>
    </xf>
    <xf numFmtId="0" fontId="30" fillId="0" borderId="10" xfId="0" applyFont="1" applyBorder="1" applyAlignment="1">
      <alignment horizontal="left" vertical="top" wrapText="1"/>
    </xf>
    <xf numFmtId="0" fontId="26" fillId="0" borderId="39" xfId="0" applyFont="1" applyBorder="1" applyAlignment="1">
      <alignment horizontal="center" vertical="center" wrapText="1"/>
    </xf>
    <xf numFmtId="166" fontId="26" fillId="0" borderId="21" xfId="0" applyNumberFormat="1" applyFont="1" applyBorder="1" applyAlignment="1">
      <alignment horizontal="center" vertical="center"/>
    </xf>
    <xf numFmtId="0" fontId="18" fillId="0" borderId="21" xfId="0" applyFont="1" applyBorder="1" applyAlignment="1">
      <alignment horizontal="center" vertical="center" wrapText="1"/>
    </xf>
    <xf numFmtId="0" fontId="18" fillId="0" borderId="39" xfId="0" applyFont="1" applyBorder="1" applyAlignment="1">
      <alignment horizontal="center" vertical="center" wrapText="1"/>
    </xf>
    <xf numFmtId="167" fontId="67" fillId="2" borderId="1" xfId="0" applyNumberFormat="1" applyFont="1" applyFill="1" applyBorder="1" applyAlignment="1">
      <alignment horizontal="center" vertical="center"/>
    </xf>
    <xf numFmtId="167" fontId="67" fillId="2" borderId="2" xfId="0" applyNumberFormat="1" applyFont="1" applyFill="1" applyBorder="1" applyAlignment="1">
      <alignment horizontal="center" vertical="center"/>
    </xf>
    <xf numFmtId="167" fontId="67" fillId="2" borderId="5" xfId="0" applyNumberFormat="1" applyFont="1" applyFill="1" applyBorder="1" applyAlignment="1">
      <alignment horizontal="center" vertical="center"/>
    </xf>
    <xf numFmtId="0" fontId="31" fillId="0" borderId="0" xfId="0" applyFont="1" applyAlignment="1">
      <alignment horizontal="center" vertical="center"/>
    </xf>
    <xf numFmtId="170" fontId="25" fillId="2" borderId="39" xfId="0" applyNumberFormat="1" applyFont="1" applyFill="1" applyBorder="1" applyAlignment="1">
      <alignment horizontal="center" vertical="center"/>
    </xf>
    <xf numFmtId="0" fontId="25" fillId="2" borderId="39" xfId="0" applyFont="1" applyFill="1" applyBorder="1" applyAlignment="1">
      <alignment horizontal="center" vertical="center"/>
    </xf>
    <xf numFmtId="0" fontId="25" fillId="0" borderId="0" xfId="0" applyFont="1" applyAlignment="1">
      <alignment horizontal="left" vertical="distributed" wrapText="1"/>
    </xf>
    <xf numFmtId="0" fontId="30" fillId="2" borderId="0" xfId="0" applyFont="1" applyFill="1" applyAlignment="1">
      <alignment horizontal="left"/>
    </xf>
    <xf numFmtId="0" fontId="53" fillId="0" borderId="0" xfId="0" applyFont="1" applyAlignment="1">
      <alignment horizontal="center"/>
    </xf>
    <xf numFmtId="167" fontId="68" fillId="0" borderId="21" xfId="0" applyNumberFormat="1" applyFont="1" applyBorder="1" applyAlignment="1">
      <alignment horizontal="center" vertical="center"/>
    </xf>
    <xf numFmtId="169" fontId="25" fillId="0" borderId="23" xfId="0" applyNumberFormat="1" applyFont="1" applyBorder="1" applyAlignment="1">
      <alignment horizontal="center" vertical="center" wrapText="1"/>
    </xf>
    <xf numFmtId="169" fontId="25" fillId="0" borderId="36" xfId="0" applyNumberFormat="1" applyFont="1" applyBorder="1" applyAlignment="1">
      <alignment horizontal="center" vertical="center" wrapText="1"/>
    </xf>
    <xf numFmtId="169" fontId="25" fillId="0" borderId="4" xfId="0" applyNumberFormat="1" applyFont="1" applyBorder="1" applyAlignment="1">
      <alignment horizontal="center" vertical="center" wrapText="1"/>
    </xf>
    <xf numFmtId="0" fontId="25" fillId="0" borderId="0" xfId="0" applyFont="1" applyAlignment="1">
      <alignment horizontal="center" wrapText="1"/>
    </xf>
    <xf numFmtId="170" fontId="25" fillId="0" borderId="0" xfId="0" applyNumberFormat="1" applyFont="1" applyAlignment="1">
      <alignment horizontal="center" wrapText="1"/>
    </xf>
    <xf numFmtId="167" fontId="88" fillId="0" borderId="1" xfId="0" applyNumberFormat="1" applyFont="1" applyBorder="1" applyAlignment="1">
      <alignment horizontal="center" vertical="center"/>
    </xf>
    <xf numFmtId="167" fontId="88" fillId="0" borderId="2" xfId="0" applyNumberFormat="1" applyFont="1" applyBorder="1" applyAlignment="1">
      <alignment horizontal="center" vertical="center"/>
    </xf>
    <xf numFmtId="167" fontId="88" fillId="0" borderId="5" xfId="0" applyNumberFormat="1" applyFont="1" applyBorder="1" applyAlignment="1">
      <alignment horizontal="center" vertical="center"/>
    </xf>
    <xf numFmtId="0" fontId="26" fillId="0" borderId="23" xfId="0" applyFont="1" applyBorder="1" applyAlignment="1">
      <alignment horizontal="center" vertical="center"/>
    </xf>
    <xf numFmtId="0" fontId="26" fillId="0" borderId="4" xfId="0" applyFont="1" applyBorder="1" applyAlignment="1">
      <alignment horizontal="center" vertical="center"/>
    </xf>
    <xf numFmtId="2" fontId="32" fillId="2" borderId="23" xfId="0" applyNumberFormat="1" applyFont="1" applyFill="1" applyBorder="1" applyAlignment="1">
      <alignment horizontal="center" vertical="center" wrapText="1"/>
    </xf>
    <xf numFmtId="2" fontId="32" fillId="2" borderId="36" xfId="0" applyNumberFormat="1" applyFont="1" applyFill="1" applyBorder="1" applyAlignment="1">
      <alignment horizontal="center" vertical="center" wrapText="1"/>
    </xf>
    <xf numFmtId="0" fontId="26" fillId="0" borderId="8" xfId="0" applyFont="1" applyBorder="1" applyAlignment="1">
      <alignment horizontal="center" vertical="center" wrapText="1"/>
    </xf>
    <xf numFmtId="0" fontId="26" fillId="2" borderId="23" xfId="0" applyFont="1" applyFill="1" applyBorder="1" applyAlignment="1">
      <alignment horizontal="center" vertical="center"/>
    </xf>
    <xf numFmtId="0" fontId="26" fillId="2" borderId="4" xfId="0" applyFont="1" applyFill="1" applyBorder="1" applyAlignment="1">
      <alignment horizontal="center" vertical="center"/>
    </xf>
    <xf numFmtId="0" fontId="40" fillId="0" borderId="21" xfId="0" applyFont="1" applyBorder="1" applyAlignment="1">
      <alignment horizontal="center" vertical="center"/>
    </xf>
    <xf numFmtId="0" fontId="25" fillId="0" borderId="1" xfId="0" applyFont="1" applyBorder="1" applyAlignment="1">
      <alignment horizontal="center" vertical="center"/>
    </xf>
    <xf numFmtId="0" fontId="25" fillId="0" borderId="5" xfId="0" applyFont="1" applyBorder="1" applyAlignment="1">
      <alignment horizontal="center" vertical="center"/>
    </xf>
    <xf numFmtId="0" fontId="25" fillId="0" borderId="3" xfId="0" applyFont="1" applyBorder="1" applyAlignment="1">
      <alignment horizontal="center" vertical="center"/>
    </xf>
    <xf numFmtId="0" fontId="25" fillId="0" borderId="6" xfId="0" applyFont="1" applyBorder="1" applyAlignment="1">
      <alignment horizontal="center" vertical="center"/>
    </xf>
    <xf numFmtId="0" fontId="25" fillId="0" borderId="7" xfId="0" applyFont="1" applyBorder="1" applyAlignment="1">
      <alignment horizontal="center" vertical="center"/>
    </xf>
    <xf numFmtId="0" fontId="25" fillId="0" borderId="9" xfId="0" applyFont="1" applyBorder="1" applyAlignment="1">
      <alignment horizontal="center" vertical="center"/>
    </xf>
    <xf numFmtId="167" fontId="30" fillId="0" borderId="0" xfId="0" applyNumberFormat="1" applyFont="1" applyAlignment="1">
      <alignment horizontal="left" vertical="center"/>
    </xf>
    <xf numFmtId="167" fontId="25" fillId="2" borderId="0" xfId="0" applyNumberFormat="1" applyFont="1" applyFill="1" applyAlignment="1">
      <alignment horizontal="center" vertical="center"/>
    </xf>
    <xf numFmtId="0" fontId="26" fillId="2" borderId="0" xfId="0" applyFont="1" applyFill="1" applyAlignment="1">
      <alignment horizontal="center"/>
    </xf>
    <xf numFmtId="1" fontId="30" fillId="0" borderId="0" xfId="0" applyNumberFormat="1" applyFont="1" applyAlignment="1">
      <alignment horizontal="center"/>
    </xf>
    <xf numFmtId="0" fontId="26" fillId="0" borderId="0" xfId="2" applyFont="1" applyAlignment="1" applyProtection="1">
      <alignment horizontal="left" vertical="center"/>
      <protection hidden="1"/>
    </xf>
    <xf numFmtId="0" fontId="25" fillId="0" borderId="0" xfId="2" applyFont="1" applyAlignment="1" applyProtection="1">
      <alignment horizontal="left" vertical="center"/>
      <protection hidden="1"/>
    </xf>
    <xf numFmtId="174" fontId="25" fillId="0" borderId="0" xfId="0" applyNumberFormat="1" applyFont="1" applyAlignment="1">
      <alignment horizontal="center"/>
    </xf>
    <xf numFmtId="0" fontId="0" fillId="0" borderId="23" xfId="0" applyBorder="1" applyAlignment="1">
      <alignment horizontal="center" vertical="center" wrapText="1"/>
    </xf>
    <xf numFmtId="0" fontId="0" fillId="0" borderId="36" xfId="0" applyBorder="1" applyAlignment="1">
      <alignment horizontal="center" vertical="center" wrapText="1"/>
    </xf>
    <xf numFmtId="0" fontId="0" fillId="0" borderId="4" xfId="0" applyBorder="1" applyAlignment="1">
      <alignment horizontal="center" vertical="center" wrapText="1"/>
    </xf>
    <xf numFmtId="0" fontId="30" fillId="0" borderId="1" xfId="0" applyFont="1" applyBorder="1" applyAlignment="1">
      <alignment horizontal="left" vertical="top" wrapText="1"/>
    </xf>
    <xf numFmtId="0" fontId="30" fillId="0" borderId="2" xfId="0" applyFont="1" applyBorder="1" applyAlignment="1">
      <alignment horizontal="left" vertical="top" wrapText="1"/>
    </xf>
    <xf numFmtId="0" fontId="30" fillId="0" borderId="5" xfId="0" applyFont="1" applyBorder="1" applyAlignment="1">
      <alignment horizontal="left" vertical="top" wrapText="1"/>
    </xf>
    <xf numFmtId="0" fontId="30" fillId="0" borderId="3" xfId="0" applyFont="1" applyBorder="1" applyAlignment="1">
      <alignment horizontal="left" vertical="top" wrapText="1"/>
    </xf>
    <xf numFmtId="0" fontId="30" fillId="0" borderId="6" xfId="0" applyFont="1" applyBorder="1" applyAlignment="1">
      <alignment horizontal="left" vertical="top" wrapText="1"/>
    </xf>
    <xf numFmtId="0" fontId="30" fillId="0" borderId="7" xfId="0" applyFont="1" applyBorder="1" applyAlignment="1">
      <alignment horizontal="left" vertical="top" wrapText="1"/>
    </xf>
    <xf numFmtId="0" fontId="30" fillId="0" borderId="8" xfId="0" applyFont="1" applyBorder="1" applyAlignment="1">
      <alignment horizontal="left" vertical="top" wrapText="1"/>
    </xf>
    <xf numFmtId="0" fontId="30" fillId="0" borderId="9" xfId="0" applyFont="1" applyBorder="1" applyAlignment="1">
      <alignment horizontal="left" vertical="top" wrapText="1"/>
    </xf>
    <xf numFmtId="167" fontId="25" fillId="0" borderId="0" xfId="0" applyNumberFormat="1" applyFont="1" applyAlignment="1">
      <alignment horizontal="left" vertical="center"/>
    </xf>
    <xf numFmtId="0" fontId="26" fillId="0" borderId="0" xfId="2" applyFont="1" applyAlignment="1">
      <alignment horizontal="center" vertical="center" wrapText="1"/>
    </xf>
    <xf numFmtId="0" fontId="30" fillId="0" borderId="16" xfId="0" applyFont="1" applyBorder="1" applyAlignment="1">
      <alignment horizontal="left" vertical="top" wrapText="1"/>
    </xf>
    <xf numFmtId="181" fontId="0" fillId="0" borderId="21" xfId="0" applyNumberFormat="1" applyBorder="1" applyAlignment="1">
      <alignment horizontal="center" vertical="center" wrapText="1"/>
    </xf>
    <xf numFmtId="0" fontId="26" fillId="0" borderId="0" xfId="0" applyFont="1" applyAlignment="1">
      <alignment horizontal="right"/>
    </xf>
    <xf numFmtId="0" fontId="64" fillId="0" borderId="0" xfId="0" applyFont="1" applyAlignment="1">
      <alignment horizontal="right" vertical="center" wrapText="1"/>
    </xf>
    <xf numFmtId="49" fontId="64" fillId="0" borderId="0" xfId="0" applyNumberFormat="1" applyFont="1" applyAlignment="1">
      <alignment horizontal="right" vertical="center"/>
    </xf>
    <xf numFmtId="0" fontId="64" fillId="0" borderId="0" xfId="0" applyFont="1" applyAlignment="1">
      <alignment horizontal="right" vertical="center"/>
    </xf>
    <xf numFmtId="0" fontId="88" fillId="0" borderId="0" xfId="0" applyFont="1" applyAlignment="1">
      <alignment horizontal="right" vertical="center"/>
    </xf>
    <xf numFmtId="0" fontId="25" fillId="0" borderId="0" xfId="2" applyFont="1" applyAlignment="1" applyProtection="1">
      <alignment horizontal="left" vertical="center" wrapText="1"/>
      <protection hidden="1"/>
    </xf>
    <xf numFmtId="164" fontId="25" fillId="0" borderId="0" xfId="1" applyFont="1" applyFill="1" applyAlignment="1">
      <alignment horizontal="left" vertical="center"/>
    </xf>
    <xf numFmtId="175" fontId="25" fillId="0" borderId="21" xfId="0" applyNumberFormat="1" applyFont="1" applyBorder="1" applyAlignment="1">
      <alignment horizontal="center" vertical="center"/>
    </xf>
    <xf numFmtId="0" fontId="24" fillId="2" borderId="39" xfId="0" applyFont="1" applyFill="1" applyBorder="1" applyAlignment="1">
      <alignment horizontal="center" vertical="center"/>
    </xf>
    <xf numFmtId="0" fontId="24" fillId="2" borderId="35" xfId="0" applyFont="1" applyFill="1" applyBorder="1" applyAlignment="1">
      <alignment horizontal="center" vertical="center"/>
    </xf>
    <xf numFmtId="0" fontId="18" fillId="9" borderId="21" xfId="0" applyFont="1" applyFill="1" applyBorder="1" applyAlignment="1">
      <alignment horizontal="center" vertical="center"/>
    </xf>
    <xf numFmtId="0" fontId="21" fillId="9" borderId="21" xfId="0" applyFont="1" applyFill="1" applyBorder="1" applyAlignment="1">
      <alignment horizontal="center" vertical="center"/>
    </xf>
    <xf numFmtId="0" fontId="24" fillId="2" borderId="4" xfId="0" applyFont="1" applyFill="1" applyBorder="1" applyAlignment="1">
      <alignment horizontal="center" vertical="center" wrapText="1"/>
    </xf>
    <xf numFmtId="0" fontId="24" fillId="2" borderId="39" xfId="0" applyFont="1" applyFill="1" applyBorder="1" applyAlignment="1">
      <alignment horizontal="center" vertical="center" wrapText="1"/>
    </xf>
    <xf numFmtId="0" fontId="24" fillId="2" borderId="26"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24" fillId="2" borderId="9" xfId="0" applyFont="1" applyFill="1" applyBorder="1" applyAlignment="1">
      <alignment horizontal="center" vertical="center" wrapText="1"/>
    </xf>
    <xf numFmtId="0" fontId="64" fillId="0" borderId="1" xfId="0" applyFont="1" applyBorder="1" applyAlignment="1">
      <alignment horizontal="center" vertical="center" wrapText="1"/>
    </xf>
    <xf numFmtId="0" fontId="64" fillId="0" borderId="2" xfId="0" applyFont="1" applyBorder="1" applyAlignment="1">
      <alignment horizontal="center" vertical="center" wrapText="1"/>
    </xf>
    <xf numFmtId="0" fontId="64" fillId="0" borderId="5" xfId="0" applyFont="1" applyBorder="1" applyAlignment="1">
      <alignment horizontal="center" vertical="center" wrapText="1"/>
    </xf>
    <xf numFmtId="0" fontId="64" fillId="0" borderId="3" xfId="0" applyFont="1" applyBorder="1" applyAlignment="1">
      <alignment horizontal="center" vertical="center" wrapText="1"/>
    </xf>
    <xf numFmtId="0" fontId="64" fillId="0" borderId="0" xfId="0" applyFont="1" applyAlignment="1">
      <alignment horizontal="center" vertical="center" wrapText="1"/>
    </xf>
    <xf numFmtId="0" fontId="64" fillId="0" borderId="6" xfId="0" applyFont="1" applyBorder="1" applyAlignment="1">
      <alignment horizontal="center" vertical="center" wrapText="1"/>
    </xf>
    <xf numFmtId="0" fontId="64" fillId="0" borderId="7" xfId="0" applyFont="1" applyBorder="1" applyAlignment="1">
      <alignment horizontal="center" vertical="center" wrapText="1"/>
    </xf>
    <xf numFmtId="0" fontId="64" fillId="0" borderId="8" xfId="0" applyFont="1" applyBorder="1" applyAlignment="1">
      <alignment horizontal="center" vertical="center" wrapText="1"/>
    </xf>
    <xf numFmtId="0" fontId="64" fillId="0" borderId="9" xfId="0" applyFont="1" applyBorder="1" applyAlignment="1">
      <alignment horizontal="center" vertical="center" wrapText="1"/>
    </xf>
    <xf numFmtId="0" fontId="37" fillId="14" borderId="29" xfId="0" applyFont="1" applyFill="1" applyBorder="1" applyAlignment="1">
      <alignment horizontal="center" vertical="center" wrapText="1"/>
    </xf>
    <xf numFmtId="0" fontId="37" fillId="14" borderId="24" xfId="0" applyFont="1" applyFill="1" applyBorder="1" applyAlignment="1">
      <alignment horizontal="center" vertical="center" wrapText="1"/>
    </xf>
    <xf numFmtId="0" fontId="37" fillId="14" borderId="40" xfId="0" applyFont="1" applyFill="1" applyBorder="1" applyAlignment="1">
      <alignment horizontal="center" vertical="center" wrapText="1"/>
    </xf>
    <xf numFmtId="0" fontId="37" fillId="14" borderId="21" xfId="0" applyFont="1" applyFill="1" applyBorder="1" applyAlignment="1">
      <alignment horizontal="center" vertical="center" wrapText="1"/>
    </xf>
    <xf numFmtId="0" fontId="37" fillId="14" borderId="23" xfId="0" applyFont="1" applyFill="1" applyBorder="1" applyAlignment="1">
      <alignment horizontal="center" vertical="center" wrapText="1"/>
    </xf>
    <xf numFmtId="0" fontId="37" fillId="14" borderId="52" xfId="0" applyFont="1" applyFill="1" applyBorder="1" applyAlignment="1">
      <alignment horizontal="center" vertical="center"/>
    </xf>
    <xf numFmtId="0" fontId="37" fillId="14" borderId="10" xfId="0" applyFont="1" applyFill="1" applyBorder="1" applyAlignment="1">
      <alignment horizontal="center" vertical="center"/>
    </xf>
    <xf numFmtId="0" fontId="103" fillId="2" borderId="0" xfId="0" applyFont="1" applyFill="1" applyAlignment="1">
      <alignment horizontal="left"/>
    </xf>
    <xf numFmtId="0" fontId="65" fillId="0" borderId="3" xfId="0" applyFont="1" applyBorder="1" applyAlignment="1">
      <alignment horizontal="left" vertical="center"/>
    </xf>
    <xf numFmtId="0" fontId="65" fillId="0" borderId="7" xfId="0" applyFont="1" applyBorder="1" applyAlignment="1">
      <alignment horizontal="left" vertical="center"/>
    </xf>
    <xf numFmtId="0" fontId="65" fillId="0" borderId="8" xfId="0" applyFont="1" applyBorder="1" applyAlignment="1">
      <alignment horizontal="left" vertical="center"/>
    </xf>
    <xf numFmtId="167" fontId="65" fillId="0" borderId="8" xfId="0" applyNumberFormat="1" applyFont="1" applyBorder="1" applyAlignment="1">
      <alignment horizontal="left" vertical="center"/>
    </xf>
    <xf numFmtId="0" fontId="66" fillId="0" borderId="0" xfId="0" applyFont="1" applyAlignment="1">
      <alignment horizontal="left" vertical="justify" wrapText="1"/>
    </xf>
    <xf numFmtId="0" fontId="66" fillId="0" borderId="6" xfId="0" applyFont="1" applyBorder="1" applyAlignment="1">
      <alignment horizontal="left" vertical="justify" wrapText="1"/>
    </xf>
    <xf numFmtId="167" fontId="21" fillId="2" borderId="8" xfId="0" applyNumberFormat="1" applyFont="1" applyFill="1" applyBorder="1" applyAlignment="1">
      <alignment horizontal="left"/>
    </xf>
    <xf numFmtId="167" fontId="21" fillId="2" borderId="9" xfId="0" applyNumberFormat="1" applyFont="1" applyFill="1" applyBorder="1" applyAlignment="1">
      <alignment horizontal="left"/>
    </xf>
    <xf numFmtId="0" fontId="65" fillId="0" borderId="1" xfId="0" applyFont="1" applyBorder="1" applyAlignment="1">
      <alignment horizontal="left" vertical="center"/>
    </xf>
    <xf numFmtId="0" fontId="65" fillId="0" borderId="2" xfId="0" applyFont="1" applyBorder="1" applyAlignment="1">
      <alignment horizontal="left" vertical="center"/>
    </xf>
    <xf numFmtId="49" fontId="65" fillId="0" borderId="2" xfId="0" applyNumberFormat="1" applyFont="1" applyBorder="1" applyAlignment="1">
      <alignment horizontal="left" vertical="center"/>
    </xf>
    <xf numFmtId="49" fontId="65" fillId="0" borderId="5" xfId="0" applyNumberFormat="1" applyFont="1" applyBorder="1" applyAlignment="1">
      <alignment horizontal="left" vertical="center"/>
    </xf>
    <xf numFmtId="0" fontId="35" fillId="9" borderId="11" xfId="0" applyFont="1" applyFill="1" applyBorder="1" applyAlignment="1">
      <alignment horizontal="left" vertical="center"/>
    </xf>
    <xf numFmtId="0" fontId="35" fillId="9" borderId="10" xfId="0" applyFont="1" applyFill="1" applyBorder="1" applyAlignment="1">
      <alignment horizontal="left" vertical="center"/>
    </xf>
    <xf numFmtId="0" fontId="35" fillId="9" borderId="50" xfId="0" applyFont="1" applyFill="1" applyBorder="1" applyAlignment="1">
      <alignment horizontal="left" vertical="center"/>
    </xf>
    <xf numFmtId="0" fontId="34" fillId="14" borderId="31" xfId="0" applyFont="1" applyFill="1" applyBorder="1" applyAlignment="1">
      <alignment horizontal="center" vertical="center" wrapText="1"/>
    </xf>
    <xf numFmtId="0" fontId="34" fillId="14" borderId="2" xfId="0" applyFont="1" applyFill="1" applyBorder="1" applyAlignment="1">
      <alignment horizontal="center" vertical="center" wrapText="1"/>
    </xf>
    <xf numFmtId="0" fontId="34" fillId="14" borderId="13" xfId="0" applyFont="1" applyFill="1" applyBorder="1" applyAlignment="1">
      <alignment horizontal="center" vertical="center" wrapText="1"/>
    </xf>
    <xf numFmtId="0" fontId="34" fillId="14" borderId="0" xfId="0" applyFont="1" applyFill="1" applyAlignment="1">
      <alignment horizontal="center" vertical="center" wrapText="1"/>
    </xf>
    <xf numFmtId="0" fontId="34" fillId="14" borderId="56" xfId="0" applyFont="1" applyFill="1" applyBorder="1" applyAlignment="1">
      <alignment horizontal="center" vertical="center" wrapText="1"/>
    </xf>
    <xf numFmtId="0" fontId="34" fillId="14" borderId="8" xfId="0" applyFont="1" applyFill="1" applyBorder="1" applyAlignment="1">
      <alignment horizontal="center" vertical="center" wrapText="1"/>
    </xf>
    <xf numFmtId="0" fontId="35" fillId="14" borderId="15" xfId="0" applyFont="1" applyFill="1" applyBorder="1" applyAlignment="1">
      <alignment horizontal="left" vertical="center"/>
    </xf>
    <xf numFmtId="0" fontId="35" fillId="14" borderId="16" xfId="0" applyFont="1" applyFill="1" applyBorder="1" applyAlignment="1">
      <alignment horizontal="left" vertical="center"/>
    </xf>
    <xf numFmtId="0" fontId="35" fillId="14" borderId="51" xfId="0" applyFont="1" applyFill="1" applyBorder="1" applyAlignment="1">
      <alignment horizontal="left" vertical="center"/>
    </xf>
    <xf numFmtId="0" fontId="35" fillId="9" borderId="11" xfId="0" applyFont="1" applyFill="1" applyBorder="1" applyAlignment="1">
      <alignment horizontal="left" vertical="center" wrapText="1"/>
    </xf>
    <xf numFmtId="0" fontId="35" fillId="9" borderId="10" xfId="0" applyFont="1" applyFill="1" applyBorder="1" applyAlignment="1">
      <alignment horizontal="left" vertical="center" wrapText="1"/>
    </xf>
    <xf numFmtId="0" fontId="35" fillId="9" borderId="50" xfId="0" applyFont="1" applyFill="1" applyBorder="1" applyAlignment="1">
      <alignment horizontal="left" vertical="center" wrapText="1"/>
    </xf>
    <xf numFmtId="0" fontId="35" fillId="9" borderId="13" xfId="0" applyFont="1" applyFill="1" applyBorder="1" applyAlignment="1">
      <alignment horizontal="left" vertical="center" wrapText="1"/>
    </xf>
    <xf numFmtId="0" fontId="35" fillId="9" borderId="0" xfId="0" applyFont="1" applyFill="1" applyAlignment="1">
      <alignment horizontal="left" vertical="center" wrapText="1"/>
    </xf>
    <xf numFmtId="0" fontId="35" fillId="9" borderId="6" xfId="0" applyFont="1" applyFill="1" applyBorder="1" applyAlignment="1">
      <alignment horizontal="left" vertical="center" wrapText="1"/>
    </xf>
    <xf numFmtId="0" fontId="35" fillId="9" borderId="22" xfId="0" applyFont="1" applyFill="1" applyBorder="1" applyAlignment="1">
      <alignment vertical="center" wrapText="1"/>
    </xf>
    <xf numFmtId="0" fontId="35" fillId="9" borderId="23" xfId="0" applyFont="1" applyFill="1" applyBorder="1" applyAlignment="1">
      <alignment vertical="center" wrapText="1"/>
    </xf>
    <xf numFmtId="0" fontId="35" fillId="9" borderId="42" xfId="0" applyFont="1" applyFill="1" applyBorder="1" applyAlignment="1">
      <alignment vertical="center" wrapText="1"/>
    </xf>
    <xf numFmtId="0" fontId="34" fillId="14" borderId="15" xfId="0" applyFont="1" applyFill="1" applyBorder="1" applyAlignment="1">
      <alignment horizontal="center" vertical="center" wrapText="1"/>
    </xf>
    <xf numFmtId="0" fontId="34" fillId="14" borderId="16" xfId="0" applyFont="1" applyFill="1" applyBorder="1" applyAlignment="1">
      <alignment horizontal="center" vertical="center" wrapText="1"/>
    </xf>
    <xf numFmtId="0" fontId="34" fillId="9" borderId="31" xfId="0" applyFont="1" applyFill="1" applyBorder="1" applyAlignment="1">
      <alignment horizontal="center" vertical="center" wrapText="1"/>
    </xf>
    <xf numFmtId="0" fontId="34" fillId="9" borderId="2" xfId="0" applyFont="1" applyFill="1" applyBorder="1" applyAlignment="1">
      <alignment horizontal="center" vertical="center" wrapText="1"/>
    </xf>
    <xf numFmtId="0" fontId="34" fillId="9" borderId="13" xfId="0" applyFont="1" applyFill="1" applyBorder="1" applyAlignment="1">
      <alignment horizontal="center" vertical="center" wrapText="1"/>
    </xf>
    <xf numFmtId="0" fontId="34" fillId="9" borderId="0" xfId="0" applyFont="1" applyFill="1" applyAlignment="1">
      <alignment horizontal="center" vertical="center" wrapText="1"/>
    </xf>
    <xf numFmtId="0" fontId="34" fillId="9" borderId="56" xfId="0" applyFont="1" applyFill="1" applyBorder="1" applyAlignment="1">
      <alignment horizontal="center" vertical="center" wrapText="1"/>
    </xf>
    <xf numFmtId="0" fontId="34" fillId="9" borderId="8" xfId="0" applyFont="1" applyFill="1" applyBorder="1" applyAlignment="1">
      <alignment horizontal="center" vertical="center" wrapText="1"/>
    </xf>
    <xf numFmtId="0" fontId="35" fillId="14" borderId="11" xfId="0" applyFont="1" applyFill="1" applyBorder="1" applyAlignment="1">
      <alignment horizontal="left" vertical="center" wrapText="1"/>
    </xf>
    <xf numFmtId="0" fontId="35" fillId="14" borderId="10" xfId="0" applyFont="1" applyFill="1" applyBorder="1" applyAlignment="1">
      <alignment horizontal="left" vertical="center" wrapText="1"/>
    </xf>
    <xf numFmtId="0" fontId="35" fillId="14" borderId="50" xfId="0" applyFont="1" applyFill="1" applyBorder="1" applyAlignment="1">
      <alignment horizontal="left" vertical="center" wrapText="1"/>
    </xf>
    <xf numFmtId="0" fontId="35" fillId="14" borderId="13" xfId="0" applyFont="1" applyFill="1" applyBorder="1" applyAlignment="1">
      <alignment horizontal="left" vertical="center" wrapText="1"/>
    </xf>
    <xf numFmtId="0" fontId="35" fillId="14" borderId="0" xfId="0" applyFont="1" applyFill="1" applyAlignment="1">
      <alignment horizontal="left" vertical="center" wrapText="1"/>
    </xf>
    <xf numFmtId="0" fontId="35" fillId="14" borderId="6" xfId="0" applyFont="1" applyFill="1" applyBorder="1" applyAlignment="1">
      <alignment horizontal="left" vertical="center" wrapText="1"/>
    </xf>
    <xf numFmtId="0" fontId="35" fillId="13" borderId="22" xfId="0" applyFont="1" applyFill="1" applyBorder="1" applyAlignment="1">
      <alignment vertical="center" wrapText="1"/>
    </xf>
    <xf numFmtId="0" fontId="35" fillId="13" borderId="23" xfId="0" applyFont="1" applyFill="1" applyBorder="1" applyAlignment="1">
      <alignment vertical="center" wrapText="1"/>
    </xf>
    <xf numFmtId="0" fontId="35" fillId="13" borderId="42" xfId="0" applyFont="1" applyFill="1" applyBorder="1" applyAlignment="1">
      <alignment vertical="center" wrapText="1"/>
    </xf>
    <xf numFmtId="0" fontId="35" fillId="9" borderId="15" xfId="0" applyFont="1" applyFill="1" applyBorder="1" applyAlignment="1">
      <alignment horizontal="left" vertical="center" wrapText="1"/>
    </xf>
    <xf numFmtId="0" fontId="35" fillId="9" borderId="16" xfId="0" applyFont="1" applyFill="1" applyBorder="1" applyAlignment="1">
      <alignment horizontal="left" vertical="center" wrapText="1"/>
    </xf>
    <xf numFmtId="0" fontId="35" fillId="9" borderId="51" xfId="0" applyFont="1" applyFill="1" applyBorder="1" applyAlignment="1">
      <alignment horizontal="left" vertical="center" wrapText="1"/>
    </xf>
    <xf numFmtId="0" fontId="24" fillId="2" borderId="0" xfId="0" applyFont="1" applyFill="1" applyAlignment="1">
      <alignment horizontal="left" wrapText="1"/>
    </xf>
    <xf numFmtId="0" fontId="35" fillId="13" borderId="52" xfId="0" applyFont="1" applyFill="1" applyBorder="1" applyAlignment="1">
      <alignment horizontal="left" vertical="center" wrapText="1"/>
    </xf>
    <xf numFmtId="0" fontId="35" fillId="13" borderId="3" xfId="0" applyFont="1" applyFill="1" applyBorder="1" applyAlignment="1">
      <alignment horizontal="left" vertical="center" wrapText="1"/>
    </xf>
    <xf numFmtId="0" fontId="35" fillId="13" borderId="38" xfId="0" applyFont="1" applyFill="1" applyBorder="1" applyAlignment="1">
      <alignment horizontal="left" vertical="center" wrapText="1"/>
    </xf>
    <xf numFmtId="0" fontId="35" fillId="13" borderId="7" xfId="0" applyFont="1" applyFill="1" applyBorder="1" applyAlignment="1">
      <alignment horizontal="left" vertical="center" wrapText="1"/>
    </xf>
    <xf numFmtId="0" fontId="35" fillId="14" borderId="11" xfId="0" applyFont="1" applyFill="1" applyBorder="1" applyAlignment="1">
      <alignment horizontal="center" vertical="center" wrapText="1"/>
    </xf>
    <xf numFmtId="0" fontId="35" fillId="14" borderId="10" xfId="0" applyFont="1" applyFill="1" applyBorder="1" applyAlignment="1">
      <alignment horizontal="center" vertical="center" wrapText="1"/>
    </xf>
    <xf numFmtId="0" fontId="35" fillId="14" borderId="50" xfId="0" applyFont="1" applyFill="1" applyBorder="1" applyAlignment="1">
      <alignment horizontal="center" vertical="center" wrapText="1"/>
    </xf>
    <xf numFmtId="0" fontId="35" fillId="14" borderId="13" xfId="0" applyFont="1" applyFill="1" applyBorder="1" applyAlignment="1">
      <alignment horizontal="center" vertical="center" wrapText="1"/>
    </xf>
    <xf numFmtId="0" fontId="35" fillId="14" borderId="0" xfId="0" applyFont="1" applyFill="1" applyAlignment="1">
      <alignment horizontal="center" vertical="center" wrapText="1"/>
    </xf>
    <xf numFmtId="0" fontId="35" fillId="14" borderId="6" xfId="0" applyFont="1" applyFill="1" applyBorder="1" applyAlignment="1">
      <alignment horizontal="center" vertical="center" wrapText="1"/>
    </xf>
    <xf numFmtId="0" fontId="35" fillId="14" borderId="15" xfId="0" applyFont="1" applyFill="1" applyBorder="1" applyAlignment="1">
      <alignment horizontal="center" vertical="center" wrapText="1"/>
    </xf>
    <xf numFmtId="0" fontId="35" fillId="14" borderId="16" xfId="0" applyFont="1" applyFill="1" applyBorder="1" applyAlignment="1">
      <alignment horizontal="center" vertical="center" wrapText="1"/>
    </xf>
    <xf numFmtId="0" fontId="35" fillId="14" borderId="51" xfId="0" applyFont="1" applyFill="1" applyBorder="1" applyAlignment="1">
      <alignment horizontal="center" vertical="center" wrapText="1"/>
    </xf>
    <xf numFmtId="0" fontId="35" fillId="14" borderId="11" xfId="0" applyFont="1" applyFill="1" applyBorder="1" applyAlignment="1">
      <alignment horizontal="left" vertical="center"/>
    </xf>
    <xf numFmtId="0" fontId="35" fillId="14" borderId="10" xfId="0" applyFont="1" applyFill="1" applyBorder="1" applyAlignment="1">
      <alignment horizontal="left" vertical="center"/>
    </xf>
    <xf numFmtId="0" fontId="35" fillId="14" borderId="50" xfId="0" applyFont="1" applyFill="1" applyBorder="1" applyAlignment="1">
      <alignment horizontal="left" vertical="center"/>
    </xf>
    <xf numFmtId="0" fontId="124" fillId="0" borderId="23" xfId="2" applyFont="1" applyBorder="1" applyAlignment="1">
      <alignment horizontal="center" vertical="center"/>
    </xf>
    <xf numFmtId="0" fontId="124" fillId="0" borderId="36" xfId="2" applyFont="1" applyBorder="1" applyAlignment="1">
      <alignment horizontal="center" vertical="center"/>
    </xf>
    <xf numFmtId="0" fontId="124" fillId="0" borderId="4" xfId="2" applyFont="1" applyBorder="1" applyAlignment="1">
      <alignment horizontal="center" vertical="center"/>
    </xf>
    <xf numFmtId="0" fontId="67" fillId="2" borderId="21" xfId="2" applyFont="1" applyFill="1" applyBorder="1" applyAlignment="1">
      <alignment horizontal="left" vertical="center" wrapText="1"/>
    </xf>
    <xf numFmtId="167" fontId="68" fillId="0" borderId="21" xfId="2" applyNumberFormat="1" applyFont="1" applyBorder="1" applyAlignment="1">
      <alignment horizontal="center" vertical="center"/>
    </xf>
    <xf numFmtId="0" fontId="67" fillId="2" borderId="21" xfId="2" applyFont="1" applyFill="1" applyBorder="1" applyAlignment="1">
      <alignment horizontal="center"/>
    </xf>
    <xf numFmtId="0" fontId="64" fillId="2" borderId="21" xfId="2" applyFont="1" applyFill="1" applyBorder="1" applyAlignment="1">
      <alignment horizontal="center"/>
    </xf>
    <xf numFmtId="0" fontId="64" fillId="0" borderId="21" xfId="0" applyFont="1" applyBorder="1" applyAlignment="1">
      <alignment horizontal="center" vertical="center" wrapText="1"/>
    </xf>
    <xf numFmtId="0" fontId="64" fillId="0" borderId="1" xfId="0" applyFont="1" applyBorder="1" applyAlignment="1">
      <alignment horizontal="center" vertical="center"/>
    </xf>
    <xf numFmtId="0" fontId="64" fillId="0" borderId="2" xfId="0" applyFont="1" applyBorder="1" applyAlignment="1">
      <alignment horizontal="center" vertical="center"/>
    </xf>
    <xf numFmtId="0" fontId="64" fillId="0" borderId="5" xfId="0" applyFont="1" applyBorder="1" applyAlignment="1">
      <alignment horizontal="center" vertical="center"/>
    </xf>
    <xf numFmtId="0" fontId="64" fillId="0" borderId="3" xfId="0" applyFont="1" applyBorder="1" applyAlignment="1">
      <alignment horizontal="center" vertical="center"/>
    </xf>
    <xf numFmtId="0" fontId="64" fillId="0" borderId="6" xfId="0" applyFont="1" applyBorder="1" applyAlignment="1">
      <alignment horizontal="center" vertical="center"/>
    </xf>
    <xf numFmtId="0" fontId="64" fillId="0" borderId="7" xfId="0" applyFont="1" applyBorder="1" applyAlignment="1">
      <alignment horizontal="center" vertical="center"/>
    </xf>
    <xf numFmtId="0" fontId="64" fillId="0" borderId="8" xfId="0" applyFont="1" applyBorder="1" applyAlignment="1">
      <alignment horizontal="center" vertical="center"/>
    </xf>
    <xf numFmtId="0" fontId="64" fillId="0" borderId="9" xfId="0" applyFont="1" applyBorder="1" applyAlignment="1">
      <alignment horizontal="center" vertical="center"/>
    </xf>
    <xf numFmtId="0" fontId="65" fillId="0" borderId="21" xfId="0" applyFont="1" applyBorder="1" applyAlignment="1">
      <alignment horizontal="left" vertical="center"/>
    </xf>
    <xf numFmtId="0" fontId="66" fillId="0" borderId="21" xfId="0" applyFont="1" applyBorder="1" applyAlignment="1">
      <alignment horizontal="left" vertical="center" wrapText="1"/>
    </xf>
    <xf numFmtId="167" fontId="19" fillId="2" borderId="20" xfId="0" applyNumberFormat="1" applyFont="1" applyFill="1" applyBorder="1" applyAlignment="1" applyProtection="1">
      <alignment horizontal="left" vertical="center"/>
      <protection locked="0"/>
    </xf>
    <xf numFmtId="167" fontId="19" fillId="2" borderId="19" xfId="0" applyNumberFormat="1" applyFont="1" applyFill="1" applyBorder="1" applyAlignment="1" applyProtection="1">
      <alignment horizontal="left" vertical="center"/>
      <protection locked="0"/>
    </xf>
    <xf numFmtId="167" fontId="19" fillId="2" borderId="18" xfId="0" applyNumberFormat="1" applyFont="1" applyFill="1" applyBorder="1" applyAlignment="1" applyProtection="1">
      <alignment horizontal="left" vertical="center"/>
      <protection locked="0"/>
    </xf>
    <xf numFmtId="177" fontId="19" fillId="2" borderId="20" xfId="0" applyNumberFormat="1" applyFont="1" applyFill="1" applyBorder="1" applyAlignment="1" applyProtection="1">
      <alignment horizontal="left" vertical="center"/>
      <protection locked="0"/>
    </xf>
    <xf numFmtId="177" fontId="19" fillId="2" borderId="19" xfId="0" applyNumberFormat="1" applyFont="1" applyFill="1" applyBorder="1" applyAlignment="1" applyProtection="1">
      <alignment horizontal="left" vertical="center"/>
      <protection locked="0"/>
    </xf>
    <xf numFmtId="177" fontId="19" fillId="2" borderId="18" xfId="0" applyNumberFormat="1" applyFont="1" applyFill="1" applyBorder="1" applyAlignment="1" applyProtection="1">
      <alignment horizontal="left" vertical="center"/>
      <protection locked="0"/>
    </xf>
    <xf numFmtId="177" fontId="19" fillId="8" borderId="20" xfId="0" applyNumberFormat="1" applyFont="1" applyFill="1" applyBorder="1" applyAlignment="1">
      <alignment horizontal="left" vertical="center"/>
    </xf>
    <xf numFmtId="177" fontId="19" fillId="8" borderId="19" xfId="0" applyNumberFormat="1" applyFont="1" applyFill="1" applyBorder="1" applyAlignment="1">
      <alignment horizontal="left" vertical="center"/>
    </xf>
    <xf numFmtId="177" fontId="19" fillId="8" borderId="18" xfId="0" applyNumberFormat="1" applyFont="1" applyFill="1" applyBorder="1" applyAlignment="1">
      <alignment horizontal="left" vertical="center"/>
    </xf>
    <xf numFmtId="0" fontId="19" fillId="2" borderId="23" xfId="0" applyFont="1" applyFill="1" applyBorder="1" applyAlignment="1">
      <alignment horizontal="center"/>
    </xf>
    <xf numFmtId="0" fontId="19" fillId="2" borderId="4" xfId="0" applyFont="1" applyFill="1" applyBorder="1" applyAlignment="1">
      <alignment horizontal="center"/>
    </xf>
    <xf numFmtId="177" fontId="19" fillId="2" borderId="20" xfId="0" applyNumberFormat="1" applyFont="1" applyFill="1" applyBorder="1" applyAlignment="1" applyProtection="1">
      <alignment horizontal="left"/>
      <protection locked="0"/>
    </xf>
    <xf numFmtId="177" fontId="19" fillId="2" borderId="19" xfId="0" applyNumberFormat="1" applyFont="1" applyFill="1" applyBorder="1" applyAlignment="1" applyProtection="1">
      <alignment horizontal="left"/>
      <protection locked="0"/>
    </xf>
    <xf numFmtId="177" fontId="19" fillId="2" borderId="18" xfId="0" applyNumberFormat="1" applyFont="1" applyFill="1" applyBorder="1" applyAlignment="1" applyProtection="1">
      <alignment horizontal="left"/>
      <protection locked="0"/>
    </xf>
    <xf numFmtId="177" fontId="19" fillId="8" borderId="20" xfId="0" applyNumberFormat="1" applyFont="1" applyFill="1" applyBorder="1" applyAlignment="1" applyProtection="1">
      <alignment horizontal="left" vertical="center"/>
      <protection locked="0"/>
    </xf>
    <xf numFmtId="177" fontId="19" fillId="8" borderId="19" xfId="0" applyNumberFormat="1" applyFont="1" applyFill="1" applyBorder="1" applyAlignment="1" applyProtection="1">
      <alignment horizontal="left" vertical="center"/>
      <protection locked="0"/>
    </xf>
    <xf numFmtId="177" fontId="19" fillId="8" borderId="18" xfId="0" applyNumberFormat="1" applyFont="1" applyFill="1" applyBorder="1" applyAlignment="1" applyProtection="1">
      <alignment horizontal="left" vertical="center"/>
      <protection locked="0"/>
    </xf>
    <xf numFmtId="0" fontId="20" fillId="2" borderId="0" xfId="0" applyFont="1" applyFill="1" applyAlignment="1">
      <alignment horizontal="left" vertical="center"/>
    </xf>
    <xf numFmtId="0" fontId="19" fillId="2" borderId="22" xfId="0" applyFont="1" applyFill="1" applyBorder="1" applyAlignment="1">
      <alignment horizontal="left" vertical="center"/>
    </xf>
    <xf numFmtId="0" fontId="19" fillId="2" borderId="49" xfId="0" applyFont="1" applyFill="1" applyBorder="1" applyAlignment="1">
      <alignment horizontal="left" vertical="center"/>
    </xf>
    <xf numFmtId="0" fontId="19" fillId="2" borderId="20" xfId="0" applyFont="1" applyFill="1" applyBorder="1" applyAlignment="1" applyProtection="1">
      <alignment horizontal="left" vertical="center" wrapText="1"/>
      <protection locked="0"/>
    </xf>
    <xf numFmtId="0" fontId="19" fillId="2" borderId="19" xfId="0" applyFont="1" applyFill="1" applyBorder="1" applyAlignment="1" applyProtection="1">
      <alignment horizontal="left" vertical="center" wrapText="1"/>
      <protection locked="0"/>
    </xf>
    <xf numFmtId="0" fontId="19" fillId="2" borderId="18" xfId="0" applyFont="1" applyFill="1" applyBorder="1" applyAlignment="1" applyProtection="1">
      <alignment horizontal="left" vertical="center" wrapText="1"/>
      <protection locked="0"/>
    </xf>
    <xf numFmtId="0" fontId="19" fillId="2" borderId="7" xfId="0" applyFont="1" applyFill="1" applyBorder="1" applyAlignment="1">
      <alignment horizontal="left" vertical="center"/>
    </xf>
    <xf numFmtId="0" fontId="19" fillId="2" borderId="8" xfId="0" applyFont="1" applyFill="1" applyBorder="1" applyAlignment="1">
      <alignment horizontal="left" vertical="center"/>
    </xf>
    <xf numFmtId="0" fontId="19" fillId="2" borderId="36" xfId="0" applyFont="1" applyFill="1" applyBorder="1" applyAlignment="1">
      <alignment horizontal="left" vertical="center"/>
    </xf>
    <xf numFmtId="0" fontId="4" fillId="2" borderId="21" xfId="0" applyFont="1" applyFill="1" applyBorder="1" applyAlignment="1">
      <alignment horizontal="left" vertical="center"/>
    </xf>
    <xf numFmtId="0" fontId="19" fillId="2" borderId="21" xfId="0" applyFont="1" applyFill="1" applyBorder="1" applyAlignment="1">
      <alignment horizontal="left" vertical="center"/>
    </xf>
    <xf numFmtId="0" fontId="19" fillId="2" borderId="23" xfId="0" applyFont="1" applyFill="1" applyBorder="1" applyAlignment="1">
      <alignment horizontal="left" vertical="center"/>
    </xf>
    <xf numFmtId="0" fontId="19" fillId="2" borderId="39" xfId="0" applyFont="1" applyFill="1" applyBorder="1" applyAlignment="1">
      <alignment horizontal="center" vertical="center"/>
    </xf>
    <xf numFmtId="0" fontId="19" fillId="2" borderId="1" xfId="0" applyFont="1" applyFill="1" applyBorder="1" applyAlignment="1">
      <alignment horizontal="center" vertical="center"/>
    </xf>
    <xf numFmtId="1" fontId="19" fillId="2" borderId="55" xfId="0" applyNumberFormat="1" applyFont="1" applyFill="1" applyBorder="1" applyAlignment="1" applyProtection="1">
      <alignment horizontal="center" vertical="center"/>
      <protection locked="0"/>
    </xf>
    <xf numFmtId="1" fontId="19" fillId="2" borderId="44" xfId="0" applyNumberFormat="1" applyFont="1" applyFill="1" applyBorder="1" applyAlignment="1" applyProtection="1">
      <alignment horizontal="center" vertical="center"/>
      <protection locked="0"/>
    </xf>
    <xf numFmtId="0" fontId="19" fillId="0" borderId="21" xfId="0" applyFont="1" applyBorder="1" applyAlignment="1">
      <alignment horizontal="left" vertical="center"/>
    </xf>
    <xf numFmtId="0" fontId="19" fillId="0" borderId="23" xfId="0" applyFont="1" applyBorder="1" applyAlignment="1">
      <alignment horizontal="left" vertical="center"/>
    </xf>
    <xf numFmtId="0" fontId="19" fillId="2" borderId="35" xfId="0" applyFont="1" applyFill="1" applyBorder="1" applyAlignment="1">
      <alignment horizontal="left" vertical="center"/>
    </xf>
    <xf numFmtId="0" fontId="19" fillId="2" borderId="4" xfId="0" applyFont="1" applyFill="1" applyBorder="1" applyAlignment="1">
      <alignment horizontal="left" vertical="center"/>
    </xf>
    <xf numFmtId="0" fontId="19" fillId="2" borderId="4" xfId="0" applyFont="1" applyFill="1" applyBorder="1" applyAlignment="1">
      <alignment horizontal="center" vertical="center"/>
    </xf>
    <xf numFmtId="0" fontId="19" fillId="2" borderId="21" xfId="0" applyFont="1" applyFill="1" applyBorder="1" applyAlignment="1">
      <alignment horizontal="center" vertical="center"/>
    </xf>
    <xf numFmtId="0" fontId="19" fillId="2" borderId="23" xfId="0" applyFont="1" applyFill="1" applyBorder="1" applyAlignment="1">
      <alignment horizontal="center" vertical="center"/>
    </xf>
    <xf numFmtId="0" fontId="20" fillId="2" borderId="52" xfId="0" applyFont="1" applyFill="1" applyBorder="1" applyAlignment="1">
      <alignment horizontal="left" vertical="center"/>
    </xf>
    <xf numFmtId="0" fontId="20" fillId="2" borderId="10" xfId="0" applyFont="1" applyFill="1" applyBorder="1" applyAlignment="1">
      <alignment horizontal="left" vertical="center"/>
    </xf>
    <xf numFmtId="0" fontId="20" fillId="2" borderId="50" xfId="0" applyFont="1" applyFill="1" applyBorder="1" applyAlignment="1">
      <alignment horizontal="left" vertical="center"/>
    </xf>
    <xf numFmtId="0" fontId="20" fillId="2" borderId="7" xfId="0" applyFont="1" applyFill="1" applyBorder="1" applyAlignment="1">
      <alignment horizontal="left" vertical="center"/>
    </xf>
    <xf numFmtId="0" fontId="20" fillId="2" borderId="8" xfId="0" applyFont="1" applyFill="1" applyBorder="1" applyAlignment="1">
      <alignment horizontal="left" vertical="center"/>
    </xf>
    <xf numFmtId="0" fontId="20" fillId="2" borderId="9" xfId="0" applyFont="1" applyFill="1" applyBorder="1" applyAlignment="1">
      <alignment horizontal="left" vertical="center"/>
    </xf>
    <xf numFmtId="0" fontId="20" fillId="2" borderId="35" xfId="0" applyFont="1" applyFill="1" applyBorder="1" applyAlignment="1">
      <alignment horizontal="center" vertical="center"/>
    </xf>
    <xf numFmtId="0" fontId="20" fillId="2" borderId="52" xfId="0" applyFont="1" applyFill="1" applyBorder="1" applyAlignment="1">
      <alignment horizontal="center" vertical="center"/>
    </xf>
    <xf numFmtId="0" fontId="20" fillId="2" borderId="10" xfId="0" applyFont="1" applyFill="1" applyBorder="1" applyAlignment="1">
      <alignment horizontal="center" vertical="center"/>
    </xf>
    <xf numFmtId="0" fontId="20" fillId="2" borderId="0" xfId="0" applyFont="1" applyFill="1" applyAlignment="1">
      <alignment horizontal="center" vertical="center"/>
    </xf>
    <xf numFmtId="0" fontId="20" fillId="2" borderId="6" xfId="0" applyFont="1" applyFill="1" applyBorder="1" applyAlignment="1">
      <alignment horizontal="center" vertical="center"/>
    </xf>
    <xf numFmtId="0" fontId="20" fillId="2" borderId="3" xfId="0" applyFont="1" applyFill="1" applyBorder="1" applyAlignment="1">
      <alignment horizontal="center" vertical="center"/>
    </xf>
    <xf numFmtId="0" fontId="20" fillId="8" borderId="23" xfId="0" applyFont="1" applyFill="1" applyBorder="1" applyAlignment="1">
      <alignment horizontal="center" vertical="center" wrapText="1"/>
    </xf>
    <xf numFmtId="0" fontId="20" fillId="8" borderId="36" xfId="0" applyFont="1" applyFill="1" applyBorder="1" applyAlignment="1">
      <alignment horizontal="center" vertical="center" wrapText="1"/>
    </xf>
    <xf numFmtId="0" fontId="20" fillId="8" borderId="4" xfId="0" applyFont="1" applyFill="1" applyBorder="1" applyAlignment="1">
      <alignment horizontal="center" vertical="center" wrapText="1"/>
    </xf>
    <xf numFmtId="0" fontId="19" fillId="2" borderId="23" xfId="0" applyFont="1" applyFill="1" applyBorder="1" applyAlignment="1" applyProtection="1">
      <alignment horizontal="center" vertical="center"/>
      <protection locked="0"/>
    </xf>
    <xf numFmtId="0" fontId="19" fillId="2" borderId="36" xfId="0" applyFont="1" applyFill="1" applyBorder="1" applyAlignment="1" applyProtection="1">
      <alignment horizontal="center" vertical="center"/>
      <protection locked="0"/>
    </xf>
    <xf numFmtId="0" fontId="19" fillId="2" borderId="4" xfId="0" applyFont="1" applyFill="1" applyBorder="1" applyAlignment="1" applyProtection="1">
      <alignment horizontal="center" vertical="center"/>
      <protection locked="0"/>
    </xf>
    <xf numFmtId="0" fontId="19" fillId="0" borderId="23" xfId="0" applyFont="1" applyBorder="1" applyAlignment="1">
      <alignment horizontal="center" vertical="center"/>
    </xf>
    <xf numFmtId="0" fontId="19" fillId="0" borderId="36" xfId="0" applyFont="1" applyBorder="1" applyAlignment="1">
      <alignment horizontal="center" vertical="center"/>
    </xf>
    <xf numFmtId="0" fontId="19" fillId="0" borderId="4" xfId="0" applyFont="1" applyBorder="1" applyAlignment="1">
      <alignment horizontal="center" vertical="center"/>
    </xf>
    <xf numFmtId="0" fontId="19" fillId="0" borderId="23" xfId="0" applyFont="1" applyBorder="1" applyAlignment="1">
      <alignment horizontal="left" vertical="center" wrapText="1"/>
    </xf>
    <xf numFmtId="0" fontId="19" fillId="0" borderId="36" xfId="0" applyFont="1" applyBorder="1" applyAlignment="1">
      <alignment horizontal="left" vertical="center" wrapText="1"/>
    </xf>
    <xf numFmtId="0" fontId="19" fillId="0" borderId="21" xfId="0" applyFont="1" applyBorder="1" applyAlignment="1">
      <alignment horizontal="left" vertical="center" wrapText="1"/>
    </xf>
    <xf numFmtId="0" fontId="19" fillId="2" borderId="39" xfId="0" applyFont="1" applyFill="1" applyBorder="1" applyAlignment="1">
      <alignment horizontal="center" wrapText="1"/>
    </xf>
    <xf numFmtId="0" fontId="19" fillId="2" borderId="21" xfId="0" applyFont="1" applyFill="1" applyBorder="1" applyAlignment="1">
      <alignment horizontal="center" vertical="center" wrapText="1"/>
    </xf>
    <xf numFmtId="0" fontId="19" fillId="2" borderId="23" xfId="0" applyFont="1" applyFill="1" applyBorder="1" applyAlignment="1">
      <alignment horizontal="center" vertical="center" wrapText="1"/>
    </xf>
    <xf numFmtId="165" fontId="19" fillId="2" borderId="23" xfId="0" applyNumberFormat="1" applyFont="1" applyFill="1" applyBorder="1" applyAlignment="1" applyProtection="1">
      <alignment horizontal="center" vertical="center" wrapText="1"/>
      <protection locked="0"/>
    </xf>
    <xf numFmtId="165" fontId="19" fillId="2" borderId="36" xfId="0" applyNumberFormat="1" applyFont="1" applyFill="1" applyBorder="1" applyAlignment="1" applyProtection="1">
      <alignment horizontal="center" vertical="center" wrapText="1"/>
      <protection locked="0"/>
    </xf>
    <xf numFmtId="165" fontId="19" fillId="2" borderId="58" xfId="0" applyNumberFormat="1" applyFont="1" applyFill="1" applyBorder="1" applyAlignment="1" applyProtection="1">
      <alignment horizontal="center" vertical="center" wrapText="1"/>
      <protection locked="0"/>
    </xf>
    <xf numFmtId="0" fontId="19" fillId="2" borderId="36" xfId="0" applyFont="1" applyFill="1" applyBorder="1" applyAlignment="1">
      <alignment horizontal="center" vertical="center"/>
    </xf>
    <xf numFmtId="0" fontId="19" fillId="2" borderId="21" xfId="0" applyFont="1" applyFill="1" applyBorder="1" applyAlignment="1" applyProtection="1">
      <alignment horizontal="center" wrapText="1"/>
      <protection locked="0"/>
    </xf>
    <xf numFmtId="0" fontId="20" fillId="2" borderId="0" xfId="0" applyFont="1" applyFill="1" applyAlignment="1">
      <alignment horizontal="center" vertical="center" wrapText="1"/>
    </xf>
    <xf numFmtId="0" fontId="19" fillId="8" borderId="21" xfId="0" applyFont="1" applyFill="1" applyBorder="1" applyAlignment="1">
      <alignment horizontal="center" vertical="center" wrapText="1"/>
    </xf>
    <xf numFmtId="0" fontId="19" fillId="8" borderId="39" xfId="0" applyFont="1" applyFill="1" applyBorder="1" applyAlignment="1">
      <alignment horizontal="center" vertical="center" wrapText="1"/>
    </xf>
    <xf numFmtId="0" fontId="19" fillId="8" borderId="21" xfId="0" applyFont="1" applyFill="1" applyBorder="1" applyAlignment="1">
      <alignment horizontal="center" wrapText="1"/>
    </xf>
    <xf numFmtId="0" fontId="19" fillId="8" borderId="4" xfId="0" applyFont="1" applyFill="1" applyBorder="1" applyAlignment="1">
      <alignment horizontal="center" wrapText="1"/>
    </xf>
    <xf numFmtId="0" fontId="22" fillId="2" borderId="21" xfId="0" applyFont="1" applyFill="1" applyBorder="1" applyAlignment="1">
      <alignment horizontal="center" vertical="center" wrapText="1"/>
    </xf>
    <xf numFmtId="0" fontId="22" fillId="2" borderId="21" xfId="0" applyFont="1" applyFill="1" applyBorder="1" applyAlignment="1">
      <alignment horizontal="left" vertical="center" wrapText="1"/>
    </xf>
    <xf numFmtId="0" fontId="22" fillId="2" borderId="39" xfId="0" applyFont="1" applyFill="1" applyBorder="1" applyAlignment="1">
      <alignment horizontal="left" vertical="center" wrapText="1"/>
    </xf>
    <xf numFmtId="0" fontId="22" fillId="2" borderId="23" xfId="0" applyFont="1" applyFill="1" applyBorder="1" applyAlignment="1">
      <alignment horizontal="center" vertical="center" wrapText="1"/>
    </xf>
    <xf numFmtId="165" fontId="19" fillId="3" borderId="23" xfId="0" applyNumberFormat="1" applyFont="1" applyFill="1" applyBorder="1" applyAlignment="1">
      <alignment horizontal="center" vertical="center" wrapText="1"/>
    </xf>
    <xf numFmtId="165" fontId="19" fillId="3" borderId="36"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1" fontId="19" fillId="3" borderId="35" xfId="0" applyNumberFormat="1" applyFont="1" applyFill="1" applyBorder="1" applyAlignment="1">
      <alignment horizontal="center" vertical="center" wrapText="1"/>
    </xf>
    <xf numFmtId="0" fontId="19" fillId="2" borderId="21" xfId="0" applyFont="1" applyFill="1" applyBorder="1" applyAlignment="1" applyProtection="1">
      <alignment horizontal="center"/>
      <protection locked="0"/>
    </xf>
    <xf numFmtId="0" fontId="20" fillId="2" borderId="0" xfId="0" applyFont="1" applyFill="1" applyAlignment="1">
      <alignment horizontal="left"/>
    </xf>
    <xf numFmtId="0" fontId="5" fillId="2" borderId="0" xfId="0" applyFont="1" applyFill="1" applyAlignment="1">
      <alignment horizontal="left" vertical="center" wrapText="1"/>
    </xf>
    <xf numFmtId="0" fontId="19" fillId="8" borderId="20" xfId="0" applyFont="1" applyFill="1" applyBorder="1" applyAlignment="1" applyProtection="1">
      <alignment horizontal="center" vertical="center"/>
      <protection locked="0"/>
    </xf>
    <xf numFmtId="0" fontId="19" fillId="8" borderId="19" xfId="0" applyFont="1" applyFill="1" applyBorder="1" applyAlignment="1" applyProtection="1">
      <alignment horizontal="center" vertical="center"/>
      <protection locked="0"/>
    </xf>
    <xf numFmtId="0" fontId="20" fillId="2" borderId="2" xfId="0" applyFont="1" applyFill="1" applyBorder="1" applyAlignment="1">
      <alignment horizontal="center" vertical="center" wrapText="1"/>
    </xf>
    <xf numFmtId="0" fontId="19" fillId="8" borderId="1" xfId="0" applyFont="1" applyFill="1" applyBorder="1" applyAlignment="1">
      <alignment horizontal="center" vertical="center"/>
    </xf>
    <xf numFmtId="0" fontId="19" fillId="8" borderId="2" xfId="0" applyFont="1" applyFill="1" applyBorder="1" applyAlignment="1">
      <alignment horizontal="center" vertical="center"/>
    </xf>
    <xf numFmtId="0" fontId="19" fillId="8" borderId="5" xfId="0" applyFont="1" applyFill="1" applyBorder="1" applyAlignment="1">
      <alignment horizontal="center" vertical="center"/>
    </xf>
    <xf numFmtId="0" fontId="19" fillId="8" borderId="1"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19" fillId="8" borderId="5" xfId="0" applyFont="1" applyFill="1" applyBorder="1" applyAlignment="1">
      <alignment horizontal="center" vertical="center" wrapText="1"/>
    </xf>
    <xf numFmtId="0" fontId="19" fillId="2" borderId="20" xfId="0" applyFont="1" applyFill="1" applyBorder="1" applyAlignment="1" applyProtection="1">
      <alignment horizontal="center"/>
      <protection locked="0"/>
    </xf>
    <xf numFmtId="0" fontId="19" fillId="2" borderId="19" xfId="0" applyFont="1" applyFill="1" applyBorder="1" applyAlignment="1" applyProtection="1">
      <alignment horizontal="center"/>
      <protection locked="0"/>
    </xf>
    <xf numFmtId="0" fontId="19" fillId="2" borderId="18" xfId="0" applyFont="1" applyFill="1" applyBorder="1" applyAlignment="1" applyProtection="1">
      <alignment horizontal="center"/>
      <protection locked="0"/>
    </xf>
    <xf numFmtId="0" fontId="19" fillId="8" borderId="0" xfId="0" applyFont="1" applyFill="1" applyAlignment="1">
      <alignment horizontal="center" vertical="center"/>
    </xf>
    <xf numFmtId="0" fontId="19" fillId="8" borderId="8" xfId="0" applyFont="1" applyFill="1" applyBorder="1" applyAlignment="1">
      <alignment horizontal="center" vertical="center"/>
    </xf>
    <xf numFmtId="0" fontId="19" fillId="8" borderId="9" xfId="0" applyFont="1" applyFill="1" applyBorder="1" applyAlignment="1">
      <alignment horizontal="center" vertical="center"/>
    </xf>
    <xf numFmtId="1" fontId="19" fillId="2" borderId="23" xfId="0" applyNumberFormat="1" applyFont="1" applyFill="1" applyBorder="1" applyAlignment="1" applyProtection="1">
      <alignment horizontal="center" vertical="center"/>
      <protection locked="0"/>
    </xf>
    <xf numFmtId="1" fontId="19" fillId="2" borderId="58" xfId="0" applyNumberFormat="1" applyFont="1" applyFill="1" applyBorder="1" applyAlignment="1" applyProtection="1">
      <alignment horizontal="center" vertical="center"/>
      <protection locked="0"/>
    </xf>
    <xf numFmtId="2" fontId="19" fillId="2" borderId="23" xfId="0" applyNumberFormat="1" applyFont="1" applyFill="1" applyBorder="1" applyAlignment="1" applyProtection="1">
      <alignment horizontal="center" vertical="center"/>
      <protection locked="0"/>
    </xf>
    <xf numFmtId="2" fontId="19" fillId="2" borderId="58" xfId="0" applyNumberFormat="1" applyFont="1" applyFill="1" applyBorder="1" applyAlignment="1" applyProtection="1">
      <alignment horizontal="center" vertical="center"/>
      <protection locked="0"/>
    </xf>
    <xf numFmtId="165" fontId="19" fillId="2" borderId="21" xfId="0" applyNumberFormat="1" applyFont="1" applyFill="1" applyBorder="1" applyAlignment="1" applyProtection="1">
      <alignment horizontal="center" vertical="center"/>
      <protection locked="0"/>
    </xf>
    <xf numFmtId="165" fontId="0" fillId="2" borderId="21" xfId="0" applyNumberFormat="1" applyFill="1" applyBorder="1" applyAlignment="1" applyProtection="1">
      <alignment horizontal="center" vertical="center"/>
      <protection locked="0"/>
    </xf>
    <xf numFmtId="0" fontId="19" fillId="2" borderId="1"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22" fillId="2" borderId="39" xfId="0" applyFont="1" applyFill="1" applyBorder="1" applyAlignment="1">
      <alignment horizontal="center" vertical="center" wrapText="1"/>
    </xf>
    <xf numFmtId="165" fontId="19" fillId="2" borderId="4" xfId="0" quotePrefix="1" applyNumberFormat="1" applyFont="1" applyFill="1" applyBorder="1" applyAlignment="1" applyProtection="1">
      <alignment horizontal="center" vertical="center" wrapText="1"/>
      <protection locked="0"/>
    </xf>
    <xf numFmtId="165" fontId="19" fillId="2" borderId="21" xfId="0" quotePrefix="1" applyNumberFormat="1" applyFont="1" applyFill="1" applyBorder="1" applyAlignment="1" applyProtection="1">
      <alignment horizontal="center" vertical="center" wrapText="1"/>
      <protection locked="0"/>
    </xf>
    <xf numFmtId="0" fontId="20" fillId="2" borderId="8" xfId="0" applyFont="1" applyFill="1" applyBorder="1" applyAlignment="1">
      <alignment horizontal="left" wrapText="1"/>
    </xf>
    <xf numFmtId="0" fontId="20" fillId="2" borderId="39" xfId="0" applyFont="1" applyFill="1" applyBorder="1" applyAlignment="1">
      <alignment horizontal="center" vertical="center"/>
    </xf>
    <xf numFmtId="0" fontId="19" fillId="8" borderId="4" xfId="0" applyFont="1" applyFill="1" applyBorder="1" applyAlignment="1">
      <alignment horizontal="center" vertical="center" wrapText="1"/>
    </xf>
    <xf numFmtId="0" fontId="19" fillId="8" borderId="26" xfId="0" applyFont="1" applyFill="1" applyBorder="1" applyAlignment="1">
      <alignment horizontal="center" vertical="center" wrapText="1"/>
    </xf>
    <xf numFmtId="0" fontId="19" fillId="8" borderId="7" xfId="0" applyFont="1" applyFill="1" applyBorder="1" applyAlignment="1">
      <alignment horizontal="center" vertical="center" wrapText="1"/>
    </xf>
    <xf numFmtId="0" fontId="19" fillId="8" borderId="8" xfId="0" applyFont="1" applyFill="1" applyBorder="1" applyAlignment="1">
      <alignment horizontal="center" vertical="center" wrapText="1"/>
    </xf>
    <xf numFmtId="0" fontId="19" fillId="8" borderId="9" xfId="0" applyFont="1" applyFill="1" applyBorder="1" applyAlignment="1">
      <alignment horizontal="center" vertical="center" wrapText="1"/>
    </xf>
    <xf numFmtId="165" fontId="19" fillId="2" borderId="4" xfId="0" applyNumberFormat="1" applyFont="1" applyFill="1" applyBorder="1" applyAlignment="1" applyProtection="1">
      <alignment horizontal="center" vertical="center" wrapText="1"/>
      <protection locked="0"/>
    </xf>
    <xf numFmtId="0" fontId="19" fillId="2" borderId="21" xfId="0" applyFont="1" applyFill="1" applyBorder="1" applyAlignment="1" applyProtection="1">
      <alignment horizontal="center" vertical="center" wrapText="1"/>
      <protection locked="0"/>
    </xf>
    <xf numFmtId="0" fontId="20" fillId="2" borderId="21" xfId="0" applyFont="1" applyFill="1" applyBorder="1" applyAlignment="1">
      <alignment horizontal="center" vertical="center"/>
    </xf>
    <xf numFmtId="0" fontId="20" fillId="2" borderId="21" xfId="0" applyFont="1" applyFill="1" applyBorder="1" applyAlignment="1">
      <alignment horizontal="center" vertical="center" wrapText="1"/>
    </xf>
    <xf numFmtId="0" fontId="23" fillId="12" borderId="21" xfId="0" applyFont="1" applyFill="1" applyBorder="1" applyAlignment="1">
      <alignment horizontal="center" vertical="center" wrapText="1"/>
    </xf>
    <xf numFmtId="0" fontId="22" fillId="2" borderId="55" xfId="0" applyFont="1" applyFill="1" applyBorder="1" applyAlignment="1" applyProtection="1">
      <alignment horizontal="center" vertical="center" wrapText="1"/>
      <protection locked="0"/>
    </xf>
    <xf numFmtId="0" fontId="22" fillId="2" borderId="44" xfId="0" applyFont="1" applyFill="1" applyBorder="1" applyAlignment="1" applyProtection="1">
      <alignment horizontal="center" vertical="center" wrapText="1"/>
      <protection locked="0"/>
    </xf>
    <xf numFmtId="1" fontId="19" fillId="2" borderId="21" xfId="0" applyNumberFormat="1" applyFont="1" applyFill="1" applyBorder="1" applyAlignment="1" applyProtection="1">
      <alignment horizontal="center" vertical="center"/>
      <protection locked="0"/>
    </xf>
    <xf numFmtId="170" fontId="19" fillId="8" borderId="21" xfId="0" applyNumberFormat="1" applyFont="1" applyFill="1" applyBorder="1" applyAlignment="1">
      <alignment horizontal="center" vertical="center"/>
    </xf>
    <xf numFmtId="174" fontId="19" fillId="2" borderId="23" xfId="0" applyNumberFormat="1" applyFont="1" applyFill="1" applyBorder="1" applyAlignment="1">
      <alignment horizontal="center" vertical="center" wrapText="1"/>
    </xf>
    <xf numFmtId="174" fontId="19" fillId="2" borderId="36" xfId="0" applyNumberFormat="1" applyFont="1" applyFill="1" applyBorder="1" applyAlignment="1">
      <alignment horizontal="center" vertical="center" wrapText="1"/>
    </xf>
    <xf numFmtId="174" fontId="19" fillId="2" borderId="4" xfId="0" applyNumberFormat="1" applyFont="1" applyFill="1" applyBorder="1" applyAlignment="1">
      <alignment horizontal="center" vertical="center" wrapText="1"/>
    </xf>
    <xf numFmtId="0" fontId="19" fillId="2" borderId="21" xfId="0" applyFont="1" applyFill="1" applyBorder="1" applyAlignment="1">
      <alignment horizontal="left"/>
    </xf>
    <xf numFmtId="0" fontId="19" fillId="2" borderId="21" xfId="0" applyFont="1" applyFill="1" applyBorder="1" applyAlignment="1">
      <alignment horizontal="center"/>
    </xf>
    <xf numFmtId="2" fontId="19" fillId="8" borderId="23" xfId="0" applyNumberFormat="1" applyFont="1" applyFill="1" applyBorder="1" applyAlignment="1">
      <alignment horizontal="center" vertical="center"/>
    </xf>
    <xf numFmtId="2" fontId="19" fillId="8" borderId="58" xfId="0" applyNumberFormat="1" applyFont="1" applyFill="1" applyBorder="1" applyAlignment="1">
      <alignment horizontal="center" vertical="center"/>
    </xf>
    <xf numFmtId="0" fontId="22" fillId="2" borderId="57" xfId="0" applyFont="1" applyFill="1" applyBorder="1" applyAlignment="1" applyProtection="1">
      <alignment horizontal="center" vertical="center" wrapText="1"/>
      <protection locked="0"/>
    </xf>
    <xf numFmtId="0" fontId="22" fillId="2" borderId="48" xfId="0" applyFont="1" applyFill="1" applyBorder="1" applyAlignment="1" applyProtection="1">
      <alignment horizontal="center" vertical="center" wrapText="1"/>
      <protection locked="0"/>
    </xf>
    <xf numFmtId="166" fontId="19" fillId="2" borderId="23" xfId="0" applyNumberFormat="1" applyFont="1" applyFill="1" applyBorder="1" applyAlignment="1">
      <alignment horizontal="center" vertical="center" wrapText="1"/>
    </xf>
    <xf numFmtId="166" fontId="19" fillId="2" borderId="4" xfId="0" applyNumberFormat="1" applyFont="1" applyFill="1" applyBorder="1" applyAlignment="1">
      <alignment horizontal="center" vertical="center" wrapText="1"/>
    </xf>
    <xf numFmtId="170" fontId="19" fillId="2" borderId="23" xfId="0" applyNumberFormat="1" applyFont="1" applyFill="1" applyBorder="1" applyAlignment="1">
      <alignment horizontal="center" vertical="center" wrapText="1"/>
    </xf>
    <xf numFmtId="170" fontId="19" fillId="2" borderId="36" xfId="0" applyNumberFormat="1" applyFont="1" applyFill="1" applyBorder="1" applyAlignment="1">
      <alignment horizontal="center" vertical="center" wrapText="1"/>
    </xf>
    <xf numFmtId="170" fontId="19" fillId="2" borderId="4" xfId="0" applyNumberFormat="1" applyFont="1" applyFill="1" applyBorder="1" applyAlignment="1">
      <alignment horizontal="center" vertical="center" wrapText="1"/>
    </xf>
    <xf numFmtId="1" fontId="19" fillId="2" borderId="36" xfId="0" applyNumberFormat="1" applyFont="1" applyFill="1" applyBorder="1" applyAlignment="1" applyProtection="1">
      <alignment horizontal="center" vertical="center"/>
      <protection locked="0"/>
    </xf>
    <xf numFmtId="170" fontId="19" fillId="8" borderId="35" xfId="0" applyNumberFormat="1" applyFont="1" applyFill="1" applyBorder="1" applyAlignment="1">
      <alignment horizontal="center" vertical="center"/>
    </xf>
    <xf numFmtId="170" fontId="19" fillId="8" borderId="39" xfId="0" applyNumberFormat="1" applyFont="1" applyFill="1" applyBorder="1" applyAlignment="1">
      <alignment horizontal="center" vertical="center"/>
    </xf>
    <xf numFmtId="0" fontId="19" fillId="2" borderId="48" xfId="0" applyFont="1" applyFill="1" applyBorder="1" applyAlignment="1" applyProtection="1">
      <alignment horizontal="center" vertical="center" wrapText="1"/>
      <protection locked="0"/>
    </xf>
    <xf numFmtId="0" fontId="19" fillId="2" borderId="34" xfId="0" applyFont="1" applyFill="1" applyBorder="1" applyAlignment="1" applyProtection="1">
      <alignment horizontal="center" vertical="center" wrapText="1"/>
      <protection locked="0"/>
    </xf>
    <xf numFmtId="0" fontId="19" fillId="12" borderId="21" xfId="0" applyFont="1" applyFill="1" applyBorder="1" applyAlignment="1">
      <alignment horizontal="center" vertical="center" wrapText="1"/>
    </xf>
    <xf numFmtId="0" fontId="19" fillId="8" borderId="7" xfId="0" applyFont="1" applyFill="1" applyBorder="1" applyAlignment="1">
      <alignment horizontal="center" vertical="center"/>
    </xf>
    <xf numFmtId="170" fontId="19" fillId="8" borderId="2" xfId="0" applyNumberFormat="1" applyFont="1" applyFill="1" applyBorder="1" applyAlignment="1">
      <alignment horizontal="center" vertical="center"/>
    </xf>
    <xf numFmtId="170" fontId="19" fillId="8" borderId="0" xfId="0" applyNumberFormat="1" applyFont="1" applyFill="1" applyAlignment="1">
      <alignment horizontal="center" vertical="center"/>
    </xf>
    <xf numFmtId="0" fontId="19" fillId="8" borderId="3" xfId="0" applyFont="1" applyFill="1" applyBorder="1" applyAlignment="1">
      <alignment horizontal="center" vertical="center"/>
    </xf>
    <xf numFmtId="170" fontId="19" fillId="8" borderId="1" xfId="0" applyNumberFormat="1" applyFont="1" applyFill="1" applyBorder="1" applyAlignment="1">
      <alignment horizontal="center" vertical="center"/>
    </xf>
    <xf numFmtId="170" fontId="19" fillId="8" borderId="3" xfId="0" applyNumberFormat="1" applyFont="1" applyFill="1" applyBorder="1" applyAlignment="1">
      <alignment horizontal="center" vertical="center"/>
    </xf>
    <xf numFmtId="170" fontId="19" fillId="8" borderId="7" xfId="0" applyNumberFormat="1" applyFont="1" applyFill="1" applyBorder="1" applyAlignment="1">
      <alignment horizontal="center" vertical="center"/>
    </xf>
    <xf numFmtId="170" fontId="19" fillId="8" borderId="8" xfId="0" applyNumberFormat="1" applyFont="1" applyFill="1" applyBorder="1" applyAlignment="1">
      <alignment horizontal="center" vertical="center"/>
    </xf>
    <xf numFmtId="0" fontId="20" fillId="8" borderId="21" xfId="0" applyFont="1" applyFill="1" applyBorder="1" applyAlignment="1">
      <alignment horizontal="left" vertical="center"/>
    </xf>
    <xf numFmtId="0" fontId="20" fillId="8" borderId="23" xfId="0" applyFont="1" applyFill="1" applyBorder="1" applyAlignment="1">
      <alignment horizontal="left" vertical="center"/>
    </xf>
    <xf numFmtId="174" fontId="19" fillId="2" borderId="55" xfId="0" applyNumberFormat="1" applyFont="1" applyFill="1" applyBorder="1" applyAlignment="1" applyProtection="1">
      <alignment horizontal="center" vertical="center"/>
      <protection locked="0"/>
    </xf>
    <xf numFmtId="174" fontId="19" fillId="2" borderId="37" xfId="0" applyNumberFormat="1" applyFont="1" applyFill="1" applyBorder="1" applyAlignment="1" applyProtection="1">
      <alignment horizontal="center" vertical="center"/>
      <protection locked="0"/>
    </xf>
    <xf numFmtId="174" fontId="19" fillId="2" borderId="44" xfId="0" applyNumberFormat="1" applyFont="1" applyFill="1" applyBorder="1" applyAlignment="1" applyProtection="1">
      <alignment horizontal="center" vertical="center"/>
      <protection locked="0"/>
    </xf>
    <xf numFmtId="0" fontId="20" fillId="8" borderId="36" xfId="0" applyFont="1" applyFill="1" applyBorder="1" applyAlignment="1">
      <alignment horizontal="left" vertical="center"/>
    </xf>
    <xf numFmtId="0" fontId="20" fillId="8" borderId="4" xfId="0" applyFont="1" applyFill="1" applyBorder="1" applyAlignment="1">
      <alignment horizontal="left" vertical="center"/>
    </xf>
    <xf numFmtId="174" fontId="19" fillId="3" borderId="23" xfId="0" applyNumberFormat="1" applyFont="1" applyFill="1" applyBorder="1" applyAlignment="1">
      <alignment horizontal="center" vertical="center"/>
    </xf>
    <xf numFmtId="174" fontId="19" fillId="3" borderId="4" xfId="0" applyNumberFormat="1" applyFont="1" applyFill="1" applyBorder="1" applyAlignment="1">
      <alignment horizontal="center" vertical="center"/>
    </xf>
    <xf numFmtId="0" fontId="19" fillId="0" borderId="0" xfId="0" applyFont="1" applyAlignment="1">
      <alignment horizontal="left" vertical="center"/>
    </xf>
    <xf numFmtId="0" fontId="20" fillId="2" borderId="23" xfId="0" applyFont="1" applyFill="1" applyBorder="1" applyAlignment="1">
      <alignment horizontal="center" vertical="center"/>
    </xf>
    <xf numFmtId="0" fontId="20" fillId="2" borderId="36" xfId="0" applyFont="1" applyFill="1" applyBorder="1" applyAlignment="1">
      <alignment horizontal="center" vertical="center"/>
    </xf>
    <xf numFmtId="0" fontId="20" fillId="2" borderId="8" xfId="0" applyFont="1" applyFill="1" applyBorder="1" applyAlignment="1">
      <alignment horizontal="center" vertical="center"/>
    </xf>
    <xf numFmtId="0" fontId="20" fillId="2" borderId="9" xfId="0" applyFont="1" applyFill="1" applyBorder="1" applyAlignment="1">
      <alignment horizontal="center" vertical="center"/>
    </xf>
    <xf numFmtId="0" fontId="20" fillId="3" borderId="7" xfId="0" applyFont="1" applyFill="1" applyBorder="1" applyAlignment="1">
      <alignment horizontal="left" vertical="center"/>
    </xf>
    <xf numFmtId="0" fontId="20" fillId="3" borderId="8" xfId="0" applyFont="1" applyFill="1" applyBorder="1" applyAlignment="1">
      <alignment horizontal="left" vertical="center"/>
    </xf>
    <xf numFmtId="0" fontId="20" fillId="3" borderId="36" xfId="0" applyFont="1" applyFill="1" applyBorder="1" applyAlignment="1">
      <alignment horizontal="left" vertical="center"/>
    </xf>
    <xf numFmtId="0" fontId="20" fillId="3" borderId="9" xfId="0" applyFont="1" applyFill="1" applyBorder="1" applyAlignment="1">
      <alignment horizontal="left" vertical="center"/>
    </xf>
    <xf numFmtId="0" fontId="20" fillId="2" borderId="0" xfId="0" applyFont="1" applyFill="1" applyAlignment="1">
      <alignment horizontal="center" wrapText="1"/>
    </xf>
    <xf numFmtId="0" fontId="19" fillId="2" borderId="8" xfId="0" applyFont="1" applyFill="1" applyBorder="1" applyAlignment="1" applyProtection="1">
      <alignment horizontal="center"/>
      <protection locked="0"/>
    </xf>
    <xf numFmtId="0" fontId="22" fillId="4" borderId="55" xfId="0" applyFont="1" applyFill="1" applyBorder="1" applyAlignment="1" applyProtection="1">
      <alignment horizontal="left"/>
      <protection locked="0"/>
    </xf>
    <xf numFmtId="0" fontId="22" fillId="4" borderId="37" xfId="0" applyFont="1" applyFill="1" applyBorder="1" applyAlignment="1" applyProtection="1">
      <alignment horizontal="left"/>
      <protection locked="0"/>
    </xf>
    <xf numFmtId="0" fontId="22" fillId="4" borderId="44" xfId="0" applyFont="1" applyFill="1" applyBorder="1" applyAlignment="1" applyProtection="1">
      <alignment horizontal="left"/>
      <protection locked="0"/>
    </xf>
    <xf numFmtId="0" fontId="19" fillId="8" borderId="23" xfId="0" applyFont="1" applyFill="1" applyBorder="1" applyAlignment="1">
      <alignment horizontal="center" vertical="center" wrapText="1"/>
    </xf>
    <xf numFmtId="0" fontId="19" fillId="8" borderId="36" xfId="0" applyFont="1" applyFill="1" applyBorder="1" applyAlignment="1">
      <alignment horizontal="center" vertical="center" wrapText="1"/>
    </xf>
    <xf numFmtId="0" fontId="19" fillId="8" borderId="58" xfId="0" applyFont="1" applyFill="1" applyBorder="1" applyAlignment="1">
      <alignment horizontal="center" vertical="center" wrapText="1"/>
    </xf>
    <xf numFmtId="1" fontId="19" fillId="2" borderId="20" xfId="0" applyNumberFormat="1" applyFont="1" applyFill="1" applyBorder="1" applyAlignment="1" applyProtection="1">
      <alignment horizontal="center" vertical="center" wrapText="1"/>
      <protection locked="0"/>
    </xf>
    <xf numFmtId="1" fontId="19" fillId="2" borderId="19" xfId="0" applyNumberFormat="1" applyFont="1" applyFill="1" applyBorder="1" applyAlignment="1" applyProtection="1">
      <alignment horizontal="center" vertical="center" wrapText="1"/>
      <protection locked="0"/>
    </xf>
    <xf numFmtId="1" fontId="19" fillId="2" borderId="18" xfId="0" applyNumberFormat="1" applyFont="1" applyFill="1" applyBorder="1" applyAlignment="1" applyProtection="1">
      <alignment horizontal="center" vertical="center" wrapText="1"/>
      <protection locked="0"/>
    </xf>
    <xf numFmtId="0" fontId="19" fillId="2" borderId="13" xfId="0" applyFont="1" applyFill="1" applyBorder="1" applyAlignment="1">
      <alignment horizontal="left"/>
    </xf>
    <xf numFmtId="0" fontId="19" fillId="2" borderId="14" xfId="0" applyFont="1" applyFill="1" applyBorder="1" applyAlignment="1">
      <alignment horizontal="left"/>
    </xf>
    <xf numFmtId="0" fontId="19" fillId="2" borderId="15" xfId="0" applyFont="1" applyFill="1" applyBorder="1" applyAlignment="1">
      <alignment horizontal="left"/>
    </xf>
    <xf numFmtId="0" fontId="19" fillId="2" borderId="16" xfId="0" applyFont="1" applyFill="1" applyBorder="1" applyAlignment="1">
      <alignment horizontal="left"/>
    </xf>
    <xf numFmtId="0" fontId="19" fillId="2" borderId="17" xfId="0" applyFont="1" applyFill="1" applyBorder="1" applyAlignment="1">
      <alignment horizontal="left"/>
    </xf>
    <xf numFmtId="0" fontId="19" fillId="2" borderId="14" xfId="0" applyFont="1" applyFill="1" applyBorder="1" applyAlignment="1">
      <alignment horizontal="center"/>
    </xf>
    <xf numFmtId="0" fontId="20" fillId="2" borderId="16" xfId="0" applyFont="1" applyFill="1" applyBorder="1" applyAlignment="1">
      <alignment horizontal="center"/>
    </xf>
    <xf numFmtId="0" fontId="20" fillId="2" borderId="17" xfId="0" applyFont="1" applyFill="1" applyBorder="1" applyAlignment="1">
      <alignment horizontal="center"/>
    </xf>
    <xf numFmtId="0" fontId="49" fillId="2" borderId="21" xfId="0" applyFont="1" applyFill="1" applyBorder="1" applyAlignment="1">
      <alignment horizontal="center"/>
    </xf>
    <xf numFmtId="0" fontId="19" fillId="2" borderId="12" xfId="0" applyFont="1" applyFill="1" applyBorder="1" applyAlignment="1">
      <alignment horizontal="center"/>
    </xf>
    <xf numFmtId="0" fontId="25" fillId="2" borderId="21" xfId="0" applyFont="1" applyFill="1" applyBorder="1" applyAlignment="1">
      <alignment horizontal="center"/>
    </xf>
    <xf numFmtId="0" fontId="22" fillId="2" borderId="33" xfId="0" applyFont="1" applyFill="1" applyBorder="1" applyAlignment="1" applyProtection="1">
      <alignment horizontal="center" vertical="center" wrapText="1"/>
      <protection locked="0"/>
    </xf>
    <xf numFmtId="0" fontId="22" fillId="2" borderId="34" xfId="0" applyFont="1" applyFill="1" applyBorder="1" applyAlignment="1" applyProtection="1">
      <alignment horizontal="center" vertical="center" wrapText="1"/>
      <protection locked="0"/>
    </xf>
    <xf numFmtId="0" fontId="20" fillId="0" borderId="8" xfId="0" applyFont="1" applyBorder="1" applyAlignment="1">
      <alignment horizontal="center" vertical="center"/>
    </xf>
    <xf numFmtId="0" fontId="19" fillId="12" borderId="0" xfId="0" applyFont="1" applyFill="1" applyAlignment="1">
      <alignment horizontal="center" vertical="center" wrapText="1"/>
    </xf>
    <xf numFmtId="0" fontId="19" fillId="12" borderId="8" xfId="0" applyFont="1" applyFill="1" applyBorder="1" applyAlignment="1">
      <alignment horizontal="center" vertical="center" wrapText="1"/>
    </xf>
    <xf numFmtId="165" fontId="0" fillId="2" borderId="39" xfId="0" quotePrefix="1" applyNumberFormat="1" applyFill="1" applyBorder="1" applyAlignment="1" applyProtection="1">
      <alignment horizontal="center" vertical="center"/>
      <protection locked="0"/>
    </xf>
    <xf numFmtId="165" fontId="0" fillId="2" borderId="39" xfId="0" applyNumberFormat="1" applyFill="1" applyBorder="1" applyAlignment="1" applyProtection="1">
      <alignment horizontal="center" vertical="center"/>
      <protection locked="0"/>
    </xf>
    <xf numFmtId="0" fontId="19" fillId="2" borderId="1" xfId="0" applyFont="1" applyFill="1" applyBorder="1" applyAlignment="1">
      <alignment horizontal="left" vertical="center" wrapText="1"/>
    </xf>
    <xf numFmtId="0" fontId="19" fillId="2" borderId="2" xfId="0" applyFont="1" applyFill="1" applyBorder="1" applyAlignment="1">
      <alignment horizontal="left" vertical="center" wrapText="1"/>
    </xf>
    <xf numFmtId="0" fontId="19" fillId="2" borderId="5" xfId="0" applyFont="1" applyFill="1" applyBorder="1" applyAlignment="1">
      <alignment horizontal="left" vertical="center" wrapText="1"/>
    </xf>
    <xf numFmtId="0" fontId="19" fillId="2" borderId="7" xfId="0" applyFont="1" applyFill="1" applyBorder="1" applyAlignment="1">
      <alignment horizontal="left" vertical="center" wrapText="1"/>
    </xf>
    <xf numFmtId="0" fontId="19" fillId="2" borderId="8" xfId="0" applyFont="1" applyFill="1" applyBorder="1" applyAlignment="1">
      <alignment horizontal="left" vertical="center" wrapText="1"/>
    </xf>
    <xf numFmtId="0" fontId="19" fillId="2" borderId="9" xfId="0" applyFont="1" applyFill="1" applyBorder="1" applyAlignment="1">
      <alignment horizontal="left" vertical="center" wrapText="1"/>
    </xf>
    <xf numFmtId="0" fontId="26" fillId="2" borderId="21" xfId="0" applyFont="1" applyFill="1" applyBorder="1" applyAlignment="1">
      <alignment horizontal="center" vertical="center" wrapText="1"/>
    </xf>
    <xf numFmtId="1" fontId="19" fillId="2" borderId="21" xfId="0" applyNumberFormat="1" applyFont="1" applyFill="1" applyBorder="1" applyAlignment="1">
      <alignment horizontal="center" vertical="center"/>
    </xf>
    <xf numFmtId="0" fontId="20" fillId="2" borderId="8" xfId="0" applyFont="1" applyFill="1" applyBorder="1" applyAlignment="1" applyProtection="1">
      <alignment horizontal="left"/>
      <protection locked="0"/>
    </xf>
    <xf numFmtId="0" fontId="20" fillId="2" borderId="0" xfId="0" applyFont="1" applyFill="1" applyAlignment="1" applyProtection="1">
      <alignment horizontal="left"/>
      <protection locked="0"/>
    </xf>
    <xf numFmtId="0" fontId="0" fillId="2" borderId="21" xfId="0" applyFill="1" applyBorder="1" applyAlignment="1">
      <alignment horizontal="center"/>
    </xf>
    <xf numFmtId="0" fontId="0" fillId="2" borderId="8" xfId="0" applyFill="1" applyBorder="1" applyAlignment="1">
      <alignment horizontal="center" wrapText="1"/>
    </xf>
    <xf numFmtId="0" fontId="0" fillId="6" borderId="21" xfId="0" applyFill="1" applyBorder="1" applyAlignment="1">
      <alignment horizontal="center"/>
    </xf>
    <xf numFmtId="0" fontId="0" fillId="6" borderId="21" xfId="0" applyFill="1" applyBorder="1" applyAlignment="1">
      <alignment horizontal="center" vertical="center" wrapText="1"/>
    </xf>
    <xf numFmtId="0" fontId="48" fillId="11" borderId="20" xfId="0" applyFont="1" applyFill="1" applyBorder="1" applyAlignment="1">
      <alignment horizontal="center"/>
    </xf>
    <xf numFmtId="0" fontId="48" fillId="11" borderId="19" xfId="0" applyFont="1" applyFill="1" applyBorder="1" applyAlignment="1">
      <alignment horizontal="center"/>
    </xf>
    <xf numFmtId="0" fontId="48" fillId="11" borderId="18" xfId="0" applyFont="1" applyFill="1" applyBorder="1" applyAlignment="1">
      <alignment horizontal="center"/>
    </xf>
    <xf numFmtId="167" fontId="19" fillId="2" borderId="0" xfId="0" applyNumberFormat="1" applyFont="1" applyFill="1" applyAlignment="1">
      <alignment horizontal="left"/>
    </xf>
    <xf numFmtId="167" fontId="0" fillId="2" borderId="0" xfId="0" applyNumberFormat="1" applyFill="1" applyAlignment="1">
      <alignment horizontal="left"/>
    </xf>
    <xf numFmtId="167" fontId="29" fillId="2" borderId="0" xfId="0" applyNumberFormat="1" applyFont="1" applyFill="1" applyAlignment="1">
      <alignment horizontal="center" vertical="center" wrapText="1"/>
    </xf>
    <xf numFmtId="0" fontId="0" fillId="2" borderId="55" xfId="0" applyFill="1" applyBorder="1" applyAlignment="1">
      <alignment horizontal="center"/>
    </xf>
    <xf numFmtId="0" fontId="0" fillId="2" borderId="37" xfId="0" applyFill="1" applyBorder="1" applyAlignment="1">
      <alignment horizontal="center"/>
    </xf>
    <xf numFmtId="0" fontId="0" fillId="2" borderId="44" xfId="0" applyFill="1" applyBorder="1" applyAlignment="1">
      <alignment horizontal="center"/>
    </xf>
  </cellXfs>
  <cellStyles count="9">
    <cellStyle name="Hipervínculo 2" xfId="6" xr:uid="{8835FE1B-4E17-4A4C-9EFD-2482E4091E69}"/>
    <cellStyle name="Moneda" xfId="1" builtinId="4"/>
    <cellStyle name="Normal" xfId="0" builtinId="0"/>
    <cellStyle name="Normal 2" xfId="2" xr:uid="{00000000-0005-0000-0000-000002000000}"/>
    <cellStyle name="Normal 4" xfId="4" xr:uid="{FCF448CF-EF37-4C05-A426-221BBE77ED9E}"/>
    <cellStyle name="Normal 6" xfId="5" xr:uid="{F1412DB9-577D-424E-8A47-BA5570C81AA1}"/>
    <cellStyle name="Porcentaje" xfId="3" builtinId="5"/>
    <cellStyle name="Porcentaje 2" xfId="7" xr:uid="{D6227885-B6F2-4194-BCD7-A5322B8433E8}"/>
    <cellStyle name="Porcentaje 3" xfId="8" xr:uid="{D4CD7C0A-1369-4A76-AC95-200975D43A18}"/>
  </cellStyles>
  <dxfs count="140">
    <dxf>
      <fill>
        <patternFill>
          <bgColor rgb="FFFFC000"/>
        </patternFill>
      </fill>
    </dxf>
    <dxf>
      <font>
        <color theme="0"/>
      </font>
      <border>
        <left/>
        <right/>
        <bottom/>
        <vertical/>
        <horizontal/>
      </border>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00B0F0"/>
        </patternFill>
      </fill>
    </dxf>
    <dxf>
      <fill>
        <patternFill>
          <bgColor theme="4" tint="0.39994506668294322"/>
        </patternFill>
      </fill>
    </dxf>
    <dxf>
      <fill>
        <patternFill>
          <bgColor rgb="FF00B0F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0000"/>
        </patternFill>
      </fill>
    </dxf>
    <dxf>
      <fill>
        <patternFill>
          <bgColor rgb="FFFFFF00"/>
        </patternFill>
      </fill>
    </dxf>
    <dxf>
      <fill>
        <patternFill>
          <bgColor rgb="FF92D050"/>
        </patternFill>
      </fill>
    </dxf>
    <dxf>
      <font>
        <color theme="0" tint="-0.34998626667073579"/>
      </font>
      <fill>
        <patternFill patternType="solid">
          <fgColor theme="0"/>
          <bgColor theme="0" tint="-4.9989318521683403E-2"/>
        </patternFill>
      </fill>
    </dxf>
    <dxf>
      <font>
        <color theme="0" tint="-0.34998626667073579"/>
      </font>
      <fill>
        <patternFill patternType="solid">
          <fgColor theme="0"/>
          <bgColor theme="0" tint="-4.9989318521683403E-2"/>
        </patternFill>
      </fill>
    </dxf>
    <dxf>
      <font>
        <color theme="0" tint="-0.34998626667073579"/>
      </font>
      <fill>
        <patternFill patternType="solid">
          <fgColor theme="0"/>
          <bgColor theme="0" tint="-4.9989318521683403E-2"/>
        </patternFill>
      </fill>
    </dxf>
    <dxf>
      <font>
        <color theme="0" tint="-0.34998626667073579"/>
      </font>
      <fill>
        <patternFill patternType="solid">
          <fgColor theme="0"/>
          <bgColor theme="0" tint="-4.9989318521683403E-2"/>
        </patternFill>
      </fill>
    </dxf>
    <dxf>
      <font>
        <color theme="0" tint="-0.34998626667073579"/>
      </font>
      <fill>
        <patternFill patternType="solid">
          <fgColor theme="0"/>
          <bgColor theme="0" tint="-4.9989318521683403E-2"/>
        </patternFill>
      </fill>
    </dxf>
    <dxf>
      <font>
        <color theme="0" tint="-0.34998626667073579"/>
      </font>
      <fill>
        <patternFill patternType="solid">
          <fgColor theme="0"/>
          <bgColor theme="0" tint="-4.9989318521683403E-2"/>
        </patternFill>
      </fill>
    </dxf>
    <dxf>
      <font>
        <color theme="0" tint="-0.34998626667073579"/>
      </font>
      <fill>
        <patternFill patternType="solid">
          <fgColor theme="0"/>
          <bgColor theme="0" tint="-4.9989318521683403E-2"/>
        </patternFill>
      </fill>
    </dxf>
    <dxf>
      <font>
        <color theme="0" tint="-0.34998626667073579"/>
      </font>
      <fill>
        <patternFill patternType="solid">
          <fgColor theme="0"/>
          <bgColor theme="0" tint="-4.9989318521683403E-2"/>
        </patternFill>
      </fill>
    </dxf>
    <dxf>
      <font>
        <color theme="0" tint="-0.34998626667073579"/>
      </font>
      <fill>
        <patternFill patternType="solid">
          <fgColor theme="0"/>
          <bgColor theme="0" tint="-4.9989318521683403E-2"/>
        </patternFill>
      </fill>
    </dxf>
    <dxf>
      <font>
        <color theme="0" tint="-0.34998626667073579"/>
      </font>
      <fill>
        <patternFill patternType="solid">
          <fgColor theme="0"/>
          <bgColor theme="0" tint="-4.9989318521683403E-2"/>
        </patternFill>
      </fill>
    </dxf>
    <dxf>
      <font>
        <color theme="0" tint="-0.34998626667073579"/>
      </font>
      <fill>
        <patternFill patternType="solid">
          <fgColor theme="0"/>
          <bgColor theme="0" tint="-0.24994659260841701"/>
        </patternFill>
      </fill>
    </dxf>
    <dxf>
      <font>
        <color theme="0" tint="-0.34998626667073579"/>
      </font>
      <fill>
        <patternFill patternType="solid">
          <bgColor theme="0" tint="-4.9989318521683403E-2"/>
        </patternFill>
      </fill>
      <border>
        <left style="thin">
          <color theme="0"/>
        </left>
        <right style="thin">
          <color theme="0"/>
        </right>
        <top style="thin">
          <color theme="0"/>
        </top>
        <bottom style="thin">
          <color theme="0"/>
        </bottom>
        <vertical/>
        <horizontal/>
      </border>
    </dxf>
    <dxf>
      <font>
        <color theme="0" tint="-0.34998626667073579"/>
      </font>
      <fill>
        <patternFill>
          <fgColor theme="0"/>
        </patternFill>
      </fill>
      <border>
        <left/>
        <right style="thin">
          <color theme="0" tint="-0.34998626667073579"/>
        </right>
        <top style="thin">
          <color theme="0" tint="-0.34998626667073579"/>
        </top>
        <bottom style="thin">
          <color theme="0" tint="-0.34998626667073579"/>
        </bottom>
        <vertical/>
        <horizontal/>
      </border>
    </dxf>
    <dxf>
      <font>
        <color theme="9" tint="-0.499984740745262"/>
      </font>
    </dxf>
    <dxf>
      <font>
        <color theme="0" tint="-0.34998626667073579"/>
      </font>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border>
        <left/>
        <right/>
        <bottom/>
        <vertical/>
        <horizontal/>
      </border>
    </dxf>
    <dxf>
      <border>
        <left/>
        <right/>
        <bottom/>
        <vertical/>
        <horizontal/>
      </border>
    </dxf>
    <dxf>
      <font>
        <color theme="0"/>
      </font>
      <fill>
        <patternFill patternType="lightVertical"/>
      </fill>
    </dxf>
    <dxf>
      <font>
        <color theme="0"/>
      </font>
      <border>
        <right/>
        <top/>
        <bottom/>
        <vertical/>
        <horizontal/>
      </border>
    </dxf>
    <dxf>
      <font>
        <color theme="0"/>
      </font>
      <border>
        <right/>
        <top/>
        <bottom/>
        <vertical/>
        <horizontal/>
      </border>
    </dxf>
    <dxf>
      <fill>
        <patternFill>
          <bgColor rgb="FFFF0000"/>
        </patternFill>
      </fill>
    </dxf>
    <dxf>
      <font>
        <color theme="0"/>
      </font>
      <border>
        <left/>
        <right/>
        <bottom/>
        <vertical/>
        <horizontal/>
      </border>
    </dxf>
    <dxf>
      <font>
        <color theme="0"/>
      </font>
      <border>
        <left/>
        <right/>
        <top style="thin">
          <color auto="1"/>
        </top>
        <bottom/>
        <vertical/>
        <horizontal/>
      </border>
    </dxf>
    <dxf>
      <font>
        <color theme="0"/>
      </font>
      <fill>
        <patternFill patternType="lightVertical"/>
      </fill>
    </dxf>
    <dxf>
      <fill>
        <patternFill patternType="lightVertical"/>
      </fill>
    </dxf>
    <dxf>
      <fill>
        <patternFill patternType="lightVertical"/>
      </fill>
    </dxf>
    <dxf>
      <fill>
        <patternFill>
          <bgColor rgb="FFFF0000"/>
        </patternFill>
      </fill>
    </dxf>
    <dxf>
      <font>
        <b/>
        <i val="0"/>
      </font>
      <fill>
        <patternFill>
          <bgColor rgb="FFFF0000"/>
        </patternFill>
      </fill>
    </dxf>
    <dxf>
      <fill>
        <patternFill>
          <bgColor rgb="FFFF0000"/>
        </patternFill>
      </fill>
    </dxf>
    <dxf>
      <fill>
        <patternFill patternType="lightVertical"/>
      </fill>
    </dxf>
    <dxf>
      <fill>
        <patternFill patternType="lightVertical"/>
      </fill>
    </dxf>
    <dxf>
      <fill>
        <patternFill patternType="lightVertical"/>
      </fill>
    </dxf>
    <dxf>
      <fill>
        <patternFill>
          <bgColor rgb="FFFF0000"/>
        </patternFill>
      </fill>
    </dxf>
    <dxf>
      <border>
        <left/>
        <right/>
        <top/>
        <bottom/>
        <vertical/>
        <horizontal/>
      </border>
    </dxf>
    <dxf>
      <font>
        <color theme="0"/>
      </font>
      <border>
        <left/>
        <right/>
        <top/>
        <bottom/>
        <vertical/>
        <horizontal/>
      </border>
    </dxf>
    <dxf>
      <font>
        <color theme="0"/>
      </font>
      <border>
        <left/>
        <right/>
        <bottom/>
        <vertical/>
        <horizontal/>
      </border>
    </dxf>
    <dxf>
      <border>
        <left/>
        <right/>
        <bottom/>
        <vertical/>
        <horizontal/>
      </border>
    </dxf>
    <dxf>
      <fill>
        <patternFill>
          <bgColor rgb="FFFF0000"/>
        </patternFill>
      </fill>
    </dxf>
    <dxf>
      <fill>
        <patternFill patternType="lightVertical"/>
      </fill>
    </dxf>
    <dxf>
      <fill>
        <patternFill patternType="lightVertical"/>
      </fill>
    </dxf>
    <dxf>
      <fill>
        <patternFill patternType="lightVertical"/>
      </fill>
    </dxf>
    <dxf>
      <fill>
        <patternFill patternType="solid">
          <fgColor rgb="FFFF0000"/>
          <bgColor rgb="FFFF0000"/>
        </patternFill>
      </fill>
    </dxf>
    <dxf>
      <fill>
        <patternFill patternType="lightVertical"/>
      </fill>
    </dxf>
    <dxf>
      <fill>
        <patternFill patternType="lightVertical"/>
      </fill>
    </dxf>
    <dxf>
      <fill>
        <patternFill patternType="lightVertica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bgColor rgb="FFFF0000"/>
        </patternFill>
      </fill>
    </dxf>
    <dxf>
      <fill>
        <patternFill>
          <bgColor rgb="FFFF0000"/>
        </patternFill>
      </fill>
    </dxf>
    <dxf>
      <fill>
        <patternFill patternType="lightVertical"/>
      </fill>
    </dxf>
    <dxf>
      <fill>
        <patternFill patternType="lightVertical"/>
      </fill>
    </dxf>
    <dxf>
      <fill>
        <patternFill patternType="lightVertica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dxf>
    <dxf>
      <fill>
        <patternFill patternType="lightVertical"/>
      </fill>
    </dxf>
    <dxf>
      <fill>
        <patternFill>
          <bgColor theme="4"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lightVertica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patternType="lightVertical"/>
      </fill>
    </dxf>
    <dxf>
      <fill>
        <patternFill patternType="lightVertical"/>
      </fill>
    </dxf>
    <dxf>
      <fill>
        <patternFill>
          <bgColor rgb="FFFF0000"/>
        </patternFill>
      </fill>
    </dxf>
    <dxf>
      <fill>
        <patternFill>
          <bgColor rgb="FFFF0000"/>
        </patternFill>
      </fill>
    </dxf>
    <dxf>
      <fill>
        <patternFill patternType="lightVertical"/>
      </fill>
    </dxf>
    <dxf>
      <fill>
        <patternFill>
          <bgColor rgb="FFFF0000"/>
        </patternFill>
      </fill>
    </dxf>
    <dxf>
      <fill>
        <patternFill>
          <bgColor rgb="FFFF0000"/>
        </patternFill>
      </fill>
    </dxf>
    <dxf>
      <fill>
        <patternFill patternType="lightVertical"/>
      </fill>
    </dxf>
    <dxf>
      <fill>
        <patternFill>
          <bgColor rgb="FFFF0000"/>
        </patternFill>
      </fill>
    </dxf>
    <dxf>
      <fill>
        <patternFill patternType="lightVertical"/>
      </fill>
    </dxf>
    <dxf>
      <fill>
        <patternFill>
          <bgColor rgb="FFFF0000"/>
        </patternFill>
      </fill>
    </dxf>
    <dxf>
      <fill>
        <patternFill>
          <bgColor rgb="FFFF0000"/>
        </patternFill>
      </fill>
    </dxf>
    <dxf>
      <fill>
        <patternFill patternType="lightVertical"/>
      </fill>
    </dxf>
    <dxf>
      <fill>
        <patternFill>
          <bgColor rgb="FFFF0000"/>
        </patternFill>
      </fill>
    </dxf>
    <dxf>
      <fill>
        <patternFill patternType="lightVertical"/>
      </fill>
    </dxf>
    <dxf>
      <fill>
        <patternFill patternType="lightVertical"/>
      </fill>
    </dxf>
    <dxf>
      <fill>
        <patternFill patternType="lightVertical">
          <fgColor auto="1"/>
        </patternFill>
      </fill>
    </dxf>
    <dxf>
      <fill>
        <patternFill patternType="lightVertical"/>
      </fill>
    </dxf>
    <dxf>
      <fill>
        <patternFill patternType="lightVertical"/>
      </fill>
    </dxf>
    <dxf>
      <fill>
        <patternFill patternType="lightVertical"/>
      </fill>
    </dxf>
    <dxf>
      <fill>
        <patternFill patternType="lightVertical"/>
      </fill>
    </dxf>
    <dxf>
      <font>
        <color rgb="FF9C0006"/>
      </font>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02E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CO" b="1"/>
              <a:t>Gráfica comportamiento error de indicación</a:t>
            </a:r>
          </a:p>
        </c:rich>
      </c:tx>
      <c:layout>
        <c:manualLayout>
          <c:xMode val="edge"/>
          <c:yMode val="edge"/>
          <c:x val="0.23820208705011126"/>
          <c:y val="7.044036162146398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0100978773067008"/>
          <c:y val="0.15042742845550103"/>
          <c:w val="0.81627205806559566"/>
          <c:h val="0.68344859066529728"/>
        </c:manualLayout>
      </c:layout>
      <c:scatterChart>
        <c:scatterStyle val="lineMarker"/>
        <c:varyColors val="0"/>
        <c:ser>
          <c:idx val="0"/>
          <c:order val="0"/>
          <c:tx>
            <c:strRef>
              <c:f>'Calculo P Conformidad'!$O$71</c:f>
              <c:strCache>
                <c:ptCount val="1"/>
                <c:pt idx="0">
                  <c:v>Error</c:v>
                </c:pt>
              </c:strCache>
            </c:strRef>
          </c:tx>
          <c:spPr>
            <a:ln w="19050" cap="rnd">
              <a:noFill/>
              <a:round/>
            </a:ln>
            <a:effectLst/>
          </c:spPr>
          <c:marker>
            <c:symbol val="diamond"/>
            <c:size val="6"/>
            <c:spPr>
              <a:solidFill>
                <a:srgbClr val="0070C0"/>
              </a:solidFill>
              <a:ln w="9525">
                <a:solidFill>
                  <a:schemeClr val="accent1"/>
                </a:solidFill>
              </a:ln>
              <a:effectLst/>
            </c:spPr>
          </c:marker>
          <c:errBars>
            <c:errDir val="y"/>
            <c:errBarType val="both"/>
            <c:errValType val="cust"/>
            <c:noEndCap val="0"/>
            <c:plus>
              <c:numRef>
                <c:f>'Certificado de calibración'!$U$127:$U$138</c:f>
                <c:numCache>
                  <c:formatCode>General</c:formatCode>
                  <c:ptCount val="12"/>
                  <c:pt idx="0">
                    <c:v>2.3459923272814481E-5</c:v>
                  </c:pt>
                  <c:pt idx="1">
                    <c:v>2.4028590447104866E-5</c:v>
                  </c:pt>
                  <c:pt idx="2">
                    <c:v>4.4398152426525772E-5</c:v>
                  </c:pt>
                  <c:pt idx="3">
                    <c:v>6.4456647642294077E-5</c:v>
                  </c:pt>
                  <c:pt idx="4">
                    <c:v>5.5921728620574623E-5</c:v>
                  </c:pt>
                  <c:pt idx="5">
                    <c:v>6.1885757897511143E-5</c:v>
                  </c:pt>
                  <c:pt idx="6">
                    <c:v>4.9375364026449772E-5</c:v>
                  </c:pt>
                  <c:pt idx="7">
                    <c:v>7.3328671417515837E-5</c:v>
                  </c:pt>
                  <c:pt idx="8">
                    <c:v>9.2338127556328709E-5</c:v>
                  </c:pt>
                  <c:pt idx="9">
                    <c:v>8.1052707744965345E-5</c:v>
                  </c:pt>
                  <c:pt idx="10">
                    <c:v>1.0577384405320574E-4</c:v>
                  </c:pt>
                  <c:pt idx="11">
                    <c:v>9.2762966952556278E-5</c:v>
                  </c:pt>
                </c:numCache>
              </c:numRef>
            </c:plus>
            <c:minus>
              <c:numRef>
                <c:f>'Certificado de calibración'!$U$127:$U$138</c:f>
                <c:numCache>
                  <c:formatCode>General</c:formatCode>
                  <c:ptCount val="12"/>
                  <c:pt idx="0">
                    <c:v>2.3459923272814481E-5</c:v>
                  </c:pt>
                  <c:pt idx="1">
                    <c:v>2.4028590447104866E-5</c:v>
                  </c:pt>
                  <c:pt idx="2">
                    <c:v>4.4398152426525772E-5</c:v>
                  </c:pt>
                  <c:pt idx="3">
                    <c:v>6.4456647642294077E-5</c:v>
                  </c:pt>
                  <c:pt idx="4">
                    <c:v>5.5921728620574623E-5</c:v>
                  </c:pt>
                  <c:pt idx="5">
                    <c:v>6.1885757897511143E-5</c:v>
                  </c:pt>
                  <c:pt idx="6">
                    <c:v>4.9375364026449772E-5</c:v>
                  </c:pt>
                  <c:pt idx="7">
                    <c:v>7.3328671417515837E-5</c:v>
                  </c:pt>
                  <c:pt idx="8">
                    <c:v>9.2338127556328709E-5</c:v>
                  </c:pt>
                  <c:pt idx="9">
                    <c:v>8.1052707744965345E-5</c:v>
                  </c:pt>
                  <c:pt idx="10">
                    <c:v>1.0577384405320574E-4</c:v>
                  </c:pt>
                  <c:pt idx="11">
                    <c:v>9.2762966952556278E-5</c:v>
                  </c:pt>
                </c:numCache>
              </c:numRef>
            </c:minus>
            <c:spPr>
              <a:noFill/>
              <a:ln w="9525" cap="flat" cmpd="sng" algn="ctr">
                <a:solidFill>
                  <a:schemeClr val="tx1">
                    <a:lumMod val="65000"/>
                    <a:lumOff val="35000"/>
                  </a:schemeClr>
                </a:solidFill>
                <a:round/>
              </a:ln>
              <a:effectLst/>
            </c:spPr>
          </c:errBars>
          <c:xVal>
            <c:numRef>
              <c:f>'Calculo P Conformidad'!$N$73:$N$84</c:f>
              <c:numCache>
                <c:formatCode>0.0000</c:formatCode>
                <c:ptCount val="12"/>
                <c:pt idx="0">
                  <c:v>0</c:v>
                </c:pt>
                <c:pt idx="1">
                  <c:v>0.01</c:v>
                </c:pt>
                <c:pt idx="2">
                  <c:v>4</c:v>
                </c:pt>
                <c:pt idx="3">
                  <c:v>8</c:v>
                </c:pt>
                <c:pt idx="4">
                  <c:v>12</c:v>
                </c:pt>
                <c:pt idx="5">
                  <c:v>15.00001</c:v>
                </c:pt>
                <c:pt idx="6">
                  <c:v>20</c:v>
                </c:pt>
                <c:pt idx="7">
                  <c:v>25.00001</c:v>
                </c:pt>
                <c:pt idx="8">
                  <c:v>27.00001</c:v>
                </c:pt>
                <c:pt idx="9">
                  <c:v>30.00001</c:v>
                </c:pt>
                <c:pt idx="10">
                  <c:v>35.000019999999999</c:v>
                </c:pt>
                <c:pt idx="11">
                  <c:v>40.000019999999999</c:v>
                </c:pt>
              </c:numCache>
            </c:numRef>
          </c:xVal>
          <c:yVal>
            <c:numRef>
              <c:f>'Calculo P Conformidad'!$O$73:$O$84</c:f>
              <c:numCache>
                <c:formatCode>0.0000000</c:formatCode>
                <c:ptCount val="12"/>
                <c:pt idx="0">
                  <c:v>0</c:v>
                </c:pt>
                <c:pt idx="1">
                  <c:v>2.9894351623142856E-7</c:v>
                </c:pt>
                <c:pt idx="2">
                  <c:v>5.5773944480641546E-6</c:v>
                </c:pt>
                <c:pt idx="3">
                  <c:v>1.2154789001073141E-5</c:v>
                </c:pt>
                <c:pt idx="4">
                  <c:v>-1.2678196146254095E-6</c:v>
                </c:pt>
                <c:pt idx="5">
                  <c:v>1.0415225958126939E-5</c:v>
                </c:pt>
                <c:pt idx="6">
                  <c:v>3.8869686491693756E-6</c:v>
                </c:pt>
                <c:pt idx="7">
                  <c:v>2.5358712186118737E-5</c:v>
                </c:pt>
                <c:pt idx="8">
                  <c:v>3.5147410148539393E-5</c:v>
                </c:pt>
                <c:pt idx="9">
                  <c:v>2.830451069968376E-6</c:v>
                </c:pt>
                <c:pt idx="10">
                  <c:v>2.4302194610470451E-5</c:v>
                </c:pt>
                <c:pt idx="11">
                  <c:v>2.1773936659030824E-5</c:v>
                </c:pt>
              </c:numCache>
            </c:numRef>
          </c:yVal>
          <c:smooth val="0"/>
          <c:extLst>
            <c:ext xmlns:c16="http://schemas.microsoft.com/office/drawing/2014/chart" uri="{C3380CC4-5D6E-409C-BE32-E72D297353CC}">
              <c16:uniqueId val="{00000000-3AA6-4706-BA98-04CBA7F4927F}"/>
            </c:ext>
          </c:extLst>
        </c:ser>
        <c:dLbls>
          <c:showLegendKey val="0"/>
          <c:showVal val="0"/>
          <c:showCatName val="0"/>
          <c:showSerName val="0"/>
          <c:showPercent val="0"/>
          <c:showBubbleSize val="0"/>
        </c:dLbls>
        <c:axId val="1851176992"/>
        <c:axId val="1851180256"/>
        <c:extLst>
          <c:ext xmlns:c15="http://schemas.microsoft.com/office/drawing/2012/chart" uri="{02D57815-91ED-43cb-92C2-25804820EDAC}">
            <c15:filteredScatterSeries>
              <c15:ser>
                <c:idx val="1"/>
                <c:order val="1"/>
                <c:tx>
                  <c:strRef>
                    <c:extLst>
                      <c:ext uri="{02D57815-91ED-43cb-92C2-25804820EDAC}">
                        <c15:formulaRef>
                          <c15:sqref>'Calculo P Conformidad'!$B$72</c15:sqref>
                        </c15:formulaRef>
                      </c:ext>
                    </c:extLst>
                    <c:strCache>
                      <c:ptCount val="1"/>
                      <c:pt idx="0">
                        <c:v>TL</c:v>
                      </c:pt>
                    </c:strCache>
                  </c:strRef>
                </c:tx>
                <c:spPr>
                  <a:ln w="19050" cap="rnd">
                    <a:solidFill>
                      <a:srgbClr val="FF0000"/>
                    </a:solidFill>
                    <a:round/>
                  </a:ln>
                  <a:effectLst/>
                </c:spPr>
                <c:marker>
                  <c:symbol val="circle"/>
                  <c:size val="5"/>
                  <c:spPr>
                    <a:solidFill>
                      <a:srgbClr val="FF0000"/>
                    </a:solidFill>
                    <a:ln w="9525">
                      <a:solidFill>
                        <a:schemeClr val="accent2"/>
                      </a:solidFill>
                    </a:ln>
                    <a:effectLst/>
                  </c:spPr>
                </c:marker>
                <c:xVal>
                  <c:numRef>
                    <c:extLst>
                      <c:ext uri="{02D57815-91ED-43cb-92C2-25804820EDAC}">
                        <c15:formulaRef>
                          <c15:sqref>'Calculo P Conformidad'!$N$73:$N$84</c15:sqref>
                        </c15:formulaRef>
                      </c:ext>
                    </c:extLst>
                    <c:numCache>
                      <c:formatCode>0.0000</c:formatCode>
                      <c:ptCount val="12"/>
                      <c:pt idx="0">
                        <c:v>0</c:v>
                      </c:pt>
                      <c:pt idx="1">
                        <c:v>0.01</c:v>
                      </c:pt>
                      <c:pt idx="2">
                        <c:v>4</c:v>
                      </c:pt>
                      <c:pt idx="3">
                        <c:v>8</c:v>
                      </c:pt>
                      <c:pt idx="4">
                        <c:v>12</c:v>
                      </c:pt>
                      <c:pt idx="5">
                        <c:v>15.00001</c:v>
                      </c:pt>
                      <c:pt idx="6">
                        <c:v>20</c:v>
                      </c:pt>
                      <c:pt idx="7">
                        <c:v>25.00001</c:v>
                      </c:pt>
                      <c:pt idx="8">
                        <c:v>27.00001</c:v>
                      </c:pt>
                      <c:pt idx="9">
                        <c:v>30.00001</c:v>
                      </c:pt>
                      <c:pt idx="10">
                        <c:v>35.000019999999999</c:v>
                      </c:pt>
                      <c:pt idx="11">
                        <c:v>40.000019999999999</c:v>
                      </c:pt>
                    </c:numCache>
                  </c:numRef>
                </c:xVal>
                <c:yVal>
                  <c:numRef>
                    <c:extLst>
                      <c:ext uri="{02D57815-91ED-43cb-92C2-25804820EDAC}">
                        <c15:formulaRef>
                          <c15:sqref>'Calculo P Conformidad'!$B$73:$B$84</c15:sqref>
                        </c15:formulaRef>
                      </c:ext>
                    </c:extLst>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1-3AA6-4706-BA98-04CBA7F4927F}"/>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'Calculo P Conformidad'!$E$72</c15:sqref>
                        </c15:formulaRef>
                      </c:ext>
                    </c:extLst>
                    <c:strCache>
                      <c:ptCount val="1"/>
                      <c:pt idx="0">
                        <c:v>-TL</c:v>
                      </c:pt>
                    </c:strCache>
                  </c:strRef>
                </c:tx>
                <c:spPr>
                  <a:ln w="19050" cap="rnd">
                    <a:solidFill>
                      <a:srgbClr val="FF0000"/>
                    </a:solidFill>
                    <a:round/>
                  </a:ln>
                  <a:effectLst/>
                </c:spPr>
                <c:marker>
                  <c:symbol val="circle"/>
                  <c:size val="5"/>
                  <c:spPr>
                    <a:solidFill>
                      <a:srgbClr val="FF0000"/>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'Calculo P Conformidad'!$N$73:$N$84</c15:sqref>
                        </c15:formulaRef>
                      </c:ext>
                    </c:extLst>
                    <c:numCache>
                      <c:formatCode>0.0000</c:formatCode>
                      <c:ptCount val="12"/>
                      <c:pt idx="0">
                        <c:v>0</c:v>
                      </c:pt>
                      <c:pt idx="1">
                        <c:v>0.01</c:v>
                      </c:pt>
                      <c:pt idx="2">
                        <c:v>4</c:v>
                      </c:pt>
                      <c:pt idx="3">
                        <c:v>8</c:v>
                      </c:pt>
                      <c:pt idx="4">
                        <c:v>12</c:v>
                      </c:pt>
                      <c:pt idx="5">
                        <c:v>15.00001</c:v>
                      </c:pt>
                      <c:pt idx="6">
                        <c:v>20</c:v>
                      </c:pt>
                      <c:pt idx="7">
                        <c:v>25.00001</c:v>
                      </c:pt>
                      <c:pt idx="8">
                        <c:v>27.00001</c:v>
                      </c:pt>
                      <c:pt idx="9">
                        <c:v>30.00001</c:v>
                      </c:pt>
                      <c:pt idx="10">
                        <c:v>35.000019999999999</c:v>
                      </c:pt>
                      <c:pt idx="11">
                        <c:v>40.000019999999999</c:v>
                      </c:pt>
                    </c:numCache>
                  </c:numRef>
                </c:xVal>
                <c:yVal>
                  <c:numRef>
                    <c:extLst xmlns:c15="http://schemas.microsoft.com/office/drawing/2012/chart">
                      <c:ext xmlns:c15="http://schemas.microsoft.com/office/drawing/2012/chart" uri="{02D57815-91ED-43cb-92C2-25804820EDAC}">
                        <c15:formulaRef>
                          <c15:sqref>'Calculo P Conformidad'!$E$73:$E$84</c15:sqref>
                        </c15:formulaRef>
                      </c:ext>
                    </c:extLst>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xmlns:c15="http://schemas.microsoft.com/office/drawing/2012/chart">
                  <c:ext xmlns:c16="http://schemas.microsoft.com/office/drawing/2014/chart" uri="{C3380CC4-5D6E-409C-BE32-E72D297353CC}">
                    <c16:uniqueId val="{00000002-3AA6-4706-BA98-04CBA7F4927F}"/>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'Calculo P Conformidad'!$C$72</c15:sqref>
                        </c15:formulaRef>
                      </c:ext>
                    </c:extLst>
                    <c:strCache>
                      <c:ptCount val="1"/>
                    </c:strCache>
                  </c:strRef>
                </c:tx>
                <c:spPr>
                  <a:ln w="19050" cap="rnd">
                    <a:noFill/>
                    <a:round/>
                  </a:ln>
                  <a:effectLst/>
                </c:spPr>
                <c:marker>
                  <c:symbol val="x"/>
                  <c:size val="5"/>
                  <c:spPr>
                    <a:solidFill>
                      <a:srgbClr val="00B050"/>
                    </a:solidFill>
                    <a:ln w="9525">
                      <a:solidFill>
                        <a:schemeClr val="tx1"/>
                      </a:solidFill>
                    </a:ln>
                    <a:effectLst/>
                  </c:spPr>
                </c:marker>
                <c:xVal>
                  <c:numRef>
                    <c:extLst xmlns:c15="http://schemas.microsoft.com/office/drawing/2012/chart">
                      <c:ext xmlns:c15="http://schemas.microsoft.com/office/drawing/2012/chart" uri="{02D57815-91ED-43cb-92C2-25804820EDAC}">
                        <c15:formulaRef>
                          <c15:sqref>'Calculo P Conformidad'!$N$73:$N$84</c15:sqref>
                        </c15:formulaRef>
                      </c:ext>
                    </c:extLst>
                    <c:numCache>
                      <c:formatCode>0.0000</c:formatCode>
                      <c:ptCount val="12"/>
                      <c:pt idx="0">
                        <c:v>0</c:v>
                      </c:pt>
                      <c:pt idx="1">
                        <c:v>0.01</c:v>
                      </c:pt>
                      <c:pt idx="2">
                        <c:v>4</c:v>
                      </c:pt>
                      <c:pt idx="3">
                        <c:v>8</c:v>
                      </c:pt>
                      <c:pt idx="4">
                        <c:v>12</c:v>
                      </c:pt>
                      <c:pt idx="5">
                        <c:v>15.00001</c:v>
                      </c:pt>
                      <c:pt idx="6">
                        <c:v>20</c:v>
                      </c:pt>
                      <c:pt idx="7">
                        <c:v>25.00001</c:v>
                      </c:pt>
                      <c:pt idx="8">
                        <c:v>27.00001</c:v>
                      </c:pt>
                      <c:pt idx="9">
                        <c:v>30.00001</c:v>
                      </c:pt>
                      <c:pt idx="10">
                        <c:v>35.000019999999999</c:v>
                      </c:pt>
                      <c:pt idx="11">
                        <c:v>40.000019999999999</c:v>
                      </c:pt>
                    </c:numCache>
                  </c:numRef>
                </c:xVal>
                <c:yVal>
                  <c:numRef>
                    <c:extLst xmlns:c15="http://schemas.microsoft.com/office/drawing/2012/chart">
                      <c:ext xmlns:c15="http://schemas.microsoft.com/office/drawing/2012/chart" uri="{02D57815-91ED-43cb-92C2-25804820EDAC}">
                        <c15:formulaRef>
                          <c15:sqref>'Calculo P Conformidad'!$C$73:$C$84</c15:sqref>
                        </c15:formulaRef>
                      </c:ext>
                    </c:extLst>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xmlns:c15="http://schemas.microsoft.com/office/drawing/2012/chart">
                  <c:ext xmlns:c16="http://schemas.microsoft.com/office/drawing/2014/chart" uri="{C3380CC4-5D6E-409C-BE32-E72D297353CC}">
                    <c16:uniqueId val="{00000003-3AA6-4706-BA98-04CBA7F4927F}"/>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'Calculo P Conformidad'!$D$72</c15:sqref>
                        </c15:formulaRef>
                      </c:ext>
                    </c:extLst>
                    <c:strCache>
                      <c:ptCount val="1"/>
                    </c:strCache>
                  </c:strRef>
                </c:tx>
                <c:spPr>
                  <a:ln w="19050" cap="rnd">
                    <a:noFill/>
                    <a:round/>
                  </a:ln>
                  <a:effectLst/>
                </c:spPr>
                <c:marker>
                  <c:symbol val="star"/>
                  <c:size val="5"/>
                  <c:spPr>
                    <a:solidFill>
                      <a:srgbClr val="00B050"/>
                    </a:solidFill>
                    <a:ln w="9525">
                      <a:solidFill>
                        <a:schemeClr val="tx1"/>
                      </a:solidFill>
                    </a:ln>
                    <a:effectLst/>
                  </c:spPr>
                </c:marker>
                <c:xVal>
                  <c:numRef>
                    <c:extLst xmlns:c15="http://schemas.microsoft.com/office/drawing/2012/chart">
                      <c:ext xmlns:c15="http://schemas.microsoft.com/office/drawing/2012/chart" uri="{02D57815-91ED-43cb-92C2-25804820EDAC}">
                        <c15:formulaRef>
                          <c15:sqref>'Calculo P Conformidad'!$N$73:$N$84</c15:sqref>
                        </c15:formulaRef>
                      </c:ext>
                    </c:extLst>
                    <c:numCache>
                      <c:formatCode>0.0000</c:formatCode>
                      <c:ptCount val="12"/>
                      <c:pt idx="0">
                        <c:v>0</c:v>
                      </c:pt>
                      <c:pt idx="1">
                        <c:v>0.01</c:v>
                      </c:pt>
                      <c:pt idx="2">
                        <c:v>4</c:v>
                      </c:pt>
                      <c:pt idx="3">
                        <c:v>8</c:v>
                      </c:pt>
                      <c:pt idx="4">
                        <c:v>12</c:v>
                      </c:pt>
                      <c:pt idx="5">
                        <c:v>15.00001</c:v>
                      </c:pt>
                      <c:pt idx="6">
                        <c:v>20</c:v>
                      </c:pt>
                      <c:pt idx="7">
                        <c:v>25.00001</c:v>
                      </c:pt>
                      <c:pt idx="8">
                        <c:v>27.00001</c:v>
                      </c:pt>
                      <c:pt idx="9">
                        <c:v>30.00001</c:v>
                      </c:pt>
                      <c:pt idx="10">
                        <c:v>35.000019999999999</c:v>
                      </c:pt>
                      <c:pt idx="11">
                        <c:v>40.000019999999999</c:v>
                      </c:pt>
                    </c:numCache>
                  </c:numRef>
                </c:xVal>
                <c:yVal>
                  <c:numRef>
                    <c:extLst xmlns:c15="http://schemas.microsoft.com/office/drawing/2012/chart">
                      <c:ext xmlns:c15="http://schemas.microsoft.com/office/drawing/2012/chart" uri="{02D57815-91ED-43cb-92C2-25804820EDAC}">
                        <c15:formulaRef>
                          <c15:sqref>'Calculo P Conformidad'!$D$73:$D$84</c15:sqref>
                        </c15:formulaRef>
                      </c:ext>
                    </c:extLst>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xmlns:c15="http://schemas.microsoft.com/office/drawing/2012/chart">
                  <c:ext xmlns:c16="http://schemas.microsoft.com/office/drawing/2014/chart" uri="{C3380CC4-5D6E-409C-BE32-E72D297353CC}">
                    <c16:uniqueId val="{00000004-3AA6-4706-BA98-04CBA7F4927F}"/>
                  </c:ext>
                </c:extLst>
              </c15:ser>
            </c15:filteredScatterSeries>
          </c:ext>
        </c:extLst>
      </c:scatterChart>
      <c:valAx>
        <c:axId val="1851176992"/>
        <c:scaling>
          <c:orientation val="minMax"/>
        </c:scaling>
        <c:delete val="0"/>
        <c:axPos val="b"/>
        <c:title>
          <c:tx>
            <c:strRef>
              <c:f>'Certificado de calibración'!$E$125</c:f>
              <c:strCache>
                <c:ptCount val="1"/>
                <c:pt idx="0">
                  <c:v>Carga  ( g )</c:v>
                </c:pt>
              </c:strCache>
            </c:strRef>
          </c:tx>
          <c:layout>
            <c:manualLayout>
              <c:xMode val="edge"/>
              <c:yMode val="edge"/>
              <c:x val="0.49648462992581222"/>
              <c:y val="0.8932455906779768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title>
        <c:numFmt formatCode="@"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51180256"/>
        <c:crossesAt val="0"/>
        <c:crossBetween val="midCat"/>
      </c:valAx>
      <c:valAx>
        <c:axId val="1851180256"/>
        <c:scaling>
          <c:orientation val="minMax"/>
        </c:scaling>
        <c:delete val="0"/>
        <c:axPos val="l"/>
        <c:title>
          <c:tx>
            <c:strRef>
              <c:f>'Certificado de calibración'!$L$125</c:f>
              <c:strCache>
                <c:ptCount val="1"/>
                <c:pt idx="0">
                  <c:v>Error ( g )</c:v>
                </c:pt>
              </c:strCache>
            </c:strRef>
          </c:tx>
          <c:layout>
            <c:manualLayout>
              <c:xMode val="edge"/>
              <c:yMode val="edge"/>
              <c:x val="7.5169127577635209E-3"/>
              <c:y val="0.42115663078347082"/>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00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51176992"/>
        <c:crossesAt val="0"/>
        <c:crossBetween val="midCat"/>
      </c:valAx>
      <c:spPr>
        <a:noFill/>
        <a:ln>
          <a:noFill/>
        </a:ln>
        <a:effectLst/>
      </c:spPr>
    </c:plotArea>
    <c:legend>
      <c:legendPos val="r"/>
      <c:layout>
        <c:manualLayout>
          <c:xMode val="edge"/>
          <c:yMode val="edge"/>
          <c:x val="0.90920919854279458"/>
          <c:y val="0.51995607884543826"/>
          <c:w val="8.5926125675441958E-2"/>
          <c:h val="0.271741032370953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12700" cap="flat" cmpd="sng" algn="ctr">
      <a:solidFill>
        <a:schemeClr val="tx1"/>
      </a:solidFill>
      <a:miter lim="800000"/>
    </a:ln>
    <a:effectLst/>
  </c:spPr>
  <c:txPr>
    <a:bodyPr/>
    <a:lstStyle/>
    <a:p>
      <a:pPr>
        <a:defRPr/>
      </a:pPr>
      <a:endParaRPr lang="es-CO"/>
    </a:p>
  </c:txPr>
  <c:printSettings>
    <c:headerFooter/>
    <c:pageMargins b="0.75000000000000022" l="0.70000000000000018" r="0.70000000000000018" t="0.75000000000000022" header="0.3000000000000001" footer="0.300000000000000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a:lstStyle/>
        <a:p>
          <a:pPr>
            <a:defRPr sz="1400" b="0" i="0" u="none" strike="noStrike" baseline="0">
              <a:solidFill>
                <a:srgbClr val="333333"/>
              </a:solidFill>
              <a:latin typeface="Calibri"/>
              <a:ea typeface="Calibri"/>
              <a:cs typeface="Calibri"/>
            </a:defRPr>
          </a:pPr>
          <a:endParaRPr lang="es-CO"/>
        </a:p>
      </c:txPr>
    </c:title>
    <c:autoTitleDeleted val="0"/>
    <c:plotArea>
      <c:layout/>
      <c:barChart>
        <c:barDir val="bar"/>
        <c:grouping val="clustered"/>
        <c:varyColors val="0"/>
        <c:ser>
          <c:idx val="0"/>
          <c:order val="0"/>
          <c:spPr>
            <a:solidFill>
              <a:srgbClr val="5B9BD5"/>
            </a:solidFill>
            <a:ln w="25400">
              <a:noFill/>
            </a:ln>
          </c:spPr>
          <c:invertIfNegative val="0"/>
          <c:cat>
            <c:strRef>
              <c:f>'Estimación de la Incertidumbre'!$F$43:$F$51</c:f>
              <c:strCache>
                <c:ptCount val="9"/>
                <c:pt idx="0">
                  <c:v>Division Escala  Vacio</c:v>
                </c:pt>
                <c:pt idx="1">
                  <c:v>Divison Escala con Carga</c:v>
                </c:pt>
                <c:pt idx="2">
                  <c:v>Repetibilidad</c:v>
                </c:pt>
                <c:pt idx="3">
                  <c:v>Excentricidad</c:v>
                </c:pt>
                <c:pt idx="4">
                  <c:v>Patron</c:v>
                </c:pt>
                <c:pt idx="5">
                  <c:v>Deriva</c:v>
                </c:pt>
                <c:pt idx="6">
                  <c:v>Empuje</c:v>
                </c:pt>
                <c:pt idx="7">
                  <c:v>Conveccion</c:v>
                </c:pt>
                <c:pt idx="8">
                  <c:v>Reproducibilidad</c:v>
                </c:pt>
              </c:strCache>
            </c:strRef>
          </c:cat>
          <c:val>
            <c:numRef>
              <c:f>'Estimación de la Incertidumbre'!$H$43:$H$51</c:f>
              <c:numCache>
                <c:formatCode>General</c:formatCode>
                <c:ptCount val="9"/>
                <c:pt idx="0">
                  <c:v>1.0000000000000001E-5</c:v>
                </c:pt>
                <c:pt idx="1">
                  <c:v>1.0000000000000001E-5</c:v>
                </c:pt>
                <c:pt idx="2">
                  <c:v>8.366600265024016E-6</c:v>
                </c:pt>
                <c:pt idx="3" formatCode="0.0000000">
                  <c:v>2.8867513458388433E-9</c:v>
                </c:pt>
                <c:pt idx="4" formatCode="0.00E+00">
                  <c:v>1.35E-6</c:v>
                </c:pt>
                <c:pt idx="5" formatCode="0.0E+00">
                  <c:v>1.5588457268119896E-6</c:v>
                </c:pt>
                <c:pt idx="6" formatCode="0.00000E+00">
                  <c:v>2.173080398643283E-9</c:v>
                </c:pt>
                <c:pt idx="7" formatCode="0.000000">
                  <c:v>0</c:v>
                </c:pt>
                <c:pt idx="8" formatCode="0.00000000">
                  <c:v>0</c:v>
                </c:pt>
              </c:numCache>
            </c:numRef>
          </c:val>
          <c:extLst>
            <c:ext xmlns:c16="http://schemas.microsoft.com/office/drawing/2014/chart" uri="{C3380CC4-5D6E-409C-BE32-E72D297353CC}">
              <c16:uniqueId val="{00000000-F392-4A0C-8806-A25D34E5521C}"/>
            </c:ext>
          </c:extLst>
        </c:ser>
        <c:dLbls>
          <c:showLegendKey val="0"/>
          <c:showVal val="0"/>
          <c:showCatName val="0"/>
          <c:showSerName val="0"/>
          <c:showPercent val="0"/>
          <c:showBubbleSize val="0"/>
        </c:dLbls>
        <c:gapWidth val="182"/>
        <c:axId val="481983920"/>
        <c:axId val="481975216"/>
      </c:barChart>
      <c:catAx>
        <c:axId val="48198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481975216"/>
        <c:crosses val="autoZero"/>
        <c:auto val="1"/>
        <c:lblAlgn val="ctr"/>
        <c:lblOffset val="100"/>
        <c:noMultiLvlLbl val="0"/>
      </c:catAx>
      <c:valAx>
        <c:axId val="481975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s-CO"/>
          </a:p>
        </c:txPr>
        <c:crossAx val="481983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a:lstStyle/>
        <a:p>
          <a:pPr>
            <a:defRPr sz="1400" b="0" i="0" u="none" strike="noStrike" baseline="0">
              <a:solidFill>
                <a:srgbClr val="333333"/>
              </a:solidFill>
              <a:latin typeface="Calibri"/>
              <a:ea typeface="Calibri"/>
              <a:cs typeface="Calibri"/>
            </a:defRPr>
          </a:pPr>
          <a:endParaRPr lang="es-CO"/>
        </a:p>
      </c:txPr>
    </c:title>
    <c:autoTitleDeleted val="0"/>
    <c:plotArea>
      <c:layout/>
      <c:barChart>
        <c:barDir val="bar"/>
        <c:grouping val="clustered"/>
        <c:varyColors val="0"/>
        <c:ser>
          <c:idx val="0"/>
          <c:order val="0"/>
          <c:spPr>
            <a:solidFill>
              <a:srgbClr val="5B9BD5"/>
            </a:solidFill>
            <a:ln w="25400">
              <a:noFill/>
            </a:ln>
          </c:spPr>
          <c:invertIfNegative val="0"/>
          <c:cat>
            <c:strRef>
              <c:f>'Estimación de la Incertidumbre'!$F$43:$F$51</c:f>
              <c:strCache>
                <c:ptCount val="9"/>
                <c:pt idx="0">
                  <c:v>Division Escala  Vacio</c:v>
                </c:pt>
                <c:pt idx="1">
                  <c:v>Divison Escala con Carga</c:v>
                </c:pt>
                <c:pt idx="2">
                  <c:v>Repetibilidad</c:v>
                </c:pt>
                <c:pt idx="3">
                  <c:v>Excentricidad</c:v>
                </c:pt>
                <c:pt idx="4">
                  <c:v>Patron</c:v>
                </c:pt>
                <c:pt idx="5">
                  <c:v>Deriva</c:v>
                </c:pt>
                <c:pt idx="6">
                  <c:v>Empuje</c:v>
                </c:pt>
                <c:pt idx="7">
                  <c:v>Conveccion</c:v>
                </c:pt>
                <c:pt idx="8">
                  <c:v>Reproducibilidad</c:v>
                </c:pt>
              </c:strCache>
            </c:strRef>
          </c:cat>
          <c:val>
            <c:numRef>
              <c:f>'Estimación de la Incertidumbre'!$I$43:$I$51</c:f>
              <c:numCache>
                <c:formatCode>0.000000000</c:formatCode>
                <c:ptCount val="9"/>
                <c:pt idx="0" formatCode="General">
                  <c:v>1.0000000000000001E-5</c:v>
                </c:pt>
                <c:pt idx="1">
                  <c:v>1.0000000000000001E-5</c:v>
                </c:pt>
                <c:pt idx="2" formatCode="0.00000">
                  <c:v>8.366600265024016E-6</c:v>
                </c:pt>
                <c:pt idx="3" formatCode="0.0000000">
                  <c:v>1.1547005383355373E-6</c:v>
                </c:pt>
                <c:pt idx="4" formatCode="0.00E+00">
                  <c:v>1.2999999999999999E-5</c:v>
                </c:pt>
                <c:pt idx="5" formatCode="0.0E+00">
                  <c:v>1.501110699893027E-5</c:v>
                </c:pt>
                <c:pt idx="6" formatCode="0.00000E+00">
                  <c:v>8.6923215945731315E-7</c:v>
                </c:pt>
                <c:pt idx="7" formatCode="0.000000">
                  <c:v>0</c:v>
                </c:pt>
                <c:pt idx="8" formatCode="0.00000000">
                  <c:v>0</c:v>
                </c:pt>
              </c:numCache>
            </c:numRef>
          </c:val>
          <c:extLst>
            <c:ext xmlns:c16="http://schemas.microsoft.com/office/drawing/2014/chart" uri="{C3380CC4-5D6E-409C-BE32-E72D297353CC}">
              <c16:uniqueId val="{00000000-F22A-4ED9-A27E-E232C51EE94C}"/>
            </c:ext>
          </c:extLst>
        </c:ser>
        <c:dLbls>
          <c:showLegendKey val="0"/>
          <c:showVal val="0"/>
          <c:showCatName val="0"/>
          <c:showSerName val="0"/>
          <c:showPercent val="0"/>
          <c:showBubbleSize val="0"/>
        </c:dLbls>
        <c:gapWidth val="182"/>
        <c:axId val="481977936"/>
        <c:axId val="481989904"/>
      </c:barChart>
      <c:catAx>
        <c:axId val="48197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481989904"/>
        <c:crosses val="autoZero"/>
        <c:auto val="1"/>
        <c:lblAlgn val="ctr"/>
        <c:lblOffset val="100"/>
        <c:noMultiLvlLbl val="0"/>
      </c:catAx>
      <c:valAx>
        <c:axId val="481989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s-CO"/>
          </a:p>
        </c:txPr>
        <c:crossAx val="4819779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a:lstStyle/>
        <a:p>
          <a:pPr>
            <a:defRPr sz="1400" b="0" i="0" u="none" strike="noStrike" baseline="0">
              <a:solidFill>
                <a:srgbClr val="333333"/>
              </a:solidFill>
              <a:latin typeface="Calibri"/>
              <a:ea typeface="Calibri"/>
              <a:cs typeface="Calibri"/>
            </a:defRPr>
          </a:pPr>
          <a:endParaRPr lang="es-CO"/>
        </a:p>
      </c:txPr>
    </c:title>
    <c:autoTitleDeleted val="0"/>
    <c:plotArea>
      <c:layout/>
      <c:barChart>
        <c:barDir val="bar"/>
        <c:grouping val="clustered"/>
        <c:varyColors val="0"/>
        <c:ser>
          <c:idx val="0"/>
          <c:order val="0"/>
          <c:spPr>
            <a:solidFill>
              <a:srgbClr val="5B9BD5"/>
            </a:solidFill>
            <a:ln w="25400">
              <a:noFill/>
            </a:ln>
          </c:spPr>
          <c:invertIfNegative val="0"/>
          <c:cat>
            <c:strRef>
              <c:f>'Estimación de la Incertidumbre'!$F$43:$F$51</c:f>
              <c:strCache>
                <c:ptCount val="9"/>
                <c:pt idx="0">
                  <c:v>Division Escala  Vacio</c:v>
                </c:pt>
                <c:pt idx="1">
                  <c:v>Divison Escala con Carga</c:v>
                </c:pt>
                <c:pt idx="2">
                  <c:v>Repetibilidad</c:v>
                </c:pt>
                <c:pt idx="3">
                  <c:v>Excentricidad</c:v>
                </c:pt>
                <c:pt idx="4">
                  <c:v>Patron</c:v>
                </c:pt>
                <c:pt idx="5">
                  <c:v>Deriva</c:v>
                </c:pt>
                <c:pt idx="6">
                  <c:v>Empuje</c:v>
                </c:pt>
                <c:pt idx="7">
                  <c:v>Conveccion</c:v>
                </c:pt>
                <c:pt idx="8">
                  <c:v>Reproducibilidad</c:v>
                </c:pt>
              </c:strCache>
            </c:strRef>
          </c:cat>
          <c:val>
            <c:numRef>
              <c:f>'Estimación de la Incertidumbre'!$J$43:$J$51</c:f>
              <c:numCache>
                <c:formatCode>General</c:formatCode>
                <c:ptCount val="9"/>
                <c:pt idx="0">
                  <c:v>1.0000000000000001E-5</c:v>
                </c:pt>
                <c:pt idx="1">
                  <c:v>1.0000000000000001E-5</c:v>
                </c:pt>
                <c:pt idx="2">
                  <c:v>8.366600265024016E-6</c:v>
                </c:pt>
                <c:pt idx="3" formatCode="0.0000000">
                  <c:v>2.3094010766710745E-6</c:v>
                </c:pt>
                <c:pt idx="4" formatCode="0.00E+00">
                  <c:v>1.9999999999999998E-5</c:v>
                </c:pt>
                <c:pt idx="5" formatCode="0.0E+00">
                  <c:v>2.3094010767585031E-5</c:v>
                </c:pt>
                <c:pt idx="6" formatCode="0.00000E+00">
                  <c:v>1.7384643189146263E-6</c:v>
                </c:pt>
                <c:pt idx="7" formatCode="0.000000">
                  <c:v>0</c:v>
                </c:pt>
                <c:pt idx="8" formatCode="0.00000000">
                  <c:v>0</c:v>
                </c:pt>
              </c:numCache>
            </c:numRef>
          </c:val>
          <c:extLst>
            <c:ext xmlns:c16="http://schemas.microsoft.com/office/drawing/2014/chart" uri="{C3380CC4-5D6E-409C-BE32-E72D297353CC}">
              <c16:uniqueId val="{00000000-D63F-4A26-A417-0F2114AAE72F}"/>
            </c:ext>
          </c:extLst>
        </c:ser>
        <c:dLbls>
          <c:showLegendKey val="0"/>
          <c:showVal val="0"/>
          <c:showCatName val="0"/>
          <c:showSerName val="0"/>
          <c:showPercent val="0"/>
          <c:showBubbleSize val="0"/>
        </c:dLbls>
        <c:gapWidth val="182"/>
        <c:axId val="481978480"/>
        <c:axId val="481979568"/>
      </c:barChart>
      <c:catAx>
        <c:axId val="48197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481979568"/>
        <c:crosses val="autoZero"/>
        <c:auto val="1"/>
        <c:lblAlgn val="ctr"/>
        <c:lblOffset val="100"/>
        <c:noMultiLvlLbl val="0"/>
      </c:catAx>
      <c:valAx>
        <c:axId val="481979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s-CO"/>
          </a:p>
        </c:txPr>
        <c:crossAx val="48197848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a:lstStyle/>
        <a:p>
          <a:pPr>
            <a:defRPr sz="1400" b="0" i="0" u="none" strike="noStrike" baseline="0">
              <a:solidFill>
                <a:srgbClr val="333333"/>
              </a:solidFill>
              <a:latin typeface="Calibri"/>
              <a:ea typeface="Calibri"/>
              <a:cs typeface="Calibri"/>
            </a:defRPr>
          </a:pPr>
          <a:endParaRPr lang="es-CO"/>
        </a:p>
      </c:txPr>
    </c:title>
    <c:autoTitleDeleted val="0"/>
    <c:plotArea>
      <c:layout/>
      <c:barChart>
        <c:barDir val="bar"/>
        <c:grouping val="clustered"/>
        <c:varyColors val="0"/>
        <c:ser>
          <c:idx val="0"/>
          <c:order val="0"/>
          <c:spPr>
            <a:solidFill>
              <a:srgbClr val="5B9BD5"/>
            </a:solidFill>
            <a:ln w="25400">
              <a:noFill/>
            </a:ln>
          </c:spPr>
          <c:invertIfNegative val="0"/>
          <c:cat>
            <c:strRef>
              <c:f>'Estimación de la Incertidumbre'!$F$43:$F$51</c:f>
              <c:strCache>
                <c:ptCount val="9"/>
                <c:pt idx="0">
                  <c:v>Division Escala  Vacio</c:v>
                </c:pt>
                <c:pt idx="1">
                  <c:v>Divison Escala con Carga</c:v>
                </c:pt>
                <c:pt idx="2">
                  <c:v>Repetibilidad</c:v>
                </c:pt>
                <c:pt idx="3">
                  <c:v>Excentricidad</c:v>
                </c:pt>
                <c:pt idx="4">
                  <c:v>Patron</c:v>
                </c:pt>
                <c:pt idx="5">
                  <c:v>Deriva</c:v>
                </c:pt>
                <c:pt idx="6">
                  <c:v>Empuje</c:v>
                </c:pt>
                <c:pt idx="7">
                  <c:v>Conveccion</c:v>
                </c:pt>
                <c:pt idx="8">
                  <c:v>Reproducibilidad</c:v>
                </c:pt>
              </c:strCache>
            </c:strRef>
          </c:cat>
          <c:val>
            <c:numRef>
              <c:f>'Estimación de la Incertidumbre'!$K$43:$K$51</c:f>
              <c:numCache>
                <c:formatCode>General</c:formatCode>
                <c:ptCount val="9"/>
                <c:pt idx="0">
                  <c:v>1.0000000000000001E-5</c:v>
                </c:pt>
                <c:pt idx="1">
                  <c:v>1.0000000000000001E-5</c:v>
                </c:pt>
                <c:pt idx="2">
                  <c:v>8.366600265024016E-6</c:v>
                </c:pt>
                <c:pt idx="3" formatCode="0.0000000">
                  <c:v>3.464101615006612E-6</c:v>
                </c:pt>
                <c:pt idx="4" formatCode="0.00E+00">
                  <c:v>1.6500000000000001E-5</c:v>
                </c:pt>
                <c:pt idx="5" formatCode="0.0E+00">
                  <c:v>1.9052558883257653E-5</c:v>
                </c:pt>
                <c:pt idx="6" formatCode="0.00000E+00">
                  <c:v>2.6076964783719395E-6</c:v>
                </c:pt>
                <c:pt idx="7" formatCode="0.000000">
                  <c:v>-5.7735026918962587E-6</c:v>
                </c:pt>
                <c:pt idx="8" formatCode="0.00000000">
                  <c:v>0</c:v>
                </c:pt>
              </c:numCache>
            </c:numRef>
          </c:val>
          <c:extLst>
            <c:ext xmlns:c16="http://schemas.microsoft.com/office/drawing/2014/chart" uri="{C3380CC4-5D6E-409C-BE32-E72D297353CC}">
              <c16:uniqueId val="{00000000-5AF4-4069-8857-6960153E6FC1}"/>
            </c:ext>
          </c:extLst>
        </c:ser>
        <c:dLbls>
          <c:showLegendKey val="0"/>
          <c:showVal val="0"/>
          <c:showCatName val="0"/>
          <c:showSerName val="0"/>
          <c:showPercent val="0"/>
          <c:showBubbleSize val="0"/>
        </c:dLbls>
        <c:gapWidth val="182"/>
        <c:axId val="481987184"/>
        <c:axId val="481981744"/>
      </c:barChart>
      <c:catAx>
        <c:axId val="48198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481981744"/>
        <c:crosses val="autoZero"/>
        <c:auto val="1"/>
        <c:lblAlgn val="ctr"/>
        <c:lblOffset val="100"/>
        <c:noMultiLvlLbl val="0"/>
      </c:catAx>
      <c:valAx>
        <c:axId val="481981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s-CO"/>
          </a:p>
        </c:txPr>
        <c:crossAx val="481987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a:lstStyle/>
        <a:p>
          <a:pPr>
            <a:defRPr sz="1400" b="0" i="0" u="none" strike="noStrike" baseline="0">
              <a:solidFill>
                <a:srgbClr val="333333"/>
              </a:solidFill>
              <a:latin typeface="Calibri"/>
              <a:ea typeface="Calibri"/>
              <a:cs typeface="Calibri"/>
            </a:defRPr>
          </a:pPr>
          <a:endParaRPr lang="es-CO"/>
        </a:p>
      </c:txPr>
    </c:title>
    <c:autoTitleDeleted val="0"/>
    <c:plotArea>
      <c:layout/>
      <c:barChart>
        <c:barDir val="bar"/>
        <c:grouping val="clustered"/>
        <c:varyColors val="0"/>
        <c:ser>
          <c:idx val="0"/>
          <c:order val="0"/>
          <c:spPr>
            <a:solidFill>
              <a:srgbClr val="5B9BD5"/>
            </a:solidFill>
            <a:ln w="25400">
              <a:noFill/>
            </a:ln>
          </c:spPr>
          <c:invertIfNegative val="0"/>
          <c:cat>
            <c:strRef>
              <c:f>'Estimación de la Incertidumbre'!$F$43:$F$51</c:f>
              <c:strCache>
                <c:ptCount val="9"/>
                <c:pt idx="0">
                  <c:v>Division Escala  Vacio</c:v>
                </c:pt>
                <c:pt idx="1">
                  <c:v>Divison Escala con Carga</c:v>
                </c:pt>
                <c:pt idx="2">
                  <c:v>Repetibilidad</c:v>
                </c:pt>
                <c:pt idx="3">
                  <c:v>Excentricidad</c:v>
                </c:pt>
                <c:pt idx="4">
                  <c:v>Patron</c:v>
                </c:pt>
                <c:pt idx="5">
                  <c:v>Deriva</c:v>
                </c:pt>
                <c:pt idx="6">
                  <c:v>Empuje</c:v>
                </c:pt>
                <c:pt idx="7">
                  <c:v>Conveccion</c:v>
                </c:pt>
                <c:pt idx="8">
                  <c:v>Reproducibilidad</c:v>
                </c:pt>
              </c:strCache>
            </c:strRef>
          </c:cat>
          <c:val>
            <c:numRef>
              <c:f>'Estimación de la Incertidumbre'!$L$43:$L$51</c:f>
              <c:numCache>
                <c:formatCode>General</c:formatCode>
                <c:ptCount val="9"/>
                <c:pt idx="0">
                  <c:v>1.0000000000000001E-5</c:v>
                </c:pt>
                <c:pt idx="1">
                  <c:v>1.0000000000000001E-5</c:v>
                </c:pt>
                <c:pt idx="2">
                  <c:v>8.366600265024016E-6</c:v>
                </c:pt>
                <c:pt idx="3" formatCode="0.0000000">
                  <c:v>4.3301270187582654E-6</c:v>
                </c:pt>
                <c:pt idx="4" formatCode="0.00E+00">
                  <c:v>1.8500000000000002E-5</c:v>
                </c:pt>
                <c:pt idx="5" formatCode="0.0E+00">
                  <c:v>2.1361959960016156E-5</c:v>
                </c:pt>
                <c:pt idx="6" formatCode="0.00000E+00">
                  <c:v>3.2596227710453228E-6</c:v>
                </c:pt>
                <c:pt idx="7" formatCode="0.000000">
                  <c:v>-5.7735026918962587E-6</c:v>
                </c:pt>
                <c:pt idx="8" formatCode="0.00000000">
                  <c:v>0</c:v>
                </c:pt>
              </c:numCache>
            </c:numRef>
          </c:val>
          <c:extLst>
            <c:ext xmlns:c16="http://schemas.microsoft.com/office/drawing/2014/chart" uri="{C3380CC4-5D6E-409C-BE32-E72D297353CC}">
              <c16:uniqueId val="{00000000-2139-41BA-9C47-A8B01BAE280F}"/>
            </c:ext>
          </c:extLst>
        </c:ser>
        <c:dLbls>
          <c:showLegendKey val="0"/>
          <c:showVal val="0"/>
          <c:showCatName val="0"/>
          <c:showSerName val="0"/>
          <c:showPercent val="0"/>
          <c:showBubbleSize val="0"/>
        </c:dLbls>
        <c:gapWidth val="182"/>
        <c:axId val="481985008"/>
        <c:axId val="481985552"/>
      </c:barChart>
      <c:catAx>
        <c:axId val="48198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481985552"/>
        <c:crosses val="autoZero"/>
        <c:auto val="1"/>
        <c:lblAlgn val="ctr"/>
        <c:lblOffset val="100"/>
        <c:noMultiLvlLbl val="0"/>
      </c:catAx>
      <c:valAx>
        <c:axId val="481985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s-CO"/>
          </a:p>
        </c:txPr>
        <c:crossAx val="48198500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a:lstStyle/>
        <a:p>
          <a:pPr>
            <a:defRPr sz="1400" b="0" i="0" u="none" strike="noStrike" baseline="0">
              <a:solidFill>
                <a:srgbClr val="333333"/>
              </a:solidFill>
              <a:latin typeface="Calibri"/>
              <a:ea typeface="Calibri"/>
              <a:cs typeface="Calibri"/>
            </a:defRPr>
          </a:pPr>
          <a:endParaRPr lang="es-CO"/>
        </a:p>
      </c:txPr>
    </c:title>
    <c:autoTitleDeleted val="0"/>
    <c:plotArea>
      <c:layout/>
      <c:barChart>
        <c:barDir val="bar"/>
        <c:grouping val="clustered"/>
        <c:varyColors val="0"/>
        <c:ser>
          <c:idx val="0"/>
          <c:order val="0"/>
          <c:spPr>
            <a:solidFill>
              <a:srgbClr val="5B9BD5"/>
            </a:solidFill>
            <a:ln w="25400">
              <a:noFill/>
            </a:ln>
          </c:spPr>
          <c:invertIfNegative val="0"/>
          <c:cat>
            <c:strRef>
              <c:f>'Estimación de la Incertidumbre'!$F$43:$F$51</c:f>
              <c:strCache>
                <c:ptCount val="9"/>
                <c:pt idx="0">
                  <c:v>Division Escala  Vacio</c:v>
                </c:pt>
                <c:pt idx="1">
                  <c:v>Divison Escala con Carga</c:v>
                </c:pt>
                <c:pt idx="2">
                  <c:v>Repetibilidad</c:v>
                </c:pt>
                <c:pt idx="3">
                  <c:v>Excentricidad</c:v>
                </c:pt>
                <c:pt idx="4">
                  <c:v>Patron</c:v>
                </c:pt>
                <c:pt idx="5">
                  <c:v>Deriva</c:v>
                </c:pt>
                <c:pt idx="6">
                  <c:v>Empuje</c:v>
                </c:pt>
                <c:pt idx="7">
                  <c:v>Conveccion</c:v>
                </c:pt>
                <c:pt idx="8">
                  <c:v>Reproducibilidad</c:v>
                </c:pt>
              </c:strCache>
            </c:strRef>
          </c:cat>
          <c:val>
            <c:numRef>
              <c:f>'Estimación de la Incertidumbre'!$M$43:$M$51</c:f>
              <c:numCache>
                <c:formatCode>General</c:formatCode>
                <c:ptCount val="9"/>
                <c:pt idx="0">
                  <c:v>1.0000000000000001E-5</c:v>
                </c:pt>
                <c:pt idx="1">
                  <c:v>1.0000000000000001E-5</c:v>
                </c:pt>
                <c:pt idx="2">
                  <c:v>8.366600265024016E-6</c:v>
                </c:pt>
                <c:pt idx="3" formatCode="0.0000000">
                  <c:v>5.7735026916776869E-6</c:v>
                </c:pt>
                <c:pt idx="4" formatCode="0.00E+00">
                  <c:v>1.3499999999999999E-5</c:v>
                </c:pt>
                <c:pt idx="5" formatCode="0.0E+00">
                  <c:v>1.5588457268119894E-5</c:v>
                </c:pt>
                <c:pt idx="6" formatCode="0.00000E+00">
                  <c:v>4.3461607972865656E-6</c:v>
                </c:pt>
                <c:pt idx="7" formatCode="0.000000">
                  <c:v>-5.7735026918962587E-6</c:v>
                </c:pt>
                <c:pt idx="8" formatCode="0.00000000">
                  <c:v>0</c:v>
                </c:pt>
              </c:numCache>
            </c:numRef>
          </c:val>
          <c:extLst>
            <c:ext xmlns:c16="http://schemas.microsoft.com/office/drawing/2014/chart" uri="{C3380CC4-5D6E-409C-BE32-E72D297353CC}">
              <c16:uniqueId val="{00000000-CF2A-467D-B435-CB9C9E625F1C}"/>
            </c:ext>
          </c:extLst>
        </c:ser>
        <c:dLbls>
          <c:showLegendKey val="0"/>
          <c:showVal val="0"/>
          <c:showCatName val="0"/>
          <c:showSerName val="0"/>
          <c:showPercent val="0"/>
          <c:showBubbleSize val="0"/>
        </c:dLbls>
        <c:gapWidth val="182"/>
        <c:axId val="535874512"/>
        <c:axId val="535870704"/>
      </c:barChart>
      <c:catAx>
        <c:axId val="53587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535870704"/>
        <c:crosses val="autoZero"/>
        <c:auto val="1"/>
        <c:lblAlgn val="ctr"/>
        <c:lblOffset val="100"/>
        <c:noMultiLvlLbl val="0"/>
      </c:catAx>
      <c:valAx>
        <c:axId val="53587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s-CO"/>
          </a:p>
        </c:txPr>
        <c:crossAx val="53587451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a:lstStyle/>
        <a:p>
          <a:pPr>
            <a:defRPr sz="1400" b="0" i="0" u="none" strike="noStrike" baseline="0">
              <a:solidFill>
                <a:srgbClr val="333333"/>
              </a:solidFill>
              <a:latin typeface="Calibri"/>
              <a:ea typeface="Calibri"/>
              <a:cs typeface="Calibri"/>
            </a:defRPr>
          </a:pPr>
          <a:endParaRPr lang="es-CO"/>
        </a:p>
      </c:txPr>
    </c:title>
    <c:autoTitleDeleted val="0"/>
    <c:plotArea>
      <c:layout/>
      <c:barChart>
        <c:barDir val="bar"/>
        <c:grouping val="clustered"/>
        <c:varyColors val="0"/>
        <c:ser>
          <c:idx val="0"/>
          <c:order val="0"/>
          <c:spPr>
            <a:solidFill>
              <a:srgbClr val="5B9BD5"/>
            </a:solidFill>
            <a:ln w="25400">
              <a:noFill/>
            </a:ln>
          </c:spPr>
          <c:invertIfNegative val="0"/>
          <c:cat>
            <c:strRef>
              <c:f>'Estimación de la Incertidumbre'!$F$43:$F$51</c:f>
              <c:strCache>
                <c:ptCount val="9"/>
                <c:pt idx="0">
                  <c:v>Division Escala  Vacio</c:v>
                </c:pt>
                <c:pt idx="1">
                  <c:v>Divison Escala con Carga</c:v>
                </c:pt>
                <c:pt idx="2">
                  <c:v>Repetibilidad</c:v>
                </c:pt>
                <c:pt idx="3">
                  <c:v>Excentricidad</c:v>
                </c:pt>
                <c:pt idx="4">
                  <c:v>Patron</c:v>
                </c:pt>
                <c:pt idx="5">
                  <c:v>Deriva</c:v>
                </c:pt>
                <c:pt idx="6">
                  <c:v>Empuje</c:v>
                </c:pt>
                <c:pt idx="7">
                  <c:v>Conveccion</c:v>
                </c:pt>
                <c:pt idx="8">
                  <c:v>Reproducibilidad</c:v>
                </c:pt>
              </c:strCache>
            </c:strRef>
          </c:cat>
          <c:val>
            <c:numRef>
              <c:f>'Estimación de la Incertidumbre'!$N$43:$N$51</c:f>
              <c:numCache>
                <c:formatCode>General</c:formatCode>
                <c:ptCount val="9"/>
                <c:pt idx="0">
                  <c:v>1.0000000000000001E-5</c:v>
                </c:pt>
                <c:pt idx="1">
                  <c:v>1.0000000000000001E-5</c:v>
                </c:pt>
                <c:pt idx="2">
                  <c:v>8.366600265024016E-6</c:v>
                </c:pt>
                <c:pt idx="3" formatCode="0.0000000">
                  <c:v>7.2168783645971084E-6</c:v>
                </c:pt>
                <c:pt idx="4" formatCode="0.00E+00">
                  <c:v>2.1999999999999999E-5</c:v>
                </c:pt>
                <c:pt idx="5" formatCode="0.0E+00">
                  <c:v>2.5403411844343534E-5</c:v>
                </c:pt>
                <c:pt idx="6" formatCode="0.00000E+00">
                  <c:v>5.4327031696886061E-6</c:v>
                </c:pt>
                <c:pt idx="7" formatCode="0.000000">
                  <c:v>-5.7735026918962587E-6</c:v>
                </c:pt>
                <c:pt idx="8" formatCode="0.00000000">
                  <c:v>0</c:v>
                </c:pt>
              </c:numCache>
            </c:numRef>
          </c:val>
          <c:extLst>
            <c:ext xmlns:c16="http://schemas.microsoft.com/office/drawing/2014/chart" uri="{C3380CC4-5D6E-409C-BE32-E72D297353CC}">
              <c16:uniqueId val="{00000000-6444-45B1-88D7-D1F5B1A4A40C}"/>
            </c:ext>
          </c:extLst>
        </c:ser>
        <c:dLbls>
          <c:showLegendKey val="0"/>
          <c:showVal val="0"/>
          <c:showCatName val="0"/>
          <c:showSerName val="0"/>
          <c:showPercent val="0"/>
          <c:showBubbleSize val="0"/>
        </c:dLbls>
        <c:gapWidth val="182"/>
        <c:axId val="535881584"/>
        <c:axId val="535876688"/>
      </c:barChart>
      <c:catAx>
        <c:axId val="53588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535876688"/>
        <c:crosses val="autoZero"/>
        <c:auto val="1"/>
        <c:lblAlgn val="ctr"/>
        <c:lblOffset val="100"/>
        <c:noMultiLvlLbl val="0"/>
      </c:catAx>
      <c:valAx>
        <c:axId val="53587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s-CO"/>
          </a:p>
        </c:txPr>
        <c:crossAx val="5358815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a:lstStyle/>
        <a:p>
          <a:pPr>
            <a:defRPr sz="1400" b="0" i="0" u="none" strike="noStrike" baseline="0">
              <a:solidFill>
                <a:srgbClr val="333333"/>
              </a:solidFill>
              <a:latin typeface="Calibri"/>
              <a:ea typeface="Calibri"/>
              <a:cs typeface="Calibri"/>
            </a:defRPr>
          </a:pPr>
          <a:endParaRPr lang="es-CO"/>
        </a:p>
      </c:txPr>
    </c:title>
    <c:autoTitleDeleted val="0"/>
    <c:plotArea>
      <c:layout/>
      <c:barChart>
        <c:barDir val="bar"/>
        <c:grouping val="clustered"/>
        <c:varyColors val="0"/>
        <c:ser>
          <c:idx val="0"/>
          <c:order val="0"/>
          <c:spPr>
            <a:solidFill>
              <a:srgbClr val="5B9BD5"/>
            </a:solidFill>
            <a:ln w="25400">
              <a:noFill/>
            </a:ln>
          </c:spPr>
          <c:invertIfNegative val="0"/>
          <c:cat>
            <c:strRef>
              <c:f>'Estimación de la Incertidumbre'!$F$43:$F$51</c:f>
              <c:strCache>
                <c:ptCount val="9"/>
                <c:pt idx="0">
                  <c:v>Division Escala  Vacio</c:v>
                </c:pt>
                <c:pt idx="1">
                  <c:v>Divison Escala con Carga</c:v>
                </c:pt>
                <c:pt idx="2">
                  <c:v>Repetibilidad</c:v>
                </c:pt>
                <c:pt idx="3">
                  <c:v>Excentricidad</c:v>
                </c:pt>
                <c:pt idx="4">
                  <c:v>Patron</c:v>
                </c:pt>
                <c:pt idx="5">
                  <c:v>Deriva</c:v>
                </c:pt>
                <c:pt idx="6">
                  <c:v>Empuje</c:v>
                </c:pt>
                <c:pt idx="7">
                  <c:v>Conveccion</c:v>
                </c:pt>
                <c:pt idx="8">
                  <c:v>Reproducibilidad</c:v>
                </c:pt>
              </c:strCache>
            </c:strRef>
          </c:cat>
          <c:val>
            <c:numRef>
              <c:f>'Estimación de la Incertidumbre'!$O$43:$O$51</c:f>
              <c:numCache>
                <c:formatCode>General</c:formatCode>
                <c:ptCount val="9"/>
                <c:pt idx="0">
                  <c:v>1.0000000000000001E-5</c:v>
                </c:pt>
                <c:pt idx="1">
                  <c:v>1.0000000000000001E-5</c:v>
                </c:pt>
                <c:pt idx="2">
                  <c:v>8.366600265024016E-6</c:v>
                </c:pt>
                <c:pt idx="3" formatCode="0.0000000">
                  <c:v>7.7942286337648765E-6</c:v>
                </c:pt>
                <c:pt idx="4" formatCode="0.00E+00">
                  <c:v>2.8499999999999998E-5</c:v>
                </c:pt>
                <c:pt idx="5" formatCode="0.0E+00">
                  <c:v>3.2908965343808671E-5</c:v>
                </c:pt>
                <c:pt idx="6" formatCode="0.00000E+00">
                  <c:v>5.8673192494172624E-6</c:v>
                </c:pt>
                <c:pt idx="7" formatCode="0.000000">
                  <c:v>-5.7735026918962587E-6</c:v>
                </c:pt>
                <c:pt idx="8" formatCode="0.00000000">
                  <c:v>0</c:v>
                </c:pt>
              </c:numCache>
            </c:numRef>
          </c:val>
          <c:extLst>
            <c:ext xmlns:c16="http://schemas.microsoft.com/office/drawing/2014/chart" uri="{C3380CC4-5D6E-409C-BE32-E72D297353CC}">
              <c16:uniqueId val="{00000000-6395-4BB3-8334-8CC282B9B51C}"/>
            </c:ext>
          </c:extLst>
        </c:ser>
        <c:dLbls>
          <c:showLegendKey val="0"/>
          <c:showVal val="0"/>
          <c:showCatName val="0"/>
          <c:showSerName val="0"/>
          <c:showPercent val="0"/>
          <c:showBubbleSize val="0"/>
        </c:dLbls>
        <c:gapWidth val="182"/>
        <c:axId val="535882128"/>
        <c:axId val="535869072"/>
      </c:barChart>
      <c:catAx>
        <c:axId val="53588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535869072"/>
        <c:crosses val="autoZero"/>
        <c:auto val="1"/>
        <c:lblAlgn val="ctr"/>
        <c:lblOffset val="100"/>
        <c:noMultiLvlLbl val="0"/>
      </c:catAx>
      <c:valAx>
        <c:axId val="535869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s-CO"/>
          </a:p>
        </c:txPr>
        <c:crossAx val="535882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a:lstStyle/>
        <a:p>
          <a:pPr>
            <a:defRPr sz="1400" b="0" i="0" u="none" strike="noStrike" baseline="0">
              <a:solidFill>
                <a:srgbClr val="333333"/>
              </a:solidFill>
              <a:latin typeface="Calibri"/>
              <a:ea typeface="Calibri"/>
              <a:cs typeface="Calibri"/>
            </a:defRPr>
          </a:pPr>
          <a:endParaRPr lang="es-CO"/>
        </a:p>
      </c:txPr>
    </c:title>
    <c:autoTitleDeleted val="0"/>
    <c:plotArea>
      <c:layout/>
      <c:barChart>
        <c:barDir val="bar"/>
        <c:grouping val="clustered"/>
        <c:varyColors val="0"/>
        <c:ser>
          <c:idx val="0"/>
          <c:order val="0"/>
          <c:spPr>
            <a:solidFill>
              <a:srgbClr val="5B9BD5"/>
            </a:solidFill>
            <a:ln w="25400">
              <a:noFill/>
            </a:ln>
          </c:spPr>
          <c:invertIfNegative val="0"/>
          <c:cat>
            <c:strRef>
              <c:f>'Estimación de la Incertidumbre'!$F$43:$F$51</c:f>
              <c:strCache>
                <c:ptCount val="9"/>
                <c:pt idx="0">
                  <c:v>Division Escala  Vacio</c:v>
                </c:pt>
                <c:pt idx="1">
                  <c:v>Divison Escala con Carga</c:v>
                </c:pt>
                <c:pt idx="2">
                  <c:v>Repetibilidad</c:v>
                </c:pt>
                <c:pt idx="3">
                  <c:v>Excentricidad</c:v>
                </c:pt>
                <c:pt idx="4">
                  <c:v>Patron</c:v>
                </c:pt>
                <c:pt idx="5">
                  <c:v>Deriva</c:v>
                </c:pt>
                <c:pt idx="6">
                  <c:v>Empuje</c:v>
                </c:pt>
                <c:pt idx="7">
                  <c:v>Conveccion</c:v>
                </c:pt>
                <c:pt idx="8">
                  <c:v>Reproducibilidad</c:v>
                </c:pt>
              </c:strCache>
            </c:strRef>
          </c:cat>
          <c:val>
            <c:numRef>
              <c:f>'Estimación de la Incertidumbre'!$P$43:$P$51</c:f>
              <c:numCache>
                <c:formatCode>General</c:formatCode>
                <c:ptCount val="9"/>
                <c:pt idx="0">
                  <c:v>1.0000000000000001E-5</c:v>
                </c:pt>
                <c:pt idx="1">
                  <c:v>1.0000000000000001E-5</c:v>
                </c:pt>
                <c:pt idx="2">
                  <c:v>8.366600265024016E-6</c:v>
                </c:pt>
                <c:pt idx="3" formatCode="0.0000000">
                  <c:v>8.6602540375165308E-6</c:v>
                </c:pt>
                <c:pt idx="4" formatCode="0.00E+00">
                  <c:v>2.3500000000000002E-5</c:v>
                </c:pt>
                <c:pt idx="5" formatCode="0.0E+00">
                  <c:v>2.7135462651912414E-5</c:v>
                </c:pt>
                <c:pt idx="6" formatCode="0.00000E+00">
                  <c:v>6.5192433690102468E-6</c:v>
                </c:pt>
                <c:pt idx="7" formatCode="0.000000">
                  <c:v>-1.1547005383792517E-5</c:v>
                </c:pt>
                <c:pt idx="8" formatCode="0.00000000">
                  <c:v>0</c:v>
                </c:pt>
              </c:numCache>
            </c:numRef>
          </c:val>
          <c:extLst>
            <c:ext xmlns:c16="http://schemas.microsoft.com/office/drawing/2014/chart" uri="{C3380CC4-5D6E-409C-BE32-E72D297353CC}">
              <c16:uniqueId val="{00000000-C6AF-4CCD-9230-A6D9B9DAA148}"/>
            </c:ext>
          </c:extLst>
        </c:ser>
        <c:dLbls>
          <c:showLegendKey val="0"/>
          <c:showVal val="0"/>
          <c:showCatName val="0"/>
          <c:showSerName val="0"/>
          <c:showPercent val="0"/>
          <c:showBubbleSize val="0"/>
        </c:dLbls>
        <c:gapWidth val="182"/>
        <c:axId val="535878864"/>
        <c:axId val="535871792"/>
      </c:barChart>
      <c:catAx>
        <c:axId val="53587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535871792"/>
        <c:crosses val="autoZero"/>
        <c:auto val="1"/>
        <c:lblAlgn val="ctr"/>
        <c:lblOffset val="100"/>
        <c:noMultiLvlLbl val="0"/>
      </c:catAx>
      <c:valAx>
        <c:axId val="535871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s-CO"/>
          </a:p>
        </c:txPr>
        <c:crossAx val="53587886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a:lstStyle/>
        <a:p>
          <a:pPr>
            <a:defRPr sz="1400" b="0" i="0" u="none" strike="noStrike" baseline="0">
              <a:solidFill>
                <a:srgbClr val="333333"/>
              </a:solidFill>
              <a:latin typeface="Calibri"/>
              <a:ea typeface="Calibri"/>
              <a:cs typeface="Calibri"/>
            </a:defRPr>
          </a:pPr>
          <a:endParaRPr lang="es-CO"/>
        </a:p>
      </c:txPr>
    </c:title>
    <c:autoTitleDeleted val="0"/>
    <c:plotArea>
      <c:layout/>
      <c:barChart>
        <c:barDir val="bar"/>
        <c:grouping val="clustered"/>
        <c:varyColors val="0"/>
        <c:ser>
          <c:idx val="0"/>
          <c:order val="0"/>
          <c:spPr>
            <a:solidFill>
              <a:srgbClr val="5B9BD5"/>
            </a:solidFill>
            <a:ln w="25400">
              <a:noFill/>
            </a:ln>
          </c:spPr>
          <c:invertIfNegative val="0"/>
          <c:cat>
            <c:strRef>
              <c:f>'Estimación de la Incertidumbre'!$F$43:$F$51</c:f>
              <c:strCache>
                <c:ptCount val="9"/>
                <c:pt idx="0">
                  <c:v>Division Escala  Vacio</c:v>
                </c:pt>
                <c:pt idx="1">
                  <c:v>Divison Escala con Carga</c:v>
                </c:pt>
                <c:pt idx="2">
                  <c:v>Repetibilidad</c:v>
                </c:pt>
                <c:pt idx="3">
                  <c:v>Excentricidad</c:v>
                </c:pt>
                <c:pt idx="4">
                  <c:v>Patron</c:v>
                </c:pt>
                <c:pt idx="5">
                  <c:v>Deriva</c:v>
                </c:pt>
                <c:pt idx="6">
                  <c:v>Empuje</c:v>
                </c:pt>
                <c:pt idx="7">
                  <c:v>Conveccion</c:v>
                </c:pt>
                <c:pt idx="8">
                  <c:v>Reproducibilidad</c:v>
                </c:pt>
              </c:strCache>
            </c:strRef>
          </c:cat>
          <c:val>
            <c:numRef>
              <c:f>'Estimación de la Incertidumbre'!$R$43:$R$51</c:f>
              <c:numCache>
                <c:formatCode>General</c:formatCode>
                <c:ptCount val="9"/>
                <c:pt idx="0">
                  <c:v>1.0000000000000001E-5</c:v>
                </c:pt>
                <c:pt idx="1">
                  <c:v>1.0000000000000001E-5</c:v>
                </c:pt>
                <c:pt idx="2">
                  <c:v>8.366600265024016E-6</c:v>
                </c:pt>
                <c:pt idx="3" formatCode="0.0000000">
                  <c:v>1.1547005383355374E-5</c:v>
                </c:pt>
                <c:pt idx="4" formatCode="0.00E+00">
                  <c:v>2.6999999999999999E-5</c:v>
                </c:pt>
                <c:pt idx="5" formatCode="0.0E+00">
                  <c:v>3.1176914536239789E-5</c:v>
                </c:pt>
                <c:pt idx="6" formatCode="0.00000E+00">
                  <c:v>8.6923259407339289E-6</c:v>
                </c:pt>
                <c:pt idx="7" formatCode="0.000000">
                  <c:v>-1.1547005383792517E-5</c:v>
                </c:pt>
                <c:pt idx="8" formatCode="0.00000000">
                  <c:v>0</c:v>
                </c:pt>
              </c:numCache>
            </c:numRef>
          </c:val>
          <c:extLst>
            <c:ext xmlns:c16="http://schemas.microsoft.com/office/drawing/2014/chart" uri="{C3380CC4-5D6E-409C-BE32-E72D297353CC}">
              <c16:uniqueId val="{00000000-57D1-4969-A55B-13A2747C249F}"/>
            </c:ext>
          </c:extLst>
        </c:ser>
        <c:dLbls>
          <c:showLegendKey val="0"/>
          <c:showVal val="0"/>
          <c:showCatName val="0"/>
          <c:showSerName val="0"/>
          <c:showPercent val="0"/>
          <c:showBubbleSize val="0"/>
        </c:dLbls>
        <c:gapWidth val="182"/>
        <c:axId val="535870160"/>
        <c:axId val="535869616"/>
      </c:barChart>
      <c:catAx>
        <c:axId val="53587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535869616"/>
        <c:crosses val="autoZero"/>
        <c:auto val="1"/>
        <c:lblAlgn val="ctr"/>
        <c:lblOffset val="100"/>
        <c:noMultiLvlLbl val="0"/>
      </c:catAx>
      <c:valAx>
        <c:axId val="535869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s-CO"/>
          </a:p>
        </c:txPr>
        <c:crossAx val="53587016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s-CO"/>
              <a:t>Gráfica comportamiento error de indicación</a:t>
            </a:r>
          </a:p>
        </c:rich>
      </c:tx>
      <c:overlay val="0"/>
    </c:title>
    <c:autoTitleDeleted val="0"/>
    <c:plotArea>
      <c:layout>
        <c:manualLayout>
          <c:layoutTarget val="inner"/>
          <c:xMode val="edge"/>
          <c:yMode val="edge"/>
          <c:x val="0.12042352252748688"/>
          <c:y val="0.19310825568192905"/>
          <c:w val="0.85971241059367165"/>
          <c:h val="0.63025533356710917"/>
        </c:manualLayout>
      </c:layout>
      <c:scatterChart>
        <c:scatterStyle val="lineMarker"/>
        <c:varyColors val="0"/>
        <c:ser>
          <c:idx val="2"/>
          <c:order val="0"/>
          <c:tx>
            <c:v>Datos</c:v>
          </c:tx>
          <c:spPr>
            <a:ln w="25400">
              <a:noFill/>
            </a:ln>
          </c:spPr>
          <c:marker>
            <c:symbol val="diamond"/>
            <c:size val="5"/>
            <c:spPr>
              <a:solidFill>
                <a:srgbClr val="002060"/>
              </a:solidFill>
              <a:ln>
                <a:solidFill>
                  <a:srgbClr val="002060"/>
                </a:solidFill>
              </a:ln>
            </c:spPr>
          </c:marker>
          <c:errBars>
            <c:errDir val="y"/>
            <c:errBarType val="both"/>
            <c:errValType val="cust"/>
            <c:noEndCap val="0"/>
            <c:plus>
              <c:numRef>
                <c:f>'Certificado de calibración'!$U$128:$U$137</c:f>
                <c:numCache>
                  <c:formatCode>General</c:formatCode>
                  <c:ptCount val="10"/>
                  <c:pt idx="0">
                    <c:v>2.4028590447104866E-5</c:v>
                  </c:pt>
                  <c:pt idx="1">
                    <c:v>4.4398152426525772E-5</c:v>
                  </c:pt>
                  <c:pt idx="2">
                    <c:v>6.4456647642294077E-5</c:v>
                  </c:pt>
                  <c:pt idx="3">
                    <c:v>5.5921728620574623E-5</c:v>
                  </c:pt>
                  <c:pt idx="4">
                    <c:v>6.1885757897511143E-5</c:v>
                  </c:pt>
                  <c:pt idx="5">
                    <c:v>4.9375364026449772E-5</c:v>
                  </c:pt>
                  <c:pt idx="6">
                    <c:v>7.3328671417515837E-5</c:v>
                  </c:pt>
                  <c:pt idx="7">
                    <c:v>9.2338127556328709E-5</c:v>
                  </c:pt>
                  <c:pt idx="8">
                    <c:v>8.1052707744965345E-5</c:v>
                  </c:pt>
                  <c:pt idx="9">
                    <c:v>1.0577384405320574E-4</c:v>
                  </c:pt>
                </c:numCache>
              </c:numRef>
            </c:plus>
            <c:minus>
              <c:numRef>
                <c:f>'Certificado de calibración'!$U$128:$U$137</c:f>
                <c:numCache>
                  <c:formatCode>General</c:formatCode>
                  <c:ptCount val="10"/>
                  <c:pt idx="0">
                    <c:v>2.4028590447104866E-5</c:v>
                  </c:pt>
                  <c:pt idx="1">
                    <c:v>4.4398152426525772E-5</c:v>
                  </c:pt>
                  <c:pt idx="2">
                    <c:v>6.4456647642294077E-5</c:v>
                  </c:pt>
                  <c:pt idx="3">
                    <c:v>5.5921728620574623E-5</c:v>
                  </c:pt>
                  <c:pt idx="4">
                    <c:v>6.1885757897511143E-5</c:v>
                  </c:pt>
                  <c:pt idx="5">
                    <c:v>4.9375364026449772E-5</c:v>
                  </c:pt>
                  <c:pt idx="6">
                    <c:v>7.3328671417515837E-5</c:v>
                  </c:pt>
                  <c:pt idx="7">
                    <c:v>9.2338127556328709E-5</c:v>
                  </c:pt>
                  <c:pt idx="8">
                    <c:v>8.1052707744965345E-5</c:v>
                  </c:pt>
                  <c:pt idx="9">
                    <c:v>1.0577384405320574E-4</c:v>
                  </c:pt>
                </c:numCache>
              </c:numRef>
            </c:minus>
          </c:errBars>
          <c:xVal>
            <c:strRef>
              <c:f>'Certificado de calibración'!$E$128:$E$137</c:f>
              <c:strCache>
                <c:ptCount val="10"/>
                <c:pt idx="0">
                  <c:v>0,010000</c:v>
                </c:pt>
                <c:pt idx="1">
                  <c:v>3,999994</c:v>
                </c:pt>
                <c:pt idx="2">
                  <c:v>7,999988</c:v>
                </c:pt>
                <c:pt idx="3">
                  <c:v>12,000001</c:v>
                </c:pt>
                <c:pt idx="4">
                  <c:v>15,000000</c:v>
                </c:pt>
                <c:pt idx="5">
                  <c:v>19,999996</c:v>
                </c:pt>
                <c:pt idx="6">
                  <c:v>24,999985</c:v>
                </c:pt>
                <c:pt idx="7">
                  <c:v>26,999975</c:v>
                </c:pt>
                <c:pt idx="8">
                  <c:v>30,000007</c:v>
                </c:pt>
                <c:pt idx="9">
                  <c:v>35,00000</c:v>
                </c:pt>
              </c:strCache>
            </c:strRef>
          </c:xVal>
          <c:yVal>
            <c:numRef>
              <c:f>'Certificado de calibración'!$V$128:$V$137</c:f>
              <c:numCache>
                <c:formatCode>0.00000000</c:formatCode>
                <c:ptCount val="10"/>
                <c:pt idx="0">
                  <c:v>2.9894351623142856E-7</c:v>
                </c:pt>
                <c:pt idx="1">
                  <c:v>5.5773944480641546E-6</c:v>
                </c:pt>
                <c:pt idx="2">
                  <c:v>1.2154789001073141E-5</c:v>
                </c:pt>
                <c:pt idx="3">
                  <c:v>-1.2678196146254095E-6</c:v>
                </c:pt>
                <c:pt idx="4">
                  <c:v>1.0415225958126939E-5</c:v>
                </c:pt>
                <c:pt idx="5">
                  <c:v>3.8869686491693756E-6</c:v>
                </c:pt>
                <c:pt idx="6">
                  <c:v>2.5358712186118737E-5</c:v>
                </c:pt>
                <c:pt idx="7">
                  <c:v>3.5147410148539393E-5</c:v>
                </c:pt>
                <c:pt idx="8">
                  <c:v>2.830451069968376E-6</c:v>
                </c:pt>
                <c:pt idx="9">
                  <c:v>2.4302194610470451E-5</c:v>
                </c:pt>
              </c:numCache>
            </c:numRef>
          </c:yVal>
          <c:smooth val="0"/>
          <c:extLst>
            <c:ext xmlns:c16="http://schemas.microsoft.com/office/drawing/2014/chart" uri="{C3380CC4-5D6E-409C-BE32-E72D297353CC}">
              <c16:uniqueId val="{00000000-FA3B-40CB-AAEB-F3694D732521}"/>
            </c:ext>
          </c:extLst>
        </c:ser>
        <c:dLbls>
          <c:showLegendKey val="0"/>
          <c:showVal val="0"/>
          <c:showCatName val="0"/>
          <c:showSerName val="0"/>
          <c:showPercent val="0"/>
          <c:showBubbleSize val="0"/>
        </c:dLbls>
        <c:axId val="535872880"/>
        <c:axId val="535873424"/>
      </c:scatterChart>
      <c:valAx>
        <c:axId val="535872880"/>
        <c:scaling>
          <c:orientation val="minMax"/>
          <c:max val="10"/>
          <c:min val="0"/>
        </c:scaling>
        <c:delete val="0"/>
        <c:axPos val="b"/>
        <c:title>
          <c:tx>
            <c:rich>
              <a:bodyPr/>
              <a:lstStyle/>
              <a:p>
                <a:pPr>
                  <a:defRPr sz="1000" b="1" i="0" u="none" strike="noStrike" baseline="0">
                    <a:solidFill>
                      <a:srgbClr val="000000"/>
                    </a:solidFill>
                    <a:latin typeface="Calibri"/>
                    <a:ea typeface="Calibri"/>
                    <a:cs typeface="Calibri"/>
                  </a:defRPr>
                </a:pPr>
                <a:r>
                  <a:rPr lang="es-CO"/>
                  <a:t>Cargas aplicadas (g)</a:t>
                </a:r>
              </a:p>
            </c:rich>
          </c:tx>
          <c:layout>
            <c:manualLayout>
              <c:xMode val="edge"/>
              <c:yMode val="edge"/>
              <c:x val="0.46206908060198199"/>
              <c:y val="0.86138045453348433"/>
            </c:manualLayout>
          </c:layout>
          <c:overlay val="0"/>
        </c:title>
        <c:numFmt formatCode="0" sourceLinked="0"/>
        <c:majorTickMark val="out"/>
        <c:minorTickMark val="none"/>
        <c:tickLblPos val="nextTo"/>
        <c:txPr>
          <a:bodyPr rot="0" vert="horz"/>
          <a:lstStyle/>
          <a:p>
            <a:pPr>
              <a:defRPr sz="700" b="0" i="0" u="none" strike="noStrike" baseline="0">
                <a:solidFill>
                  <a:srgbClr val="000000"/>
                </a:solidFill>
                <a:latin typeface="Calibri"/>
                <a:ea typeface="Calibri"/>
                <a:cs typeface="Calibri"/>
              </a:defRPr>
            </a:pPr>
            <a:endParaRPr lang="es-CO"/>
          </a:p>
        </c:txPr>
        <c:crossAx val="535873424"/>
        <c:crosses val="autoZero"/>
        <c:crossBetween val="midCat"/>
        <c:majorUnit val="2"/>
      </c:valAx>
      <c:valAx>
        <c:axId val="535873424"/>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s-CO"/>
                  <a:t>Error (g)</a:t>
                </a:r>
              </a:p>
            </c:rich>
          </c:tx>
          <c:layout>
            <c:manualLayout>
              <c:xMode val="edge"/>
              <c:yMode val="edge"/>
              <c:x val="1.5015697969633906E-3"/>
              <c:y val="0.41132629324344488"/>
            </c:manualLayout>
          </c:layout>
          <c:overlay val="0"/>
        </c:title>
        <c:numFmt formatCode="0.0000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535872880"/>
        <c:crosses val="autoZero"/>
        <c:crossBetween val="midCat"/>
      </c:valAx>
      <c:spPr>
        <a:noFill/>
        <a:ln w="25400">
          <a:noFill/>
        </a:ln>
      </c:spPr>
    </c:plotArea>
    <c:plotVisOnly val="1"/>
    <c:dispBlanksAs val="gap"/>
    <c:showDLblsOverMax val="0"/>
  </c:chart>
  <c:spPr>
    <a:noFill/>
    <a:ln>
      <a:solidFill>
        <a:srgbClr val="002060"/>
      </a:solidFill>
    </a:ln>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022" l="0.70000000000000018" r="0.70000000000000018" t="0.75000000000000022" header="0.3000000000000001" footer="0.300000000000000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s-CO"/>
              <a:t>Gráfica comportamiento error de indicación</a:t>
            </a:r>
          </a:p>
        </c:rich>
      </c:tx>
      <c:overlay val="0"/>
    </c:title>
    <c:autoTitleDeleted val="0"/>
    <c:plotArea>
      <c:layout>
        <c:manualLayout>
          <c:layoutTarget val="inner"/>
          <c:xMode val="edge"/>
          <c:yMode val="edge"/>
          <c:x val="0.12042352252748688"/>
          <c:y val="0.19310825568192905"/>
          <c:w val="0.85971241059367165"/>
          <c:h val="0.63025533356710917"/>
        </c:manualLayout>
      </c:layout>
      <c:scatterChart>
        <c:scatterStyle val="lineMarker"/>
        <c:varyColors val="0"/>
        <c:ser>
          <c:idx val="2"/>
          <c:order val="0"/>
          <c:tx>
            <c:v>Datos</c:v>
          </c:tx>
          <c:spPr>
            <a:ln w="25400">
              <a:noFill/>
            </a:ln>
          </c:spPr>
          <c:marker>
            <c:symbol val="diamond"/>
            <c:size val="5"/>
            <c:spPr>
              <a:solidFill>
                <a:srgbClr val="002060"/>
              </a:solidFill>
              <a:ln>
                <a:solidFill>
                  <a:srgbClr val="002060"/>
                </a:solidFill>
              </a:ln>
            </c:spPr>
          </c:marker>
          <c:errBars>
            <c:errDir val="y"/>
            <c:errBarType val="both"/>
            <c:errValType val="cust"/>
            <c:noEndCap val="0"/>
            <c:plus>
              <c:numRef>
                <c:f>'Certificado de calibración'!$U$128:$U$137</c:f>
                <c:numCache>
                  <c:formatCode>General</c:formatCode>
                  <c:ptCount val="10"/>
                  <c:pt idx="0">
                    <c:v>2.4028590447104866E-5</c:v>
                  </c:pt>
                  <c:pt idx="1">
                    <c:v>4.4398152426525772E-5</c:v>
                  </c:pt>
                  <c:pt idx="2">
                    <c:v>6.4456647642294077E-5</c:v>
                  </c:pt>
                  <c:pt idx="3">
                    <c:v>5.5921728620574623E-5</c:v>
                  </c:pt>
                  <c:pt idx="4">
                    <c:v>6.1885757897511143E-5</c:v>
                  </c:pt>
                  <c:pt idx="5">
                    <c:v>4.9375364026449772E-5</c:v>
                  </c:pt>
                  <c:pt idx="6">
                    <c:v>7.3328671417515837E-5</c:v>
                  </c:pt>
                  <c:pt idx="7">
                    <c:v>9.2338127556328709E-5</c:v>
                  </c:pt>
                  <c:pt idx="8">
                    <c:v>8.1052707744965345E-5</c:v>
                  </c:pt>
                  <c:pt idx="9">
                    <c:v>1.0577384405320574E-4</c:v>
                  </c:pt>
                </c:numCache>
              </c:numRef>
            </c:plus>
            <c:minus>
              <c:numRef>
                <c:f>'Certificado de calibración'!$U$128:$U$137</c:f>
                <c:numCache>
                  <c:formatCode>General</c:formatCode>
                  <c:ptCount val="10"/>
                  <c:pt idx="0">
                    <c:v>2.4028590447104866E-5</c:v>
                  </c:pt>
                  <c:pt idx="1">
                    <c:v>4.4398152426525772E-5</c:v>
                  </c:pt>
                  <c:pt idx="2">
                    <c:v>6.4456647642294077E-5</c:v>
                  </c:pt>
                  <c:pt idx="3">
                    <c:v>5.5921728620574623E-5</c:v>
                  </c:pt>
                  <c:pt idx="4">
                    <c:v>6.1885757897511143E-5</c:v>
                  </c:pt>
                  <c:pt idx="5">
                    <c:v>4.9375364026449772E-5</c:v>
                  </c:pt>
                  <c:pt idx="6">
                    <c:v>7.3328671417515837E-5</c:v>
                  </c:pt>
                  <c:pt idx="7">
                    <c:v>9.2338127556328709E-5</c:v>
                  </c:pt>
                  <c:pt idx="8">
                    <c:v>8.1052707744965345E-5</c:v>
                  </c:pt>
                  <c:pt idx="9">
                    <c:v>1.0577384405320574E-4</c:v>
                  </c:pt>
                </c:numCache>
              </c:numRef>
            </c:minus>
          </c:errBars>
          <c:xVal>
            <c:strRef>
              <c:f>'Certificado de calibración'!$E$128:$E$137</c:f>
              <c:strCache>
                <c:ptCount val="10"/>
                <c:pt idx="0">
                  <c:v>0,010000</c:v>
                </c:pt>
                <c:pt idx="1">
                  <c:v>3,999994</c:v>
                </c:pt>
                <c:pt idx="2">
                  <c:v>7,999988</c:v>
                </c:pt>
                <c:pt idx="3">
                  <c:v>12,000001</c:v>
                </c:pt>
                <c:pt idx="4">
                  <c:v>15,000000</c:v>
                </c:pt>
                <c:pt idx="5">
                  <c:v>19,999996</c:v>
                </c:pt>
                <c:pt idx="6">
                  <c:v>24,999985</c:v>
                </c:pt>
                <c:pt idx="7">
                  <c:v>26,999975</c:v>
                </c:pt>
                <c:pt idx="8">
                  <c:v>30,000007</c:v>
                </c:pt>
                <c:pt idx="9">
                  <c:v>35,00000</c:v>
                </c:pt>
              </c:strCache>
            </c:strRef>
          </c:xVal>
          <c:yVal>
            <c:numRef>
              <c:f>'Certificado de calibración'!$V$128:$V$137</c:f>
              <c:numCache>
                <c:formatCode>0.00000000</c:formatCode>
                <c:ptCount val="10"/>
                <c:pt idx="0">
                  <c:v>2.9894351623142856E-7</c:v>
                </c:pt>
                <c:pt idx="1">
                  <c:v>5.5773944480641546E-6</c:v>
                </c:pt>
                <c:pt idx="2">
                  <c:v>1.2154789001073141E-5</c:v>
                </c:pt>
                <c:pt idx="3">
                  <c:v>-1.2678196146254095E-6</c:v>
                </c:pt>
                <c:pt idx="4">
                  <c:v>1.0415225958126939E-5</c:v>
                </c:pt>
                <c:pt idx="5">
                  <c:v>3.8869686491693756E-6</c:v>
                </c:pt>
                <c:pt idx="6">
                  <c:v>2.5358712186118737E-5</c:v>
                </c:pt>
                <c:pt idx="7">
                  <c:v>3.5147410148539393E-5</c:v>
                </c:pt>
                <c:pt idx="8">
                  <c:v>2.830451069968376E-6</c:v>
                </c:pt>
                <c:pt idx="9">
                  <c:v>2.4302194610470451E-5</c:v>
                </c:pt>
              </c:numCache>
            </c:numRef>
          </c:yVal>
          <c:smooth val="0"/>
          <c:extLst>
            <c:ext xmlns:c16="http://schemas.microsoft.com/office/drawing/2014/chart" uri="{C3380CC4-5D6E-409C-BE32-E72D297353CC}">
              <c16:uniqueId val="{00000000-CCE4-4967-B575-CE558109AE96}"/>
            </c:ext>
          </c:extLst>
        </c:ser>
        <c:dLbls>
          <c:showLegendKey val="0"/>
          <c:showVal val="0"/>
          <c:showCatName val="0"/>
          <c:showSerName val="0"/>
          <c:showPercent val="0"/>
          <c:showBubbleSize val="0"/>
        </c:dLbls>
        <c:axId val="481988816"/>
        <c:axId val="481983376"/>
      </c:scatterChart>
      <c:valAx>
        <c:axId val="481988816"/>
        <c:scaling>
          <c:orientation val="minMax"/>
          <c:max val="10"/>
          <c:min val="0"/>
        </c:scaling>
        <c:delete val="0"/>
        <c:axPos val="b"/>
        <c:title>
          <c:tx>
            <c:rich>
              <a:bodyPr/>
              <a:lstStyle/>
              <a:p>
                <a:pPr>
                  <a:defRPr sz="1000" b="1" i="0" u="none" strike="noStrike" baseline="0">
                    <a:solidFill>
                      <a:srgbClr val="000000"/>
                    </a:solidFill>
                    <a:latin typeface="Calibri"/>
                    <a:ea typeface="Calibri"/>
                    <a:cs typeface="Calibri"/>
                  </a:defRPr>
                </a:pPr>
                <a:r>
                  <a:rPr lang="es-CO"/>
                  <a:t>Cargas aplicadas (g)</a:t>
                </a:r>
              </a:p>
            </c:rich>
          </c:tx>
          <c:layout>
            <c:manualLayout>
              <c:xMode val="edge"/>
              <c:yMode val="edge"/>
              <c:x val="0.46206908060198199"/>
              <c:y val="0.86138045453348433"/>
            </c:manualLayout>
          </c:layout>
          <c:overlay val="0"/>
        </c:title>
        <c:numFmt formatCode="0" sourceLinked="0"/>
        <c:majorTickMark val="out"/>
        <c:minorTickMark val="none"/>
        <c:tickLblPos val="nextTo"/>
        <c:txPr>
          <a:bodyPr rot="0" vert="horz"/>
          <a:lstStyle/>
          <a:p>
            <a:pPr>
              <a:defRPr sz="700" b="0" i="0" u="none" strike="noStrike" baseline="0">
                <a:solidFill>
                  <a:srgbClr val="000000"/>
                </a:solidFill>
                <a:latin typeface="Calibri"/>
                <a:ea typeface="Calibri"/>
                <a:cs typeface="Calibri"/>
              </a:defRPr>
            </a:pPr>
            <a:endParaRPr lang="es-CO"/>
          </a:p>
        </c:txPr>
        <c:crossAx val="481983376"/>
        <c:crosses val="autoZero"/>
        <c:crossBetween val="midCat"/>
        <c:majorUnit val="2"/>
      </c:valAx>
      <c:valAx>
        <c:axId val="481983376"/>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s-CO"/>
                  <a:t>Error (g)</a:t>
                </a:r>
              </a:p>
            </c:rich>
          </c:tx>
          <c:layout>
            <c:manualLayout>
              <c:xMode val="edge"/>
              <c:yMode val="edge"/>
              <c:x val="1.5015697969633906E-3"/>
              <c:y val="0.41132629324344488"/>
            </c:manualLayout>
          </c:layout>
          <c:overlay val="0"/>
        </c:title>
        <c:numFmt formatCode="0.0000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481988816"/>
        <c:crosses val="autoZero"/>
        <c:crossBetween val="midCat"/>
      </c:valAx>
      <c:spPr>
        <a:noFill/>
        <a:ln w="25400">
          <a:noFill/>
        </a:ln>
      </c:spPr>
    </c:plotArea>
    <c:plotVisOnly val="1"/>
    <c:dispBlanksAs val="gap"/>
    <c:showDLblsOverMax val="0"/>
  </c:chart>
  <c:spPr>
    <a:noFill/>
    <a:ln>
      <a:solidFill>
        <a:srgbClr val="002060"/>
      </a:solidFill>
    </a:ln>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022" l="0.70000000000000018" r="0.70000000000000018" t="0.75000000000000022" header="0.3000000000000001" footer="0.3000000000000001"/>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3.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16.png"/><Relationship Id="rId18" Type="http://schemas.openxmlformats.org/officeDocument/2006/relationships/image" Target="../media/image21.png"/><Relationship Id="rId3" Type="http://schemas.openxmlformats.org/officeDocument/2006/relationships/chart" Target="../charts/chart4.xml"/><Relationship Id="rId21" Type="http://schemas.openxmlformats.org/officeDocument/2006/relationships/image" Target="../media/image24.png"/><Relationship Id="rId7" Type="http://schemas.openxmlformats.org/officeDocument/2006/relationships/chart" Target="../charts/chart8.xml"/><Relationship Id="rId12" Type="http://schemas.openxmlformats.org/officeDocument/2006/relationships/image" Target="../media/image15.png"/><Relationship Id="rId17" Type="http://schemas.openxmlformats.org/officeDocument/2006/relationships/image" Target="../media/image20.png"/><Relationship Id="rId2" Type="http://schemas.openxmlformats.org/officeDocument/2006/relationships/chart" Target="../charts/chart3.xml"/><Relationship Id="rId16" Type="http://schemas.openxmlformats.org/officeDocument/2006/relationships/image" Target="../media/image19.png"/><Relationship Id="rId20" Type="http://schemas.openxmlformats.org/officeDocument/2006/relationships/image" Target="../media/image23.png"/><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14.png"/><Relationship Id="rId5" Type="http://schemas.openxmlformats.org/officeDocument/2006/relationships/chart" Target="../charts/chart6.xml"/><Relationship Id="rId15" Type="http://schemas.openxmlformats.org/officeDocument/2006/relationships/image" Target="../media/image18.png"/><Relationship Id="rId23" Type="http://schemas.openxmlformats.org/officeDocument/2006/relationships/image" Target="../media/image26.png"/><Relationship Id="rId10" Type="http://schemas.openxmlformats.org/officeDocument/2006/relationships/chart" Target="../charts/chart11.xml"/><Relationship Id="rId19" Type="http://schemas.openxmlformats.org/officeDocument/2006/relationships/image" Target="../media/image22.png"/><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image" Target="../media/image17.png"/><Relationship Id="rId22" Type="http://schemas.openxmlformats.org/officeDocument/2006/relationships/image" Target="../media/image25.png"/></Relationships>
</file>

<file path=xl/drawings/_rels/drawing5.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5" Type="http://schemas.openxmlformats.org/officeDocument/2006/relationships/image" Target="../media/image26.png"/><Relationship Id="rId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28.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9.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jpeg"/><Relationship Id="rId1" Type="http://schemas.openxmlformats.org/officeDocument/2006/relationships/image" Target="../media/image1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15</xdr:col>
      <xdr:colOff>139700</xdr:colOff>
      <xdr:row>15</xdr:row>
      <xdr:rowOff>111125</xdr:rowOff>
    </xdr:from>
    <xdr:to>
      <xdr:col>16</xdr:col>
      <xdr:colOff>581193</xdr:colOff>
      <xdr:row>17</xdr:row>
      <xdr:rowOff>158810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226925" y="3168650"/>
          <a:ext cx="1203493" cy="428685"/>
        </a:xfrm>
        <a:prstGeom prst="rect">
          <a:avLst/>
        </a:prstGeom>
      </xdr:spPr>
    </xdr:pic>
    <xdr:clientData/>
  </xdr:twoCellAnchor>
  <xdr:twoCellAnchor editAs="oneCell">
    <xdr:from>
      <xdr:col>9</xdr:col>
      <xdr:colOff>1003300</xdr:colOff>
      <xdr:row>2</xdr:row>
      <xdr:rowOff>26713</xdr:rowOff>
    </xdr:from>
    <xdr:to>
      <xdr:col>16</xdr:col>
      <xdr:colOff>42333</xdr:colOff>
      <xdr:row>2</xdr:row>
      <xdr:rowOff>166686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8032750" y="407713"/>
          <a:ext cx="4858808" cy="139973"/>
        </a:xfrm>
        <a:prstGeom prst="rect">
          <a:avLst/>
        </a:prstGeom>
      </xdr:spPr>
    </xdr:pic>
    <xdr:clientData/>
  </xdr:twoCellAnchor>
  <xdr:twoCellAnchor editAs="oneCell">
    <xdr:from>
      <xdr:col>10</xdr:col>
      <xdr:colOff>49214</xdr:colOff>
      <xdr:row>5</xdr:row>
      <xdr:rowOff>66676</xdr:rowOff>
    </xdr:from>
    <xdr:to>
      <xdr:col>11</xdr:col>
      <xdr:colOff>58210</xdr:colOff>
      <xdr:row>5</xdr:row>
      <xdr:rowOff>297280</xdr:rowOff>
    </xdr:to>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8107364" y="1076326"/>
          <a:ext cx="856721" cy="230604"/>
        </a:xfrm>
        <a:prstGeom prst="rect">
          <a:avLst/>
        </a:prstGeom>
      </xdr:spPr>
    </xdr:pic>
    <xdr:clientData/>
  </xdr:twoCellAnchor>
  <xdr:twoCellAnchor editAs="oneCell">
    <xdr:from>
      <xdr:col>9</xdr:col>
      <xdr:colOff>1008064</xdr:colOff>
      <xdr:row>3</xdr:row>
      <xdr:rowOff>80962</xdr:rowOff>
    </xdr:from>
    <xdr:to>
      <xdr:col>11</xdr:col>
      <xdr:colOff>66147</xdr:colOff>
      <xdr:row>4</xdr:row>
      <xdr:rowOff>224971</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stretch>
          <a:fillRect/>
        </a:stretch>
      </xdr:blipFill>
      <xdr:spPr>
        <a:xfrm>
          <a:off x="8037514" y="652462"/>
          <a:ext cx="934508" cy="334509"/>
        </a:xfrm>
        <a:prstGeom prst="rect">
          <a:avLst/>
        </a:prstGeom>
      </xdr:spPr>
    </xdr:pic>
    <xdr:clientData/>
  </xdr:twoCellAnchor>
  <xdr:twoCellAnchor editAs="oneCell">
    <xdr:from>
      <xdr:col>10</xdr:col>
      <xdr:colOff>42862</xdr:colOff>
      <xdr:row>8</xdr:row>
      <xdr:rowOff>26988</xdr:rowOff>
    </xdr:from>
    <xdr:to>
      <xdr:col>15</xdr:col>
      <xdr:colOff>329671</xdr:colOff>
      <xdr:row>13</xdr:row>
      <xdr:rowOff>153194</xdr:rowOff>
    </xdr:to>
    <xdr:pic>
      <xdr:nvPicPr>
        <xdr:cNvPr id="6" name="Imagen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stretch>
          <a:fillRect/>
        </a:stretch>
      </xdr:blipFill>
      <xdr:spPr>
        <a:xfrm>
          <a:off x="8101012" y="1751013"/>
          <a:ext cx="4315884" cy="1078706"/>
        </a:xfrm>
        <a:prstGeom prst="rect">
          <a:avLst/>
        </a:prstGeom>
      </xdr:spPr>
    </xdr:pic>
    <xdr:clientData/>
  </xdr:twoCellAnchor>
  <xdr:twoCellAnchor editAs="oneCell">
    <xdr:from>
      <xdr:col>17</xdr:col>
      <xdr:colOff>63500</xdr:colOff>
      <xdr:row>14</xdr:row>
      <xdr:rowOff>141287</xdr:rowOff>
    </xdr:from>
    <xdr:to>
      <xdr:col>20</xdr:col>
      <xdr:colOff>234422</xdr:colOff>
      <xdr:row>18</xdr:row>
      <xdr:rowOff>6454</xdr:rowOff>
    </xdr:to>
    <xdr:pic>
      <xdr:nvPicPr>
        <xdr:cNvPr id="7" name="Imagen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13884275" y="3008312"/>
          <a:ext cx="2647422" cy="627167"/>
        </a:xfrm>
        <a:prstGeom prst="rect">
          <a:avLst/>
        </a:prstGeom>
      </xdr:spPr>
    </xdr:pic>
    <xdr:clientData/>
  </xdr:twoCellAnchor>
  <xdr:twoCellAnchor editAs="oneCell">
    <xdr:from>
      <xdr:col>10</xdr:col>
      <xdr:colOff>88900</xdr:colOff>
      <xdr:row>14</xdr:row>
      <xdr:rowOff>107951</xdr:rowOff>
    </xdr:from>
    <xdr:to>
      <xdr:col>14</xdr:col>
      <xdr:colOff>160323</xdr:colOff>
      <xdr:row>19</xdr:row>
      <xdr:rowOff>775</xdr:rowOff>
    </xdr:to>
    <xdr:pic>
      <xdr:nvPicPr>
        <xdr:cNvPr id="8" name="Imagen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stretch>
          <a:fillRect/>
        </a:stretch>
      </xdr:blipFill>
      <xdr:spPr>
        <a:xfrm>
          <a:off x="8147050" y="2974976"/>
          <a:ext cx="3233723" cy="845324"/>
        </a:xfrm>
        <a:prstGeom prst="rect">
          <a:avLst/>
        </a:prstGeom>
      </xdr:spPr>
    </xdr:pic>
    <xdr:clientData/>
  </xdr:twoCellAnchor>
  <xdr:twoCellAnchor editAs="oneCell">
    <xdr:from>
      <xdr:col>16</xdr:col>
      <xdr:colOff>60326</xdr:colOff>
      <xdr:row>9</xdr:row>
      <xdr:rowOff>71438</xdr:rowOff>
    </xdr:from>
    <xdr:to>
      <xdr:col>17</xdr:col>
      <xdr:colOff>1146176</xdr:colOff>
      <xdr:row>11</xdr:row>
      <xdr:rowOff>5614</xdr:rowOff>
    </xdr:to>
    <xdr:pic>
      <xdr:nvPicPr>
        <xdr:cNvPr id="9" name="Imagen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7"/>
        <a:stretch>
          <a:fillRect/>
        </a:stretch>
      </xdr:blipFill>
      <xdr:spPr>
        <a:xfrm>
          <a:off x="12909551" y="1985963"/>
          <a:ext cx="2057400" cy="315176"/>
        </a:xfrm>
        <a:prstGeom prst="rect">
          <a:avLst/>
        </a:prstGeom>
      </xdr:spPr>
    </xdr:pic>
    <xdr:clientData/>
  </xdr:twoCellAnchor>
  <xdr:twoCellAnchor editAs="oneCell">
    <xdr:from>
      <xdr:col>10</xdr:col>
      <xdr:colOff>9524</xdr:colOff>
      <xdr:row>23</xdr:row>
      <xdr:rowOff>152400</xdr:rowOff>
    </xdr:from>
    <xdr:to>
      <xdr:col>16</xdr:col>
      <xdr:colOff>77036</xdr:colOff>
      <xdr:row>39</xdr:row>
      <xdr:rowOff>152052</xdr:rowOff>
    </xdr:to>
    <xdr:pic>
      <xdr:nvPicPr>
        <xdr:cNvPr id="10" name="Imagen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8"/>
        <a:stretch>
          <a:fillRect/>
        </a:stretch>
      </xdr:blipFill>
      <xdr:spPr>
        <a:xfrm>
          <a:off x="8067674" y="4733925"/>
          <a:ext cx="4858587" cy="3047652"/>
        </a:xfrm>
        <a:prstGeom prst="rect">
          <a:avLst/>
        </a:prstGeom>
      </xdr:spPr>
    </xdr:pic>
    <xdr:clientData/>
  </xdr:twoCellAnchor>
  <xdr:twoCellAnchor>
    <xdr:from>
      <xdr:col>14</xdr:col>
      <xdr:colOff>259080</xdr:colOff>
      <xdr:row>33</xdr:row>
      <xdr:rowOff>137160</xdr:rowOff>
    </xdr:from>
    <xdr:to>
      <xdr:col>15</xdr:col>
      <xdr:colOff>251460</xdr:colOff>
      <xdr:row>36</xdr:row>
      <xdr:rowOff>167640</xdr:rowOff>
    </xdr:to>
    <xdr:sp macro="" textlink="">
      <xdr:nvSpPr>
        <xdr:cNvPr id="11" name="Elipse 10">
          <a:extLst>
            <a:ext uri="{FF2B5EF4-FFF2-40B4-BE49-F238E27FC236}">
              <a16:creationId xmlns:a16="http://schemas.microsoft.com/office/drawing/2014/main" id="{00000000-0008-0000-0100-00000B000000}"/>
            </a:ext>
          </a:extLst>
        </xdr:cNvPr>
        <xdr:cNvSpPr/>
      </xdr:nvSpPr>
      <xdr:spPr>
        <a:xfrm>
          <a:off x="11479530" y="6623685"/>
          <a:ext cx="859155" cy="601980"/>
        </a:xfrm>
        <a:prstGeom prst="ellipse">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83820</xdr:colOff>
      <xdr:row>40</xdr:row>
      <xdr:rowOff>121920</xdr:rowOff>
    </xdr:from>
    <xdr:to>
      <xdr:col>24</xdr:col>
      <xdr:colOff>83820</xdr:colOff>
      <xdr:row>48</xdr:row>
      <xdr:rowOff>7620</xdr:rowOff>
    </xdr:to>
    <xdr:sp macro="" textlink="">
      <xdr:nvSpPr>
        <xdr:cNvPr id="12" name="Elipse 11">
          <a:extLst>
            <a:ext uri="{FF2B5EF4-FFF2-40B4-BE49-F238E27FC236}">
              <a16:creationId xmlns:a16="http://schemas.microsoft.com/office/drawing/2014/main" id="{00000000-0008-0000-0100-00000C000000}"/>
            </a:ext>
          </a:extLst>
        </xdr:cNvPr>
        <xdr:cNvSpPr/>
      </xdr:nvSpPr>
      <xdr:spPr>
        <a:xfrm>
          <a:off x="17781270" y="7941945"/>
          <a:ext cx="1524000" cy="1409700"/>
        </a:xfrm>
        <a:prstGeom prst="ellipse">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122013</xdr:colOff>
      <xdr:row>36</xdr:row>
      <xdr:rowOff>82830</xdr:rowOff>
    </xdr:from>
    <xdr:to>
      <xdr:col>22</xdr:col>
      <xdr:colOff>129540</xdr:colOff>
      <xdr:row>43</xdr:row>
      <xdr:rowOff>7620</xdr:rowOff>
    </xdr:to>
    <xdr:cxnSp macro="">
      <xdr:nvCxnSpPr>
        <xdr:cNvPr id="13" name="Conector recto de flecha 12">
          <a:extLst>
            <a:ext uri="{FF2B5EF4-FFF2-40B4-BE49-F238E27FC236}">
              <a16:creationId xmlns:a16="http://schemas.microsoft.com/office/drawing/2014/main" id="{00000000-0008-0000-0100-00000D000000}"/>
            </a:ext>
          </a:extLst>
        </xdr:cNvPr>
        <xdr:cNvCxnSpPr>
          <a:stCxn id="11" idx="5"/>
        </xdr:cNvCxnSpPr>
      </xdr:nvCxnSpPr>
      <xdr:spPr>
        <a:xfrm>
          <a:off x="12209238" y="7140855"/>
          <a:ext cx="5617752" cy="1258290"/>
        </a:xfrm>
        <a:prstGeom prst="straightConnector1">
          <a:avLst/>
        </a:prstGeom>
        <a:ln>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716705</xdr:colOff>
      <xdr:row>65</xdr:row>
      <xdr:rowOff>102448</xdr:rowOff>
    </xdr:from>
    <xdr:to>
      <xdr:col>37</xdr:col>
      <xdr:colOff>452424</xdr:colOff>
      <xdr:row>71</xdr:row>
      <xdr:rowOff>90944</xdr:rowOff>
    </xdr:to>
    <xdr:pic>
      <xdr:nvPicPr>
        <xdr:cNvPr id="14" name="Imagen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6"/>
        <a:stretch>
          <a:fillRect/>
        </a:stretch>
      </xdr:blipFill>
      <xdr:spPr>
        <a:xfrm>
          <a:off x="26167505" y="12684973"/>
          <a:ext cx="3212344" cy="852944"/>
        </a:xfrm>
        <a:prstGeom prst="rect">
          <a:avLst/>
        </a:prstGeom>
      </xdr:spPr>
    </xdr:pic>
    <xdr:clientData/>
  </xdr:twoCellAnchor>
  <xdr:twoCellAnchor>
    <xdr:from>
      <xdr:col>34</xdr:col>
      <xdr:colOff>99060</xdr:colOff>
      <xdr:row>66</xdr:row>
      <xdr:rowOff>45720</xdr:rowOff>
    </xdr:from>
    <xdr:to>
      <xdr:col>34</xdr:col>
      <xdr:colOff>594360</xdr:colOff>
      <xdr:row>68</xdr:row>
      <xdr:rowOff>129540</xdr:rowOff>
    </xdr:to>
    <xdr:sp macro="" textlink="">
      <xdr:nvSpPr>
        <xdr:cNvPr id="15" name="Elipse 14">
          <a:extLst>
            <a:ext uri="{FF2B5EF4-FFF2-40B4-BE49-F238E27FC236}">
              <a16:creationId xmlns:a16="http://schemas.microsoft.com/office/drawing/2014/main" id="{00000000-0008-0000-0100-00000F000000}"/>
            </a:ext>
          </a:extLst>
        </xdr:cNvPr>
        <xdr:cNvSpPr/>
      </xdr:nvSpPr>
      <xdr:spPr>
        <a:xfrm>
          <a:off x="27111960" y="12818745"/>
          <a:ext cx="495300" cy="46482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20</xdr:col>
      <xdr:colOff>83820</xdr:colOff>
      <xdr:row>70</xdr:row>
      <xdr:rowOff>137160</xdr:rowOff>
    </xdr:from>
    <xdr:to>
      <xdr:col>20</xdr:col>
      <xdr:colOff>571500</xdr:colOff>
      <xdr:row>73</xdr:row>
      <xdr:rowOff>83820</xdr:rowOff>
    </xdr:to>
    <xdr:sp macro="" textlink="">
      <xdr:nvSpPr>
        <xdr:cNvPr id="16" name="Elipse 15">
          <a:extLst>
            <a:ext uri="{FF2B5EF4-FFF2-40B4-BE49-F238E27FC236}">
              <a16:creationId xmlns:a16="http://schemas.microsoft.com/office/drawing/2014/main" id="{00000000-0008-0000-0100-000010000000}"/>
            </a:ext>
          </a:extLst>
        </xdr:cNvPr>
        <xdr:cNvSpPr/>
      </xdr:nvSpPr>
      <xdr:spPr>
        <a:xfrm>
          <a:off x="16381095" y="13672185"/>
          <a:ext cx="487680" cy="32766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20</xdr:col>
      <xdr:colOff>571500</xdr:colOff>
      <xdr:row>67</xdr:row>
      <xdr:rowOff>87630</xdr:rowOff>
    </xdr:from>
    <xdr:to>
      <xdr:col>34</xdr:col>
      <xdr:colOff>99060</xdr:colOff>
      <xdr:row>71</xdr:row>
      <xdr:rowOff>110490</xdr:rowOff>
    </xdr:to>
    <xdr:cxnSp macro="">
      <xdr:nvCxnSpPr>
        <xdr:cNvPr id="17" name="Conector recto de flecha 16">
          <a:extLst>
            <a:ext uri="{FF2B5EF4-FFF2-40B4-BE49-F238E27FC236}">
              <a16:creationId xmlns:a16="http://schemas.microsoft.com/office/drawing/2014/main" id="{00000000-0008-0000-0100-000011000000}"/>
            </a:ext>
          </a:extLst>
        </xdr:cNvPr>
        <xdr:cNvCxnSpPr>
          <a:stCxn id="16" idx="6"/>
          <a:endCxn id="15" idx="2"/>
        </xdr:cNvCxnSpPr>
      </xdr:nvCxnSpPr>
      <xdr:spPr>
        <a:xfrm flipV="1">
          <a:off x="16868775" y="13051155"/>
          <a:ext cx="10243185" cy="78486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251460</xdr:colOff>
      <xdr:row>70</xdr:row>
      <xdr:rowOff>152400</xdr:rowOff>
    </xdr:from>
    <xdr:to>
      <xdr:col>25</xdr:col>
      <xdr:colOff>571500</xdr:colOff>
      <xdr:row>73</xdr:row>
      <xdr:rowOff>91440</xdr:rowOff>
    </xdr:to>
    <xdr:sp macro="" textlink="">
      <xdr:nvSpPr>
        <xdr:cNvPr id="18" name="Elipse 17">
          <a:extLst>
            <a:ext uri="{FF2B5EF4-FFF2-40B4-BE49-F238E27FC236}">
              <a16:creationId xmlns:a16="http://schemas.microsoft.com/office/drawing/2014/main" id="{00000000-0008-0000-0100-000012000000}"/>
            </a:ext>
          </a:extLst>
        </xdr:cNvPr>
        <xdr:cNvSpPr/>
      </xdr:nvSpPr>
      <xdr:spPr>
        <a:xfrm>
          <a:off x="20234910" y="13687425"/>
          <a:ext cx="320040" cy="320040"/>
        </a:xfrm>
        <a:prstGeom prst="ellipse">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clientData/>
  </xdr:twoCellAnchor>
  <xdr:twoCellAnchor>
    <xdr:from>
      <xdr:col>34</xdr:col>
      <xdr:colOff>403860</xdr:colOff>
      <xdr:row>68</xdr:row>
      <xdr:rowOff>30480</xdr:rowOff>
    </xdr:from>
    <xdr:to>
      <xdr:col>35</xdr:col>
      <xdr:colOff>68580</xdr:colOff>
      <xdr:row>69</xdr:row>
      <xdr:rowOff>152400</xdr:rowOff>
    </xdr:to>
    <xdr:sp macro="" textlink="">
      <xdr:nvSpPr>
        <xdr:cNvPr id="19" name="Elipse 18">
          <a:extLst>
            <a:ext uri="{FF2B5EF4-FFF2-40B4-BE49-F238E27FC236}">
              <a16:creationId xmlns:a16="http://schemas.microsoft.com/office/drawing/2014/main" id="{00000000-0008-0000-0100-000013000000}"/>
            </a:ext>
          </a:extLst>
        </xdr:cNvPr>
        <xdr:cNvSpPr/>
      </xdr:nvSpPr>
      <xdr:spPr>
        <a:xfrm>
          <a:off x="27416760" y="13184505"/>
          <a:ext cx="302895" cy="312420"/>
        </a:xfrm>
        <a:prstGeom prst="ellipse">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clientData/>
  </xdr:twoCellAnchor>
  <xdr:twoCellAnchor>
    <xdr:from>
      <xdr:col>25</xdr:col>
      <xdr:colOff>571500</xdr:colOff>
      <xdr:row>69</xdr:row>
      <xdr:rowOff>45720</xdr:rowOff>
    </xdr:from>
    <xdr:to>
      <xdr:col>34</xdr:col>
      <xdr:colOff>434340</xdr:colOff>
      <xdr:row>71</xdr:row>
      <xdr:rowOff>121920</xdr:rowOff>
    </xdr:to>
    <xdr:cxnSp macro="">
      <xdr:nvCxnSpPr>
        <xdr:cNvPr id="20" name="Conector recto de flecha 19">
          <a:extLst>
            <a:ext uri="{FF2B5EF4-FFF2-40B4-BE49-F238E27FC236}">
              <a16:creationId xmlns:a16="http://schemas.microsoft.com/office/drawing/2014/main" id="{00000000-0008-0000-0100-000014000000}"/>
            </a:ext>
          </a:extLst>
        </xdr:cNvPr>
        <xdr:cNvCxnSpPr>
          <a:stCxn id="18" idx="6"/>
        </xdr:cNvCxnSpPr>
      </xdr:nvCxnSpPr>
      <xdr:spPr>
        <a:xfrm flipV="1">
          <a:off x="20554950" y="13390245"/>
          <a:ext cx="6892290" cy="457200"/>
        </a:xfrm>
        <a:prstGeom prst="straightConnector1">
          <a:avLst/>
        </a:prstGeom>
        <a:ln>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330200</xdr:colOff>
      <xdr:row>101</xdr:row>
      <xdr:rowOff>152400</xdr:rowOff>
    </xdr:from>
    <xdr:to>
      <xdr:col>19</xdr:col>
      <xdr:colOff>601133</xdr:colOff>
      <xdr:row>102</xdr:row>
      <xdr:rowOff>169333</xdr:rowOff>
    </xdr:to>
    <xdr:sp macro="" textlink="">
      <xdr:nvSpPr>
        <xdr:cNvPr id="22" name="Flecha: a la derecha 21">
          <a:extLst>
            <a:ext uri="{FF2B5EF4-FFF2-40B4-BE49-F238E27FC236}">
              <a16:creationId xmlns:a16="http://schemas.microsoft.com/office/drawing/2014/main" id="{00000000-0008-0000-0100-000016000000}"/>
            </a:ext>
          </a:extLst>
        </xdr:cNvPr>
        <xdr:cNvSpPr/>
      </xdr:nvSpPr>
      <xdr:spPr>
        <a:xfrm>
          <a:off x="15503525" y="16163925"/>
          <a:ext cx="766233" cy="20743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161925</xdr:colOff>
      <xdr:row>67</xdr:row>
      <xdr:rowOff>114300</xdr:rowOff>
    </xdr:from>
    <xdr:to>
      <xdr:col>22</xdr:col>
      <xdr:colOff>721179</xdr:colOff>
      <xdr:row>70</xdr:row>
      <xdr:rowOff>180976</xdr:rowOff>
    </xdr:to>
    <xdr:pic>
      <xdr:nvPicPr>
        <xdr:cNvPr id="5481695" name="1 Imagen">
          <a:extLst>
            <a:ext uri="{FF2B5EF4-FFF2-40B4-BE49-F238E27FC236}">
              <a16:creationId xmlns:a16="http://schemas.microsoft.com/office/drawing/2014/main" id="{00000000-0008-0000-0200-0000DFA453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42848"/>
        <a:stretch/>
      </xdr:blipFill>
      <xdr:spPr bwMode="auto">
        <a:xfrm>
          <a:off x="6911068" y="21069300"/>
          <a:ext cx="1906361" cy="10599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54429</xdr:colOff>
      <xdr:row>67</xdr:row>
      <xdr:rowOff>118382</xdr:rowOff>
    </xdr:from>
    <xdr:to>
      <xdr:col>27</xdr:col>
      <xdr:colOff>16808</xdr:colOff>
      <xdr:row>70</xdr:row>
      <xdr:rowOff>185058</xdr:rowOff>
    </xdr:to>
    <xdr:pic>
      <xdr:nvPicPr>
        <xdr:cNvPr id="28" name="1 Imagen">
          <a:extLst>
            <a:ext uri="{FF2B5EF4-FFF2-40B4-BE49-F238E27FC236}">
              <a16:creationId xmlns:a16="http://schemas.microsoft.com/office/drawing/2014/main" id="{00000000-0008-0000-0200-00001C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2374"/>
        <a:stretch/>
      </xdr:blipFill>
      <xdr:spPr bwMode="auto">
        <a:xfrm>
          <a:off x="9307286" y="21073382"/>
          <a:ext cx="1255059" cy="10599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0</xdr:col>
          <xdr:colOff>228600</xdr:colOff>
          <xdr:row>0</xdr:row>
          <xdr:rowOff>57150</xdr:rowOff>
        </xdr:from>
        <xdr:to>
          <xdr:col>14</xdr:col>
          <xdr:colOff>133350</xdr:colOff>
          <xdr:row>1</xdr:row>
          <xdr:rowOff>381000</xdr:rowOff>
        </xdr:to>
        <xdr:sp macro="" textlink="">
          <xdr:nvSpPr>
            <xdr:cNvPr id="5034204" name="Object 45276" hidden="1">
              <a:extLst>
                <a:ext uri="{63B3BB69-23CF-44E3-9099-C40C66FF867C}">
                  <a14:compatExt spid="_x0000_s5034204"/>
                </a:ext>
                <a:ext uri="{FF2B5EF4-FFF2-40B4-BE49-F238E27FC236}">
                  <a16:creationId xmlns:a16="http://schemas.microsoft.com/office/drawing/2014/main" id="{00000000-0008-0000-0200-0000DCD04C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xdr:col>
      <xdr:colOff>180975</xdr:colOff>
      <xdr:row>89</xdr:row>
      <xdr:rowOff>28575</xdr:rowOff>
    </xdr:from>
    <xdr:to>
      <xdr:col>5</xdr:col>
      <xdr:colOff>81612</xdr:colOff>
      <xdr:row>94</xdr:row>
      <xdr:rowOff>38100</xdr:rowOff>
    </xdr:to>
    <xdr:pic>
      <xdr:nvPicPr>
        <xdr:cNvPr id="4923501" name="1 Imagen">
          <a:extLst>
            <a:ext uri="{FF2B5EF4-FFF2-40B4-BE49-F238E27FC236}">
              <a16:creationId xmlns:a16="http://schemas.microsoft.com/office/drawing/2014/main" id="{00000000-0008-0000-0300-00006D204B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42614"/>
        <a:stretch/>
      </xdr:blipFill>
      <xdr:spPr bwMode="auto">
        <a:xfrm>
          <a:off x="495300" y="14678025"/>
          <a:ext cx="124777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257174</xdr:colOff>
      <xdr:row>89</xdr:row>
      <xdr:rowOff>54769</xdr:rowOff>
    </xdr:from>
    <xdr:to>
      <xdr:col>9</xdr:col>
      <xdr:colOff>190500</xdr:colOff>
      <xdr:row>94</xdr:row>
      <xdr:rowOff>28575</xdr:rowOff>
    </xdr:to>
    <xdr:pic>
      <xdr:nvPicPr>
        <xdr:cNvPr id="4" name="1 Imagen">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2500"/>
        <a:stretch/>
      </xdr:blipFill>
      <xdr:spPr bwMode="auto">
        <a:xfrm>
          <a:off x="2000249" y="14961394"/>
          <a:ext cx="1362075" cy="11453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8659</xdr:colOff>
      <xdr:row>146</xdr:row>
      <xdr:rowOff>86591</xdr:rowOff>
    </xdr:from>
    <xdr:to>
      <xdr:col>22</xdr:col>
      <xdr:colOff>164521</xdr:colOff>
      <xdr:row>163</xdr:row>
      <xdr:rowOff>181843</xdr:rowOff>
    </xdr:to>
    <xdr:graphicFrame macro="">
      <xdr:nvGraphicFramePr>
        <xdr:cNvPr id="2" name="Gráfico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0</xdr:col>
          <xdr:colOff>38100</xdr:colOff>
          <xdr:row>0</xdr:row>
          <xdr:rowOff>66675</xdr:rowOff>
        </xdr:from>
        <xdr:to>
          <xdr:col>8</xdr:col>
          <xdr:colOff>38100</xdr:colOff>
          <xdr:row>1</xdr:row>
          <xdr:rowOff>142875</xdr:rowOff>
        </xdr:to>
        <xdr:sp macro="" textlink="">
          <xdr:nvSpPr>
            <xdr:cNvPr id="3732501" name="Object 21" hidden="1">
              <a:extLst>
                <a:ext uri="{63B3BB69-23CF-44E3-9099-C40C66FF867C}">
                  <a14:compatExt spid="_x0000_s3732501"/>
                </a:ext>
                <a:ext uri="{FF2B5EF4-FFF2-40B4-BE49-F238E27FC236}">
                  <a16:creationId xmlns:a16="http://schemas.microsoft.com/office/drawing/2014/main" id="{00000000-0008-0000-0300-000015F438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xdr:colOff>
          <xdr:row>0</xdr:row>
          <xdr:rowOff>66675</xdr:rowOff>
        </xdr:from>
        <xdr:to>
          <xdr:col>8</xdr:col>
          <xdr:colOff>38100</xdr:colOff>
          <xdr:row>1</xdr:row>
          <xdr:rowOff>142875</xdr:rowOff>
        </xdr:to>
        <xdr:sp macro="" textlink="">
          <xdr:nvSpPr>
            <xdr:cNvPr id="3732502" name="Object 22" hidden="1">
              <a:extLst>
                <a:ext uri="{63B3BB69-23CF-44E3-9099-C40C66FF867C}">
                  <a14:compatExt spid="_x0000_s3732502"/>
                </a:ext>
                <a:ext uri="{FF2B5EF4-FFF2-40B4-BE49-F238E27FC236}">
                  <a16:creationId xmlns:a16="http://schemas.microsoft.com/office/drawing/2014/main" id="{00000000-0008-0000-0300-000016F438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366756</xdr:colOff>
      <xdr:row>52</xdr:row>
      <xdr:rowOff>76200</xdr:rowOff>
    </xdr:from>
    <xdr:to>
      <xdr:col>7</xdr:col>
      <xdr:colOff>900156</xdr:colOff>
      <xdr:row>62</xdr:row>
      <xdr:rowOff>123825</xdr:rowOff>
    </xdr:to>
    <xdr:graphicFrame macro="">
      <xdr:nvGraphicFramePr>
        <xdr:cNvPr id="4986352" name="Gráfico 2">
          <a:extLst>
            <a:ext uri="{FF2B5EF4-FFF2-40B4-BE49-F238E27FC236}">
              <a16:creationId xmlns:a16="http://schemas.microsoft.com/office/drawing/2014/main" id="{00000000-0008-0000-0400-0000F015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1643106</xdr:colOff>
      <xdr:row>52</xdr:row>
      <xdr:rowOff>0</xdr:rowOff>
    </xdr:from>
    <xdr:to>
      <xdr:col>10</xdr:col>
      <xdr:colOff>642981</xdr:colOff>
      <xdr:row>62</xdr:row>
      <xdr:rowOff>47625</xdr:rowOff>
    </xdr:to>
    <xdr:graphicFrame macro="">
      <xdr:nvGraphicFramePr>
        <xdr:cNvPr id="4986353" name="Gráfico 3">
          <a:extLst>
            <a:ext uri="{FF2B5EF4-FFF2-40B4-BE49-F238E27FC236}">
              <a16:creationId xmlns:a16="http://schemas.microsoft.com/office/drawing/2014/main" id="{00000000-0008-0000-0400-0000F115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1643106</xdr:colOff>
      <xdr:row>52</xdr:row>
      <xdr:rowOff>0</xdr:rowOff>
    </xdr:from>
    <xdr:to>
      <xdr:col>13</xdr:col>
      <xdr:colOff>642981</xdr:colOff>
      <xdr:row>62</xdr:row>
      <xdr:rowOff>47625</xdr:rowOff>
    </xdr:to>
    <xdr:graphicFrame macro="">
      <xdr:nvGraphicFramePr>
        <xdr:cNvPr id="4986354" name="Gráfico 4">
          <a:extLst>
            <a:ext uri="{FF2B5EF4-FFF2-40B4-BE49-F238E27FC236}">
              <a16:creationId xmlns:a16="http://schemas.microsoft.com/office/drawing/2014/main" id="{00000000-0008-0000-0400-0000F215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1643106</xdr:colOff>
      <xdr:row>52</xdr:row>
      <xdr:rowOff>0</xdr:rowOff>
    </xdr:from>
    <xdr:to>
      <xdr:col>17</xdr:col>
      <xdr:colOff>642981</xdr:colOff>
      <xdr:row>62</xdr:row>
      <xdr:rowOff>47625</xdr:rowOff>
    </xdr:to>
    <xdr:graphicFrame macro="">
      <xdr:nvGraphicFramePr>
        <xdr:cNvPr id="4986355" name="Gráfico 5">
          <a:extLst>
            <a:ext uri="{FF2B5EF4-FFF2-40B4-BE49-F238E27FC236}">
              <a16:creationId xmlns:a16="http://schemas.microsoft.com/office/drawing/2014/main" id="{00000000-0008-0000-0400-0000F315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1452628</xdr:colOff>
      <xdr:row>52</xdr:row>
      <xdr:rowOff>0</xdr:rowOff>
    </xdr:from>
    <xdr:to>
      <xdr:col>23</xdr:col>
      <xdr:colOff>23812</xdr:colOff>
      <xdr:row>62</xdr:row>
      <xdr:rowOff>47625</xdr:rowOff>
    </xdr:to>
    <xdr:graphicFrame macro="">
      <xdr:nvGraphicFramePr>
        <xdr:cNvPr id="4986356" name="Gráfico 6">
          <a:extLst>
            <a:ext uri="{FF2B5EF4-FFF2-40B4-BE49-F238E27FC236}">
              <a16:creationId xmlns:a16="http://schemas.microsoft.com/office/drawing/2014/main" id="{00000000-0008-0000-0400-0000F415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309601</xdr:colOff>
      <xdr:row>64</xdr:row>
      <xdr:rowOff>0</xdr:rowOff>
    </xdr:from>
    <xdr:to>
      <xdr:col>7</xdr:col>
      <xdr:colOff>833476</xdr:colOff>
      <xdr:row>74</xdr:row>
      <xdr:rowOff>47625</xdr:rowOff>
    </xdr:to>
    <xdr:graphicFrame macro="">
      <xdr:nvGraphicFramePr>
        <xdr:cNvPr id="4986357" name="Gráfico 7">
          <a:extLst>
            <a:ext uri="{FF2B5EF4-FFF2-40B4-BE49-F238E27FC236}">
              <a16:creationId xmlns:a16="http://schemas.microsoft.com/office/drawing/2014/main" id="{00000000-0008-0000-0400-0000F515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1714542</xdr:colOff>
      <xdr:row>64</xdr:row>
      <xdr:rowOff>0</xdr:rowOff>
    </xdr:from>
    <xdr:to>
      <xdr:col>10</xdr:col>
      <xdr:colOff>714417</xdr:colOff>
      <xdr:row>74</xdr:row>
      <xdr:rowOff>47625</xdr:rowOff>
    </xdr:to>
    <xdr:graphicFrame macro="">
      <xdr:nvGraphicFramePr>
        <xdr:cNvPr id="4986358" name="Gráfico 8">
          <a:extLst>
            <a:ext uri="{FF2B5EF4-FFF2-40B4-BE49-F238E27FC236}">
              <a16:creationId xmlns:a16="http://schemas.microsoft.com/office/drawing/2014/main" id="{00000000-0008-0000-0400-0000F615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1714542</xdr:colOff>
      <xdr:row>64</xdr:row>
      <xdr:rowOff>0</xdr:rowOff>
    </xdr:from>
    <xdr:to>
      <xdr:col>13</xdr:col>
      <xdr:colOff>714417</xdr:colOff>
      <xdr:row>74</xdr:row>
      <xdr:rowOff>47625</xdr:rowOff>
    </xdr:to>
    <xdr:graphicFrame macro="">
      <xdr:nvGraphicFramePr>
        <xdr:cNvPr id="4986359" name="Gráfico 9">
          <a:extLst>
            <a:ext uri="{FF2B5EF4-FFF2-40B4-BE49-F238E27FC236}">
              <a16:creationId xmlns:a16="http://schemas.microsoft.com/office/drawing/2014/main" id="{00000000-0008-0000-0400-0000F715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1566901</xdr:colOff>
      <xdr:row>63</xdr:row>
      <xdr:rowOff>242887</xdr:rowOff>
    </xdr:from>
    <xdr:to>
      <xdr:col>17</xdr:col>
      <xdr:colOff>566776</xdr:colOff>
      <xdr:row>74</xdr:row>
      <xdr:rowOff>28574</xdr:rowOff>
    </xdr:to>
    <xdr:graphicFrame macro="">
      <xdr:nvGraphicFramePr>
        <xdr:cNvPr id="4986360" name="Gráfico 10">
          <a:extLst>
            <a:ext uri="{FF2B5EF4-FFF2-40B4-BE49-F238E27FC236}">
              <a16:creationId xmlns:a16="http://schemas.microsoft.com/office/drawing/2014/main" id="{00000000-0008-0000-0400-0000F815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1452609</xdr:colOff>
      <xdr:row>63</xdr:row>
      <xdr:rowOff>166688</xdr:rowOff>
    </xdr:from>
    <xdr:to>
      <xdr:col>23</xdr:col>
      <xdr:colOff>-1</xdr:colOff>
      <xdr:row>73</xdr:row>
      <xdr:rowOff>214313</xdr:rowOff>
    </xdr:to>
    <xdr:graphicFrame macro="">
      <xdr:nvGraphicFramePr>
        <xdr:cNvPr id="4986361" name="Gráfico 11">
          <a:extLst>
            <a:ext uri="{FF2B5EF4-FFF2-40B4-BE49-F238E27FC236}">
              <a16:creationId xmlns:a16="http://schemas.microsoft.com/office/drawing/2014/main" id="{00000000-0008-0000-0400-0000F9154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5</xdr:col>
      <xdr:colOff>1697182</xdr:colOff>
      <xdr:row>31</xdr:row>
      <xdr:rowOff>121228</xdr:rowOff>
    </xdr:from>
    <xdr:ext cx="1368137" cy="484909"/>
    <mc:AlternateContent xmlns:mc="http://schemas.openxmlformats.org/markup-compatibility/2006" xmlns:a14="http://schemas.microsoft.com/office/drawing/2010/main">
      <mc:Choice Requires="a14">
        <xdr:sp macro="" textlink="">
          <xdr:nvSpPr>
            <xdr:cNvPr id="25" name="CuadroTexto 24">
              <a:extLst>
                <a:ext uri="{FF2B5EF4-FFF2-40B4-BE49-F238E27FC236}">
                  <a16:creationId xmlns:a16="http://schemas.microsoft.com/office/drawing/2014/main" id="{00000000-0008-0000-0400-000019000000}"/>
                </a:ext>
              </a:extLst>
            </xdr:cNvPr>
            <xdr:cNvSpPr txBox="1"/>
          </xdr:nvSpPr>
          <xdr:spPr>
            <a:xfrm>
              <a:off x="3827318" y="13005955"/>
              <a:ext cx="1368137" cy="4849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s-ES" sz="1800" b="0" i="1">
                        <a:latin typeface="Cambria Math" panose="02040503050406030204" pitchFamily="18" charset="0"/>
                      </a:rPr>
                      <m:t>𝑢</m:t>
                    </m:r>
                    <m:r>
                      <a:rPr lang="es-ES" sz="1800" b="0" i="1">
                        <a:latin typeface="Cambria Math" panose="02040503050406030204" pitchFamily="18" charset="0"/>
                      </a:rPr>
                      <m:t>(</m:t>
                    </m:r>
                    <m:r>
                      <a:rPr lang="es-ES" sz="1800" b="0" i="1">
                        <a:latin typeface="Cambria Math" panose="02040503050406030204" pitchFamily="18" charset="0"/>
                        <a:ea typeface="Cambria Math" panose="02040503050406030204" pitchFamily="18" charset="0"/>
                      </a:rPr>
                      <m:t>𝛿</m:t>
                    </m:r>
                    <m:sSub>
                      <m:sSubPr>
                        <m:ctrlPr>
                          <a:rPr lang="es-ES" sz="1800" b="0" i="1">
                            <a:latin typeface="Cambria Math" panose="02040503050406030204" pitchFamily="18" charset="0"/>
                            <a:ea typeface="Cambria Math" panose="02040503050406030204" pitchFamily="18" charset="0"/>
                          </a:rPr>
                        </m:ctrlPr>
                      </m:sSubPr>
                      <m:e>
                        <m:r>
                          <a:rPr lang="es-ES" sz="1800" b="0" i="1">
                            <a:latin typeface="Cambria Math" panose="02040503050406030204" pitchFamily="18" charset="0"/>
                            <a:ea typeface="Cambria Math" panose="02040503050406030204" pitchFamily="18" charset="0"/>
                          </a:rPr>
                          <m:t>𝑚</m:t>
                        </m:r>
                      </m:e>
                      <m:sub>
                        <m:r>
                          <a:rPr lang="es-ES" sz="1800" b="0" i="1">
                            <a:latin typeface="Cambria Math" panose="02040503050406030204" pitchFamily="18" charset="0"/>
                            <a:ea typeface="Cambria Math" panose="02040503050406030204" pitchFamily="18" charset="0"/>
                          </a:rPr>
                          <m:t>𝐵</m:t>
                        </m:r>
                      </m:sub>
                    </m:sSub>
                    <m:r>
                      <a:rPr lang="es-ES" sz="1800" b="0" i="1">
                        <a:latin typeface="Cambria Math" panose="02040503050406030204" pitchFamily="18" charset="0"/>
                        <a:ea typeface="Cambria Math" panose="02040503050406030204" pitchFamily="18" charset="0"/>
                      </a:rPr>
                      <m:t>)</m:t>
                    </m:r>
                  </m:oMath>
                </m:oMathPara>
              </a14:m>
              <a:endParaRPr lang="es-ES" sz="1800"/>
            </a:p>
          </xdr:txBody>
        </xdr:sp>
      </mc:Choice>
      <mc:Fallback xmlns="">
        <xdr:sp macro="" textlink="">
          <xdr:nvSpPr>
            <xdr:cNvPr id="25" name="CuadroTexto 24">
              <a:extLst>
                <a:ext uri="{FF2B5EF4-FFF2-40B4-BE49-F238E27FC236}">
                  <a16:creationId xmlns:a16="http://schemas.microsoft.com/office/drawing/2014/main" id="{DB862561-C4A2-485E-A63A-60D8C3D82B5B}"/>
                </a:ext>
              </a:extLst>
            </xdr:cNvPr>
            <xdr:cNvSpPr txBox="1"/>
          </xdr:nvSpPr>
          <xdr:spPr>
            <a:xfrm>
              <a:off x="3827318" y="13005955"/>
              <a:ext cx="1368137" cy="4849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s-ES" sz="1800" b="0" i="0">
                  <a:latin typeface="Cambria Math" panose="02040503050406030204" pitchFamily="18" charset="0"/>
                </a:rPr>
                <a:t>𝑢(</a:t>
              </a:r>
              <a:r>
                <a:rPr lang="es-ES" sz="1800" b="0" i="0">
                  <a:latin typeface="Cambria Math" panose="02040503050406030204" pitchFamily="18" charset="0"/>
                  <a:ea typeface="Cambria Math" panose="02040503050406030204" pitchFamily="18" charset="0"/>
                </a:rPr>
                <a:t>𝛿𝑚_𝐵)</a:t>
              </a:r>
              <a:endParaRPr lang="es-ES" sz="1800"/>
            </a:p>
          </xdr:txBody>
        </xdr:sp>
      </mc:Fallback>
    </mc:AlternateContent>
    <xdr:clientData/>
  </xdr:oneCellAnchor>
  <xdr:oneCellAnchor>
    <xdr:from>
      <xdr:col>5</xdr:col>
      <xdr:colOff>1714500</xdr:colOff>
      <xdr:row>27</xdr:row>
      <xdr:rowOff>86591</xdr:rowOff>
    </xdr:from>
    <xdr:ext cx="2008910" cy="343556"/>
    <mc:AlternateContent xmlns:mc="http://schemas.openxmlformats.org/markup-compatibility/2006" xmlns:a14="http://schemas.microsoft.com/office/drawing/2010/main">
      <mc:Choice Requires="a14">
        <xdr:sp macro="" textlink="">
          <xdr:nvSpPr>
            <xdr:cNvPr id="27" name="CuadroTexto 26">
              <a:extLst>
                <a:ext uri="{FF2B5EF4-FFF2-40B4-BE49-F238E27FC236}">
                  <a16:creationId xmlns:a16="http://schemas.microsoft.com/office/drawing/2014/main" id="{00000000-0008-0000-0400-00001B000000}"/>
                </a:ext>
              </a:extLst>
            </xdr:cNvPr>
            <xdr:cNvSpPr txBox="1"/>
          </xdr:nvSpPr>
          <xdr:spPr>
            <a:xfrm>
              <a:off x="3844636" y="12486409"/>
              <a:ext cx="2008910" cy="343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400" b="0" i="1">
                        <a:latin typeface="Cambria Math" panose="02040503050406030204" pitchFamily="18" charset="0"/>
                      </a:rPr>
                      <m:t>𝑢</m:t>
                    </m:r>
                    <m:r>
                      <a:rPr lang="es-ES" sz="1400" b="0" i="1">
                        <a:latin typeface="Cambria Math" panose="02040503050406030204" pitchFamily="18" charset="0"/>
                      </a:rPr>
                      <m:t>(</m:t>
                    </m:r>
                    <m:r>
                      <a:rPr lang="es-ES" sz="1400" b="0" i="1">
                        <a:latin typeface="Cambria Math" panose="02040503050406030204" pitchFamily="18" charset="0"/>
                        <a:ea typeface="Cambria Math" panose="02040503050406030204" pitchFamily="18" charset="0"/>
                      </a:rPr>
                      <m:t>𝛿</m:t>
                    </m:r>
                    <m:sSub>
                      <m:sSubPr>
                        <m:ctrlPr>
                          <a:rPr lang="es-ES" sz="1400" b="0" i="1">
                            <a:latin typeface="Cambria Math" panose="02040503050406030204" pitchFamily="18" charset="0"/>
                            <a:ea typeface="Cambria Math" panose="02040503050406030204" pitchFamily="18" charset="0"/>
                          </a:rPr>
                        </m:ctrlPr>
                      </m:sSubPr>
                      <m:e>
                        <m:r>
                          <a:rPr lang="es-ES" sz="1400" b="0" i="1">
                            <a:latin typeface="Cambria Math" panose="02040503050406030204" pitchFamily="18" charset="0"/>
                            <a:ea typeface="Cambria Math" panose="02040503050406030204" pitchFamily="18" charset="0"/>
                          </a:rPr>
                          <m:t>𝑚</m:t>
                        </m:r>
                      </m:e>
                      <m:sub>
                        <m:r>
                          <a:rPr lang="es-ES" sz="1400" b="0" i="1">
                            <a:latin typeface="Cambria Math" panose="02040503050406030204" pitchFamily="18" charset="0"/>
                            <a:ea typeface="Cambria Math" panose="02040503050406030204" pitchFamily="18" charset="0"/>
                          </a:rPr>
                          <m:t>𝐷</m:t>
                        </m:r>
                      </m:sub>
                    </m:sSub>
                    <m:r>
                      <a:rPr lang="es-ES" sz="1400" b="0" i="1">
                        <a:latin typeface="Cambria Math" panose="02040503050406030204" pitchFamily="18" charset="0"/>
                        <a:ea typeface="Cambria Math" panose="02040503050406030204" pitchFamily="18" charset="0"/>
                      </a:rPr>
                      <m:t>)</m:t>
                    </m:r>
                    <m:r>
                      <a:rPr lang="es-ES" sz="1400" b="0" i="1">
                        <a:latin typeface="Cambria Math" panose="02040503050406030204" pitchFamily="18" charset="0"/>
                      </a:rPr>
                      <m:t>=</m:t>
                    </m:r>
                    <m:f>
                      <m:fPr>
                        <m:type m:val="skw"/>
                        <m:ctrlPr>
                          <a:rPr lang="es-ES" sz="1400" b="0" i="1">
                            <a:latin typeface="Cambria Math" panose="02040503050406030204" pitchFamily="18" charset="0"/>
                          </a:rPr>
                        </m:ctrlPr>
                      </m:fPr>
                      <m:num>
                        <m:r>
                          <a:rPr lang="es-ES" sz="1400" b="0" i="1">
                            <a:latin typeface="Cambria Math" panose="02040503050406030204" pitchFamily="18" charset="0"/>
                          </a:rPr>
                          <m:t>𝐷𝑒𝑟𝑖𝑣𝑎</m:t>
                        </m:r>
                      </m:num>
                      <m:den>
                        <m:rad>
                          <m:radPr>
                            <m:degHide m:val="on"/>
                            <m:ctrlPr>
                              <a:rPr lang="es-ES" sz="1400" b="0" i="1">
                                <a:latin typeface="Cambria Math" panose="02040503050406030204" pitchFamily="18" charset="0"/>
                              </a:rPr>
                            </m:ctrlPr>
                          </m:radPr>
                          <m:deg/>
                          <m:e>
                            <m:r>
                              <a:rPr lang="es-ES" sz="1400" b="0" i="1">
                                <a:latin typeface="Cambria Math" panose="02040503050406030204" pitchFamily="18" charset="0"/>
                              </a:rPr>
                              <m:t>3</m:t>
                            </m:r>
                          </m:e>
                        </m:rad>
                      </m:den>
                    </m:f>
                  </m:oMath>
                </m:oMathPara>
              </a14:m>
              <a:endParaRPr lang="es-ES" sz="1400"/>
            </a:p>
          </xdr:txBody>
        </xdr:sp>
      </mc:Choice>
      <mc:Fallback xmlns="">
        <xdr:sp macro="" textlink="">
          <xdr:nvSpPr>
            <xdr:cNvPr id="27" name="CuadroTexto 26">
              <a:extLst>
                <a:ext uri="{FF2B5EF4-FFF2-40B4-BE49-F238E27FC236}">
                  <a16:creationId xmlns:a16="http://schemas.microsoft.com/office/drawing/2014/main" id="{A7DC82CC-657B-413D-9ACA-2C36A006C3F8}"/>
                </a:ext>
              </a:extLst>
            </xdr:cNvPr>
            <xdr:cNvSpPr txBox="1"/>
          </xdr:nvSpPr>
          <xdr:spPr>
            <a:xfrm>
              <a:off x="3844636" y="12486409"/>
              <a:ext cx="2008910" cy="343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400" b="0" i="0">
                  <a:latin typeface="Cambria Math" panose="02040503050406030204" pitchFamily="18" charset="0"/>
                </a:rPr>
                <a:t>𝑢(</a:t>
              </a:r>
              <a:r>
                <a:rPr lang="es-ES" sz="1400" b="0" i="0">
                  <a:latin typeface="Cambria Math" panose="02040503050406030204" pitchFamily="18" charset="0"/>
                  <a:ea typeface="Cambria Math" panose="02040503050406030204" pitchFamily="18" charset="0"/>
                </a:rPr>
                <a:t>𝛿𝑚_𝐷)</a:t>
              </a:r>
              <a:r>
                <a:rPr lang="es-ES" sz="1400" b="0" i="0">
                  <a:latin typeface="Cambria Math" panose="02040503050406030204" pitchFamily="18" charset="0"/>
                </a:rPr>
                <a:t>=𝐷𝑒𝑟𝑖𝑣𝑎⁄√3</a:t>
              </a:r>
              <a:endParaRPr lang="es-ES" sz="1400"/>
            </a:p>
          </xdr:txBody>
        </xdr:sp>
      </mc:Fallback>
    </mc:AlternateContent>
    <xdr:clientData/>
  </xdr:oneCellAnchor>
  <xdr:twoCellAnchor>
    <xdr:from>
      <xdr:col>6</xdr:col>
      <xdr:colOff>480662</xdr:colOff>
      <xdr:row>17</xdr:row>
      <xdr:rowOff>16107</xdr:rowOff>
    </xdr:from>
    <xdr:to>
      <xdr:col>6</xdr:col>
      <xdr:colOff>1635425</xdr:colOff>
      <xdr:row>18</xdr:row>
      <xdr:rowOff>5211</xdr:rowOff>
    </xdr:to>
    <xdr:pic>
      <xdr:nvPicPr>
        <xdr:cNvPr id="29" name="Imagen 28">
          <a:extLst>
            <a:ext uri="{FF2B5EF4-FFF2-40B4-BE49-F238E27FC236}">
              <a16:creationId xmlns:a16="http://schemas.microsoft.com/office/drawing/2014/main" id="{00000000-0008-0000-0400-00001D00000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506322" y="8840211"/>
          <a:ext cx="1154763" cy="492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16</xdr:col>
          <xdr:colOff>1581150</xdr:colOff>
          <xdr:row>0</xdr:row>
          <xdr:rowOff>66675</xdr:rowOff>
        </xdr:from>
        <xdr:to>
          <xdr:col>19</xdr:col>
          <xdr:colOff>1019175</xdr:colOff>
          <xdr:row>3</xdr:row>
          <xdr:rowOff>123825</xdr:rowOff>
        </xdr:to>
        <xdr:sp macro="" textlink="">
          <xdr:nvSpPr>
            <xdr:cNvPr id="2610593" name="Object 417" hidden="1">
              <a:extLst>
                <a:ext uri="{63B3BB69-23CF-44E3-9099-C40C66FF867C}">
                  <a14:compatExt spid="_x0000_s2610593"/>
                </a:ext>
                <a:ext uri="{FF2B5EF4-FFF2-40B4-BE49-F238E27FC236}">
                  <a16:creationId xmlns:a16="http://schemas.microsoft.com/office/drawing/2014/main" id="{00000000-0008-0000-0400-0000A1D527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6</xdr:col>
      <xdr:colOff>53916</xdr:colOff>
      <xdr:row>16</xdr:row>
      <xdr:rowOff>71888</xdr:rowOff>
    </xdr:from>
    <xdr:to>
      <xdr:col>6</xdr:col>
      <xdr:colOff>1833114</xdr:colOff>
      <xdr:row>16</xdr:row>
      <xdr:rowOff>467265</xdr:rowOff>
    </xdr:to>
    <mc:AlternateContent xmlns:mc="http://schemas.openxmlformats.org/markup-compatibility/2006" xmlns:a14="http://schemas.microsoft.com/office/drawing/2010/main">
      <mc:Choice Requires="a14">
        <xdr:sp macro="" textlink="">
          <xdr:nvSpPr>
            <xdr:cNvPr id="3" name="CuadroTexto 17">
              <a:extLst>
                <a:ext uri="{FF2B5EF4-FFF2-40B4-BE49-F238E27FC236}">
                  <a16:creationId xmlns:a16="http://schemas.microsoft.com/office/drawing/2014/main" id="{00000000-0008-0000-0400-000003000000}"/>
                </a:ext>
              </a:extLst>
            </xdr:cNvPr>
            <xdr:cNvSpPr txBox="1"/>
          </xdr:nvSpPr>
          <xdr:spPr>
            <a:xfrm>
              <a:off x="4079576" y="8392784"/>
              <a:ext cx="1779198" cy="395377"/>
            </a:xfrm>
            <a:prstGeom prst="rect">
              <a:avLst/>
            </a:prstGeom>
            <a:noFill/>
          </xdr:spPr>
          <xdr:txBody>
            <a:bodyPr wrap="square" lIns="0" tIns="0" rIns="0" bIns="0" rtlCol="0">
              <a:no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a:rPr lang="es-CO" sz="1600" b="0" i="1">
                        <a:latin typeface="Cambria Math" panose="02040503050406030204" pitchFamily="18" charset="0"/>
                      </a:rPr>
                      <m:t>𝑢</m:t>
                    </m:r>
                    <m:d>
                      <m:dPr>
                        <m:ctrlPr>
                          <a:rPr lang="es-CO" sz="1600" b="0" i="1">
                            <a:latin typeface="Cambria Math" panose="02040503050406030204" pitchFamily="18" charset="0"/>
                          </a:rPr>
                        </m:ctrlPr>
                      </m:dPr>
                      <m:e>
                        <m:r>
                          <a:rPr lang="es-CO" sz="1600" b="0" i="1">
                            <a:latin typeface="Cambria Math" panose="02040503050406030204" pitchFamily="18" charset="0"/>
                            <a:ea typeface="Cambria Math" panose="02040503050406030204" pitchFamily="18" charset="0"/>
                          </a:rPr>
                          <m:t>𝛿</m:t>
                        </m:r>
                        <m:sSub>
                          <m:sSubPr>
                            <m:ctrlPr>
                              <a:rPr lang="es-CO" sz="1600" b="0" i="1">
                                <a:latin typeface="Cambria Math" panose="02040503050406030204" pitchFamily="18" charset="0"/>
                                <a:ea typeface="Cambria Math" panose="02040503050406030204" pitchFamily="18" charset="0"/>
                              </a:rPr>
                            </m:ctrlPr>
                          </m:sSubPr>
                          <m:e>
                            <m:r>
                              <a:rPr lang="es-ES" sz="1600" b="0" i="1">
                                <a:latin typeface="Cambria Math" panose="02040503050406030204" pitchFamily="18" charset="0"/>
                                <a:ea typeface="Cambria Math" panose="02040503050406030204" pitchFamily="18" charset="0"/>
                              </a:rPr>
                              <m:t>𝐼</m:t>
                            </m:r>
                          </m:e>
                          <m:sub>
                            <m:r>
                              <a:rPr lang="es-ES" sz="1600" b="0" i="1">
                                <a:latin typeface="Cambria Math" panose="02040503050406030204" pitchFamily="18" charset="0"/>
                                <a:ea typeface="Cambria Math" panose="02040503050406030204" pitchFamily="18" charset="0"/>
                              </a:rPr>
                              <m:t>𝑟𝑒𝑝</m:t>
                            </m:r>
                          </m:sub>
                        </m:sSub>
                      </m:e>
                    </m:d>
                    <m:r>
                      <a:rPr lang="es-CO" sz="1600" b="0" i="1">
                        <a:latin typeface="Cambria Math" panose="02040503050406030204" pitchFamily="18" charset="0"/>
                      </a:rPr>
                      <m:t>=</m:t>
                    </m:r>
                    <m:r>
                      <a:rPr lang="es-ES" sz="1600" b="0" i="1">
                        <a:latin typeface="Cambria Math" panose="02040503050406030204" pitchFamily="18" charset="0"/>
                      </a:rPr>
                      <m:t>𝑠</m:t>
                    </m:r>
                    <m:d>
                      <m:dPr>
                        <m:ctrlPr>
                          <a:rPr lang="es-ES" sz="1600" b="0" i="1">
                            <a:latin typeface="Cambria Math" panose="02040503050406030204" pitchFamily="18" charset="0"/>
                          </a:rPr>
                        </m:ctrlPr>
                      </m:dPr>
                      <m:e>
                        <m:r>
                          <a:rPr lang="es-ES" sz="1600" b="0" i="1">
                            <a:latin typeface="Cambria Math" panose="02040503050406030204" pitchFamily="18" charset="0"/>
                          </a:rPr>
                          <m:t>𝐼</m:t>
                        </m:r>
                      </m:e>
                    </m:d>
                  </m:oMath>
                </m:oMathPara>
              </a14:m>
              <a:endParaRPr lang="es-CO" sz="1600"/>
            </a:p>
          </xdr:txBody>
        </xdr:sp>
      </mc:Choice>
      <mc:Fallback xmlns="">
        <xdr:sp macro="" textlink="">
          <xdr:nvSpPr>
            <xdr:cNvPr id="3" name="CuadroTexto 17">
              <a:extLst>
                <a:ext uri="{FF2B5EF4-FFF2-40B4-BE49-F238E27FC236}">
                  <a16:creationId xmlns:a16="http://schemas.microsoft.com/office/drawing/2014/main" id="{7F284886-80CD-4B21-BD69-B658E0A9EFE5}"/>
                </a:ext>
              </a:extLst>
            </xdr:cNvPr>
            <xdr:cNvSpPr txBox="1"/>
          </xdr:nvSpPr>
          <xdr:spPr>
            <a:xfrm>
              <a:off x="4079576" y="8392784"/>
              <a:ext cx="1779198" cy="395377"/>
            </a:xfrm>
            <a:prstGeom prst="rect">
              <a:avLst/>
            </a:prstGeom>
            <a:noFill/>
          </xdr:spPr>
          <xdr:txBody>
            <a:bodyPr wrap="square" lIns="0" tIns="0" rIns="0" bIns="0" rtlCol="0">
              <a:noAutofit/>
            </a:bodyPr>
            <a:lstStyle>
              <a:defPPr>
                <a:defRPr lang="es-E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r>
                <a:rPr lang="es-CO" sz="1600" b="0" i="0">
                  <a:latin typeface="Cambria Math" panose="02040503050406030204" pitchFamily="18" charset="0"/>
                </a:rPr>
                <a:t>𝑢(</a:t>
              </a:r>
              <a:r>
                <a:rPr lang="es-CO" sz="1600" b="0" i="0">
                  <a:latin typeface="Cambria Math" panose="02040503050406030204" pitchFamily="18" charset="0"/>
                  <a:ea typeface="Cambria Math" panose="02040503050406030204" pitchFamily="18" charset="0"/>
                </a:rPr>
                <a:t>𝛿</a:t>
              </a:r>
              <a:r>
                <a:rPr lang="es-ES" sz="1600" b="0" i="0">
                  <a:latin typeface="Cambria Math" panose="02040503050406030204" pitchFamily="18" charset="0"/>
                  <a:ea typeface="Cambria Math" panose="02040503050406030204" pitchFamily="18" charset="0"/>
                </a:rPr>
                <a:t>𝐼</a:t>
              </a:r>
              <a:r>
                <a:rPr lang="es-CO" sz="1600" b="0" i="0">
                  <a:latin typeface="Cambria Math" panose="02040503050406030204" pitchFamily="18" charset="0"/>
                  <a:ea typeface="Cambria Math" panose="02040503050406030204" pitchFamily="18" charset="0"/>
                </a:rPr>
                <a:t>_</a:t>
              </a:r>
              <a:r>
                <a:rPr lang="es-ES" sz="1600" b="0" i="0">
                  <a:latin typeface="Cambria Math" panose="02040503050406030204" pitchFamily="18" charset="0"/>
                  <a:ea typeface="Cambria Math" panose="02040503050406030204" pitchFamily="18" charset="0"/>
                </a:rPr>
                <a:t>𝑟𝑒𝑝 )</a:t>
              </a:r>
              <a:r>
                <a:rPr lang="es-CO" sz="1600" b="0" i="0">
                  <a:latin typeface="Cambria Math" panose="02040503050406030204" pitchFamily="18" charset="0"/>
                </a:rPr>
                <a:t>=</a:t>
              </a:r>
              <a:r>
                <a:rPr lang="es-ES" sz="1600" b="0" i="0">
                  <a:latin typeface="Cambria Math" panose="02040503050406030204" pitchFamily="18" charset="0"/>
                </a:rPr>
                <a:t>𝑠(𝐼)</a:t>
              </a:r>
              <a:endParaRPr lang="es-CO" sz="1600"/>
            </a:p>
          </xdr:txBody>
        </xdr:sp>
      </mc:Fallback>
    </mc:AlternateContent>
    <xdr:clientData/>
  </xdr:twoCellAnchor>
  <xdr:twoCellAnchor editAs="oneCell">
    <xdr:from>
      <xdr:col>37</xdr:col>
      <xdr:colOff>723900</xdr:colOff>
      <xdr:row>12</xdr:row>
      <xdr:rowOff>76200</xdr:rowOff>
    </xdr:from>
    <xdr:to>
      <xdr:col>37</xdr:col>
      <xdr:colOff>2248113</xdr:colOff>
      <xdr:row>12</xdr:row>
      <xdr:rowOff>419148</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2"/>
        <a:stretch>
          <a:fillRect/>
        </a:stretch>
      </xdr:blipFill>
      <xdr:spPr>
        <a:xfrm>
          <a:off x="42900600" y="4229100"/>
          <a:ext cx="1524213" cy="342948"/>
        </a:xfrm>
        <a:prstGeom prst="rect">
          <a:avLst/>
        </a:prstGeom>
      </xdr:spPr>
    </xdr:pic>
    <xdr:clientData/>
  </xdr:twoCellAnchor>
  <xdr:twoCellAnchor editAs="oneCell">
    <xdr:from>
      <xdr:col>37</xdr:col>
      <xdr:colOff>704850</xdr:colOff>
      <xdr:row>13</xdr:row>
      <xdr:rowOff>209550</xdr:rowOff>
    </xdr:from>
    <xdr:to>
      <xdr:col>37</xdr:col>
      <xdr:colOff>2229063</xdr:colOff>
      <xdr:row>13</xdr:row>
      <xdr:rowOff>552498</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2"/>
        <a:stretch>
          <a:fillRect/>
        </a:stretch>
      </xdr:blipFill>
      <xdr:spPr>
        <a:xfrm>
          <a:off x="42405300" y="3848100"/>
          <a:ext cx="1524213" cy="342948"/>
        </a:xfrm>
        <a:prstGeom prst="rect">
          <a:avLst/>
        </a:prstGeom>
      </xdr:spPr>
    </xdr:pic>
    <xdr:clientData/>
  </xdr:twoCellAnchor>
  <xdr:twoCellAnchor editAs="oneCell">
    <xdr:from>
      <xdr:col>37</xdr:col>
      <xdr:colOff>857250</xdr:colOff>
      <xdr:row>15</xdr:row>
      <xdr:rowOff>266700</xdr:rowOff>
    </xdr:from>
    <xdr:to>
      <xdr:col>37</xdr:col>
      <xdr:colOff>2095673</xdr:colOff>
      <xdr:row>15</xdr:row>
      <xdr:rowOff>562016</xdr:rowOff>
    </xdr:to>
    <xdr:pic>
      <xdr:nvPicPr>
        <xdr:cNvPr id="6" name="Imagen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3"/>
        <a:stretch>
          <a:fillRect/>
        </a:stretch>
      </xdr:blipFill>
      <xdr:spPr>
        <a:xfrm>
          <a:off x="43033950" y="6534150"/>
          <a:ext cx="1238423" cy="295316"/>
        </a:xfrm>
        <a:prstGeom prst="rect">
          <a:avLst/>
        </a:prstGeom>
      </xdr:spPr>
    </xdr:pic>
    <xdr:clientData/>
  </xdr:twoCellAnchor>
  <xdr:twoCellAnchor editAs="oneCell">
    <xdr:from>
      <xdr:col>37</xdr:col>
      <xdr:colOff>495300</xdr:colOff>
      <xdr:row>18</xdr:row>
      <xdr:rowOff>19050</xdr:rowOff>
    </xdr:from>
    <xdr:to>
      <xdr:col>37</xdr:col>
      <xdr:colOff>2934040</xdr:colOff>
      <xdr:row>18</xdr:row>
      <xdr:rowOff>361998</xdr:rowOff>
    </xdr:to>
    <xdr:pic>
      <xdr:nvPicPr>
        <xdr:cNvPr id="7" name="Imagen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4"/>
        <a:stretch>
          <a:fillRect/>
        </a:stretch>
      </xdr:blipFill>
      <xdr:spPr>
        <a:xfrm>
          <a:off x="42672000" y="7581900"/>
          <a:ext cx="2438740" cy="342948"/>
        </a:xfrm>
        <a:prstGeom prst="rect">
          <a:avLst/>
        </a:prstGeom>
      </xdr:spPr>
    </xdr:pic>
    <xdr:clientData/>
  </xdr:twoCellAnchor>
  <xdr:twoCellAnchor editAs="oneCell">
    <xdr:from>
      <xdr:col>37</xdr:col>
      <xdr:colOff>547007</xdr:colOff>
      <xdr:row>20</xdr:row>
      <xdr:rowOff>302078</xdr:rowOff>
    </xdr:from>
    <xdr:to>
      <xdr:col>37</xdr:col>
      <xdr:colOff>1547272</xdr:colOff>
      <xdr:row>20</xdr:row>
      <xdr:rowOff>578342</xdr:rowOff>
    </xdr:to>
    <xdr:pic>
      <xdr:nvPicPr>
        <xdr:cNvPr id="8" name="Imagen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5"/>
        <a:stretch>
          <a:fillRect/>
        </a:stretch>
      </xdr:blipFill>
      <xdr:spPr>
        <a:xfrm>
          <a:off x="42756364" y="9500507"/>
          <a:ext cx="1000265" cy="276264"/>
        </a:xfrm>
        <a:prstGeom prst="rect">
          <a:avLst/>
        </a:prstGeom>
      </xdr:spPr>
    </xdr:pic>
    <xdr:clientData/>
  </xdr:twoCellAnchor>
  <xdr:twoCellAnchor editAs="oneCell">
    <xdr:from>
      <xdr:col>37</xdr:col>
      <xdr:colOff>625929</xdr:colOff>
      <xdr:row>22</xdr:row>
      <xdr:rowOff>27213</xdr:rowOff>
    </xdr:from>
    <xdr:to>
      <xdr:col>37</xdr:col>
      <xdr:colOff>1673825</xdr:colOff>
      <xdr:row>22</xdr:row>
      <xdr:rowOff>293950</xdr:rowOff>
    </xdr:to>
    <xdr:pic>
      <xdr:nvPicPr>
        <xdr:cNvPr id="9" name="Imagen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6"/>
        <a:stretch>
          <a:fillRect/>
        </a:stretch>
      </xdr:blipFill>
      <xdr:spPr>
        <a:xfrm>
          <a:off x="42835286" y="10531927"/>
          <a:ext cx="1047896" cy="266737"/>
        </a:xfrm>
        <a:prstGeom prst="rect">
          <a:avLst/>
        </a:prstGeom>
      </xdr:spPr>
    </xdr:pic>
    <xdr:clientData/>
  </xdr:twoCellAnchor>
  <xdr:twoCellAnchor editAs="oneCell">
    <xdr:from>
      <xdr:col>37</xdr:col>
      <xdr:colOff>258536</xdr:colOff>
      <xdr:row>25</xdr:row>
      <xdr:rowOff>122465</xdr:rowOff>
    </xdr:from>
    <xdr:to>
      <xdr:col>38</xdr:col>
      <xdr:colOff>34450</xdr:colOff>
      <xdr:row>25</xdr:row>
      <xdr:rowOff>379676</xdr:rowOff>
    </xdr:to>
    <xdr:pic>
      <xdr:nvPicPr>
        <xdr:cNvPr id="10" name="Imagen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7"/>
        <a:stretch>
          <a:fillRect/>
        </a:stretch>
      </xdr:blipFill>
      <xdr:spPr>
        <a:xfrm>
          <a:off x="42467893" y="12055929"/>
          <a:ext cx="3096057" cy="257211"/>
        </a:xfrm>
        <a:prstGeom prst="rect">
          <a:avLst/>
        </a:prstGeom>
      </xdr:spPr>
    </xdr:pic>
    <xdr:clientData/>
  </xdr:twoCellAnchor>
  <xdr:twoCellAnchor editAs="oneCell">
    <xdr:from>
      <xdr:col>38</xdr:col>
      <xdr:colOff>625929</xdr:colOff>
      <xdr:row>25</xdr:row>
      <xdr:rowOff>136071</xdr:rowOff>
    </xdr:from>
    <xdr:to>
      <xdr:col>38</xdr:col>
      <xdr:colOff>1130824</xdr:colOff>
      <xdr:row>25</xdr:row>
      <xdr:rowOff>440914</xdr:rowOff>
    </xdr:to>
    <xdr:pic>
      <xdr:nvPicPr>
        <xdr:cNvPr id="11" name="Imagen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18"/>
        <a:stretch>
          <a:fillRect/>
        </a:stretch>
      </xdr:blipFill>
      <xdr:spPr>
        <a:xfrm>
          <a:off x="46335346" y="12084654"/>
          <a:ext cx="504895" cy="304843"/>
        </a:xfrm>
        <a:prstGeom prst="rect">
          <a:avLst/>
        </a:prstGeom>
      </xdr:spPr>
    </xdr:pic>
    <xdr:clientData/>
  </xdr:twoCellAnchor>
  <xdr:twoCellAnchor editAs="oneCell">
    <xdr:from>
      <xdr:col>69</xdr:col>
      <xdr:colOff>314325</xdr:colOff>
      <xdr:row>8</xdr:row>
      <xdr:rowOff>76200</xdr:rowOff>
    </xdr:from>
    <xdr:to>
      <xdr:col>74</xdr:col>
      <xdr:colOff>483053</xdr:colOff>
      <xdr:row>10</xdr:row>
      <xdr:rowOff>266700</xdr:rowOff>
    </xdr:to>
    <xdr:pic>
      <xdr:nvPicPr>
        <xdr:cNvPr id="12" name="Imagen 4">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076325" y="2552700"/>
          <a:ext cx="63055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72</xdr:col>
      <xdr:colOff>19050</xdr:colOff>
      <xdr:row>16</xdr:row>
      <xdr:rowOff>47625</xdr:rowOff>
    </xdr:from>
    <xdr:to>
      <xdr:col>73</xdr:col>
      <xdr:colOff>687336</xdr:colOff>
      <xdr:row>18</xdr:row>
      <xdr:rowOff>0</xdr:rowOff>
    </xdr:to>
    <xdr:pic>
      <xdr:nvPicPr>
        <xdr:cNvPr id="13" name="Imagen 12">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867275" y="4048125"/>
          <a:ext cx="1468386"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72</xdr:col>
      <xdr:colOff>28575</xdr:colOff>
      <xdr:row>19</xdr:row>
      <xdr:rowOff>9524</xdr:rowOff>
    </xdr:from>
    <xdr:to>
      <xdr:col>74</xdr:col>
      <xdr:colOff>354232</xdr:colOff>
      <xdr:row>22</xdr:row>
      <xdr:rowOff>19049</xdr:rowOff>
    </xdr:to>
    <xdr:pic>
      <xdr:nvPicPr>
        <xdr:cNvPr id="14" name="Imagen 13">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876800" y="4581524"/>
          <a:ext cx="2011582"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74</xdr:col>
      <xdr:colOff>180975</xdr:colOff>
      <xdr:row>16</xdr:row>
      <xdr:rowOff>50814</xdr:rowOff>
    </xdr:from>
    <xdr:to>
      <xdr:col>79</xdr:col>
      <xdr:colOff>666750</xdr:colOff>
      <xdr:row>16</xdr:row>
      <xdr:rowOff>352375</xdr:rowOff>
    </xdr:to>
    <xdr:pic>
      <xdr:nvPicPr>
        <xdr:cNvPr id="15" name="Imagen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22"/>
        <a:stretch>
          <a:fillRect/>
        </a:stretch>
      </xdr:blipFill>
      <xdr:spPr>
        <a:xfrm>
          <a:off x="6715125" y="4051314"/>
          <a:ext cx="4391025" cy="301561"/>
        </a:xfrm>
        <a:prstGeom prst="rect">
          <a:avLst/>
        </a:prstGeom>
      </xdr:spPr>
    </xdr:pic>
    <xdr:clientData/>
  </xdr:twoCellAnchor>
  <xdr:twoCellAnchor editAs="oneCell">
    <xdr:from>
      <xdr:col>74</xdr:col>
      <xdr:colOff>571500</xdr:colOff>
      <xdr:row>20</xdr:row>
      <xdr:rowOff>63226</xdr:rowOff>
    </xdr:from>
    <xdr:to>
      <xdr:col>80</xdr:col>
      <xdr:colOff>638175</xdr:colOff>
      <xdr:row>20</xdr:row>
      <xdr:rowOff>352383</xdr:rowOff>
    </xdr:to>
    <xdr:pic>
      <xdr:nvPicPr>
        <xdr:cNvPr id="16" name="Imagen 15">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23"/>
        <a:stretch>
          <a:fillRect/>
        </a:stretch>
      </xdr:blipFill>
      <xdr:spPr>
        <a:xfrm>
          <a:off x="7105650" y="4825726"/>
          <a:ext cx="4733925" cy="2891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314325</xdr:colOff>
      <xdr:row>10</xdr:row>
      <xdr:rowOff>76200</xdr:rowOff>
    </xdr:from>
    <xdr:to>
      <xdr:col>7</xdr:col>
      <xdr:colOff>85725</xdr:colOff>
      <xdr:row>16</xdr:row>
      <xdr:rowOff>76200</xdr:rowOff>
    </xdr:to>
    <xdr:pic>
      <xdr:nvPicPr>
        <xdr:cNvPr id="5015602" name="Imagen 4">
          <a:extLst>
            <a:ext uri="{FF2B5EF4-FFF2-40B4-BE49-F238E27FC236}">
              <a16:creationId xmlns:a16="http://schemas.microsoft.com/office/drawing/2014/main" id="{00000000-0008-0000-0500-000032884C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6325" y="1409700"/>
          <a:ext cx="63055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19050</xdr:colOff>
      <xdr:row>18</xdr:row>
      <xdr:rowOff>47625</xdr:rowOff>
    </xdr:from>
    <xdr:to>
      <xdr:col>5</xdr:col>
      <xdr:colOff>687336</xdr:colOff>
      <xdr:row>20</xdr:row>
      <xdr:rowOff>0</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867275" y="4048125"/>
          <a:ext cx="1468386"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28575</xdr:colOff>
      <xdr:row>21</xdr:row>
      <xdr:rowOff>9524</xdr:rowOff>
    </xdr:from>
    <xdr:to>
      <xdr:col>6</xdr:col>
      <xdr:colOff>354232</xdr:colOff>
      <xdr:row>24</xdr:row>
      <xdr:rowOff>19049</xdr:rowOff>
    </xdr:to>
    <xdr:pic>
      <xdr:nvPicPr>
        <xdr:cNvPr id="4" name="Imagen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876800" y="4581524"/>
          <a:ext cx="2011582"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238125</xdr:colOff>
      <xdr:row>36</xdr:row>
      <xdr:rowOff>9525</xdr:rowOff>
    </xdr:from>
    <xdr:ext cx="1619250" cy="245452"/>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00000000-0008-0000-0500-000005000000}"/>
                </a:ext>
              </a:extLst>
            </xdr:cNvPr>
            <xdr:cNvSpPr txBox="1"/>
          </xdr:nvSpPr>
          <xdr:spPr>
            <a:xfrm>
              <a:off x="1000125" y="7658100"/>
              <a:ext cx="1619250" cy="245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000" b="0" i="1">
                        <a:latin typeface="Cambria Math" panose="02040503050406030204" pitchFamily="18" charset="0"/>
                      </a:rPr>
                      <m:t>𝑢</m:t>
                    </m:r>
                    <m:r>
                      <a:rPr lang="es-ES" sz="1000" b="0" i="1">
                        <a:latin typeface="Cambria Math" panose="02040503050406030204" pitchFamily="18" charset="0"/>
                      </a:rPr>
                      <m:t>(</m:t>
                    </m:r>
                    <m:r>
                      <a:rPr lang="es-ES" sz="1000" b="0" i="1">
                        <a:latin typeface="Cambria Math" panose="02040503050406030204" pitchFamily="18" charset="0"/>
                        <a:ea typeface="Cambria Math" panose="02040503050406030204" pitchFamily="18" charset="0"/>
                      </a:rPr>
                      <m:t>𝛿</m:t>
                    </m:r>
                    <m:sSub>
                      <m:sSubPr>
                        <m:ctrlPr>
                          <a:rPr lang="es-ES" sz="1000" b="0" i="1">
                            <a:latin typeface="Cambria Math" panose="02040503050406030204" pitchFamily="18" charset="0"/>
                            <a:ea typeface="Cambria Math" panose="02040503050406030204" pitchFamily="18" charset="0"/>
                          </a:rPr>
                        </m:ctrlPr>
                      </m:sSubPr>
                      <m:e>
                        <m:r>
                          <a:rPr lang="es-ES" sz="1000" b="0" i="1">
                            <a:latin typeface="Cambria Math" panose="02040503050406030204" pitchFamily="18" charset="0"/>
                            <a:ea typeface="Cambria Math" panose="02040503050406030204" pitchFamily="18" charset="0"/>
                          </a:rPr>
                          <m:t>𝑚</m:t>
                        </m:r>
                      </m:e>
                      <m:sub>
                        <m:r>
                          <a:rPr lang="es-ES" sz="1000" b="0" i="1">
                            <a:latin typeface="Cambria Math" panose="02040503050406030204" pitchFamily="18" charset="0"/>
                            <a:ea typeface="Cambria Math" panose="02040503050406030204" pitchFamily="18" charset="0"/>
                          </a:rPr>
                          <m:t>𝐷</m:t>
                        </m:r>
                      </m:sub>
                    </m:sSub>
                    <m:r>
                      <a:rPr lang="es-ES" sz="1000" b="0" i="1">
                        <a:latin typeface="Cambria Math" panose="02040503050406030204" pitchFamily="18" charset="0"/>
                        <a:ea typeface="Cambria Math" panose="02040503050406030204" pitchFamily="18" charset="0"/>
                      </a:rPr>
                      <m:t>)</m:t>
                    </m:r>
                    <m:r>
                      <a:rPr lang="es-ES" sz="1000" b="0" i="1">
                        <a:latin typeface="Cambria Math" panose="02040503050406030204" pitchFamily="18" charset="0"/>
                      </a:rPr>
                      <m:t>=</m:t>
                    </m:r>
                    <m:f>
                      <m:fPr>
                        <m:type m:val="skw"/>
                        <m:ctrlPr>
                          <a:rPr lang="es-ES" sz="1000" b="0" i="1">
                            <a:latin typeface="Cambria Math" panose="02040503050406030204" pitchFamily="18" charset="0"/>
                          </a:rPr>
                        </m:ctrlPr>
                      </m:fPr>
                      <m:num>
                        <m:r>
                          <a:rPr lang="es-ES" sz="1000" b="0" i="1">
                            <a:latin typeface="Cambria Math" panose="02040503050406030204" pitchFamily="18" charset="0"/>
                          </a:rPr>
                          <m:t>𝐷𝑒𝑟𝑖𝑣𝑎</m:t>
                        </m:r>
                      </m:num>
                      <m:den>
                        <m:rad>
                          <m:radPr>
                            <m:degHide m:val="on"/>
                            <m:ctrlPr>
                              <a:rPr lang="es-ES" sz="1000" b="0" i="1">
                                <a:latin typeface="Cambria Math" panose="02040503050406030204" pitchFamily="18" charset="0"/>
                              </a:rPr>
                            </m:ctrlPr>
                          </m:radPr>
                          <m:deg/>
                          <m:e>
                            <m:r>
                              <a:rPr lang="es-ES" sz="1000" b="0" i="1">
                                <a:latin typeface="Cambria Math" panose="02040503050406030204" pitchFamily="18" charset="0"/>
                              </a:rPr>
                              <m:t>3</m:t>
                            </m:r>
                          </m:e>
                        </m:rad>
                      </m:den>
                    </m:f>
                  </m:oMath>
                </m:oMathPara>
              </a14:m>
              <a:endParaRPr lang="es-ES" sz="1000"/>
            </a:p>
          </xdr:txBody>
        </xdr:sp>
      </mc:Choice>
      <mc:Fallback xmlns="">
        <xdr:sp macro="" textlink="">
          <xdr:nvSpPr>
            <xdr:cNvPr id="5" name="CuadroTexto 4">
              <a:extLst>
                <a:ext uri="{FF2B5EF4-FFF2-40B4-BE49-F238E27FC236}">
                  <a16:creationId xmlns:a16="http://schemas.microsoft.com/office/drawing/2014/main" id="{00000000-0008-0000-0500-000005000000}"/>
                </a:ext>
              </a:extLst>
            </xdr:cNvPr>
            <xdr:cNvSpPr txBox="1"/>
          </xdr:nvSpPr>
          <xdr:spPr>
            <a:xfrm>
              <a:off x="1000125" y="7658100"/>
              <a:ext cx="1619250" cy="245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000" b="0" i="0">
                  <a:latin typeface="Cambria Math" panose="02040503050406030204" pitchFamily="18" charset="0"/>
                </a:rPr>
                <a:t>𝑢(</a:t>
              </a:r>
              <a:r>
                <a:rPr lang="es-ES" sz="1000" b="0" i="0">
                  <a:latin typeface="Cambria Math" panose="02040503050406030204" pitchFamily="18" charset="0"/>
                  <a:ea typeface="Cambria Math" panose="02040503050406030204" pitchFamily="18" charset="0"/>
                </a:rPr>
                <a:t>𝛿𝑚_𝐷)</a:t>
              </a:r>
              <a:r>
                <a:rPr lang="es-ES" sz="1000" b="0" i="0">
                  <a:latin typeface="Cambria Math" panose="02040503050406030204" pitchFamily="18" charset="0"/>
                </a:rPr>
                <a:t>=𝐷𝑒𝑟𝑖𝑣𝑎⁄√3</a:t>
              </a:r>
              <a:endParaRPr lang="es-ES" sz="1000"/>
            </a:p>
          </xdr:txBody>
        </xdr:sp>
      </mc:Fallback>
    </mc:AlternateContent>
    <xdr:clientData/>
  </xdr:oneCellAnchor>
  <mc:AlternateContent xmlns:mc="http://schemas.openxmlformats.org/markup-compatibility/2006">
    <mc:Choice xmlns:a14="http://schemas.microsoft.com/office/drawing/2010/main" Requires="a14">
      <xdr:twoCellAnchor>
        <xdr:from>
          <xdr:col>18</xdr:col>
          <xdr:colOff>285750</xdr:colOff>
          <xdr:row>1</xdr:row>
          <xdr:rowOff>19050</xdr:rowOff>
        </xdr:from>
        <xdr:to>
          <xdr:col>20</xdr:col>
          <xdr:colOff>304800</xdr:colOff>
          <xdr:row>2</xdr:row>
          <xdr:rowOff>371475</xdr:rowOff>
        </xdr:to>
        <xdr:sp macro="" textlink="">
          <xdr:nvSpPr>
            <xdr:cNvPr id="5015584" name="Object 32" hidden="1">
              <a:extLst>
                <a:ext uri="{63B3BB69-23CF-44E3-9099-C40C66FF867C}">
                  <a14:compatExt spid="_x0000_s5015584"/>
                </a:ext>
                <a:ext uri="{FF2B5EF4-FFF2-40B4-BE49-F238E27FC236}">
                  <a16:creationId xmlns:a16="http://schemas.microsoft.com/office/drawing/2014/main" id="{00000000-0008-0000-0500-000020884C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6</xdr:col>
      <xdr:colOff>180975</xdr:colOff>
      <xdr:row>18</xdr:row>
      <xdr:rowOff>50814</xdr:rowOff>
    </xdr:from>
    <xdr:to>
      <xdr:col>12</xdr:col>
      <xdr:colOff>0</xdr:colOff>
      <xdr:row>19</xdr:row>
      <xdr:rowOff>161875</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4"/>
        <a:stretch>
          <a:fillRect/>
        </a:stretch>
      </xdr:blipFill>
      <xdr:spPr>
        <a:xfrm>
          <a:off x="6715125" y="4051314"/>
          <a:ext cx="4391025" cy="301561"/>
        </a:xfrm>
        <a:prstGeom prst="rect">
          <a:avLst/>
        </a:prstGeom>
      </xdr:spPr>
    </xdr:pic>
    <xdr:clientData/>
  </xdr:twoCellAnchor>
  <xdr:twoCellAnchor editAs="oneCell">
    <xdr:from>
      <xdr:col>6</xdr:col>
      <xdr:colOff>571500</xdr:colOff>
      <xdr:row>22</xdr:row>
      <xdr:rowOff>63226</xdr:rowOff>
    </xdr:from>
    <xdr:to>
      <xdr:col>12</xdr:col>
      <xdr:colOff>733425</xdr:colOff>
      <xdr:row>23</xdr:row>
      <xdr:rowOff>161883</xdr:rowOff>
    </xdr:to>
    <xdr:pic>
      <xdr:nvPicPr>
        <xdr:cNvPr id="6" name="Imagen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5"/>
        <a:stretch>
          <a:fillRect/>
        </a:stretch>
      </xdr:blipFill>
      <xdr:spPr>
        <a:xfrm>
          <a:off x="7105650" y="4825726"/>
          <a:ext cx="4733925" cy="28915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13607</xdr:colOff>
      <xdr:row>0</xdr:row>
      <xdr:rowOff>95250</xdr:rowOff>
    </xdr:from>
    <xdr:to>
      <xdr:col>33</xdr:col>
      <xdr:colOff>0</xdr:colOff>
      <xdr:row>3</xdr:row>
      <xdr:rowOff>180975</xdr:rowOff>
    </xdr:to>
    <xdr:grpSp>
      <xdr:nvGrpSpPr>
        <xdr:cNvPr id="2" name="1 Grupo">
          <a:extLst>
            <a:ext uri="{FF2B5EF4-FFF2-40B4-BE49-F238E27FC236}">
              <a16:creationId xmlns:a16="http://schemas.microsoft.com/office/drawing/2014/main" id="{00000000-0008-0000-0600-000002000000}"/>
            </a:ext>
          </a:extLst>
        </xdr:cNvPr>
        <xdr:cNvGrpSpPr>
          <a:grpSpLocks/>
        </xdr:cNvGrpSpPr>
      </xdr:nvGrpSpPr>
      <xdr:grpSpPr bwMode="auto">
        <a:xfrm>
          <a:off x="13607" y="95250"/>
          <a:ext cx="13212536" cy="983796"/>
          <a:chOff x="685800" y="457200"/>
          <a:chExt cx="6457950" cy="752476"/>
        </a:xfrm>
      </xdr:grpSpPr>
      <xdr:sp macro="" textlink="">
        <xdr:nvSpPr>
          <xdr:cNvPr id="3" name="2 CuadroTexto">
            <a:extLst>
              <a:ext uri="{FF2B5EF4-FFF2-40B4-BE49-F238E27FC236}">
                <a16:creationId xmlns:a16="http://schemas.microsoft.com/office/drawing/2014/main" id="{00000000-0008-0000-0600-000003000000}"/>
              </a:ext>
            </a:extLst>
          </xdr:cNvPr>
          <xdr:cNvSpPr txBox="1"/>
        </xdr:nvSpPr>
        <xdr:spPr>
          <a:xfrm>
            <a:off x="692324" y="790247"/>
            <a:ext cx="2596227" cy="415557"/>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MX" sz="1100">
                <a:solidFill>
                  <a:schemeClr val="dk1"/>
                </a:solidFill>
                <a:effectLst/>
                <a:latin typeface="+mn-lt"/>
                <a:ea typeface="+mn-ea"/>
                <a:cs typeface="+mn-cs"/>
              </a:rPr>
              <a:t>Código: </a:t>
            </a:r>
            <a:r>
              <a:rPr lang="es-MX" sz="1100" baseline="0">
                <a:solidFill>
                  <a:schemeClr val="dk1"/>
                </a:solidFill>
                <a:effectLst/>
                <a:latin typeface="+mn-lt"/>
                <a:ea typeface="+mn-ea"/>
                <a:cs typeface="+mn-cs"/>
              </a:rPr>
              <a:t> </a:t>
            </a:r>
            <a:r>
              <a:rPr lang="es-MX" sz="1100">
                <a:solidFill>
                  <a:schemeClr val="dk1"/>
                </a:solidFill>
                <a:effectLst/>
                <a:latin typeface="+mn-lt"/>
                <a:ea typeface="+mn-ea"/>
                <a:cs typeface="+mn-cs"/>
              </a:rPr>
              <a:t>LC-FR-19</a:t>
            </a:r>
            <a:endParaRPr lang="es-CO" sz="1100"/>
          </a:p>
        </xdr:txBody>
      </xdr:sp>
      <xdr:sp macro="" textlink="">
        <xdr:nvSpPr>
          <xdr:cNvPr id="4" name="3 CuadroTexto">
            <a:extLst>
              <a:ext uri="{FF2B5EF4-FFF2-40B4-BE49-F238E27FC236}">
                <a16:creationId xmlns:a16="http://schemas.microsoft.com/office/drawing/2014/main" id="{00000000-0008-0000-0600-000004000000}"/>
              </a:ext>
            </a:extLst>
          </xdr:cNvPr>
          <xdr:cNvSpPr txBox="1"/>
        </xdr:nvSpPr>
        <xdr:spPr>
          <a:xfrm>
            <a:off x="3268981" y="779838"/>
            <a:ext cx="2376795" cy="429837"/>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solidFill>
                  <a:schemeClr val="dk1"/>
                </a:solidFill>
                <a:effectLst/>
                <a:latin typeface="+mn-lt"/>
                <a:ea typeface="+mn-ea"/>
                <a:cs typeface="+mn-cs"/>
              </a:rPr>
              <a:t>Versión: 1</a:t>
            </a:r>
            <a:endParaRPr lang="es-CO" sz="1100"/>
          </a:p>
        </xdr:txBody>
      </xdr:sp>
      <xdr:sp macro="" textlink="">
        <xdr:nvSpPr>
          <xdr:cNvPr id="5" name="4 CuadroTexto">
            <a:extLst>
              <a:ext uri="{FF2B5EF4-FFF2-40B4-BE49-F238E27FC236}">
                <a16:creationId xmlns:a16="http://schemas.microsoft.com/office/drawing/2014/main" id="{00000000-0008-0000-0600-000005000000}"/>
              </a:ext>
            </a:extLst>
          </xdr:cNvPr>
          <xdr:cNvSpPr txBox="1"/>
        </xdr:nvSpPr>
        <xdr:spPr>
          <a:xfrm>
            <a:off x="685800" y="457200"/>
            <a:ext cx="4953904" cy="343454"/>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MX" sz="1100">
                <a:solidFill>
                  <a:schemeClr val="dk1"/>
                </a:solidFill>
                <a:effectLst/>
                <a:latin typeface="+mn-lt"/>
                <a:ea typeface="+mn-ea"/>
                <a:cs typeface="+mn-cs"/>
              </a:rPr>
              <a:t>Formato Calibración Instrumentos de Pesaje de Funcionamiento no Automático</a:t>
            </a:r>
            <a:endParaRPr lang="es-CO" sz="1100">
              <a:solidFill>
                <a:schemeClr val="dk1"/>
              </a:solidFill>
              <a:effectLst/>
              <a:latin typeface="+mn-lt"/>
              <a:ea typeface="+mn-ea"/>
              <a:cs typeface="+mn-cs"/>
            </a:endParaRPr>
          </a:p>
          <a:p>
            <a:pPr algn="ctr"/>
            <a:endParaRPr lang="es-CO" sz="1100" b="0"/>
          </a:p>
        </xdr:txBody>
      </xdr:sp>
      <xdr:sp macro="" textlink="">
        <xdr:nvSpPr>
          <xdr:cNvPr id="6" name="5 CuadroTexto">
            <a:extLst>
              <a:ext uri="{FF2B5EF4-FFF2-40B4-BE49-F238E27FC236}">
                <a16:creationId xmlns:a16="http://schemas.microsoft.com/office/drawing/2014/main" id="{00000000-0008-0000-0600-000006000000}"/>
              </a:ext>
            </a:extLst>
          </xdr:cNvPr>
          <xdr:cNvSpPr txBox="1"/>
        </xdr:nvSpPr>
        <xdr:spPr>
          <a:xfrm>
            <a:off x="5616161" y="457200"/>
            <a:ext cx="1527589" cy="752476"/>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a:p>
        </xdr:txBody>
      </xdr:sp>
      <mc:AlternateContent xmlns:mc="http://schemas.openxmlformats.org/markup-compatibility/2006">
        <mc:Choice xmlns:a14="http://schemas.microsoft.com/office/drawing/2010/main" Requires="a14">
          <xdr:sp macro="" textlink="">
            <xdr:nvSpPr>
              <xdr:cNvPr id="5021697" name="Object 1" hidden="1">
                <a:extLst>
                  <a:ext uri="{63B3BB69-23CF-44E3-9099-C40C66FF867C}">
                    <a14:compatExt spid="_x0000_s5021697"/>
                  </a:ext>
                  <a:ext uri="{FF2B5EF4-FFF2-40B4-BE49-F238E27FC236}">
                    <a16:creationId xmlns:a16="http://schemas.microsoft.com/office/drawing/2014/main" id="{00000000-0008-0000-0600-000001A04C00}"/>
                  </a:ext>
                </a:extLst>
              </xdr:cNvPr>
              <xdr:cNvSpPr/>
            </xdr:nvSpPr>
            <xdr:spPr bwMode="auto">
              <a:xfrm>
                <a:off x="5717788" y="584310"/>
                <a:ext cx="1190516" cy="445415"/>
              </a:xfrm>
              <a:prstGeom prst="rect">
                <a:avLst/>
              </a:prstGeom>
              <a:noFill/>
              <a:extLst>
                <a:ext uri="{909E8E84-426E-40DD-AFC4-6F175D3DCCD1}">
                  <a14:hiddenFill>
                    <a:solidFill>
                      <a:srgbClr val="FFFFFF"/>
                    </a:solidFill>
                  </a14:hiddenFill>
                </a:ext>
              </a:extLst>
            </xdr:spPr>
          </xdr:sp>
        </mc:Choice>
        <mc:Fallback/>
      </mc:AlternateContent>
    </xdr:grpSp>
    <xdr:clientData/>
  </xdr:twoCellAnchor>
  <xdr:twoCellAnchor editAs="oneCell">
    <xdr:from>
      <xdr:col>0</xdr:col>
      <xdr:colOff>103092</xdr:colOff>
      <xdr:row>56</xdr:row>
      <xdr:rowOff>20170</xdr:rowOff>
    </xdr:from>
    <xdr:to>
      <xdr:col>8</xdr:col>
      <xdr:colOff>51227</xdr:colOff>
      <xdr:row>58</xdr:row>
      <xdr:rowOff>210108</xdr:rowOff>
    </xdr:to>
    <xdr:pic>
      <xdr:nvPicPr>
        <xdr:cNvPr id="8" name="1 Imagen">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9710" y="14531788"/>
          <a:ext cx="2911290" cy="7726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33</xdr:col>
      <xdr:colOff>195095</xdr:colOff>
      <xdr:row>65</xdr:row>
      <xdr:rowOff>103283</xdr:rowOff>
    </xdr:from>
    <xdr:to>
      <xdr:col>50</xdr:col>
      <xdr:colOff>9708</xdr:colOff>
      <xdr:row>82</xdr:row>
      <xdr:rowOff>96282</xdr:rowOff>
    </xdr:to>
    <xdr:pic>
      <xdr:nvPicPr>
        <xdr:cNvPr id="4" name="Imagen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27783167" y="13277620"/>
          <a:ext cx="5391902" cy="328658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738186</xdr:colOff>
      <xdr:row>131</xdr:row>
      <xdr:rowOff>0</xdr:rowOff>
    </xdr:from>
    <xdr:to>
      <xdr:col>16</xdr:col>
      <xdr:colOff>83343</xdr:colOff>
      <xdr:row>148</xdr:row>
      <xdr:rowOff>35719</xdr:rowOff>
    </xdr:to>
    <xdr:graphicFrame macro="">
      <xdr:nvGraphicFramePr>
        <xdr:cNvPr id="2" name="3 Gráfico">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123825</xdr:colOff>
      <xdr:row>134</xdr:row>
      <xdr:rowOff>57150</xdr:rowOff>
    </xdr:from>
    <xdr:to>
      <xdr:col>19</xdr:col>
      <xdr:colOff>230982</xdr:colOff>
      <xdr:row>151</xdr:row>
      <xdr:rowOff>92869</xdr:rowOff>
    </xdr:to>
    <xdr:graphicFrame macro="">
      <xdr:nvGraphicFramePr>
        <xdr:cNvPr id="2" name="3 Gráfico">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371475</xdr:colOff>
      <xdr:row>0</xdr:row>
      <xdr:rowOff>114300</xdr:rowOff>
    </xdr:from>
    <xdr:to>
      <xdr:col>15</xdr:col>
      <xdr:colOff>514350</xdr:colOff>
      <xdr:row>6</xdr:row>
      <xdr:rowOff>9525</xdr:rowOff>
    </xdr:to>
    <xdr:pic>
      <xdr:nvPicPr>
        <xdr:cNvPr id="4957237" name="Imagen 4">
          <a:extLst>
            <a:ext uri="{FF2B5EF4-FFF2-40B4-BE49-F238E27FC236}">
              <a16:creationId xmlns:a16="http://schemas.microsoft.com/office/drawing/2014/main" id="{00000000-0008-0000-1000-000035A44B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15625" y="114300"/>
          <a:ext cx="64579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ecserverdatos\CORPORATIVOS\Documentos\Desacargas\LC-FR-19%20Calibraci&#243;n%20instrumentos%20de%20pesaje-PRUEBA%20VIERN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tificado de calibración"/>
      <sheetName val="Formato"/>
      <sheetName val="Estimación de la Incertidumbre"/>
      <sheetName val="Calculos"/>
      <sheetName val="Errores  Patrones"/>
    </sheetNames>
    <sheetDataSet>
      <sheetData sheetId="0"/>
      <sheetData sheetId="1">
        <row r="18">
          <cell r="I18" t="str">
            <v>g</v>
          </cell>
        </row>
      </sheetData>
      <sheetData sheetId="2"/>
      <sheetData sheetId="3"/>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youtu.be/WtRRT4YwAyM?si=vyZ179gciL1UpRil"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omments" Target="../comments2.xml"/><Relationship Id="rId5" Type="http://schemas.openxmlformats.org/officeDocument/2006/relationships/image" Target="../media/image9.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3.vml"/><Relationship Id="rId7" Type="http://schemas.openxmlformats.org/officeDocument/2006/relationships/oleObject" Target="../embeddings/oleObject3.bin"/><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image" Target="../media/image9.emf"/><Relationship Id="rId5" Type="http://schemas.openxmlformats.org/officeDocument/2006/relationships/oleObject" Target="../embeddings/oleObject2.bin"/><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comments" Target="../comments4.xml"/><Relationship Id="rId5" Type="http://schemas.openxmlformats.org/officeDocument/2006/relationships/image" Target="../media/image9.emf"/><Relationship Id="rId4" Type="http://schemas.openxmlformats.org/officeDocument/2006/relationships/oleObject" Target="../embeddings/oleObject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4.bin"/><Relationship Id="rId6" Type="http://schemas.openxmlformats.org/officeDocument/2006/relationships/comments" Target="../comments5.xml"/><Relationship Id="rId5" Type="http://schemas.openxmlformats.org/officeDocument/2006/relationships/image" Target="../media/image9.emf"/><Relationship Id="rId4" Type="http://schemas.openxmlformats.org/officeDocument/2006/relationships/oleObject" Target="../embeddings/oleObject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5.bin"/><Relationship Id="rId6" Type="http://schemas.openxmlformats.org/officeDocument/2006/relationships/comments" Target="../comments6.xml"/><Relationship Id="rId5" Type="http://schemas.openxmlformats.org/officeDocument/2006/relationships/image" Target="../media/image27.png"/><Relationship Id="rId4" Type="http://schemas.openxmlformats.org/officeDocument/2006/relationships/oleObject" Target="../embeddings/oleObject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19"/>
  <sheetViews>
    <sheetView topLeftCell="E10" workbookViewId="0">
      <selection activeCell="N15" sqref="N15"/>
    </sheetView>
  </sheetViews>
  <sheetFormatPr baseColWidth="10" defaultColWidth="30.5703125" defaultRowHeight="64.5" customHeight="1"/>
  <cols>
    <col min="1" max="2" width="20.5703125" style="140" customWidth="1"/>
    <col min="9" max="9" width="13.5703125" style="325" customWidth="1"/>
    <col min="10" max="10" width="0" hidden="1" customWidth="1"/>
    <col min="11" max="11" width="0" style="325" hidden="1" customWidth="1"/>
    <col min="12" max="12" width="8" style="325" hidden="1" customWidth="1"/>
  </cols>
  <sheetData>
    <row r="1" spans="1:12" ht="64.5" customHeight="1">
      <c r="A1" s="213">
        <v>0</v>
      </c>
      <c r="B1" s="213">
        <v>8</v>
      </c>
      <c r="C1" s="322" t="s">
        <v>1079</v>
      </c>
      <c r="D1" s="322" t="s">
        <v>1366</v>
      </c>
      <c r="E1" s="323" t="s">
        <v>1080</v>
      </c>
      <c r="F1" s="641" t="s">
        <v>1375</v>
      </c>
      <c r="G1" s="323" t="s">
        <v>1373</v>
      </c>
      <c r="H1" s="323" t="s">
        <v>1374</v>
      </c>
      <c r="I1" s="324">
        <v>7.6000000000000001E-6</v>
      </c>
      <c r="J1" s="656">
        <f>I1</f>
        <v>7.6000000000000001E-6</v>
      </c>
      <c r="K1" s="213">
        <f>0.001/1000</f>
        <v>9.9999999999999995E-7</v>
      </c>
      <c r="L1" s="213" t="s">
        <v>0</v>
      </c>
    </row>
    <row r="2" spans="1:12" ht="64.5" customHeight="1">
      <c r="A2" s="343">
        <f>A1*1000</f>
        <v>0</v>
      </c>
      <c r="B2" s="343">
        <f>B1*1000</f>
        <v>8000</v>
      </c>
      <c r="C2" s="344"/>
      <c r="D2" s="344"/>
      <c r="E2" s="345"/>
      <c r="F2" s="345" t="s">
        <v>1376</v>
      </c>
      <c r="G2" s="345"/>
      <c r="H2" s="345"/>
      <c r="I2" s="324">
        <f>I1</f>
        <v>7.6000000000000001E-6</v>
      </c>
      <c r="J2" s="656">
        <f>I2</f>
        <v>7.6000000000000001E-6</v>
      </c>
      <c r="K2" s="213">
        <v>1E-3</v>
      </c>
      <c r="L2" s="213" t="s">
        <v>194</v>
      </c>
    </row>
    <row r="3" spans="1:12" ht="64.5" customHeight="1">
      <c r="A3" s="213">
        <v>8</v>
      </c>
      <c r="B3" s="213">
        <v>120</v>
      </c>
      <c r="C3" s="322" t="s">
        <v>1079</v>
      </c>
      <c r="D3" s="322" t="s">
        <v>1366</v>
      </c>
      <c r="E3" s="323" t="s">
        <v>1080</v>
      </c>
      <c r="F3" s="641" t="s">
        <v>1377</v>
      </c>
      <c r="G3" s="323" t="s">
        <v>1378</v>
      </c>
      <c r="H3" s="323" t="s">
        <v>1379</v>
      </c>
      <c r="I3" s="324">
        <v>1.3E-6</v>
      </c>
      <c r="J3" s="656">
        <f t="shared" ref="J3:J17" si="0">I3</f>
        <v>1.3E-6</v>
      </c>
      <c r="K3" s="213">
        <f>0.01/1000</f>
        <v>1.0000000000000001E-5</v>
      </c>
      <c r="L3" s="213" t="s">
        <v>0</v>
      </c>
    </row>
    <row r="4" spans="1:12" ht="64.5" customHeight="1">
      <c r="A4" s="343">
        <f>A3*1000</f>
        <v>8000</v>
      </c>
      <c r="B4" s="343">
        <f>B3*1000</f>
        <v>120000</v>
      </c>
      <c r="C4" s="344"/>
      <c r="D4" s="344"/>
      <c r="E4" s="345"/>
      <c r="F4" s="345" t="s">
        <v>1382</v>
      </c>
      <c r="G4" s="345"/>
      <c r="H4" s="345"/>
      <c r="I4" s="346">
        <f>I3</f>
        <v>1.3E-6</v>
      </c>
      <c r="J4" s="656">
        <f t="shared" si="0"/>
        <v>1.3E-6</v>
      </c>
      <c r="K4" s="213">
        <v>0.01</v>
      </c>
      <c r="L4" s="213" t="s">
        <v>194</v>
      </c>
    </row>
    <row r="5" spans="1:12" s="212" customFormat="1" ht="64.5" customHeight="1">
      <c r="A5" s="213">
        <v>120</v>
      </c>
      <c r="B5" s="213">
        <v>510</v>
      </c>
      <c r="C5" s="322" t="s">
        <v>1079</v>
      </c>
      <c r="D5" s="322" t="s">
        <v>1366</v>
      </c>
      <c r="E5" s="323" t="s">
        <v>1080</v>
      </c>
      <c r="F5" s="641" t="s">
        <v>1380</v>
      </c>
      <c r="G5" s="323" t="s">
        <v>1081</v>
      </c>
      <c r="H5" s="323" t="s">
        <v>1381</v>
      </c>
      <c r="I5" s="324">
        <v>9.1999999999999998E-7</v>
      </c>
      <c r="J5" s="656">
        <f t="shared" si="0"/>
        <v>9.1999999999999998E-7</v>
      </c>
      <c r="K5" s="490">
        <f>0.1/1000</f>
        <v>1E-4</v>
      </c>
      <c r="L5" s="490" t="s">
        <v>194</v>
      </c>
    </row>
    <row r="6" spans="1:12" s="212" customFormat="1" ht="64.5" customHeight="1">
      <c r="A6" s="343">
        <f>A5*1000</f>
        <v>120000</v>
      </c>
      <c r="B6" s="343">
        <f>B5*1000</f>
        <v>510000</v>
      </c>
      <c r="C6" s="344"/>
      <c r="D6" s="344"/>
      <c r="E6" s="345"/>
      <c r="F6" s="345" t="s">
        <v>1383</v>
      </c>
      <c r="G6" s="345"/>
      <c r="H6" s="345"/>
      <c r="I6" s="346">
        <f>I5</f>
        <v>9.1999999999999998E-7</v>
      </c>
      <c r="J6" s="656">
        <f t="shared" si="0"/>
        <v>9.1999999999999998E-7</v>
      </c>
      <c r="K6" s="490">
        <v>0.1</v>
      </c>
      <c r="L6" s="490" t="s">
        <v>194</v>
      </c>
    </row>
    <row r="7" spans="1:12" ht="64.5" customHeight="1">
      <c r="A7" s="213">
        <v>510</v>
      </c>
      <c r="B7" s="213">
        <v>1200</v>
      </c>
      <c r="C7" s="322" t="s">
        <v>1079</v>
      </c>
      <c r="D7" s="322" t="s">
        <v>1366</v>
      </c>
      <c r="E7" s="323" t="s">
        <v>1080</v>
      </c>
      <c r="F7" s="641" t="s">
        <v>1384</v>
      </c>
      <c r="G7" s="323" t="s">
        <v>1082</v>
      </c>
      <c r="H7" s="323" t="s">
        <v>1389</v>
      </c>
      <c r="I7" s="324">
        <v>3.0000000000000001E-6</v>
      </c>
      <c r="J7" s="656">
        <f t="shared" si="0"/>
        <v>3.0000000000000001E-6</v>
      </c>
      <c r="K7" s="213">
        <f>1/1000</f>
        <v>1E-3</v>
      </c>
      <c r="L7" s="213" t="s">
        <v>0</v>
      </c>
    </row>
    <row r="8" spans="1:12" s="347" customFormat="1" ht="64.5" customHeight="1">
      <c r="A8" s="343">
        <f>A7*1000</f>
        <v>510000</v>
      </c>
      <c r="B8" s="343">
        <f>B7*1000</f>
        <v>1200000</v>
      </c>
      <c r="C8" s="344"/>
      <c r="D8" s="344"/>
      <c r="E8" s="345"/>
      <c r="F8" s="345" t="s">
        <v>1385</v>
      </c>
      <c r="G8" s="345"/>
      <c r="H8" s="345"/>
      <c r="I8" s="346">
        <f>I7</f>
        <v>3.0000000000000001E-6</v>
      </c>
      <c r="J8" s="656">
        <f t="shared" si="0"/>
        <v>3.0000000000000001E-6</v>
      </c>
      <c r="K8" s="343">
        <v>1</v>
      </c>
      <c r="L8" s="343" t="s">
        <v>194</v>
      </c>
    </row>
    <row r="9" spans="1:12" ht="64.5" customHeight="1">
      <c r="A9" s="490">
        <v>1200</v>
      </c>
      <c r="B9" s="490">
        <v>8100</v>
      </c>
      <c r="C9" s="322" t="s">
        <v>1079</v>
      </c>
      <c r="D9" s="322" t="s">
        <v>1366</v>
      </c>
      <c r="E9" s="323" t="s">
        <v>1080</v>
      </c>
      <c r="F9" s="641" t="s">
        <v>1386</v>
      </c>
      <c r="G9" s="323" t="s">
        <v>1387</v>
      </c>
      <c r="H9" s="323" t="s">
        <v>1388</v>
      </c>
      <c r="I9" s="491">
        <v>3.1E-6</v>
      </c>
      <c r="J9" s="656">
        <f t="shared" si="0"/>
        <v>3.1E-6</v>
      </c>
      <c r="K9" s="213">
        <v>0.01</v>
      </c>
      <c r="L9" s="213" t="s">
        <v>0</v>
      </c>
    </row>
    <row r="10" spans="1:12" s="646" customFormat="1" ht="64.5" customHeight="1">
      <c r="A10" s="642">
        <v>1.2</v>
      </c>
      <c r="B10" s="642">
        <v>8.1</v>
      </c>
      <c r="C10" s="643"/>
      <c r="D10" s="643"/>
      <c r="E10" s="644"/>
      <c r="F10" s="644" t="s">
        <v>1391</v>
      </c>
      <c r="G10" s="644"/>
      <c r="H10" s="644"/>
      <c r="I10" s="645">
        <f>I9</f>
        <v>3.1E-6</v>
      </c>
      <c r="J10" s="657">
        <f t="shared" si="0"/>
        <v>3.1E-6</v>
      </c>
      <c r="K10" s="642">
        <f>0.01/1000</f>
        <v>1.0000000000000001E-5</v>
      </c>
      <c r="L10" s="642" t="s">
        <v>11</v>
      </c>
    </row>
    <row r="11" spans="1:12" ht="64.5" customHeight="1">
      <c r="A11" s="490">
        <v>8100</v>
      </c>
      <c r="B11" s="490">
        <v>60000</v>
      </c>
      <c r="C11" s="322" t="s">
        <v>1079</v>
      </c>
      <c r="D11" s="322" t="s">
        <v>1366</v>
      </c>
      <c r="E11" s="323" t="s">
        <v>1080</v>
      </c>
      <c r="F11" s="641" t="s">
        <v>1393</v>
      </c>
      <c r="G11" s="323" t="s">
        <v>1083</v>
      </c>
      <c r="H11" s="323" t="s">
        <v>1392</v>
      </c>
      <c r="I11" s="491">
        <v>4.5000000000000001E-6</v>
      </c>
      <c r="J11" s="656">
        <f t="shared" si="0"/>
        <v>4.5000000000000001E-6</v>
      </c>
      <c r="K11" s="213">
        <v>0.1</v>
      </c>
      <c r="L11" s="213" t="s">
        <v>0</v>
      </c>
    </row>
    <row r="12" spans="1:12" s="646" customFormat="1" ht="64.5" customHeight="1">
      <c r="A12" s="642">
        <v>8.1</v>
      </c>
      <c r="B12" s="642">
        <v>60</v>
      </c>
      <c r="C12" s="643"/>
      <c r="D12" s="643"/>
      <c r="E12" s="644"/>
      <c r="F12" s="644" t="s">
        <v>1390</v>
      </c>
      <c r="G12" s="644"/>
      <c r="H12" s="644"/>
      <c r="I12" s="645">
        <f>I11</f>
        <v>4.5000000000000001E-6</v>
      </c>
      <c r="J12" s="657">
        <f>I12</f>
        <v>4.5000000000000001E-6</v>
      </c>
      <c r="K12" s="642">
        <f>0.1/1000</f>
        <v>1E-4</v>
      </c>
      <c r="L12" s="642" t="s">
        <v>11</v>
      </c>
    </row>
    <row r="13" spans="1:12" ht="64.5" customHeight="1">
      <c r="A13" s="213">
        <v>60</v>
      </c>
      <c r="B13" s="213">
        <v>100</v>
      </c>
      <c r="C13" s="322" t="s">
        <v>1079</v>
      </c>
      <c r="D13" s="322" t="s">
        <v>1366</v>
      </c>
      <c r="E13" s="323" t="s">
        <v>1080</v>
      </c>
      <c r="F13" s="641" t="s">
        <v>1394</v>
      </c>
      <c r="G13" s="323" t="s">
        <v>1084</v>
      </c>
      <c r="H13" s="323" t="s">
        <v>1395</v>
      </c>
      <c r="I13" s="324">
        <v>8.3999999999999995E-5</v>
      </c>
      <c r="J13" s="656">
        <f t="shared" si="0"/>
        <v>8.3999999999999995E-5</v>
      </c>
      <c r="K13" s="213">
        <v>0.01</v>
      </c>
      <c r="L13" s="213" t="s">
        <v>11</v>
      </c>
    </row>
    <row r="14" spans="1:12" ht="64.5" customHeight="1">
      <c r="A14" s="343">
        <v>60000</v>
      </c>
      <c r="B14" s="343">
        <v>100000</v>
      </c>
      <c r="C14" s="344"/>
      <c r="D14" s="344"/>
      <c r="E14" s="345"/>
      <c r="F14" s="345" t="s">
        <v>1396</v>
      </c>
      <c r="G14" s="345"/>
      <c r="H14" s="345"/>
      <c r="I14" s="346">
        <f>I13</f>
        <v>8.3999999999999995E-5</v>
      </c>
      <c r="J14" s="656">
        <f t="shared" si="0"/>
        <v>8.3999999999999995E-5</v>
      </c>
      <c r="K14" s="642">
        <f>0.01*1000</f>
        <v>10</v>
      </c>
      <c r="L14" s="642" t="s">
        <v>0</v>
      </c>
    </row>
    <row r="15" spans="1:12" ht="64.5" customHeight="1">
      <c r="A15" s="213">
        <v>100</v>
      </c>
      <c r="B15" s="213">
        <v>300</v>
      </c>
      <c r="C15" s="322" t="s">
        <v>1079</v>
      </c>
      <c r="D15" s="322" t="s">
        <v>1366</v>
      </c>
      <c r="E15" s="323" t="s">
        <v>1080</v>
      </c>
      <c r="F15" s="641" t="s">
        <v>1397</v>
      </c>
      <c r="G15" s="323" t="s">
        <v>1085</v>
      </c>
      <c r="H15" s="323" t="s">
        <v>1398</v>
      </c>
      <c r="I15" s="324">
        <v>5.7000000000000003E-5</v>
      </c>
      <c r="J15" s="656">
        <f t="shared" si="0"/>
        <v>5.7000000000000003E-5</v>
      </c>
      <c r="K15" s="213">
        <v>0.02</v>
      </c>
      <c r="L15" s="213" t="s">
        <v>11</v>
      </c>
    </row>
    <row r="16" spans="1:12" ht="64.5" customHeight="1">
      <c r="A16" s="213">
        <v>300</v>
      </c>
      <c r="B16" s="213">
        <v>1000</v>
      </c>
      <c r="C16" s="322" t="s">
        <v>1079</v>
      </c>
      <c r="D16" s="322" t="s">
        <v>1366</v>
      </c>
      <c r="E16" s="323" t="s">
        <v>1080</v>
      </c>
      <c r="F16" s="641" t="s">
        <v>1399</v>
      </c>
      <c r="G16" s="323" t="s">
        <v>1086</v>
      </c>
      <c r="H16" s="323" t="s">
        <v>1205</v>
      </c>
      <c r="I16" s="324">
        <v>1.6000000000000001E-4</v>
      </c>
      <c r="J16" s="656">
        <f t="shared" si="0"/>
        <v>1.6000000000000001E-4</v>
      </c>
      <c r="K16" s="642">
        <v>0.1</v>
      </c>
      <c r="L16" s="642" t="s">
        <v>11</v>
      </c>
    </row>
    <row r="17" spans="1:12" ht="64.5" customHeight="1">
      <c r="A17" s="213">
        <v>1000</v>
      </c>
      <c r="B17" s="213">
        <v>1500</v>
      </c>
      <c r="C17" s="322" t="s">
        <v>1079</v>
      </c>
      <c r="D17" s="322" t="s">
        <v>1366</v>
      </c>
      <c r="E17" s="323" t="s">
        <v>1080</v>
      </c>
      <c r="F17" s="641" t="s">
        <v>1400</v>
      </c>
      <c r="G17" s="323" t="s">
        <v>1087</v>
      </c>
      <c r="H17" s="323" t="s">
        <v>1401</v>
      </c>
      <c r="I17" s="324">
        <v>2.5999999999999998E-4</v>
      </c>
      <c r="J17" s="656">
        <f t="shared" si="0"/>
        <v>2.5999999999999998E-4</v>
      </c>
      <c r="K17" s="213">
        <v>0.2</v>
      </c>
      <c r="L17" s="213" t="s">
        <v>11</v>
      </c>
    </row>
    <row r="18" spans="1:12" ht="64.5" customHeight="1">
      <c r="A18" s="213"/>
      <c r="B18" s="213"/>
      <c r="C18" s="322"/>
      <c r="D18" s="322"/>
      <c r="E18" s="323"/>
      <c r="F18" s="323"/>
      <c r="G18" s="323"/>
      <c r="H18" s="323"/>
      <c r="I18" s="324"/>
      <c r="J18" s="213"/>
      <c r="K18" s="213"/>
      <c r="L18" s="213"/>
    </row>
    <row r="19" spans="1:12" ht="64.5" customHeight="1">
      <c r="A19" s="213"/>
      <c r="B19" s="213"/>
      <c r="C19" s="322"/>
      <c r="D19" s="322"/>
      <c r="E19" s="323"/>
      <c r="F19" s="323"/>
      <c r="G19" s="323"/>
      <c r="H19" s="323"/>
      <c r="I19" s="324"/>
      <c r="J19" s="213"/>
      <c r="K19" s="213"/>
      <c r="L19" s="213"/>
    </row>
  </sheetData>
  <sheetProtection algorithmName="SHA-512" hashValue="ZaJn8obWVBl/nJHcwDEVaN4KIYWZAmLdnnjiJ8O3+iqsVir3jeQfzW6hylzTFOL/yJRDNDVkInJAL6vKBizZMA==" saltValue="lXOXs2BjZ3WUqLZFLv95a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E0C84-D59C-4C88-84CD-E5A442CC3FCD}">
  <dimension ref="A2:AY124"/>
  <sheetViews>
    <sheetView zoomScaleNormal="100" workbookViewId="0">
      <selection activeCell="H22" sqref="H22"/>
    </sheetView>
  </sheetViews>
  <sheetFormatPr baseColWidth="10" defaultColWidth="11.42578125" defaultRowHeight="15"/>
  <cols>
    <col min="1" max="6" width="11.42578125" style="670"/>
    <col min="7" max="7" width="14" style="670" customWidth="1"/>
    <col min="8" max="9" width="11.42578125" style="670"/>
    <col min="10" max="10" width="15.42578125" style="670" customWidth="1"/>
    <col min="11" max="11" width="12.7109375" style="670" customWidth="1"/>
    <col min="12" max="12" width="11.85546875" style="670" bestFit="1" customWidth="1"/>
    <col min="13" max="14" width="11.42578125" style="670"/>
    <col min="15" max="15" width="13" style="670" customWidth="1"/>
    <col min="16" max="16" width="11.42578125" style="670"/>
    <col min="17" max="17" width="14.5703125" style="670" customWidth="1"/>
    <col min="18" max="18" width="20.28515625" style="670" customWidth="1"/>
    <col min="19" max="19" width="7.42578125" style="670" customWidth="1"/>
    <col min="20" max="20" width="9.42578125" style="670" customWidth="1"/>
    <col min="21" max="21" width="11.28515625" style="670" customWidth="1"/>
    <col min="22" max="22" width="9.7109375" style="670" customWidth="1"/>
    <col min="23" max="28" width="11.42578125" style="670"/>
    <col min="29" max="29" width="17" style="670" customWidth="1"/>
    <col min="30" max="30" width="11.42578125" style="670"/>
    <col min="31" max="31" width="10.42578125" style="670" customWidth="1"/>
    <col min="32" max="32" width="8.85546875" style="670" customWidth="1"/>
    <col min="33" max="33" width="12" style="670" bestFit="1" customWidth="1"/>
    <col min="34" max="34" width="11.42578125" style="670"/>
    <col min="35" max="38" width="9.5703125" style="676" customWidth="1"/>
    <col min="39" max="39" width="15" style="676" customWidth="1"/>
    <col min="40" max="40" width="7.85546875" style="676" customWidth="1"/>
    <col min="41" max="41" width="9.5703125" style="670" bestFit="1" customWidth="1"/>
    <col min="42" max="42" width="8.7109375" style="670" customWidth="1"/>
    <col min="43" max="43" width="9.42578125" style="670" customWidth="1"/>
    <col min="44" max="49" width="11.42578125" style="670"/>
    <col min="50" max="51" width="10.28515625" style="670" customWidth="1"/>
    <col min="52" max="16384" width="11.42578125" style="670"/>
  </cols>
  <sheetData>
    <row r="2" spans="11:25">
      <c r="K2" s="670" t="s">
        <v>1409</v>
      </c>
      <c r="X2" s="670" t="s">
        <v>1410</v>
      </c>
    </row>
    <row r="3" spans="11:25">
      <c r="X3" s="671" t="s">
        <v>1411</v>
      </c>
    </row>
    <row r="4" spans="11:25">
      <c r="X4" s="670" t="s">
        <v>1412</v>
      </c>
      <c r="Y4" s="672" t="s">
        <v>1413</v>
      </c>
    </row>
    <row r="5" spans="11:25" ht="19.5" customHeight="1"/>
    <row r="6" spans="11:25" ht="26.25" customHeight="1">
      <c r="M6" s="673" t="s">
        <v>1414</v>
      </c>
      <c r="N6" s="674" t="s">
        <v>1415</v>
      </c>
    </row>
    <row r="7" spans="11:25">
      <c r="K7" s="670" t="s">
        <v>1416</v>
      </c>
    </row>
    <row r="42" spans="11:35">
      <c r="L42" s="675"/>
      <c r="M42" s="675"/>
      <c r="N42" s="675"/>
      <c r="O42" s="675"/>
      <c r="P42" s="675"/>
      <c r="Q42" s="675"/>
      <c r="R42" s="675"/>
      <c r="AB42" s="676"/>
      <c r="AC42" s="676"/>
      <c r="AD42" s="676"/>
      <c r="AE42" s="676"/>
      <c r="AF42" s="930" t="s">
        <v>1417</v>
      </c>
      <c r="AG42" s="930"/>
      <c r="AH42" s="931" t="s">
        <v>1417</v>
      </c>
      <c r="AI42" s="931"/>
    </row>
    <row r="43" spans="11:35">
      <c r="K43" s="678" t="s">
        <v>1418</v>
      </c>
      <c r="L43" s="679" t="s">
        <v>317</v>
      </c>
      <c r="M43" s="677" t="s">
        <v>1419</v>
      </c>
      <c r="N43" s="677" t="s">
        <v>1420</v>
      </c>
      <c r="O43" s="677" t="s">
        <v>1421</v>
      </c>
      <c r="P43" s="679" t="s">
        <v>1422</v>
      </c>
      <c r="Q43" s="677" t="s">
        <v>1423</v>
      </c>
      <c r="R43" s="677" t="s">
        <v>1424</v>
      </c>
      <c r="S43" s="677" t="s">
        <v>1425</v>
      </c>
      <c r="T43" s="677"/>
      <c r="U43" s="677" t="s">
        <v>1426</v>
      </c>
      <c r="V43" s="677"/>
      <c r="W43" s="930" t="s">
        <v>1417</v>
      </c>
      <c r="X43" s="930"/>
      <c r="Y43" s="932" t="s">
        <v>1417</v>
      </c>
      <c r="Z43" s="932"/>
      <c r="AB43" s="677" t="s">
        <v>1427</v>
      </c>
      <c r="AC43" s="680" t="str">
        <f>CONCATENATE("ɸ(",ROUND(AB44,2)," ) ")</f>
        <v xml:space="preserve">ɸ(1,67 ) </v>
      </c>
      <c r="AD43" s="677" t="s">
        <v>1428</v>
      </c>
      <c r="AE43" s="681" t="str">
        <f>CONCATENATE("ɸ(",ROUND(AD44,2)," ) ")</f>
        <v xml:space="preserve">ɸ(-1,67 ) </v>
      </c>
      <c r="AF43" s="933" t="str">
        <f>CONCATENATE("ɸ(",ROUND(AB44,2)," ) - ","ɸ(",ROUND(AD44,2)," ) ")</f>
        <v xml:space="preserve">ɸ(1,67 ) - ɸ(-1,67 ) </v>
      </c>
      <c r="AG43" s="934"/>
      <c r="AH43" s="935"/>
      <c r="AI43" s="936"/>
    </row>
    <row r="44" spans="11:35">
      <c r="K44" s="684">
        <v>1500</v>
      </c>
      <c r="L44" s="677">
        <v>0.2</v>
      </c>
      <c r="M44" s="677">
        <v>1500.2</v>
      </c>
      <c r="N44" s="677">
        <v>1499.8</v>
      </c>
      <c r="O44" s="677">
        <v>1500</v>
      </c>
      <c r="P44" s="677">
        <v>0.12</v>
      </c>
      <c r="Q44" s="677">
        <f>P44/R44</f>
        <v>5.8536585365853662E-2</v>
      </c>
      <c r="R44" s="677">
        <v>2.0499999999999998</v>
      </c>
      <c r="S44" s="677">
        <f>_xlfn.NORM.DIST(M44,O44,P44,1)</f>
        <v>0.95220964772722305</v>
      </c>
      <c r="T44" s="677"/>
      <c r="U44" s="677">
        <f>_xlfn.NORM.DIST(N44,O44,P44,1)</f>
        <v>4.7790352272777004E-2</v>
      </c>
      <c r="V44" s="677"/>
      <c r="W44" s="685">
        <f>S44-U44</f>
        <v>0.9044192954544461</v>
      </c>
      <c r="X44" s="686">
        <f>W44</f>
        <v>0.9044192954544461</v>
      </c>
      <c r="Y44" s="687">
        <f>1-W44</f>
        <v>9.5580704545553896E-2</v>
      </c>
      <c r="Z44" s="686">
        <f>Y44</f>
        <v>9.5580704545553896E-2</v>
      </c>
      <c r="AB44" s="680">
        <f>(M44-O44)/P44</f>
        <v>1.6666666666670458</v>
      </c>
      <c r="AC44" s="685">
        <f>_xlfn.NORM.S.DIST(AB44,1)</f>
        <v>0.95220964772722305</v>
      </c>
      <c r="AD44" s="680">
        <f>(N44-O44)/P44</f>
        <v>-1.6666666666670458</v>
      </c>
      <c r="AE44" s="682">
        <f>_xlfn.NORM.S.DIST(AD44,1)</f>
        <v>4.7790352272777004E-2</v>
      </c>
      <c r="AF44" s="688">
        <f>AC44-AE44</f>
        <v>0.9044192954544461</v>
      </c>
      <c r="AG44" s="689">
        <f>AF44</f>
        <v>0.9044192954544461</v>
      </c>
      <c r="AH44" s="685">
        <f>1-AF44</f>
        <v>9.5580704545553896E-2</v>
      </c>
      <c r="AI44" s="690">
        <f>AH44</f>
        <v>9.5580704545553896E-2</v>
      </c>
    </row>
    <row r="46" spans="11:35">
      <c r="K46" s="678" t="s">
        <v>1418</v>
      </c>
      <c r="L46" s="679" t="s">
        <v>317</v>
      </c>
      <c r="M46" s="677" t="s">
        <v>1419</v>
      </c>
      <c r="N46" s="677" t="s">
        <v>1420</v>
      </c>
      <c r="O46" s="677" t="s">
        <v>1421</v>
      </c>
      <c r="P46" s="691" t="s">
        <v>1429</v>
      </c>
      <c r="Q46" s="677"/>
      <c r="R46" s="677"/>
      <c r="S46" s="677" t="s">
        <v>1425</v>
      </c>
      <c r="T46" s="677"/>
      <c r="U46" s="677" t="s">
        <v>1426</v>
      </c>
      <c r="V46" s="677"/>
      <c r="W46" s="930" t="s">
        <v>1417</v>
      </c>
      <c r="X46" s="930"/>
      <c r="Y46" s="932" t="s">
        <v>1417</v>
      </c>
      <c r="Z46" s="932"/>
    </row>
    <row r="47" spans="11:35">
      <c r="K47" s="684">
        <v>1500</v>
      </c>
      <c r="L47" s="677">
        <v>0.2</v>
      </c>
      <c r="M47" s="677">
        <v>1500.2</v>
      </c>
      <c r="N47" s="677">
        <v>1499.8</v>
      </c>
      <c r="O47" s="677">
        <v>1500</v>
      </c>
      <c r="P47" s="677">
        <v>0.12</v>
      </c>
      <c r="Q47" s="677"/>
      <c r="R47" s="677"/>
      <c r="S47" s="677">
        <f>_xlfn.NORM.DIST(M47,O47,P47,1)</f>
        <v>0.95220964772722305</v>
      </c>
      <c r="T47" s="677"/>
      <c r="U47" s="677">
        <f>_xlfn.NORM.DIST(N47,O47,P47,1)</f>
        <v>4.7790352272777004E-2</v>
      </c>
      <c r="V47" s="677"/>
      <c r="W47" s="685">
        <f>S47-U47</f>
        <v>0.9044192954544461</v>
      </c>
      <c r="X47" s="686">
        <f>W47</f>
        <v>0.9044192954544461</v>
      </c>
      <c r="Y47" s="687">
        <f>1-W47</f>
        <v>9.5580704545553896E-2</v>
      </c>
      <c r="Z47" s="686">
        <f>Y47</f>
        <v>9.5580704545553896E-2</v>
      </c>
    </row>
    <row r="52" spans="10:42" hidden="1">
      <c r="J52" s="670" t="s">
        <v>1430</v>
      </c>
    </row>
    <row r="53" spans="10:42" hidden="1"/>
    <row r="54" spans="10:42" hidden="1">
      <c r="N54" s="692"/>
      <c r="O54" s="693" t="s">
        <v>1407</v>
      </c>
      <c r="P54" s="694"/>
      <c r="Q54" s="695"/>
    </row>
    <row r="55" spans="10:42" hidden="1">
      <c r="N55" s="692" t="s">
        <v>1431</v>
      </c>
      <c r="O55" s="692" t="s">
        <v>1432</v>
      </c>
      <c r="P55" s="692" t="s">
        <v>1423</v>
      </c>
      <c r="Q55" s="692" t="s">
        <v>317</v>
      </c>
      <c r="S55" s="675"/>
      <c r="T55" s="675"/>
      <c r="U55" s="675"/>
      <c r="V55" s="675"/>
      <c r="W55" s="675"/>
      <c r="X55" s="675"/>
      <c r="Y55" s="675"/>
      <c r="Z55" s="675"/>
      <c r="AA55" s="675"/>
      <c r="AM55" s="930" t="s">
        <v>1417</v>
      </c>
      <c r="AN55" s="930"/>
      <c r="AO55" s="931" t="s">
        <v>1417</v>
      </c>
      <c r="AP55" s="931"/>
    </row>
    <row r="56" spans="10:42" hidden="1">
      <c r="N56" s="677" t="s">
        <v>0</v>
      </c>
      <c r="O56" s="677" t="s">
        <v>0</v>
      </c>
      <c r="P56" s="677" t="s">
        <v>0</v>
      </c>
      <c r="Q56" s="677" t="s">
        <v>0</v>
      </c>
      <c r="R56" s="696" t="s">
        <v>1418</v>
      </c>
      <c r="S56" s="679" t="s">
        <v>317</v>
      </c>
      <c r="T56" s="679"/>
      <c r="U56" s="677" t="s">
        <v>1419</v>
      </c>
      <c r="V56" s="677"/>
      <c r="W56" s="677" t="s">
        <v>1420</v>
      </c>
      <c r="X56" s="677" t="s">
        <v>1421</v>
      </c>
      <c r="Y56" s="679" t="s">
        <v>1423</v>
      </c>
      <c r="Z56" s="677" t="s">
        <v>1433</v>
      </c>
      <c r="AA56" s="677" t="s">
        <v>1424</v>
      </c>
      <c r="AB56" s="677" t="s">
        <v>1425</v>
      </c>
      <c r="AC56" s="677" t="s">
        <v>1426</v>
      </c>
      <c r="AD56" s="930" t="s">
        <v>1417</v>
      </c>
      <c r="AE56" s="930"/>
      <c r="AF56" s="932" t="s">
        <v>1417</v>
      </c>
      <c r="AG56" s="932"/>
      <c r="AI56" s="677" t="s">
        <v>1427</v>
      </c>
      <c r="AJ56" s="680" t="str">
        <f>CONCATENATE("ɸ(",ROUND(AI57,2)," ) ")</f>
        <v xml:space="preserve">ɸ(9,62 ) </v>
      </c>
      <c r="AK56" s="677" t="s">
        <v>1428</v>
      </c>
      <c r="AL56" s="681" t="str">
        <f>CONCATENATE("ɸ(",ROUND(AK57,2)," ) ")</f>
        <v xml:space="preserve">ɸ(-9,62 ) </v>
      </c>
      <c r="AM56" s="697" t="str">
        <f>CONCATENATE("ɸ(",ROUND(AI57,2)," ) - ","ɸ(",ROUND(AK57,2)," ) ")</f>
        <v xml:space="preserve">ɸ(9,62 ) - ɸ(-9,62 ) </v>
      </c>
      <c r="AN56" s="698"/>
      <c r="AO56" s="677"/>
      <c r="AP56" s="684"/>
    </row>
    <row r="57" spans="10:42" hidden="1">
      <c r="M57" s="699"/>
      <c r="N57" s="700">
        <v>50</v>
      </c>
      <c r="O57" s="688">
        <v>9.0000000000000006E-5</v>
      </c>
      <c r="P57" s="688">
        <v>2.1000000000000001E-4</v>
      </c>
      <c r="Q57" s="677">
        <v>1E-3</v>
      </c>
      <c r="R57" s="701">
        <f>N57+O57</f>
        <v>50.00009</v>
      </c>
      <c r="S57" s="677">
        <f t="shared" ref="S57:S67" si="0">Q57</f>
        <v>1E-3</v>
      </c>
      <c r="T57" s="677"/>
      <c r="U57" s="700">
        <f t="shared" ref="U57:U67" si="1">R57+S57</f>
        <v>50.001089999999998</v>
      </c>
      <c r="V57" s="700"/>
      <c r="W57" s="700">
        <f t="shared" ref="W57:W67" si="2">R57-S57</f>
        <v>49.999090000000002</v>
      </c>
      <c r="X57" s="700">
        <f t="shared" ref="X57:X67" si="3">R57</f>
        <v>50.00009</v>
      </c>
      <c r="Y57" s="688">
        <f t="shared" ref="Y57:Y67" si="4">P57</f>
        <v>2.1000000000000001E-4</v>
      </c>
      <c r="Z57" s="677">
        <f>Y57/AA57</f>
        <v>1.0396039603960396E-4</v>
      </c>
      <c r="AA57" s="677">
        <v>2.02</v>
      </c>
      <c r="AB57" s="685">
        <f>_xlfn.NORM.DIST(U57,X57,Z57,1)</f>
        <v>1</v>
      </c>
      <c r="AC57" s="685">
        <f>_xlfn.NORM.DIST(W57,X57,Z57,1)</f>
        <v>3.3221743276022882E-22</v>
      </c>
      <c r="AD57" s="685">
        <f>AB57-AC57</f>
        <v>1</v>
      </c>
      <c r="AE57" s="689">
        <f>AD57</f>
        <v>1</v>
      </c>
      <c r="AF57" s="685">
        <f>1-AD57</f>
        <v>0</v>
      </c>
      <c r="AG57" s="690">
        <f>AF57</f>
        <v>0</v>
      </c>
      <c r="AI57" s="680">
        <f>(U57-X57)/Z57</f>
        <v>9.619047619025201</v>
      </c>
      <c r="AJ57" s="685">
        <f>_xlfn.NORM.S.DIST(AI57,1)</f>
        <v>1</v>
      </c>
      <c r="AK57" s="680">
        <f>(W57-X57)/Z57</f>
        <v>-9.619047619025201</v>
      </c>
      <c r="AL57" s="682">
        <f>_xlfn.NORM.S.DIST(AK57,1)</f>
        <v>3.3221743276022882E-22</v>
      </c>
      <c r="AM57" s="688">
        <f>AJ57-AL57</f>
        <v>1</v>
      </c>
      <c r="AN57" s="702">
        <f>AM57</f>
        <v>1</v>
      </c>
      <c r="AO57" s="685">
        <f>1-AM57</f>
        <v>0</v>
      </c>
      <c r="AP57" s="703">
        <f>AO57</f>
        <v>0</v>
      </c>
    </row>
    <row r="58" spans="10:42" hidden="1">
      <c r="M58" s="699"/>
      <c r="N58" s="700">
        <v>65</v>
      </c>
      <c r="O58" s="688">
        <v>1.2999999999999999E-4</v>
      </c>
      <c r="P58" s="688">
        <v>2.2000000000000001E-4</v>
      </c>
      <c r="Q58" s="677">
        <v>1E-3</v>
      </c>
      <c r="R58" s="701">
        <f t="shared" ref="R58:R67" si="5">N58+O58</f>
        <v>65.000129999999999</v>
      </c>
      <c r="S58" s="677">
        <f t="shared" si="0"/>
        <v>1E-3</v>
      </c>
      <c r="T58" s="677"/>
      <c r="U58" s="700">
        <f t="shared" si="1"/>
        <v>65.001130000000003</v>
      </c>
      <c r="V58" s="700"/>
      <c r="W58" s="700">
        <f t="shared" si="2"/>
        <v>64.999129999999994</v>
      </c>
      <c r="X58" s="700">
        <f t="shared" si="3"/>
        <v>65.000129999999999</v>
      </c>
      <c r="Y58" s="688">
        <f t="shared" si="4"/>
        <v>2.2000000000000001E-4</v>
      </c>
      <c r="Z58" s="677">
        <f t="shared" ref="Z58:Z67" si="6">Y58/AA58</f>
        <v>1.0891089108910891E-4</v>
      </c>
      <c r="AA58" s="677">
        <v>2.02</v>
      </c>
      <c r="AB58" s="685">
        <f t="shared" ref="AB58:AB67" si="7">_xlfn.NORM.DIST(U58,X58,Z58,1)</f>
        <v>1</v>
      </c>
      <c r="AC58" s="685">
        <f t="shared" ref="AC58:AC67" si="8">_xlfn.NORM.DIST(W58,X58,Z58,1)</f>
        <v>2.1193653388808198E-20</v>
      </c>
      <c r="AD58" s="685">
        <f t="shared" ref="AD58:AD67" si="9">AB58-AC58</f>
        <v>1</v>
      </c>
      <c r="AE58" s="689">
        <f t="shared" ref="AE58:AE67" si="10">AD58</f>
        <v>1</v>
      </c>
      <c r="AF58" s="685">
        <f t="shared" ref="AF58:AF67" si="11">1-AD58</f>
        <v>0</v>
      </c>
      <c r="AG58" s="690">
        <f t="shared" ref="AG58:AG67" si="12">AF58</f>
        <v>0</v>
      </c>
      <c r="AI58" s="680">
        <f t="shared" ref="AI58:AI67" si="13">(U58-X58)/Z58</f>
        <v>9.1818181818620239</v>
      </c>
      <c r="AJ58" s="685">
        <f t="shared" ref="AJ58:AJ67" si="14">_xlfn.NORM.S.DIST(AI58,1)</f>
        <v>1</v>
      </c>
      <c r="AK58" s="680">
        <f t="shared" ref="AK58:AK67" si="15">(W58-X58)/Z58</f>
        <v>-9.1818181818620239</v>
      </c>
      <c r="AL58" s="682">
        <f t="shared" ref="AL58:AL67" si="16">_xlfn.NORM.S.DIST(AK58,1)</f>
        <v>2.1193653388808198E-20</v>
      </c>
      <c r="AM58" s="688">
        <f t="shared" ref="AM58:AM67" si="17">AJ58-AL58</f>
        <v>1</v>
      </c>
      <c r="AN58" s="702">
        <f t="shared" ref="AN58:AN67" si="18">AM58</f>
        <v>1</v>
      </c>
      <c r="AO58" s="685">
        <f t="shared" ref="AO58:AO67" si="19">1-AM58</f>
        <v>0</v>
      </c>
      <c r="AP58" s="703">
        <f t="shared" ref="AP58:AP67" si="20">AO58</f>
        <v>0</v>
      </c>
    </row>
    <row r="59" spans="10:42" hidden="1">
      <c r="M59" s="699"/>
      <c r="N59" s="700">
        <v>80</v>
      </c>
      <c r="O59" s="688">
        <v>1.8000000000000001E-4</v>
      </c>
      <c r="P59" s="688">
        <v>2.3000000000000001E-4</v>
      </c>
      <c r="Q59" s="677">
        <v>1E-3</v>
      </c>
      <c r="R59" s="701">
        <f t="shared" si="5"/>
        <v>80.00018</v>
      </c>
      <c r="S59" s="677">
        <f t="shared" si="0"/>
        <v>1E-3</v>
      </c>
      <c r="T59" s="677"/>
      <c r="U59" s="700">
        <f t="shared" si="1"/>
        <v>80.001180000000005</v>
      </c>
      <c r="V59" s="700"/>
      <c r="W59" s="700">
        <f t="shared" si="2"/>
        <v>79.999179999999996</v>
      </c>
      <c r="X59" s="700">
        <f t="shared" si="3"/>
        <v>80.00018</v>
      </c>
      <c r="Y59" s="688">
        <f t="shared" si="4"/>
        <v>2.3000000000000001E-4</v>
      </c>
      <c r="Z59" s="677">
        <f t="shared" si="6"/>
        <v>1.1386138613861387E-4</v>
      </c>
      <c r="AA59" s="677">
        <v>2.02</v>
      </c>
      <c r="AB59" s="685">
        <f t="shared" si="7"/>
        <v>1</v>
      </c>
      <c r="AC59" s="685">
        <f t="shared" si="8"/>
        <v>7.9863044695695024E-19</v>
      </c>
      <c r="AD59" s="685">
        <f t="shared" si="9"/>
        <v>1</v>
      </c>
      <c r="AE59" s="689">
        <f t="shared" si="10"/>
        <v>1</v>
      </c>
      <c r="AF59" s="685">
        <f t="shared" si="11"/>
        <v>0</v>
      </c>
      <c r="AG59" s="690">
        <f t="shared" si="12"/>
        <v>0</v>
      </c>
      <c r="AI59" s="680">
        <f t="shared" si="13"/>
        <v>8.7826086956941083</v>
      </c>
      <c r="AJ59" s="685">
        <f t="shared" si="14"/>
        <v>1</v>
      </c>
      <c r="AK59" s="680">
        <f t="shared" si="15"/>
        <v>-8.7826086956941083</v>
      </c>
      <c r="AL59" s="682">
        <f t="shared" si="16"/>
        <v>7.9863044695695024E-19</v>
      </c>
      <c r="AM59" s="688">
        <f t="shared" si="17"/>
        <v>1</v>
      </c>
      <c r="AN59" s="702">
        <f t="shared" si="18"/>
        <v>1</v>
      </c>
      <c r="AO59" s="685">
        <f t="shared" si="19"/>
        <v>0</v>
      </c>
      <c r="AP59" s="703">
        <f t="shared" si="20"/>
        <v>0</v>
      </c>
    </row>
    <row r="60" spans="10:42" hidden="1">
      <c r="M60" s="699"/>
      <c r="N60" s="700">
        <v>95</v>
      </c>
      <c r="O60" s="688">
        <v>2.4000000000000001E-4</v>
      </c>
      <c r="P60" s="688">
        <v>2.5000000000000001E-4</v>
      </c>
      <c r="Q60" s="677">
        <v>1E-3</v>
      </c>
      <c r="R60" s="701">
        <f t="shared" si="5"/>
        <v>95.000240000000005</v>
      </c>
      <c r="S60" s="677">
        <f t="shared" si="0"/>
        <v>1E-3</v>
      </c>
      <c r="T60" s="677"/>
      <c r="U60" s="700">
        <f t="shared" si="1"/>
        <v>95.00124000000001</v>
      </c>
      <c r="V60" s="700"/>
      <c r="W60" s="700">
        <f t="shared" si="2"/>
        <v>94.99924</v>
      </c>
      <c r="X60" s="700">
        <f t="shared" si="3"/>
        <v>95.000240000000005</v>
      </c>
      <c r="Y60" s="688">
        <f t="shared" si="4"/>
        <v>2.5000000000000001E-4</v>
      </c>
      <c r="Z60" s="677">
        <f t="shared" si="6"/>
        <v>1.2376237623762376E-4</v>
      </c>
      <c r="AA60" s="677">
        <v>2.02</v>
      </c>
      <c r="AB60" s="685">
        <f t="shared" si="7"/>
        <v>0.99999999999999967</v>
      </c>
      <c r="AC60" s="685">
        <f t="shared" si="8"/>
        <v>3.2383386608077555E-16</v>
      </c>
      <c r="AD60" s="685">
        <f t="shared" si="9"/>
        <v>0.99999999999999933</v>
      </c>
      <c r="AE60" s="689">
        <f t="shared" si="10"/>
        <v>0.99999999999999933</v>
      </c>
      <c r="AF60" s="685">
        <f t="shared" si="11"/>
        <v>0</v>
      </c>
      <c r="AG60" s="690">
        <f t="shared" si="12"/>
        <v>0</v>
      </c>
      <c r="AI60" s="680">
        <f t="shared" si="13"/>
        <v>8.0800000000385808</v>
      </c>
      <c r="AJ60" s="685">
        <f t="shared" si="14"/>
        <v>0.99999999999999967</v>
      </c>
      <c r="AK60" s="680">
        <f t="shared" si="15"/>
        <v>-8.0800000000385808</v>
      </c>
      <c r="AL60" s="682">
        <f t="shared" si="16"/>
        <v>3.2383386608077555E-16</v>
      </c>
      <c r="AM60" s="688">
        <f t="shared" si="17"/>
        <v>0.99999999999999933</v>
      </c>
      <c r="AN60" s="702">
        <f t="shared" si="18"/>
        <v>0.99999999999999933</v>
      </c>
      <c r="AO60" s="685">
        <f t="shared" si="19"/>
        <v>0</v>
      </c>
      <c r="AP60" s="703">
        <f t="shared" si="20"/>
        <v>0</v>
      </c>
    </row>
    <row r="61" spans="10:42" hidden="1">
      <c r="M61" s="699"/>
      <c r="N61" s="700">
        <v>110</v>
      </c>
      <c r="O61" s="688">
        <v>1.2999999999999999E-4</v>
      </c>
      <c r="P61" s="688">
        <v>2.3000000000000001E-4</v>
      </c>
      <c r="Q61" s="677">
        <v>1E-3</v>
      </c>
      <c r="R61" s="701">
        <f t="shared" si="5"/>
        <v>110.00013</v>
      </c>
      <c r="S61" s="677">
        <f t="shared" si="0"/>
        <v>1E-3</v>
      </c>
      <c r="T61" s="677"/>
      <c r="U61" s="700">
        <f t="shared" si="1"/>
        <v>110.00113</v>
      </c>
      <c r="V61" s="700"/>
      <c r="W61" s="700">
        <f t="shared" si="2"/>
        <v>109.99912999999999</v>
      </c>
      <c r="X61" s="700">
        <f t="shared" si="3"/>
        <v>110.00013</v>
      </c>
      <c r="Y61" s="688">
        <f t="shared" si="4"/>
        <v>2.3000000000000001E-4</v>
      </c>
      <c r="Z61" s="677">
        <f t="shared" si="6"/>
        <v>1.1386138613861387E-4</v>
      </c>
      <c r="AA61" s="677">
        <v>2.02</v>
      </c>
      <c r="AB61" s="685">
        <f t="shared" si="7"/>
        <v>1</v>
      </c>
      <c r="AC61" s="685">
        <f t="shared" si="8"/>
        <v>7.9863044695695024E-19</v>
      </c>
      <c r="AD61" s="685">
        <f t="shared" si="9"/>
        <v>1</v>
      </c>
      <c r="AE61" s="689">
        <f t="shared" si="10"/>
        <v>1</v>
      </c>
      <c r="AF61" s="685">
        <f t="shared" si="11"/>
        <v>0</v>
      </c>
      <c r="AG61" s="690">
        <f t="shared" si="12"/>
        <v>0</v>
      </c>
      <c r="AI61" s="680">
        <f t="shared" si="13"/>
        <v>8.7826086956941083</v>
      </c>
      <c r="AJ61" s="685">
        <f t="shared" si="14"/>
        <v>1</v>
      </c>
      <c r="AK61" s="680">
        <f t="shared" si="15"/>
        <v>-8.7826086956941083</v>
      </c>
      <c r="AL61" s="682">
        <f t="shared" si="16"/>
        <v>7.9863044695695024E-19</v>
      </c>
      <c r="AM61" s="688">
        <f t="shared" si="17"/>
        <v>1</v>
      </c>
      <c r="AN61" s="702">
        <f t="shared" si="18"/>
        <v>1</v>
      </c>
      <c r="AO61" s="685">
        <f t="shared" si="19"/>
        <v>0</v>
      </c>
      <c r="AP61" s="703">
        <f t="shared" si="20"/>
        <v>0</v>
      </c>
    </row>
    <row r="62" spans="10:42" hidden="1">
      <c r="M62" s="699"/>
      <c r="N62" s="700">
        <v>130</v>
      </c>
      <c r="O62" s="688">
        <v>2.0000000000000001E-4</v>
      </c>
      <c r="P62" s="688">
        <v>2.5999999999999998E-4</v>
      </c>
      <c r="Q62" s="677">
        <v>1E-3</v>
      </c>
      <c r="R62" s="701">
        <f t="shared" si="5"/>
        <v>130.00020000000001</v>
      </c>
      <c r="S62" s="677">
        <f t="shared" si="0"/>
        <v>1E-3</v>
      </c>
      <c r="T62" s="677"/>
      <c r="U62" s="700">
        <f t="shared" si="1"/>
        <v>130.00120000000001</v>
      </c>
      <c r="V62" s="700"/>
      <c r="W62" s="700">
        <f t="shared" si="2"/>
        <v>129.9992</v>
      </c>
      <c r="X62" s="700">
        <f t="shared" si="3"/>
        <v>130.00020000000001</v>
      </c>
      <c r="Y62" s="688">
        <f t="shared" si="4"/>
        <v>2.5999999999999998E-4</v>
      </c>
      <c r="Z62" s="677">
        <f t="shared" si="6"/>
        <v>1.2871287128712869E-4</v>
      </c>
      <c r="AA62" s="677">
        <v>2.02</v>
      </c>
      <c r="AB62" s="685">
        <f t="shared" si="7"/>
        <v>0.999999999999996</v>
      </c>
      <c r="AC62" s="685">
        <f t="shared" si="8"/>
        <v>3.9482095414434541E-15</v>
      </c>
      <c r="AD62" s="685">
        <f t="shared" si="9"/>
        <v>0.99999999999999201</v>
      </c>
      <c r="AE62" s="689">
        <f t="shared" si="10"/>
        <v>0.99999999999999201</v>
      </c>
      <c r="AF62" s="685">
        <f t="shared" si="11"/>
        <v>7.9936057773011271E-15</v>
      </c>
      <c r="AG62" s="690">
        <f t="shared" si="12"/>
        <v>7.9936057773011271E-15</v>
      </c>
      <c r="AI62" s="680">
        <f t="shared" si="13"/>
        <v>7.7692307692678675</v>
      </c>
      <c r="AJ62" s="685">
        <f t="shared" si="14"/>
        <v>0.999999999999996</v>
      </c>
      <c r="AK62" s="680">
        <f t="shared" si="15"/>
        <v>-7.7692307692678675</v>
      </c>
      <c r="AL62" s="682">
        <f t="shared" si="16"/>
        <v>3.9482095414434541E-15</v>
      </c>
      <c r="AM62" s="688">
        <f t="shared" si="17"/>
        <v>0.99999999999999201</v>
      </c>
      <c r="AN62" s="702">
        <f t="shared" si="18"/>
        <v>0.99999999999999201</v>
      </c>
      <c r="AO62" s="685">
        <f t="shared" si="19"/>
        <v>7.9936057773011271E-15</v>
      </c>
      <c r="AP62" s="703">
        <f t="shared" si="20"/>
        <v>7.9936057773011271E-15</v>
      </c>
    </row>
    <row r="63" spans="10:42" hidden="1">
      <c r="M63" s="699"/>
      <c r="N63" s="700">
        <v>149.9999</v>
      </c>
      <c r="O63" s="688">
        <v>2.9E-4</v>
      </c>
      <c r="P63" s="688">
        <v>2.5999999999999998E-4</v>
      </c>
      <c r="Q63" s="677">
        <v>1E-3</v>
      </c>
      <c r="R63" s="701">
        <f t="shared" si="5"/>
        <v>150.00019</v>
      </c>
      <c r="S63" s="677">
        <f t="shared" si="0"/>
        <v>1E-3</v>
      </c>
      <c r="T63" s="677"/>
      <c r="U63" s="700">
        <f t="shared" si="1"/>
        <v>150.00119000000001</v>
      </c>
      <c r="V63" s="700"/>
      <c r="W63" s="700">
        <f t="shared" si="2"/>
        <v>149.99919</v>
      </c>
      <c r="X63" s="700">
        <f t="shared" si="3"/>
        <v>150.00019</v>
      </c>
      <c r="Y63" s="688">
        <f t="shared" si="4"/>
        <v>2.5999999999999998E-4</v>
      </c>
      <c r="Z63" s="677">
        <f t="shared" si="6"/>
        <v>1.2871287128712869E-4</v>
      </c>
      <c r="AA63" s="677">
        <v>2.02</v>
      </c>
      <c r="AB63" s="685">
        <f t="shared" si="7"/>
        <v>0.999999999999996</v>
      </c>
      <c r="AC63" s="685">
        <f t="shared" si="8"/>
        <v>3.9482095414434541E-15</v>
      </c>
      <c r="AD63" s="685">
        <f t="shared" si="9"/>
        <v>0.99999999999999201</v>
      </c>
      <c r="AE63" s="689">
        <f t="shared" si="10"/>
        <v>0.99999999999999201</v>
      </c>
      <c r="AF63" s="685">
        <f t="shared" si="11"/>
        <v>7.9936057773011271E-15</v>
      </c>
      <c r="AG63" s="690">
        <f t="shared" si="12"/>
        <v>7.9936057773011271E-15</v>
      </c>
      <c r="AI63" s="680">
        <f t="shared" si="13"/>
        <v>7.7692307692678675</v>
      </c>
      <c r="AJ63" s="685">
        <f t="shared" si="14"/>
        <v>0.999999999999996</v>
      </c>
      <c r="AK63" s="680">
        <f t="shared" si="15"/>
        <v>-7.7692307692678675</v>
      </c>
      <c r="AL63" s="682">
        <f t="shared" si="16"/>
        <v>3.9482095414434541E-15</v>
      </c>
      <c r="AM63" s="688">
        <f t="shared" si="17"/>
        <v>0.99999999999999201</v>
      </c>
      <c r="AN63" s="702">
        <f t="shared" si="18"/>
        <v>0.99999999999999201</v>
      </c>
      <c r="AO63" s="685">
        <f t="shared" si="19"/>
        <v>7.9936057773011271E-15</v>
      </c>
      <c r="AP63" s="703">
        <f t="shared" si="20"/>
        <v>7.9936057773011271E-15</v>
      </c>
    </row>
    <row r="64" spans="10:42" hidden="1">
      <c r="M64" s="699"/>
      <c r="N64" s="700">
        <v>164.9999</v>
      </c>
      <c r="O64" s="688">
        <v>3.4000000000000002E-4</v>
      </c>
      <c r="P64" s="688">
        <v>2.9999999999999997E-4</v>
      </c>
      <c r="Q64" s="677">
        <v>1E-3</v>
      </c>
      <c r="R64" s="701">
        <f t="shared" si="5"/>
        <v>165.00023999999999</v>
      </c>
      <c r="S64" s="677">
        <f t="shared" si="0"/>
        <v>1E-3</v>
      </c>
      <c r="T64" s="677"/>
      <c r="U64" s="700">
        <f t="shared" si="1"/>
        <v>165.00124</v>
      </c>
      <c r="V64" s="700"/>
      <c r="W64" s="700">
        <f t="shared" si="2"/>
        <v>164.99923999999999</v>
      </c>
      <c r="X64" s="700">
        <f t="shared" si="3"/>
        <v>165.00023999999999</v>
      </c>
      <c r="Y64" s="688">
        <f t="shared" si="4"/>
        <v>2.9999999999999997E-4</v>
      </c>
      <c r="Z64" s="677">
        <f t="shared" si="6"/>
        <v>1.4851485148514851E-4</v>
      </c>
      <c r="AA64" s="677">
        <v>2.02</v>
      </c>
      <c r="AB64" s="685">
        <f t="shared" si="7"/>
        <v>0.99999999999170897</v>
      </c>
      <c r="AC64" s="685">
        <f t="shared" si="8"/>
        <v>8.2909790853739242E-12</v>
      </c>
      <c r="AD64" s="685">
        <f t="shared" si="9"/>
        <v>0.99999999998341793</v>
      </c>
      <c r="AE64" s="689">
        <f t="shared" si="10"/>
        <v>0.99999999998341793</v>
      </c>
      <c r="AF64" s="685">
        <f t="shared" si="11"/>
        <v>1.6582069051196413E-11</v>
      </c>
      <c r="AG64" s="690">
        <f t="shared" si="12"/>
        <v>1.6582069051196413E-11</v>
      </c>
      <c r="AI64" s="680">
        <f t="shared" si="13"/>
        <v>6.7333333333654846</v>
      </c>
      <c r="AJ64" s="685">
        <f t="shared" si="14"/>
        <v>0.99999999999170897</v>
      </c>
      <c r="AK64" s="680">
        <f t="shared" si="15"/>
        <v>-6.7333333333654846</v>
      </c>
      <c r="AL64" s="682">
        <f t="shared" si="16"/>
        <v>8.2909790853739242E-12</v>
      </c>
      <c r="AM64" s="688">
        <f t="shared" si="17"/>
        <v>0.99999999998341793</v>
      </c>
      <c r="AN64" s="702">
        <f t="shared" si="18"/>
        <v>0.99999999998341793</v>
      </c>
      <c r="AO64" s="685">
        <f t="shared" si="19"/>
        <v>1.6582069051196413E-11</v>
      </c>
      <c r="AP64" s="703">
        <f t="shared" si="20"/>
        <v>1.6582069051196413E-11</v>
      </c>
    </row>
    <row r="65" spans="1:51" hidden="1">
      <c r="M65" s="699"/>
      <c r="N65" s="700">
        <v>179.9999</v>
      </c>
      <c r="O65" s="688">
        <v>3.8000000000000002E-4</v>
      </c>
      <c r="P65" s="688">
        <v>3.1E-4</v>
      </c>
      <c r="Q65" s="677">
        <v>1E-3</v>
      </c>
      <c r="R65" s="701">
        <f t="shared" si="5"/>
        <v>180.00028</v>
      </c>
      <c r="S65" s="677">
        <f t="shared" si="0"/>
        <v>1E-3</v>
      </c>
      <c r="T65" s="677"/>
      <c r="U65" s="700">
        <f t="shared" si="1"/>
        <v>180.00128000000001</v>
      </c>
      <c r="V65" s="700"/>
      <c r="W65" s="700">
        <f t="shared" si="2"/>
        <v>179.99928</v>
      </c>
      <c r="X65" s="700">
        <f t="shared" si="3"/>
        <v>180.00028</v>
      </c>
      <c r="Y65" s="688">
        <f t="shared" si="4"/>
        <v>3.1E-4</v>
      </c>
      <c r="Z65" s="677">
        <f t="shared" si="6"/>
        <v>1.5346534653465347E-4</v>
      </c>
      <c r="AA65" s="677">
        <v>2.02</v>
      </c>
      <c r="AB65" s="685">
        <f t="shared" si="7"/>
        <v>0.99999999996392752</v>
      </c>
      <c r="AC65" s="685">
        <f t="shared" si="8"/>
        <v>3.6072460848703816E-11</v>
      </c>
      <c r="AD65" s="685">
        <f t="shared" si="9"/>
        <v>0.99999999992785504</v>
      </c>
      <c r="AE65" s="689">
        <f t="shared" si="10"/>
        <v>0.99999999992785504</v>
      </c>
      <c r="AF65" s="685">
        <f t="shared" si="11"/>
        <v>7.2144956675401772E-11</v>
      </c>
      <c r="AG65" s="690">
        <f t="shared" si="12"/>
        <v>7.2144956675401772E-11</v>
      </c>
      <c r="AI65" s="680">
        <f t="shared" si="13"/>
        <v>6.5161290322891778</v>
      </c>
      <c r="AJ65" s="685">
        <f t="shared" si="14"/>
        <v>0.99999999996392752</v>
      </c>
      <c r="AK65" s="680">
        <f t="shared" si="15"/>
        <v>-6.5161290322891778</v>
      </c>
      <c r="AL65" s="682">
        <f t="shared" si="16"/>
        <v>3.6072460848703816E-11</v>
      </c>
      <c r="AM65" s="688">
        <f t="shared" si="17"/>
        <v>0.99999999992785504</v>
      </c>
      <c r="AN65" s="702">
        <f t="shared" si="18"/>
        <v>0.99999999992785504</v>
      </c>
      <c r="AO65" s="685">
        <f t="shared" si="19"/>
        <v>7.2144956675401772E-11</v>
      </c>
      <c r="AP65" s="703">
        <f t="shared" si="20"/>
        <v>7.2144956675401772E-11</v>
      </c>
    </row>
    <row r="66" spans="1:51" hidden="1">
      <c r="M66" s="699"/>
      <c r="N66" s="700">
        <v>195</v>
      </c>
      <c r="O66" s="688">
        <v>3.4000000000000002E-4</v>
      </c>
      <c r="P66" s="688">
        <v>3.4000000000000002E-4</v>
      </c>
      <c r="Q66" s="677">
        <v>1E-3</v>
      </c>
      <c r="R66" s="701">
        <f t="shared" si="5"/>
        <v>195.00033999999999</v>
      </c>
      <c r="S66" s="677">
        <f t="shared" si="0"/>
        <v>1E-3</v>
      </c>
      <c r="T66" s="677"/>
      <c r="U66" s="700">
        <f t="shared" si="1"/>
        <v>195.00134</v>
      </c>
      <c r="V66" s="700"/>
      <c r="W66" s="700">
        <f t="shared" si="2"/>
        <v>194.99933999999999</v>
      </c>
      <c r="X66" s="700">
        <f t="shared" si="3"/>
        <v>195.00033999999999</v>
      </c>
      <c r="Y66" s="688">
        <f t="shared" si="4"/>
        <v>3.4000000000000002E-4</v>
      </c>
      <c r="Z66" s="677">
        <f t="shared" si="6"/>
        <v>1.6831683168316833E-4</v>
      </c>
      <c r="AA66" s="677">
        <v>2.02</v>
      </c>
      <c r="AB66" s="685">
        <f t="shared" si="7"/>
        <v>0.99999999858508115</v>
      </c>
      <c r="AC66" s="685">
        <f t="shared" si="8"/>
        <v>1.4149188845687159E-9</v>
      </c>
      <c r="AD66" s="685">
        <f t="shared" si="9"/>
        <v>0.9999999971701623</v>
      </c>
      <c r="AE66" s="689">
        <f t="shared" si="10"/>
        <v>0.9999999971701623</v>
      </c>
      <c r="AF66" s="685">
        <f t="shared" si="11"/>
        <v>2.8298376975044448E-9</v>
      </c>
      <c r="AG66" s="690">
        <f t="shared" si="12"/>
        <v>2.8298376975044448E-9</v>
      </c>
      <c r="AI66" s="680">
        <f t="shared" si="13"/>
        <v>5.941176470616603</v>
      </c>
      <c r="AJ66" s="685">
        <f t="shared" si="14"/>
        <v>0.99999999858508115</v>
      </c>
      <c r="AK66" s="680">
        <f t="shared" si="15"/>
        <v>-5.941176470616603</v>
      </c>
      <c r="AL66" s="682">
        <f t="shared" si="16"/>
        <v>1.4149188845687159E-9</v>
      </c>
      <c r="AM66" s="688">
        <f t="shared" si="17"/>
        <v>0.9999999971701623</v>
      </c>
      <c r="AN66" s="702">
        <f t="shared" si="18"/>
        <v>0.9999999971701623</v>
      </c>
      <c r="AO66" s="685">
        <f t="shared" si="19"/>
        <v>2.8298376975044448E-9</v>
      </c>
      <c r="AP66" s="703">
        <f t="shared" si="20"/>
        <v>2.8298376975044448E-9</v>
      </c>
    </row>
    <row r="67" spans="1:51" hidden="1">
      <c r="M67" s="699"/>
      <c r="N67" s="700">
        <v>210</v>
      </c>
      <c r="O67" s="688">
        <v>1.9000000000000001E-4</v>
      </c>
      <c r="P67" s="688">
        <v>2.9999999999999997E-4</v>
      </c>
      <c r="Q67" s="677">
        <v>1E-3</v>
      </c>
      <c r="R67" s="701">
        <f t="shared" si="5"/>
        <v>210.00019</v>
      </c>
      <c r="S67" s="677">
        <f t="shared" si="0"/>
        <v>1E-3</v>
      </c>
      <c r="T67" s="677"/>
      <c r="U67" s="700">
        <f t="shared" si="1"/>
        <v>210.00119000000001</v>
      </c>
      <c r="V67" s="700"/>
      <c r="W67" s="700">
        <f t="shared" si="2"/>
        <v>209.99919</v>
      </c>
      <c r="X67" s="700">
        <f t="shared" si="3"/>
        <v>210.00019</v>
      </c>
      <c r="Y67" s="688">
        <f t="shared" si="4"/>
        <v>2.9999999999999997E-4</v>
      </c>
      <c r="Z67" s="677">
        <f t="shared" si="6"/>
        <v>1.4851485148514851E-4</v>
      </c>
      <c r="AA67" s="677">
        <v>2.02</v>
      </c>
      <c r="AB67" s="685">
        <f t="shared" si="7"/>
        <v>0.99999999999170897</v>
      </c>
      <c r="AC67" s="685">
        <f t="shared" si="8"/>
        <v>8.2909790853739242E-12</v>
      </c>
      <c r="AD67" s="685">
        <f t="shared" si="9"/>
        <v>0.99999999998341793</v>
      </c>
      <c r="AE67" s="689">
        <f t="shared" si="10"/>
        <v>0.99999999998341793</v>
      </c>
      <c r="AF67" s="685">
        <f t="shared" si="11"/>
        <v>1.6582069051196413E-11</v>
      </c>
      <c r="AG67" s="690">
        <f t="shared" si="12"/>
        <v>1.6582069051196413E-11</v>
      </c>
      <c r="AI67" s="680">
        <f t="shared" si="13"/>
        <v>6.7333333333654846</v>
      </c>
      <c r="AJ67" s="685">
        <f t="shared" si="14"/>
        <v>0.99999999999170897</v>
      </c>
      <c r="AK67" s="680">
        <f t="shared" si="15"/>
        <v>-6.7333333333654846</v>
      </c>
      <c r="AL67" s="682">
        <f t="shared" si="16"/>
        <v>8.2909790853739242E-12</v>
      </c>
      <c r="AM67" s="688">
        <f t="shared" si="17"/>
        <v>0.99999999998341793</v>
      </c>
      <c r="AN67" s="702">
        <f t="shared" si="18"/>
        <v>0.99999999998341793</v>
      </c>
      <c r="AO67" s="685">
        <f t="shared" si="19"/>
        <v>1.6582069051196413E-11</v>
      </c>
      <c r="AP67" s="703">
        <f t="shared" si="20"/>
        <v>1.6582069051196413E-11</v>
      </c>
    </row>
    <row r="68" spans="1:51">
      <c r="A68" s="704"/>
      <c r="B68" s="704"/>
      <c r="C68" s="704"/>
      <c r="D68" s="704"/>
      <c r="E68" s="704"/>
      <c r="F68" s="704"/>
      <c r="G68" s="704"/>
      <c r="H68" s="704"/>
      <c r="I68" s="704"/>
      <c r="J68" s="704"/>
      <c r="K68" s="704"/>
      <c r="L68" s="704"/>
      <c r="M68" s="704"/>
      <c r="N68" s="704"/>
      <c r="O68" s="704"/>
      <c r="P68" s="704"/>
      <c r="Q68" s="704"/>
      <c r="R68" s="704"/>
      <c r="S68" s="704"/>
      <c r="T68" s="704"/>
      <c r="U68" s="704"/>
      <c r="V68" s="704"/>
      <c r="W68" s="704"/>
      <c r="X68" s="704"/>
      <c r="Y68" s="704"/>
      <c r="Z68" s="704"/>
      <c r="AA68" s="704"/>
      <c r="AB68" s="705"/>
      <c r="AC68" s="705"/>
      <c r="AD68" s="706"/>
      <c r="AE68" s="706"/>
      <c r="AF68" s="707"/>
      <c r="AG68" s="707"/>
      <c r="AH68" s="704"/>
      <c r="AI68" s="708"/>
      <c r="AJ68" s="708"/>
      <c r="AK68" s="708"/>
      <c r="AL68" s="708"/>
      <c r="AM68" s="708"/>
      <c r="AN68" s="708"/>
      <c r="AO68" s="704"/>
      <c r="AP68" s="704"/>
      <c r="AQ68" s="704"/>
      <c r="AR68" s="704"/>
      <c r="AS68" s="704"/>
      <c r="AT68" s="704"/>
      <c r="AU68" s="704"/>
      <c r="AV68" s="704"/>
      <c r="AW68" s="704"/>
      <c r="AX68" s="704"/>
      <c r="AY68" s="704"/>
    </row>
    <row r="69" spans="1:51">
      <c r="C69" s="670" t="s">
        <v>1226</v>
      </c>
      <c r="AB69" s="709"/>
      <c r="AC69" s="709"/>
      <c r="AD69" s="710"/>
      <c r="AE69" s="710"/>
      <c r="AF69" s="711"/>
      <c r="AG69" s="711"/>
    </row>
    <row r="70" spans="1:51" ht="15" customHeight="1">
      <c r="C70" s="670" t="s">
        <v>1227</v>
      </c>
      <c r="M70" s="928" t="str">
        <f>Formato!Q79</f>
        <v xml:space="preserve">3. Prueba para los errores de las indicaciones </v>
      </c>
      <c r="N70" s="712"/>
      <c r="O70" s="713" t="str">
        <f>Formato!D15</f>
        <v>Equipo de Pesaje</v>
      </c>
      <c r="P70" s="714" t="str">
        <f>CONCATENATE(Formato!S20," a ",Formato!Y20," ",Formato!I20)</f>
        <v>0,01 a 40 g</v>
      </c>
      <c r="Q70" s="715" t="str">
        <f>Formato!I7</f>
        <v>TM028-25A</v>
      </c>
      <c r="R70" s="716" t="s">
        <v>1434</v>
      </c>
      <c r="S70" s="716"/>
      <c r="T70" s="716"/>
      <c r="U70" s="716"/>
      <c r="V70" s="716"/>
      <c r="W70" s="716"/>
      <c r="X70" s="716"/>
      <c r="Y70" s="716"/>
      <c r="Z70" s="716"/>
      <c r="AA70" s="716"/>
      <c r="AB70" s="717"/>
      <c r="AC70" s="717"/>
      <c r="AD70" s="718"/>
      <c r="AE70" s="718"/>
      <c r="AF70" s="719"/>
      <c r="AG70" s="719"/>
      <c r="AH70" s="716"/>
      <c r="AI70" s="720"/>
      <c r="AJ70" s="720"/>
      <c r="AK70" s="720"/>
      <c r="AL70" s="720"/>
    </row>
    <row r="71" spans="1:51">
      <c r="G71" s="670" t="str">
        <f>IF(Formato!AL76="","",Formato!AL76)</f>
        <v/>
      </c>
      <c r="M71" s="929"/>
      <c r="N71" s="721" t="s">
        <v>1431</v>
      </c>
      <c r="O71" s="722" t="s">
        <v>182</v>
      </c>
      <c r="P71" s="722" t="s">
        <v>1423</v>
      </c>
      <c r="Q71" s="722" t="s">
        <v>317</v>
      </c>
      <c r="R71" s="670" t="s">
        <v>1435</v>
      </c>
      <c r="T71" s="670" t="s">
        <v>1436</v>
      </c>
      <c r="U71" s="670" t="s">
        <v>1440</v>
      </c>
      <c r="V71" s="670" t="s">
        <v>1437</v>
      </c>
      <c r="W71" s="670" t="s">
        <v>1420</v>
      </c>
      <c r="AB71" s="709"/>
      <c r="AC71" s="709"/>
      <c r="AD71" s="710"/>
      <c r="AE71" s="710"/>
      <c r="AF71" s="711"/>
      <c r="AG71" s="711"/>
      <c r="AM71" s="930" t="s">
        <v>1417</v>
      </c>
      <c r="AN71" s="930"/>
      <c r="AO71" s="931" t="s">
        <v>1417</v>
      </c>
      <c r="AP71" s="931"/>
      <c r="AR71" s="676"/>
      <c r="AS71" s="676"/>
      <c r="AT71" s="676"/>
      <c r="AU71" s="676"/>
      <c r="AV71" s="930" t="s">
        <v>1417</v>
      </c>
      <c r="AW71" s="930"/>
      <c r="AX71" s="931" t="s">
        <v>1417</v>
      </c>
      <c r="AY71" s="931"/>
    </row>
    <row r="72" spans="1:51">
      <c r="B72" s="723" t="str">
        <f>S72</f>
        <v>TL</v>
      </c>
      <c r="C72" s="723" t="str">
        <f>IF(OR($G$71="",$G$71="N.A."),"",IF(AND(B74=C74,B75=C75,B76=C76),"AL=TL",T72))</f>
        <v/>
      </c>
      <c r="D72" s="723" t="str">
        <f>IF(OR($G$71="",$G$71="N.A."),"",IF(AND(D74=E74,E75=D75,E76=D76),"AL-=TL-",V72))</f>
        <v/>
      </c>
      <c r="E72" s="723" t="str">
        <f>CONCATENATE("-",S72)</f>
        <v>-TL</v>
      </c>
      <c r="F72" s="724" t="s">
        <v>1415</v>
      </c>
      <c r="G72" s="723" t="s">
        <v>1221</v>
      </c>
      <c r="H72" s="724" t="s">
        <v>1415</v>
      </c>
      <c r="I72" s="673" t="s">
        <v>1438</v>
      </c>
      <c r="J72" s="673" t="s">
        <v>1439</v>
      </c>
      <c r="M72" s="929"/>
      <c r="N72" s="683" t="str">
        <f>Formato!I20</f>
        <v>g</v>
      </c>
      <c r="O72" s="677" t="str">
        <f>N72</f>
        <v>g</v>
      </c>
      <c r="P72" s="677" t="str">
        <f>O72</f>
        <v>g</v>
      </c>
      <c r="Q72" s="677" t="str">
        <f>P72</f>
        <v>g</v>
      </c>
      <c r="R72" s="840" t="s">
        <v>326</v>
      </c>
      <c r="S72" s="679" t="s">
        <v>1420</v>
      </c>
      <c r="T72" s="677" t="s">
        <v>1464</v>
      </c>
      <c r="U72" s="677" t="s">
        <v>1420</v>
      </c>
      <c r="V72" s="677" t="s">
        <v>1465</v>
      </c>
      <c r="W72" s="677" t="s">
        <v>1466</v>
      </c>
      <c r="X72" s="677" t="s">
        <v>1421</v>
      </c>
      <c r="Y72" s="679" t="s">
        <v>1423</v>
      </c>
      <c r="Z72" s="677" t="s">
        <v>1433</v>
      </c>
      <c r="AA72" s="677" t="s">
        <v>1424</v>
      </c>
      <c r="AB72" s="685" t="s">
        <v>1425</v>
      </c>
      <c r="AC72" s="685" t="s">
        <v>1426</v>
      </c>
      <c r="AD72" s="938" t="s">
        <v>1417</v>
      </c>
      <c r="AE72" s="938"/>
      <c r="AF72" s="937" t="s">
        <v>1417</v>
      </c>
      <c r="AG72" s="937"/>
      <c r="AI72" s="677" t="s">
        <v>1427</v>
      </c>
      <c r="AJ72" s="680" t="str">
        <f>CONCATENATE("ɸ(",ROUND(AI74,2)," ) ")</f>
        <v xml:space="preserve">ɸ(-0,03 ) </v>
      </c>
      <c r="AK72" s="677" t="s">
        <v>1428</v>
      </c>
      <c r="AL72" s="681" t="str">
        <f>CONCATENATE("ɸ(",ROUND(AK74,2)," ) ")</f>
        <v xml:space="preserve">ɸ(-0,03 ) </v>
      </c>
      <c r="AM72" s="697" t="str">
        <f>CONCATENATE("ɸ(",ROUND(AI74,2)," ) - ","ɸ(",ROUND(AK74,2)," ) ")</f>
        <v xml:space="preserve">ɸ(-0,03 ) - ɸ(-0,03 ) </v>
      </c>
      <c r="AN72" s="698"/>
      <c r="AO72" s="677"/>
      <c r="AP72" s="684"/>
      <c r="AR72" s="677" t="s">
        <v>1427</v>
      </c>
      <c r="AS72" s="680" t="str">
        <f>CONCATENATE("ɸ(",ROUND(AR74,2)," ) ")</f>
        <v xml:space="preserve">ɸ(-0,03 ) </v>
      </c>
      <c r="AT72" s="677" t="s">
        <v>1428</v>
      </c>
      <c r="AU72" s="681" t="str">
        <f>CONCATENATE("ɸ(",ROUND(AT74,2)," ) ")</f>
        <v xml:space="preserve">ɸ(-0,03 ) </v>
      </c>
      <c r="AV72" s="725" t="str">
        <f>CONCATENATE("ɸ(",ROUND(AR74,2)," ) - ","ɸ(",ROUND(AT74,2)," ) ")</f>
        <v xml:space="preserve">ɸ(-0,03 ) - ɸ(-0,03 ) </v>
      </c>
      <c r="AW72" s="698"/>
      <c r="AX72" s="677"/>
      <c r="AY72" s="684"/>
    </row>
    <row r="73" spans="1:51">
      <c r="B73" s="688">
        <f>IF(Formato!$AL$76=$C$70,S90,S73)</f>
        <v>0</v>
      </c>
      <c r="C73" s="688" t="str">
        <f>IF(OR($G$71="",$G$71="N.A."),"",IF(Formato!$AL$76=$C$70,T90,T73))</f>
        <v/>
      </c>
      <c r="D73" s="688" t="str">
        <f>IF(OR($G$71="",$G$71="N.A."),"",IF(Formato!$AL$76=$C$70,V90,V73))</f>
        <v/>
      </c>
      <c r="E73" s="688">
        <f>IF(Formato!$AL$76=$C$70,-S90,-S73)</f>
        <v>0</v>
      </c>
      <c r="F73" s="726">
        <f>IF(Formato!$AL$76=$C$70,AG90,AG73)</f>
        <v>1</v>
      </c>
      <c r="G73" s="685" t="str">
        <f>'Certificado de calibración'!S127</f>
        <v>N.A.</v>
      </c>
      <c r="H73" s="748" t="str">
        <f>IF(G73="Cumple",F73,"")</f>
        <v/>
      </c>
      <c r="I73" s="727">
        <f>-Q73+P73</f>
        <v>2.3459923272814481E-5</v>
      </c>
      <c r="J73" s="727">
        <f>Q73-P73</f>
        <v>-2.3459923272814481E-5</v>
      </c>
      <c r="K73" s="670" t="b">
        <f>O73&gt;I73</f>
        <v>0</v>
      </c>
      <c r="L73" s="670" t="b">
        <f>O73&lt;J73</f>
        <v>0</v>
      </c>
      <c r="M73" s="929"/>
      <c r="N73" s="728">
        <f>Formato!X82</f>
        <v>0</v>
      </c>
      <c r="O73" s="746">
        <f>Formato!AL82</f>
        <v>0</v>
      </c>
      <c r="P73" s="746">
        <f>Formato!AK82</f>
        <v>2.3459923272814481E-5</v>
      </c>
      <c r="Q73" s="745">
        <f>Formato!$G$21</f>
        <v>0</v>
      </c>
      <c r="R73" s="729">
        <f>N73+O73</f>
        <v>0</v>
      </c>
      <c r="S73" s="688">
        <f>Q73</f>
        <v>0</v>
      </c>
      <c r="T73" s="677">
        <f>S73</f>
        <v>0</v>
      </c>
      <c r="U73" s="700">
        <f>N73+S73</f>
        <v>0</v>
      </c>
      <c r="V73" s="700">
        <f>-S73</f>
        <v>0</v>
      </c>
      <c r="W73" s="700">
        <f>N73-S73</f>
        <v>0</v>
      </c>
      <c r="X73" s="700">
        <f>R73</f>
        <v>0</v>
      </c>
      <c r="Y73" s="688">
        <f>P73</f>
        <v>2.3459923272814481E-5</v>
      </c>
      <c r="Z73" s="677">
        <f>Y73/AA73</f>
        <v>3.4807789875724214E-6</v>
      </c>
      <c r="AA73" s="685">
        <f>'Estimación de la Incertidumbre'!H38</f>
        <v>6.739848567396689</v>
      </c>
      <c r="AB73" s="685">
        <f>_xlfn.NORM.DIST(U73,X73,Z73,1)</f>
        <v>0.5</v>
      </c>
      <c r="AC73" s="685">
        <f>_xlfn.NORM.DIST(W73,X73,Z73,1)</f>
        <v>0.5</v>
      </c>
      <c r="AD73" s="685">
        <f>AB73-AC73</f>
        <v>0</v>
      </c>
      <c r="AE73" s="689">
        <f>AD73</f>
        <v>0</v>
      </c>
      <c r="AF73" s="685">
        <f>1-AD73</f>
        <v>1</v>
      </c>
      <c r="AG73" s="690">
        <f>AF73</f>
        <v>1</v>
      </c>
      <c r="AI73" s="841">
        <f>(U73-X73)/Z73</f>
        <v>0</v>
      </c>
      <c r="AJ73" s="685">
        <f>_xlfn.NORM.S.DIST(AI73,1)</f>
        <v>0.5</v>
      </c>
      <c r="AK73" s="841">
        <f>(W73-X73)/Z73</f>
        <v>0</v>
      </c>
      <c r="AL73" s="682">
        <f>_xlfn.NORM.S.DIST(AK73,1)</f>
        <v>0.5</v>
      </c>
      <c r="AM73" s="688">
        <f>AJ73-AL73</f>
        <v>0</v>
      </c>
      <c r="AN73" s="702">
        <f>AM73</f>
        <v>0</v>
      </c>
      <c r="AO73" s="685">
        <f>1-AM73</f>
        <v>1</v>
      </c>
      <c r="AP73" s="703">
        <f>AO73</f>
        <v>1</v>
      </c>
      <c r="AR73" s="680">
        <f>(U73-X73)/Z73</f>
        <v>0</v>
      </c>
      <c r="AS73" s="685">
        <f>NORMSDIST(AR73)</f>
        <v>0.5</v>
      </c>
      <c r="AT73" s="680">
        <f>(W73-X73)/Z73</f>
        <v>0</v>
      </c>
      <c r="AU73" s="682">
        <f>NORMSDIST(AT73)</f>
        <v>0.5</v>
      </c>
      <c r="AV73" s="688">
        <f>AS73-AU73</f>
        <v>0</v>
      </c>
      <c r="AW73" s="702">
        <f>AV73</f>
        <v>0</v>
      </c>
      <c r="AX73" s="680">
        <f>1-AV73</f>
        <v>1</v>
      </c>
      <c r="AY73" s="730">
        <f>AX73</f>
        <v>1</v>
      </c>
    </row>
    <row r="74" spans="1:51">
      <c r="A74" s="675">
        <v>1</v>
      </c>
      <c r="B74" s="688">
        <f>IF(Formato!$AL$76=$C$70,S91,S74)</f>
        <v>0</v>
      </c>
      <c r="C74" s="688" t="str">
        <f>IF(OR($G$71="",$G$71="N.A."),"",IF(Formato!$AL$76=$C$70,T91,T74))</f>
        <v/>
      </c>
      <c r="D74" s="688" t="str">
        <f>IF(OR($G$71="",$G$71="N.A."),"",IF(Formato!$AL$76=$C$70,V91,V74))</f>
        <v/>
      </c>
      <c r="E74" s="688">
        <f>IF(Formato!$AL$76=$C$70,-S91,-S74)</f>
        <v>0</v>
      </c>
      <c r="F74" s="726">
        <f>IF(Formato!$AL$76=$C$70,AG91,AG74)</f>
        <v>1</v>
      </c>
      <c r="G74" s="685" t="str">
        <f>'Certificado de calibración'!S128</f>
        <v>N.A.</v>
      </c>
      <c r="H74" s="748" t="str">
        <f>IF(G74="Cumple",F74,"")</f>
        <v/>
      </c>
      <c r="I74" s="727">
        <f>-Q74+P74</f>
        <v>2.4028590447104866E-5</v>
      </c>
      <c r="J74" s="727">
        <f>Q74-P74</f>
        <v>-2.4028590447104866E-5</v>
      </c>
      <c r="K74" s="670" t="b">
        <f>O74&gt;I74</f>
        <v>0</v>
      </c>
      <c r="L74" s="670" t="b">
        <f>O74&lt;J74</f>
        <v>0</v>
      </c>
      <c r="M74" s="929"/>
      <c r="N74" s="728">
        <f>Formato!X87</f>
        <v>0.01</v>
      </c>
      <c r="O74" s="746">
        <f>Formato!AL87</f>
        <v>2.9894351623142856E-7</v>
      </c>
      <c r="P74" s="746">
        <f>Formato!AK87</f>
        <v>2.4028590447104866E-5</v>
      </c>
      <c r="Q74" s="745">
        <f>Formato!$G$21</f>
        <v>0</v>
      </c>
      <c r="R74" s="729">
        <f>N74+O74</f>
        <v>1.0000298943516232E-2</v>
      </c>
      <c r="S74" s="688">
        <f>Q74</f>
        <v>0</v>
      </c>
      <c r="T74" s="677">
        <f>S74</f>
        <v>0</v>
      </c>
      <c r="U74" s="700">
        <f>N74+S74</f>
        <v>0.01</v>
      </c>
      <c r="V74" s="700">
        <f>-S74</f>
        <v>0</v>
      </c>
      <c r="W74" s="700">
        <f>N74-S74</f>
        <v>0.01</v>
      </c>
      <c r="X74" s="700">
        <f>R74</f>
        <v>1.0000298943516232E-2</v>
      </c>
      <c r="Y74" s="688">
        <f>P74</f>
        <v>2.4028590447104866E-5</v>
      </c>
      <c r="Z74" s="677">
        <f>Y74/AA74</f>
        <v>9.5351549393273282E-6</v>
      </c>
      <c r="AA74" s="685">
        <f>'Estimación de la Incertidumbre'!H39</f>
        <v>2.52</v>
      </c>
      <c r="AB74" s="685">
        <f>_xlfn.NORM.DIST(U74,X74,Z74,1)</f>
        <v>0.48749452167922469</v>
      </c>
      <c r="AC74" s="685">
        <f>_xlfn.NORM.DIST(W74,X74,Z74,1)</f>
        <v>0.48749452167922469</v>
      </c>
      <c r="AD74" s="685">
        <f>AB74-AC74</f>
        <v>0</v>
      </c>
      <c r="AE74" s="689">
        <f>AD74</f>
        <v>0</v>
      </c>
      <c r="AF74" s="685">
        <f>1-AD74</f>
        <v>1</v>
      </c>
      <c r="AG74" s="690">
        <f>AF74</f>
        <v>1</v>
      </c>
      <c r="AI74" s="680">
        <f>(U74-X74)/Z74</f>
        <v>-3.1351720882735648E-2</v>
      </c>
      <c r="AJ74" s="685">
        <f>_xlfn.NORM.S.DIST(AI74,1)</f>
        <v>0.48749452167922469</v>
      </c>
      <c r="AK74" s="680">
        <f>(W74-X74)/Z74</f>
        <v>-3.1351720882735648E-2</v>
      </c>
      <c r="AL74" s="682">
        <f>_xlfn.NORM.S.DIST(AK74,1)</f>
        <v>0.48749452167922469</v>
      </c>
      <c r="AM74" s="688">
        <f>AJ74-AL74</f>
        <v>0</v>
      </c>
      <c r="AN74" s="702">
        <f>AM74</f>
        <v>0</v>
      </c>
      <c r="AO74" s="685">
        <f>1-AM74</f>
        <v>1</v>
      </c>
      <c r="AP74" s="703">
        <f>AO74</f>
        <v>1</v>
      </c>
      <c r="AR74" s="680">
        <f>(U74-X74)/Z74</f>
        <v>-3.1351720882735648E-2</v>
      </c>
      <c r="AS74" s="685">
        <f>NORMSDIST(AR74)</f>
        <v>0.48749452167922469</v>
      </c>
      <c r="AT74" s="680">
        <f>(W74-X74)/Z74</f>
        <v>-3.1351720882735648E-2</v>
      </c>
      <c r="AU74" s="682">
        <f>NORMSDIST(AT74)</f>
        <v>0.48749452167922469</v>
      </c>
      <c r="AV74" s="688">
        <f>AS74-AU74</f>
        <v>0</v>
      </c>
      <c r="AW74" s="702">
        <f>AV74</f>
        <v>0</v>
      </c>
      <c r="AX74" s="680">
        <f>1-AV74</f>
        <v>1</v>
      </c>
      <c r="AY74" s="730">
        <f>AX74</f>
        <v>1</v>
      </c>
    </row>
    <row r="75" spans="1:51">
      <c r="A75" s="675">
        <v>2</v>
      </c>
      <c r="B75" s="688">
        <f>IF(Formato!$AL$76=$C$70,S92,S75)</f>
        <v>0</v>
      </c>
      <c r="C75" s="688" t="str">
        <f>IF(OR($G$71="",$G$71="N.A."),"",IF(Formato!$AL$76=$C$70,T92,T75))</f>
        <v/>
      </c>
      <c r="D75" s="688" t="str">
        <f>IF(OR($G$71="",$G$71="N.A."),"",IF(Formato!$AL$76=$C$70,V92,V75))</f>
        <v/>
      </c>
      <c r="E75" s="688">
        <f>IF(Formato!$AL$76=$C$70,-S92,-S75)</f>
        <v>0</v>
      </c>
      <c r="F75" s="726">
        <f>IF(Formato!$AL$76=$C$70,AG92,AG75)</f>
        <v>1</v>
      </c>
      <c r="G75" s="685" t="str">
        <f>'Certificado de calibración'!S129</f>
        <v>N.A.</v>
      </c>
      <c r="H75" s="748" t="str">
        <f t="shared" ref="H75:H84" si="21">IF(G75="Cumple",F75,"")</f>
        <v/>
      </c>
      <c r="I75" s="727">
        <f t="shared" ref="I75:I84" si="22">-Q75+P75</f>
        <v>4.4398152426525772E-5</v>
      </c>
      <c r="J75" s="727">
        <f t="shared" ref="J75:J84" si="23">Q75-P75</f>
        <v>-4.4398152426525772E-5</v>
      </c>
      <c r="K75" s="670" t="b">
        <f t="shared" ref="K75:K84" si="24">O75&gt;I75</f>
        <v>0</v>
      </c>
      <c r="L75" s="670" t="b">
        <f t="shared" ref="L75:L84" si="25">O75&lt;J75</f>
        <v>0</v>
      </c>
      <c r="M75" s="929"/>
      <c r="N75" s="728">
        <f>Formato!X92</f>
        <v>4</v>
      </c>
      <c r="O75" s="746">
        <f>Formato!AL92</f>
        <v>5.5773944480641546E-6</v>
      </c>
      <c r="P75" s="746">
        <f>Formato!AK92</f>
        <v>4.4398152426525772E-5</v>
      </c>
      <c r="Q75" s="745">
        <f>Formato!$G$21</f>
        <v>0</v>
      </c>
      <c r="R75" s="729">
        <f t="shared" ref="R75:R84" si="26">N75+O75</f>
        <v>4.0000055773944485</v>
      </c>
      <c r="S75" s="688">
        <f t="shared" ref="S75:S84" si="27">Q75</f>
        <v>0</v>
      </c>
      <c r="T75" s="677">
        <f t="shared" ref="T75:T84" si="28">S75</f>
        <v>0</v>
      </c>
      <c r="U75" s="700">
        <f t="shared" ref="U75:U84" si="29">N75+S75</f>
        <v>4</v>
      </c>
      <c r="V75" s="700">
        <f t="shared" ref="V75:V84" si="30">-S75</f>
        <v>0</v>
      </c>
      <c r="W75" s="700">
        <f t="shared" ref="W75:W84" si="31">N75-S75</f>
        <v>4</v>
      </c>
      <c r="X75" s="700">
        <f t="shared" ref="X75:X84" si="32">R75</f>
        <v>4.0000055773944485</v>
      </c>
      <c r="Y75" s="688">
        <f t="shared" ref="Y75:Y84" si="33">P75</f>
        <v>4.4398152426525772E-5</v>
      </c>
      <c r="Z75" s="677">
        <f t="shared" ref="Z75:Z84" si="34">Y75/AA75</f>
        <v>2.1979283379468204E-5</v>
      </c>
      <c r="AA75" s="685">
        <f>'Estimación de la Incertidumbre'!I39</f>
        <v>2.02</v>
      </c>
      <c r="AB75" s="685">
        <f t="shared" ref="AB75:AB84" si="35">_xlfn.NORM.DIST(U75,X75,Z75,1)</f>
        <v>0.39984169269822828</v>
      </c>
      <c r="AC75" s="685">
        <f t="shared" ref="AC75:AC84" si="36">_xlfn.NORM.DIST(W75,X75,Z75,1)</f>
        <v>0.39984169269822828</v>
      </c>
      <c r="AD75" s="685">
        <f t="shared" ref="AD75:AD84" si="37">AB75-AC75</f>
        <v>0</v>
      </c>
      <c r="AE75" s="689">
        <f t="shared" ref="AE75:AE84" si="38">AD75</f>
        <v>0</v>
      </c>
      <c r="AF75" s="685">
        <f t="shared" ref="AF75:AF84" si="39">1-AD75</f>
        <v>1</v>
      </c>
      <c r="AG75" s="690">
        <f t="shared" ref="AG75:AG84" si="40">AF75</f>
        <v>1</v>
      </c>
      <c r="AI75" s="680">
        <f t="shared" ref="AI75:AI84" si="41">(U75-X75)/Z75</f>
        <v>-0.25375688334399149</v>
      </c>
      <c r="AJ75" s="685">
        <f t="shared" ref="AJ75:AJ84" si="42">_xlfn.NORM.S.DIST(AI75,1)</f>
        <v>0.39984169269822828</v>
      </c>
      <c r="AK75" s="680">
        <f t="shared" ref="AK75:AK84" si="43">(W75-X75)/Z75</f>
        <v>-0.25375688334399149</v>
      </c>
      <c r="AL75" s="682">
        <f t="shared" ref="AL75:AL84" si="44">_xlfn.NORM.S.DIST(AK75,1)</f>
        <v>0.39984169269822828</v>
      </c>
      <c r="AM75" s="688">
        <f t="shared" ref="AM75:AM84" si="45">AJ75-AL75</f>
        <v>0</v>
      </c>
      <c r="AN75" s="702">
        <f t="shared" ref="AN75:AN84" si="46">AM75</f>
        <v>0</v>
      </c>
      <c r="AO75" s="685">
        <f t="shared" ref="AO75:AO84" si="47">1-AM75</f>
        <v>1</v>
      </c>
      <c r="AP75" s="703">
        <f t="shared" ref="AP75:AP84" si="48">AO75</f>
        <v>1</v>
      </c>
      <c r="AR75" s="680">
        <f t="shared" ref="AR75:AR84" si="49">(U75-X75)/Z75</f>
        <v>-0.25375688334399149</v>
      </c>
      <c r="AS75" s="685">
        <f t="shared" ref="AS75:AS84" si="50">NORMSDIST(AR75)</f>
        <v>0.39984169269822828</v>
      </c>
      <c r="AT75" s="680">
        <f t="shared" ref="AT75:AT84" si="51">(W75-X75)/Z75</f>
        <v>-0.25375688334399149</v>
      </c>
      <c r="AU75" s="682">
        <f t="shared" ref="AU75:AU84" si="52">NORMSDIST(AT75)</f>
        <v>0.39984169269822828</v>
      </c>
      <c r="AV75" s="688">
        <f t="shared" ref="AV75:AV84" si="53">AS75-AU75</f>
        <v>0</v>
      </c>
      <c r="AW75" s="702">
        <f t="shared" ref="AW75:AW84" si="54">AV75</f>
        <v>0</v>
      </c>
      <c r="AX75" s="680">
        <f t="shared" ref="AX75:AX84" si="55">1-AV75</f>
        <v>1</v>
      </c>
      <c r="AY75" s="730">
        <f t="shared" ref="AY75:AY84" si="56">AX75</f>
        <v>1</v>
      </c>
    </row>
    <row r="76" spans="1:51">
      <c r="A76" s="675">
        <v>3</v>
      </c>
      <c r="B76" s="688">
        <f>IF(Formato!$AL$76=$C$70,S93,S76)</f>
        <v>0</v>
      </c>
      <c r="C76" s="688" t="str">
        <f>IF(OR($G$71="",$G$71="N.A."),"",IF(Formato!$AL$76=$C$70,T93,T76))</f>
        <v/>
      </c>
      <c r="D76" s="688" t="str">
        <f>IF(OR($G$71="",$G$71="N.A."),"",IF(Formato!$AL$76=$C$70,V93,V76))</f>
        <v/>
      </c>
      <c r="E76" s="688">
        <f>IF(Formato!$AL$76=$C$70,-S93,-S76)</f>
        <v>0</v>
      </c>
      <c r="F76" s="726">
        <f>IF(Formato!$AL$76=$C$70,AG93,AG76)</f>
        <v>1</v>
      </c>
      <c r="G76" s="685" t="str">
        <f>'Certificado de calibración'!S130</f>
        <v>N.A.</v>
      </c>
      <c r="H76" s="748" t="str">
        <f t="shared" si="21"/>
        <v/>
      </c>
      <c r="I76" s="727">
        <f t="shared" si="22"/>
        <v>6.4456647642294077E-5</v>
      </c>
      <c r="J76" s="727">
        <f t="shared" si="23"/>
        <v>-6.4456647642294077E-5</v>
      </c>
      <c r="K76" s="670" t="b">
        <f t="shared" si="24"/>
        <v>0</v>
      </c>
      <c r="L76" s="670" t="b">
        <f t="shared" si="25"/>
        <v>0</v>
      </c>
      <c r="M76" s="929"/>
      <c r="N76" s="728">
        <f>Formato!X97</f>
        <v>8</v>
      </c>
      <c r="O76" s="746">
        <f>Formato!AL97</f>
        <v>1.2154789001073141E-5</v>
      </c>
      <c r="P76" s="746">
        <f>Formato!AK97</f>
        <v>6.4456647642294077E-5</v>
      </c>
      <c r="Q76" s="745">
        <f>Formato!$G$21</f>
        <v>0</v>
      </c>
      <c r="R76" s="729">
        <f t="shared" si="26"/>
        <v>8.0000121547890011</v>
      </c>
      <c r="S76" s="688">
        <f t="shared" si="27"/>
        <v>0</v>
      </c>
      <c r="T76" s="677">
        <f t="shared" si="28"/>
        <v>0</v>
      </c>
      <c r="U76" s="700">
        <f t="shared" si="29"/>
        <v>8</v>
      </c>
      <c r="V76" s="700">
        <f t="shared" si="30"/>
        <v>0</v>
      </c>
      <c r="W76" s="700">
        <f t="shared" si="31"/>
        <v>8</v>
      </c>
      <c r="X76" s="700">
        <f t="shared" si="32"/>
        <v>8.0000121547890011</v>
      </c>
      <c r="Y76" s="688">
        <f t="shared" si="33"/>
        <v>6.4456647642294077E-5</v>
      </c>
      <c r="Z76" s="677">
        <f t="shared" si="34"/>
        <v>3.2067983901638849E-5</v>
      </c>
      <c r="AA76" s="685">
        <f>'Estimación de la Incertidumbre'!J39</f>
        <v>2.0099999999999998</v>
      </c>
      <c r="AB76" s="685">
        <f t="shared" si="35"/>
        <v>0.35233208614267025</v>
      </c>
      <c r="AC76" s="685">
        <f t="shared" si="36"/>
        <v>0.35233208614267025</v>
      </c>
      <c r="AD76" s="685">
        <f t="shared" si="37"/>
        <v>0</v>
      </c>
      <c r="AE76" s="689">
        <f t="shared" si="38"/>
        <v>0</v>
      </c>
      <c r="AF76" s="685">
        <f t="shared" si="39"/>
        <v>1</v>
      </c>
      <c r="AG76" s="690">
        <f t="shared" si="40"/>
        <v>1</v>
      </c>
      <c r="AI76" s="680">
        <f t="shared" si="41"/>
        <v>-0.37903190416819327</v>
      </c>
      <c r="AJ76" s="685">
        <f t="shared" si="42"/>
        <v>0.35233208614267025</v>
      </c>
      <c r="AK76" s="680">
        <f t="shared" si="43"/>
        <v>-0.37903190416819327</v>
      </c>
      <c r="AL76" s="682">
        <f t="shared" si="44"/>
        <v>0.35233208614267025</v>
      </c>
      <c r="AM76" s="688">
        <f t="shared" si="45"/>
        <v>0</v>
      </c>
      <c r="AN76" s="702">
        <f t="shared" si="46"/>
        <v>0</v>
      </c>
      <c r="AO76" s="685">
        <f t="shared" si="47"/>
        <v>1</v>
      </c>
      <c r="AP76" s="703">
        <f t="shared" si="48"/>
        <v>1</v>
      </c>
      <c r="AR76" s="680">
        <f t="shared" si="49"/>
        <v>-0.37903190416819327</v>
      </c>
      <c r="AS76" s="685">
        <f t="shared" si="50"/>
        <v>0.35233208614267025</v>
      </c>
      <c r="AT76" s="680">
        <f t="shared" si="51"/>
        <v>-0.37903190416819327</v>
      </c>
      <c r="AU76" s="682">
        <f t="shared" si="52"/>
        <v>0.35233208614267025</v>
      </c>
      <c r="AV76" s="688">
        <f t="shared" si="53"/>
        <v>0</v>
      </c>
      <c r="AW76" s="702">
        <f t="shared" si="54"/>
        <v>0</v>
      </c>
      <c r="AX76" s="680">
        <f t="shared" si="55"/>
        <v>1</v>
      </c>
      <c r="AY76" s="730">
        <f t="shared" si="56"/>
        <v>1</v>
      </c>
    </row>
    <row r="77" spans="1:51">
      <c r="A77" s="675">
        <v>4</v>
      </c>
      <c r="B77" s="688">
        <f>IF(Formato!$AL$76=$C$70,S94,S77)</f>
        <v>0</v>
      </c>
      <c r="C77" s="688" t="str">
        <f>IF(OR($G$71="",$G$71="N.A."),"",IF(Formato!$AL$76=$C$70,T94,T77))</f>
        <v/>
      </c>
      <c r="D77" s="688" t="str">
        <f>IF(OR($G$71="",$G$71="N.A."),"",IF(Formato!$AL$76=$C$70,V94,V77))</f>
        <v/>
      </c>
      <c r="E77" s="688">
        <f>IF(Formato!$AL$76=$C$70,-S94,-S77)</f>
        <v>0</v>
      </c>
      <c r="F77" s="726">
        <f>IF(Formato!$AL$76=$C$70,AG94,AG77)</f>
        <v>1</v>
      </c>
      <c r="G77" s="685" t="str">
        <f>'Certificado de calibración'!S131</f>
        <v>N.A.</v>
      </c>
      <c r="H77" s="748" t="str">
        <f t="shared" si="21"/>
        <v/>
      </c>
      <c r="I77" s="727">
        <f t="shared" si="22"/>
        <v>5.5921728620574623E-5</v>
      </c>
      <c r="J77" s="727">
        <f t="shared" si="23"/>
        <v>-5.5921728620574623E-5</v>
      </c>
      <c r="K77" s="670" t="b">
        <f t="shared" si="24"/>
        <v>0</v>
      </c>
      <c r="L77" s="670" t="b">
        <f t="shared" si="25"/>
        <v>0</v>
      </c>
      <c r="M77" s="929"/>
      <c r="N77" s="728">
        <f>Formato!X102</f>
        <v>12</v>
      </c>
      <c r="O77" s="746">
        <f>Formato!AL102</f>
        <v>-1.2678196146254095E-6</v>
      </c>
      <c r="P77" s="746">
        <f>Formato!AK102</f>
        <v>5.5921728620574623E-5</v>
      </c>
      <c r="Q77" s="745">
        <f>Formato!$G$21</f>
        <v>0</v>
      </c>
      <c r="R77" s="729">
        <f t="shared" si="26"/>
        <v>11.999998732180385</v>
      </c>
      <c r="S77" s="688">
        <f t="shared" si="27"/>
        <v>0</v>
      </c>
      <c r="T77" s="677">
        <f t="shared" si="28"/>
        <v>0</v>
      </c>
      <c r="U77" s="700">
        <f t="shared" si="29"/>
        <v>12</v>
      </c>
      <c r="V77" s="700">
        <f t="shared" si="30"/>
        <v>0</v>
      </c>
      <c r="W77" s="700">
        <f t="shared" si="31"/>
        <v>12</v>
      </c>
      <c r="X77" s="700">
        <f t="shared" si="32"/>
        <v>11.999998732180385</v>
      </c>
      <c r="Y77" s="688">
        <f t="shared" si="33"/>
        <v>5.5921728620574623E-5</v>
      </c>
      <c r="Z77" s="677">
        <f t="shared" si="34"/>
        <v>2.7821755532624192E-5</v>
      </c>
      <c r="AA77" s="685">
        <f>'Estimación de la Incertidumbre'!K39</f>
        <v>2.0099999999999998</v>
      </c>
      <c r="AB77" s="685">
        <f t="shared" si="35"/>
        <v>0.51817325481490495</v>
      </c>
      <c r="AC77" s="685">
        <f t="shared" si="36"/>
        <v>0.51817325481490495</v>
      </c>
      <c r="AD77" s="685">
        <f t="shared" si="37"/>
        <v>0</v>
      </c>
      <c r="AE77" s="689">
        <f t="shared" si="38"/>
        <v>0</v>
      </c>
      <c r="AF77" s="685">
        <f t="shared" si="39"/>
        <v>1</v>
      </c>
      <c r="AG77" s="690">
        <f t="shared" si="40"/>
        <v>1</v>
      </c>
      <c r="AI77" s="680">
        <f t="shared" si="41"/>
        <v>4.5569360752190709E-2</v>
      </c>
      <c r="AJ77" s="685">
        <f t="shared" si="42"/>
        <v>0.51817325481490495</v>
      </c>
      <c r="AK77" s="680">
        <f t="shared" si="43"/>
        <v>4.5569360752190709E-2</v>
      </c>
      <c r="AL77" s="682">
        <f t="shared" si="44"/>
        <v>0.51817325481490495</v>
      </c>
      <c r="AM77" s="688">
        <f t="shared" si="45"/>
        <v>0</v>
      </c>
      <c r="AN77" s="702">
        <f t="shared" si="46"/>
        <v>0</v>
      </c>
      <c r="AO77" s="685">
        <f t="shared" si="47"/>
        <v>1</v>
      </c>
      <c r="AP77" s="703">
        <f t="shared" si="48"/>
        <v>1</v>
      </c>
      <c r="AR77" s="680">
        <f t="shared" si="49"/>
        <v>4.5569360752190709E-2</v>
      </c>
      <c r="AS77" s="685">
        <f t="shared" si="50"/>
        <v>0.51817325481490495</v>
      </c>
      <c r="AT77" s="680">
        <f t="shared" si="51"/>
        <v>4.5569360752190709E-2</v>
      </c>
      <c r="AU77" s="682">
        <f t="shared" si="52"/>
        <v>0.51817325481490495</v>
      </c>
      <c r="AV77" s="688">
        <f t="shared" si="53"/>
        <v>0</v>
      </c>
      <c r="AW77" s="702">
        <f t="shared" si="54"/>
        <v>0</v>
      </c>
      <c r="AX77" s="680">
        <f t="shared" si="55"/>
        <v>1</v>
      </c>
      <c r="AY77" s="730">
        <f t="shared" si="56"/>
        <v>1</v>
      </c>
    </row>
    <row r="78" spans="1:51">
      <c r="A78" s="675">
        <v>5</v>
      </c>
      <c r="B78" s="688">
        <f>IF(Formato!$AL$76=$C$70,S95,S78)</f>
        <v>0</v>
      </c>
      <c r="C78" s="688" t="str">
        <f>IF(OR($G$71="",$G$71="N.A."),"",IF(Formato!$AL$76=$C$70,T95,T78))</f>
        <v/>
      </c>
      <c r="D78" s="688" t="str">
        <f>IF(OR($G$71="",$G$71="N.A."),"",IF(Formato!$AL$76=$C$70,V95,V78))</f>
        <v/>
      </c>
      <c r="E78" s="688">
        <f>IF(Formato!$AL$76=$C$70,-S95,-S78)</f>
        <v>0</v>
      </c>
      <c r="F78" s="726">
        <f>IF(Formato!$AL$76=$C$70,AG95,AG78)</f>
        <v>1</v>
      </c>
      <c r="G78" s="685" t="str">
        <f>'Certificado de calibración'!S132</f>
        <v>N.A.</v>
      </c>
      <c r="H78" s="748" t="str">
        <f t="shared" si="21"/>
        <v/>
      </c>
      <c r="I78" s="727">
        <f t="shared" si="22"/>
        <v>6.1885757897511143E-5</v>
      </c>
      <c r="J78" s="727">
        <f t="shared" si="23"/>
        <v>-6.1885757897511143E-5</v>
      </c>
      <c r="K78" s="670" t="b">
        <f t="shared" si="24"/>
        <v>0</v>
      </c>
      <c r="L78" s="670" t="b">
        <f t="shared" si="25"/>
        <v>0</v>
      </c>
      <c r="M78" s="929"/>
      <c r="N78" s="728">
        <f>Formato!X107</f>
        <v>15.00001</v>
      </c>
      <c r="O78" s="746">
        <f>Formato!AL107</f>
        <v>1.0415225958126939E-5</v>
      </c>
      <c r="P78" s="746">
        <f>Formato!AK107</f>
        <v>6.1885757897511143E-5</v>
      </c>
      <c r="Q78" s="745">
        <f>Formato!$G$21</f>
        <v>0</v>
      </c>
      <c r="R78" s="729">
        <f t="shared" si="26"/>
        <v>15.000020415225958</v>
      </c>
      <c r="S78" s="688">
        <f t="shared" si="27"/>
        <v>0</v>
      </c>
      <c r="T78" s="677">
        <f t="shared" si="28"/>
        <v>0</v>
      </c>
      <c r="U78" s="700">
        <f t="shared" si="29"/>
        <v>15.00001</v>
      </c>
      <c r="V78" s="700">
        <f t="shared" si="30"/>
        <v>0</v>
      </c>
      <c r="W78" s="700">
        <f t="shared" si="31"/>
        <v>15.00001</v>
      </c>
      <c r="X78" s="700">
        <f t="shared" si="32"/>
        <v>15.000020415225958</v>
      </c>
      <c r="Y78" s="688">
        <f t="shared" si="33"/>
        <v>6.1885757897511143E-5</v>
      </c>
      <c r="Z78" s="677">
        <f t="shared" si="34"/>
        <v>3.078893427736873E-5</v>
      </c>
      <c r="AA78" s="685">
        <f>'Estimación de la Incertidumbre'!L39</f>
        <v>2.0099999999999998</v>
      </c>
      <c r="AB78" s="685">
        <f t="shared" si="35"/>
        <v>0.36757676667952516</v>
      </c>
      <c r="AC78" s="685">
        <f t="shared" si="36"/>
        <v>0.36757676667952516</v>
      </c>
      <c r="AD78" s="685">
        <f t="shared" si="37"/>
        <v>0</v>
      </c>
      <c r="AE78" s="689">
        <f t="shared" si="38"/>
        <v>0</v>
      </c>
      <c r="AF78" s="685">
        <f t="shared" si="39"/>
        <v>1</v>
      </c>
      <c r="AG78" s="690">
        <f t="shared" si="40"/>
        <v>1</v>
      </c>
      <c r="AI78" s="680">
        <f t="shared" si="41"/>
        <v>-0.33827822243859235</v>
      </c>
      <c r="AJ78" s="685">
        <f t="shared" si="42"/>
        <v>0.36757676667952516</v>
      </c>
      <c r="AK78" s="680">
        <f t="shared" si="43"/>
        <v>-0.33827822243859235</v>
      </c>
      <c r="AL78" s="682">
        <f t="shared" si="44"/>
        <v>0.36757676667952516</v>
      </c>
      <c r="AM78" s="688">
        <f t="shared" si="45"/>
        <v>0</v>
      </c>
      <c r="AN78" s="702">
        <f t="shared" si="46"/>
        <v>0</v>
      </c>
      <c r="AO78" s="685">
        <f t="shared" si="47"/>
        <v>1</v>
      </c>
      <c r="AP78" s="703">
        <f t="shared" si="48"/>
        <v>1</v>
      </c>
      <c r="AR78" s="680">
        <f t="shared" si="49"/>
        <v>-0.33827822243859235</v>
      </c>
      <c r="AS78" s="685">
        <f t="shared" si="50"/>
        <v>0.36757676667952516</v>
      </c>
      <c r="AT78" s="680">
        <f t="shared" si="51"/>
        <v>-0.33827822243859235</v>
      </c>
      <c r="AU78" s="682">
        <f t="shared" si="52"/>
        <v>0.36757676667952516</v>
      </c>
      <c r="AV78" s="688">
        <f t="shared" si="53"/>
        <v>0</v>
      </c>
      <c r="AW78" s="702">
        <f t="shared" si="54"/>
        <v>0</v>
      </c>
      <c r="AX78" s="680">
        <f t="shared" si="55"/>
        <v>1</v>
      </c>
      <c r="AY78" s="730">
        <f t="shared" si="56"/>
        <v>1</v>
      </c>
    </row>
    <row r="79" spans="1:51">
      <c r="A79" s="675">
        <v>6</v>
      </c>
      <c r="B79" s="688">
        <f>IF(Formato!$AL$76=$C$70,S96,S79)</f>
        <v>0</v>
      </c>
      <c r="C79" s="688" t="str">
        <f>IF(OR($G$71="",$G$71="N.A."),"",IF(Formato!$AL$76=$C$70,T96,T79))</f>
        <v/>
      </c>
      <c r="D79" s="688" t="str">
        <f>IF(OR($G$71="",$G$71="N.A."),"",IF(Formato!$AL$76=$C$70,V96,V79))</f>
        <v/>
      </c>
      <c r="E79" s="688">
        <f>IF(Formato!$AL$76=$C$70,-S96,-S79)</f>
        <v>0</v>
      </c>
      <c r="F79" s="726">
        <f>IF(Formato!$AL$76=$C$70,AG96,AG79)</f>
        <v>1</v>
      </c>
      <c r="G79" s="685" t="str">
        <f>'Certificado de calibración'!S133</f>
        <v>N.A.</v>
      </c>
      <c r="H79" s="748" t="str">
        <f t="shared" si="21"/>
        <v/>
      </c>
      <c r="I79" s="727">
        <f t="shared" si="22"/>
        <v>4.9375364026449772E-5</v>
      </c>
      <c r="J79" s="727">
        <f t="shared" si="23"/>
        <v>-4.9375364026449772E-5</v>
      </c>
      <c r="K79" s="670" t="b">
        <f t="shared" si="24"/>
        <v>0</v>
      </c>
      <c r="L79" s="670" t="b">
        <f t="shared" si="25"/>
        <v>0</v>
      </c>
      <c r="M79" s="929"/>
      <c r="N79" s="728">
        <f>Formato!X112</f>
        <v>20</v>
      </c>
      <c r="O79" s="746">
        <f>Formato!AL112</f>
        <v>3.8869686491693756E-6</v>
      </c>
      <c r="P79" s="746">
        <f>Formato!AK112</f>
        <v>4.9375364026449772E-5</v>
      </c>
      <c r="Q79" s="745">
        <f>Formato!$G$21</f>
        <v>0</v>
      </c>
      <c r="R79" s="729">
        <f t="shared" si="26"/>
        <v>20.000003886968649</v>
      </c>
      <c r="S79" s="688">
        <f t="shared" si="27"/>
        <v>0</v>
      </c>
      <c r="T79" s="677">
        <f t="shared" si="28"/>
        <v>0</v>
      </c>
      <c r="U79" s="700">
        <f t="shared" si="29"/>
        <v>20</v>
      </c>
      <c r="V79" s="700">
        <f t="shared" si="30"/>
        <v>0</v>
      </c>
      <c r="W79" s="700">
        <f t="shared" si="31"/>
        <v>20</v>
      </c>
      <c r="X79" s="700">
        <f t="shared" si="32"/>
        <v>20.000003886968649</v>
      </c>
      <c r="Y79" s="688">
        <f t="shared" si="33"/>
        <v>4.9375364026449772E-5</v>
      </c>
      <c r="Z79" s="677">
        <f t="shared" si="34"/>
        <v>2.4443249518044443E-5</v>
      </c>
      <c r="AA79" s="685">
        <f>'Estimación de la Incertidumbre'!M39</f>
        <v>2.02</v>
      </c>
      <c r="AB79" s="685">
        <f t="shared" si="35"/>
        <v>0.43682650817025431</v>
      </c>
      <c r="AC79" s="685">
        <f t="shared" si="36"/>
        <v>0.43682650817025431</v>
      </c>
      <c r="AD79" s="685">
        <f t="shared" si="37"/>
        <v>0</v>
      </c>
      <c r="AE79" s="689">
        <f t="shared" si="38"/>
        <v>0</v>
      </c>
      <c r="AF79" s="685">
        <f t="shared" si="39"/>
        <v>1</v>
      </c>
      <c r="AG79" s="690">
        <f t="shared" si="40"/>
        <v>1</v>
      </c>
      <c r="AI79" s="680">
        <f t="shared" si="41"/>
        <v>-0.1590201272666282</v>
      </c>
      <c r="AJ79" s="685">
        <f t="shared" si="42"/>
        <v>0.43682650817025431</v>
      </c>
      <c r="AK79" s="680">
        <f t="shared" si="43"/>
        <v>-0.1590201272666282</v>
      </c>
      <c r="AL79" s="682">
        <f t="shared" si="44"/>
        <v>0.43682650817025431</v>
      </c>
      <c r="AM79" s="688">
        <f t="shared" si="45"/>
        <v>0</v>
      </c>
      <c r="AN79" s="702">
        <f t="shared" si="46"/>
        <v>0</v>
      </c>
      <c r="AO79" s="685">
        <f t="shared" si="47"/>
        <v>1</v>
      </c>
      <c r="AP79" s="703">
        <f t="shared" si="48"/>
        <v>1</v>
      </c>
      <c r="AR79" s="680">
        <f t="shared" si="49"/>
        <v>-0.1590201272666282</v>
      </c>
      <c r="AS79" s="685">
        <f t="shared" si="50"/>
        <v>0.43682650817025431</v>
      </c>
      <c r="AT79" s="680">
        <f t="shared" si="51"/>
        <v>-0.1590201272666282</v>
      </c>
      <c r="AU79" s="682">
        <f t="shared" si="52"/>
        <v>0.43682650817025431</v>
      </c>
      <c r="AV79" s="688">
        <f t="shared" si="53"/>
        <v>0</v>
      </c>
      <c r="AW79" s="702">
        <f t="shared" si="54"/>
        <v>0</v>
      </c>
      <c r="AX79" s="680">
        <f t="shared" si="55"/>
        <v>1</v>
      </c>
      <c r="AY79" s="730">
        <f t="shared" si="56"/>
        <v>1</v>
      </c>
    </row>
    <row r="80" spans="1:51">
      <c r="A80" s="675">
        <v>7</v>
      </c>
      <c r="B80" s="688">
        <f>IF(Formato!$AL$76=$C$70,S97,S80)</f>
        <v>0</v>
      </c>
      <c r="C80" s="688" t="str">
        <f>IF(OR($G$71="",$G$71="N.A."),"",IF(Formato!$AL$76=$C$70,T97,T80))</f>
        <v/>
      </c>
      <c r="D80" s="688" t="str">
        <f>IF(OR($G$71="",$G$71="N.A."),"",IF(Formato!$AL$76=$C$70,V97,V80))</f>
        <v/>
      </c>
      <c r="E80" s="688">
        <f>IF(Formato!$AL$76=$C$70,-S97,-S80)</f>
        <v>0</v>
      </c>
      <c r="F80" s="726">
        <f>IF(Formato!$AL$76=$C$70,AG97,AG80)</f>
        <v>1</v>
      </c>
      <c r="G80" s="685" t="str">
        <f>'Certificado de calibración'!S134</f>
        <v>N.A.</v>
      </c>
      <c r="H80" s="748" t="str">
        <f t="shared" si="21"/>
        <v/>
      </c>
      <c r="I80" s="727">
        <f t="shared" si="22"/>
        <v>7.3328671417515837E-5</v>
      </c>
      <c r="J80" s="727">
        <f t="shared" si="23"/>
        <v>-7.3328671417515837E-5</v>
      </c>
      <c r="K80" s="670" t="b">
        <f t="shared" si="24"/>
        <v>0</v>
      </c>
      <c r="L80" s="670" t="b">
        <f t="shared" si="25"/>
        <v>0</v>
      </c>
      <c r="M80" s="929"/>
      <c r="N80" s="728">
        <f>Formato!X117</f>
        <v>25.00001</v>
      </c>
      <c r="O80" s="746">
        <f>Formato!AL117</f>
        <v>2.5358712186118737E-5</v>
      </c>
      <c r="P80" s="746">
        <f>Formato!AK117</f>
        <v>7.3328671417515837E-5</v>
      </c>
      <c r="Q80" s="745">
        <f>Formato!$G$21</f>
        <v>0</v>
      </c>
      <c r="R80" s="729">
        <f t="shared" si="26"/>
        <v>25.000035358712186</v>
      </c>
      <c r="S80" s="688">
        <f t="shared" si="27"/>
        <v>0</v>
      </c>
      <c r="T80" s="677">
        <f t="shared" si="28"/>
        <v>0</v>
      </c>
      <c r="U80" s="700">
        <f t="shared" si="29"/>
        <v>25.00001</v>
      </c>
      <c r="V80" s="700">
        <f t="shared" si="30"/>
        <v>0</v>
      </c>
      <c r="W80" s="700">
        <f t="shared" si="31"/>
        <v>25.00001</v>
      </c>
      <c r="X80" s="700">
        <f t="shared" si="32"/>
        <v>25.000035358712186</v>
      </c>
      <c r="Y80" s="688">
        <f t="shared" si="33"/>
        <v>7.3328671417515837E-5</v>
      </c>
      <c r="Z80" s="677">
        <f t="shared" si="34"/>
        <v>3.6481926078366091E-5</v>
      </c>
      <c r="AA80" s="685">
        <f>'Estimación de la Incertidumbre'!N39</f>
        <v>2.0099999999999998</v>
      </c>
      <c r="AB80" s="685">
        <f t="shared" si="35"/>
        <v>0.24349524066276806</v>
      </c>
      <c r="AC80" s="685">
        <f t="shared" si="36"/>
        <v>0.24349524066276806</v>
      </c>
      <c r="AD80" s="685">
        <f t="shared" si="37"/>
        <v>0</v>
      </c>
      <c r="AE80" s="689">
        <f t="shared" si="38"/>
        <v>0</v>
      </c>
      <c r="AF80" s="685">
        <f t="shared" si="39"/>
        <v>1</v>
      </c>
      <c r="AG80" s="690">
        <f t="shared" si="40"/>
        <v>1</v>
      </c>
      <c r="AI80" s="680">
        <f t="shared" si="41"/>
        <v>-0.69510343647005368</v>
      </c>
      <c r="AJ80" s="685">
        <f t="shared" si="42"/>
        <v>0.24349524066276806</v>
      </c>
      <c r="AK80" s="680">
        <f t="shared" si="43"/>
        <v>-0.69510343647005368</v>
      </c>
      <c r="AL80" s="682">
        <f t="shared" si="44"/>
        <v>0.24349524066276806</v>
      </c>
      <c r="AM80" s="688">
        <f t="shared" si="45"/>
        <v>0</v>
      </c>
      <c r="AN80" s="702">
        <f t="shared" si="46"/>
        <v>0</v>
      </c>
      <c r="AO80" s="685">
        <f t="shared" si="47"/>
        <v>1</v>
      </c>
      <c r="AP80" s="703">
        <f t="shared" si="48"/>
        <v>1</v>
      </c>
      <c r="AR80" s="680">
        <f t="shared" si="49"/>
        <v>-0.69510343647005368</v>
      </c>
      <c r="AS80" s="685">
        <f t="shared" si="50"/>
        <v>0.24349524066276806</v>
      </c>
      <c r="AT80" s="680">
        <f t="shared" si="51"/>
        <v>-0.69510343647005368</v>
      </c>
      <c r="AU80" s="682">
        <f t="shared" si="52"/>
        <v>0.24349524066276806</v>
      </c>
      <c r="AV80" s="688">
        <f t="shared" si="53"/>
        <v>0</v>
      </c>
      <c r="AW80" s="702">
        <f t="shared" si="54"/>
        <v>0</v>
      </c>
      <c r="AX80" s="680">
        <f t="shared" si="55"/>
        <v>1</v>
      </c>
      <c r="AY80" s="730">
        <f t="shared" si="56"/>
        <v>1</v>
      </c>
    </row>
    <row r="81" spans="1:51">
      <c r="A81" s="675">
        <v>8</v>
      </c>
      <c r="B81" s="688">
        <f>IF(Formato!$AL$76=$C$70,S98,S81)</f>
        <v>0</v>
      </c>
      <c r="C81" s="688" t="str">
        <f>IF(OR($G$71="",$G$71="N.A."),"",IF(Formato!$AL$76=$C$70,T98,T81))</f>
        <v/>
      </c>
      <c r="D81" s="688" t="str">
        <f>IF(OR($G$71="",$G$71="N.A."),"",IF(Formato!$AL$76=$C$70,V98,V81))</f>
        <v/>
      </c>
      <c r="E81" s="688">
        <f>IF(Formato!$AL$76=$C$70,-S98,-S81)</f>
        <v>0</v>
      </c>
      <c r="F81" s="726">
        <f>IF(Formato!$AL$76=$C$70,AG98,AG81)</f>
        <v>1</v>
      </c>
      <c r="G81" s="685" t="str">
        <f>'Certificado de calibración'!S135</f>
        <v>N.A.</v>
      </c>
      <c r="H81" s="748" t="str">
        <f t="shared" si="21"/>
        <v/>
      </c>
      <c r="I81" s="727">
        <f t="shared" si="22"/>
        <v>9.2338127556328709E-5</v>
      </c>
      <c r="J81" s="727">
        <f t="shared" si="23"/>
        <v>-9.2338127556328709E-5</v>
      </c>
      <c r="K81" s="670" t="b">
        <f t="shared" si="24"/>
        <v>0</v>
      </c>
      <c r="L81" s="670" t="b">
        <f t="shared" si="25"/>
        <v>0</v>
      </c>
      <c r="M81" s="929"/>
      <c r="N81" s="728">
        <f>Formato!X122</f>
        <v>27.00001</v>
      </c>
      <c r="O81" s="746">
        <f>Formato!AL122</f>
        <v>3.5147410148539393E-5</v>
      </c>
      <c r="P81" s="746">
        <f>Formato!AK122</f>
        <v>9.2338127556328709E-5</v>
      </c>
      <c r="Q81" s="745">
        <f>Formato!$G$21</f>
        <v>0</v>
      </c>
      <c r="R81" s="729">
        <f t="shared" si="26"/>
        <v>27.000045147410148</v>
      </c>
      <c r="S81" s="688">
        <f t="shared" si="27"/>
        <v>0</v>
      </c>
      <c r="T81" s="677">
        <f t="shared" si="28"/>
        <v>0</v>
      </c>
      <c r="U81" s="700">
        <f t="shared" si="29"/>
        <v>27.00001</v>
      </c>
      <c r="V81" s="700">
        <f t="shared" si="30"/>
        <v>0</v>
      </c>
      <c r="W81" s="700">
        <f t="shared" si="31"/>
        <v>27.00001</v>
      </c>
      <c r="X81" s="700">
        <f t="shared" si="32"/>
        <v>27.000045147410148</v>
      </c>
      <c r="Y81" s="688">
        <f t="shared" si="33"/>
        <v>9.2338127556328709E-5</v>
      </c>
      <c r="Z81" s="677">
        <f t="shared" si="34"/>
        <v>4.5939366943447126E-5</v>
      </c>
      <c r="AA81" s="685">
        <f>'Estimación de la Incertidumbre'!O39</f>
        <v>2.0099999999999998</v>
      </c>
      <c r="AB81" s="685">
        <f t="shared" si="35"/>
        <v>0.22211118117198705</v>
      </c>
      <c r="AC81" s="685">
        <f t="shared" si="36"/>
        <v>0.22211118117198705</v>
      </c>
      <c r="AD81" s="685">
        <f t="shared" si="37"/>
        <v>0</v>
      </c>
      <c r="AE81" s="689">
        <f t="shared" si="38"/>
        <v>0</v>
      </c>
      <c r="AF81" s="685">
        <f t="shared" si="39"/>
        <v>1</v>
      </c>
      <c r="AG81" s="690">
        <f t="shared" si="40"/>
        <v>1</v>
      </c>
      <c r="AI81" s="680">
        <f t="shared" si="41"/>
        <v>-0.76508259662800782</v>
      </c>
      <c r="AJ81" s="685">
        <f t="shared" si="42"/>
        <v>0.22211118117198705</v>
      </c>
      <c r="AK81" s="680">
        <f t="shared" si="43"/>
        <v>-0.76508259662800782</v>
      </c>
      <c r="AL81" s="682">
        <f t="shared" si="44"/>
        <v>0.22211118117198705</v>
      </c>
      <c r="AM81" s="688">
        <f t="shared" si="45"/>
        <v>0</v>
      </c>
      <c r="AN81" s="702">
        <f t="shared" si="46"/>
        <v>0</v>
      </c>
      <c r="AO81" s="685">
        <f t="shared" si="47"/>
        <v>1</v>
      </c>
      <c r="AP81" s="703">
        <f t="shared" si="48"/>
        <v>1</v>
      </c>
      <c r="AR81" s="680">
        <f t="shared" si="49"/>
        <v>-0.76508259662800782</v>
      </c>
      <c r="AS81" s="685">
        <f t="shared" si="50"/>
        <v>0.22211118117198705</v>
      </c>
      <c r="AT81" s="680">
        <f t="shared" si="51"/>
        <v>-0.76508259662800782</v>
      </c>
      <c r="AU81" s="682">
        <f t="shared" si="52"/>
        <v>0.22211118117198705</v>
      </c>
      <c r="AV81" s="688">
        <f t="shared" si="53"/>
        <v>0</v>
      </c>
      <c r="AW81" s="702">
        <f t="shared" si="54"/>
        <v>0</v>
      </c>
      <c r="AX81" s="680">
        <f t="shared" si="55"/>
        <v>1</v>
      </c>
      <c r="AY81" s="730">
        <f t="shared" si="56"/>
        <v>1</v>
      </c>
    </row>
    <row r="82" spans="1:51">
      <c r="A82" s="675">
        <v>9</v>
      </c>
      <c r="B82" s="688">
        <f>IF(Formato!$AL$76=$C$70,S99,S82)</f>
        <v>0</v>
      </c>
      <c r="C82" s="688" t="str">
        <f>IF(OR($G$71="",$G$71="N.A."),"",IF(Formato!$AL$76=$C$70,T99,T82))</f>
        <v/>
      </c>
      <c r="D82" s="688" t="str">
        <f>IF(OR($G$71="",$G$71="N.A."),"",IF(Formato!$AL$76=$C$70,V99,V82))</f>
        <v/>
      </c>
      <c r="E82" s="688">
        <f>IF(Formato!$AL$76=$C$70,-S99,-S82)</f>
        <v>0</v>
      </c>
      <c r="F82" s="726">
        <f>IF(Formato!$AL$76=$C$70,AG99,AG82)</f>
        <v>1</v>
      </c>
      <c r="G82" s="685" t="str">
        <f>'Certificado de calibración'!S136</f>
        <v>N.A.</v>
      </c>
      <c r="H82" s="748" t="str">
        <f t="shared" si="21"/>
        <v/>
      </c>
      <c r="I82" s="727">
        <f t="shared" si="22"/>
        <v>8.1052707744965345E-5</v>
      </c>
      <c r="J82" s="727">
        <f t="shared" si="23"/>
        <v>-8.1052707744965345E-5</v>
      </c>
      <c r="K82" s="670" t="b">
        <f t="shared" si="24"/>
        <v>0</v>
      </c>
      <c r="L82" s="670" t="b">
        <f t="shared" si="25"/>
        <v>0</v>
      </c>
      <c r="M82" s="929"/>
      <c r="N82" s="728">
        <f>Formato!X127</f>
        <v>30.00001</v>
      </c>
      <c r="O82" s="746">
        <f>Formato!AL127</f>
        <v>2.830451069968376E-6</v>
      </c>
      <c r="P82" s="746">
        <f>Formato!AK127</f>
        <v>8.1052707744965345E-5</v>
      </c>
      <c r="Q82" s="745">
        <f>Formato!$G$21</f>
        <v>0</v>
      </c>
      <c r="R82" s="729">
        <f t="shared" si="26"/>
        <v>30.00001283045107</v>
      </c>
      <c r="S82" s="688">
        <f t="shared" si="27"/>
        <v>0</v>
      </c>
      <c r="T82" s="677">
        <f t="shared" si="28"/>
        <v>0</v>
      </c>
      <c r="U82" s="700">
        <f t="shared" si="29"/>
        <v>30.00001</v>
      </c>
      <c r="V82" s="700">
        <f t="shared" si="30"/>
        <v>0</v>
      </c>
      <c r="W82" s="700">
        <f t="shared" si="31"/>
        <v>30.00001</v>
      </c>
      <c r="X82" s="700">
        <f t="shared" si="32"/>
        <v>30.00001283045107</v>
      </c>
      <c r="Y82" s="688">
        <f t="shared" si="33"/>
        <v>8.1052707744965345E-5</v>
      </c>
      <c r="Z82" s="677">
        <f t="shared" si="34"/>
        <v>4.03247302213758E-5</v>
      </c>
      <c r="AA82" s="685">
        <f>'Estimación de la Incertidumbre'!P39</f>
        <v>2.0099999999999998</v>
      </c>
      <c r="AB82" s="685">
        <f t="shared" si="35"/>
        <v>0.47202064184981118</v>
      </c>
      <c r="AC82" s="685">
        <f t="shared" si="36"/>
        <v>0.47202064184981118</v>
      </c>
      <c r="AD82" s="685">
        <f t="shared" si="37"/>
        <v>0</v>
      </c>
      <c r="AE82" s="689">
        <f t="shared" si="38"/>
        <v>0</v>
      </c>
      <c r="AF82" s="685">
        <f t="shared" si="39"/>
        <v>1</v>
      </c>
      <c r="AG82" s="690">
        <f t="shared" si="40"/>
        <v>1</v>
      </c>
      <c r="AI82" s="680">
        <f t="shared" si="41"/>
        <v>-7.019144466508985E-2</v>
      </c>
      <c r="AJ82" s="685">
        <f t="shared" si="42"/>
        <v>0.47202064184981118</v>
      </c>
      <c r="AK82" s="680">
        <f t="shared" si="43"/>
        <v>-7.019144466508985E-2</v>
      </c>
      <c r="AL82" s="682">
        <f t="shared" si="44"/>
        <v>0.47202064184981118</v>
      </c>
      <c r="AM82" s="688">
        <f t="shared" si="45"/>
        <v>0</v>
      </c>
      <c r="AN82" s="702">
        <f t="shared" si="46"/>
        <v>0</v>
      </c>
      <c r="AO82" s="685">
        <f t="shared" si="47"/>
        <v>1</v>
      </c>
      <c r="AP82" s="703">
        <f t="shared" si="48"/>
        <v>1</v>
      </c>
      <c r="AR82" s="680">
        <f t="shared" si="49"/>
        <v>-7.019144466508985E-2</v>
      </c>
      <c r="AS82" s="685">
        <f t="shared" si="50"/>
        <v>0.47202064184981118</v>
      </c>
      <c r="AT82" s="680">
        <f t="shared" si="51"/>
        <v>-7.019144466508985E-2</v>
      </c>
      <c r="AU82" s="682">
        <f t="shared" si="52"/>
        <v>0.47202064184981118</v>
      </c>
      <c r="AV82" s="688">
        <f t="shared" si="53"/>
        <v>0</v>
      </c>
      <c r="AW82" s="702">
        <f t="shared" si="54"/>
        <v>0</v>
      </c>
      <c r="AX82" s="680">
        <f t="shared" si="55"/>
        <v>1</v>
      </c>
      <c r="AY82" s="730">
        <f t="shared" si="56"/>
        <v>1</v>
      </c>
    </row>
    <row r="83" spans="1:51">
      <c r="A83" s="675">
        <v>10</v>
      </c>
      <c r="B83" s="688">
        <f>IF(Formato!$AL$76=$C$70,S100,S83)</f>
        <v>0</v>
      </c>
      <c r="C83" s="688" t="str">
        <f>IF(OR($G$71="",$G$71="N.A."),"",IF(Formato!$AL$76=$C$70,T100,T83))</f>
        <v/>
      </c>
      <c r="D83" s="688" t="str">
        <f>IF(OR($G$71="",$G$71="N.A."),"",IF(Formato!$AL$76=$C$70,V100,V83))</f>
        <v/>
      </c>
      <c r="E83" s="688">
        <f>IF(Formato!$AL$76=$C$70,-S100,-S83)</f>
        <v>0</v>
      </c>
      <c r="F83" s="726">
        <f>IF(Formato!$AL$76=$C$70,AG100,AG83)</f>
        <v>1</v>
      </c>
      <c r="G83" s="685" t="str">
        <f>'Certificado de calibración'!S137</f>
        <v>N.A.</v>
      </c>
      <c r="H83" s="748" t="str">
        <f t="shared" si="21"/>
        <v/>
      </c>
      <c r="I83" s="727">
        <f t="shared" si="22"/>
        <v>1.0577384405320574E-4</v>
      </c>
      <c r="J83" s="727">
        <f t="shared" si="23"/>
        <v>-1.0577384405320574E-4</v>
      </c>
      <c r="K83" s="670" t="b">
        <f t="shared" si="24"/>
        <v>0</v>
      </c>
      <c r="L83" s="670" t="b">
        <f t="shared" si="25"/>
        <v>0</v>
      </c>
      <c r="M83" s="929"/>
      <c r="N83" s="728">
        <f>Formato!X133</f>
        <v>35.000019999999999</v>
      </c>
      <c r="O83" s="746">
        <f>Formato!AL133</f>
        <v>2.4302194610470451E-5</v>
      </c>
      <c r="P83" s="746">
        <f>Formato!AK133</f>
        <v>1.0577384405320574E-4</v>
      </c>
      <c r="Q83" s="745">
        <f>Formato!$G$21</f>
        <v>0</v>
      </c>
      <c r="R83" s="729">
        <f t="shared" si="26"/>
        <v>35.00004430219461</v>
      </c>
      <c r="S83" s="688">
        <f t="shared" si="27"/>
        <v>0</v>
      </c>
      <c r="T83" s="677">
        <f t="shared" si="28"/>
        <v>0</v>
      </c>
      <c r="U83" s="700">
        <f t="shared" si="29"/>
        <v>35.000019999999999</v>
      </c>
      <c r="V83" s="700">
        <f t="shared" si="30"/>
        <v>0</v>
      </c>
      <c r="W83" s="700">
        <f t="shared" si="31"/>
        <v>35.000019999999999</v>
      </c>
      <c r="X83" s="700">
        <f t="shared" si="32"/>
        <v>35.00004430219461</v>
      </c>
      <c r="Y83" s="688">
        <f t="shared" si="33"/>
        <v>1.0577384405320574E-4</v>
      </c>
      <c r="Z83" s="677">
        <f t="shared" si="34"/>
        <v>5.2623803011545151E-5</v>
      </c>
      <c r="AA83" s="685">
        <f>'Estimación de la Incertidumbre'!Q39</f>
        <v>2.0099999999999998</v>
      </c>
      <c r="AB83" s="685">
        <f t="shared" si="35"/>
        <v>0.32210881581922535</v>
      </c>
      <c r="AC83" s="685">
        <f t="shared" si="36"/>
        <v>0.32210881581922535</v>
      </c>
      <c r="AD83" s="685">
        <f t="shared" si="37"/>
        <v>0</v>
      </c>
      <c r="AE83" s="689">
        <f t="shared" si="38"/>
        <v>0</v>
      </c>
      <c r="AF83" s="685">
        <f t="shared" si="39"/>
        <v>1</v>
      </c>
      <c r="AG83" s="690">
        <f t="shared" si="40"/>
        <v>1</v>
      </c>
      <c r="AI83" s="680">
        <f t="shared" si="41"/>
        <v>-0.46180992668163467</v>
      </c>
      <c r="AJ83" s="685">
        <f t="shared" si="42"/>
        <v>0.32210881581922535</v>
      </c>
      <c r="AK83" s="680">
        <f t="shared" si="43"/>
        <v>-0.46180992668163467</v>
      </c>
      <c r="AL83" s="682">
        <f t="shared" si="44"/>
        <v>0.32210881581922535</v>
      </c>
      <c r="AM83" s="688">
        <f t="shared" si="45"/>
        <v>0</v>
      </c>
      <c r="AN83" s="702">
        <f t="shared" si="46"/>
        <v>0</v>
      </c>
      <c r="AO83" s="685">
        <f t="shared" si="47"/>
        <v>1</v>
      </c>
      <c r="AP83" s="703">
        <f t="shared" si="48"/>
        <v>1</v>
      </c>
      <c r="AR83" s="680">
        <f t="shared" si="49"/>
        <v>-0.46180992668163467</v>
      </c>
      <c r="AS83" s="685">
        <f t="shared" si="50"/>
        <v>0.32210881581922535</v>
      </c>
      <c r="AT83" s="680">
        <f t="shared" si="51"/>
        <v>-0.46180992668163467</v>
      </c>
      <c r="AU83" s="682">
        <f t="shared" si="52"/>
        <v>0.32210881581922535</v>
      </c>
      <c r="AV83" s="688">
        <f t="shared" si="53"/>
        <v>0</v>
      </c>
      <c r="AW83" s="702">
        <f t="shared" si="54"/>
        <v>0</v>
      </c>
      <c r="AX83" s="680">
        <f t="shared" si="55"/>
        <v>1</v>
      </c>
      <c r="AY83" s="730">
        <f t="shared" si="56"/>
        <v>1</v>
      </c>
    </row>
    <row r="84" spans="1:51">
      <c r="A84" s="675">
        <v>11</v>
      </c>
      <c r="B84" s="688">
        <f>IF(Formato!$AL$76=$C$70,S101,S84)</f>
        <v>0</v>
      </c>
      <c r="C84" s="688" t="str">
        <f>IF(OR($G$71="",$G$71="N.A."),"",IF(Formato!$AL$76=$C$70,T101,T84))</f>
        <v/>
      </c>
      <c r="D84" s="688" t="str">
        <f>IF(OR($G$71="",$G$71="N.A."),"",IF(Formato!$AL$76=$C$70,V101,V84))</f>
        <v/>
      </c>
      <c r="E84" s="688">
        <f>IF(Formato!$AL$76=$C$70,-S101,-S84)</f>
        <v>0</v>
      </c>
      <c r="F84" s="726">
        <f>IF(Formato!$AL$76=$C$70,AG101,AG84)</f>
        <v>1</v>
      </c>
      <c r="G84" s="685" t="str">
        <f>'Certificado de calibración'!S138</f>
        <v>N.A.</v>
      </c>
      <c r="H84" s="748" t="str">
        <f t="shared" si="21"/>
        <v/>
      </c>
      <c r="I84" s="727">
        <f t="shared" si="22"/>
        <v>9.2762966952556278E-5</v>
      </c>
      <c r="J84" s="727">
        <f t="shared" si="23"/>
        <v>-9.2762966952556278E-5</v>
      </c>
      <c r="K84" s="670" t="b">
        <f t="shared" si="24"/>
        <v>0</v>
      </c>
      <c r="L84" s="670" t="b">
        <f t="shared" si="25"/>
        <v>0</v>
      </c>
      <c r="M84" s="929"/>
      <c r="N84" s="728">
        <f>Formato!X139</f>
        <v>40.000019999999999</v>
      </c>
      <c r="O84" s="746">
        <f>Formato!AL139</f>
        <v>2.1773936659030824E-5</v>
      </c>
      <c r="P84" s="746">
        <f>Formato!AK139</f>
        <v>9.2762966952556278E-5</v>
      </c>
      <c r="Q84" s="745">
        <f>Formato!$G$21</f>
        <v>0</v>
      </c>
      <c r="R84" s="729">
        <f t="shared" si="26"/>
        <v>40.000041773936658</v>
      </c>
      <c r="S84" s="688">
        <f t="shared" si="27"/>
        <v>0</v>
      </c>
      <c r="T84" s="677">
        <f t="shared" si="28"/>
        <v>0</v>
      </c>
      <c r="U84" s="700">
        <f t="shared" si="29"/>
        <v>40.000019999999999</v>
      </c>
      <c r="V84" s="700">
        <f t="shared" si="30"/>
        <v>0</v>
      </c>
      <c r="W84" s="700">
        <f t="shared" si="31"/>
        <v>40.000019999999999</v>
      </c>
      <c r="X84" s="700">
        <f t="shared" si="32"/>
        <v>40.000041773936658</v>
      </c>
      <c r="Y84" s="688">
        <f t="shared" si="33"/>
        <v>9.2762966952556278E-5</v>
      </c>
      <c r="Z84" s="677">
        <f t="shared" si="34"/>
        <v>4.6150729827142429E-5</v>
      </c>
      <c r="AA84" s="685">
        <f>'Estimación de la Incertidumbre'!R39</f>
        <v>2.0099999999999998</v>
      </c>
      <c r="AB84" s="685">
        <f t="shared" si="35"/>
        <v>0.31853460278846657</v>
      </c>
      <c r="AC84" s="685">
        <f t="shared" si="36"/>
        <v>0.31853460278846657</v>
      </c>
      <c r="AD84" s="685">
        <f t="shared" si="37"/>
        <v>0</v>
      </c>
      <c r="AE84" s="689">
        <f t="shared" si="38"/>
        <v>0</v>
      </c>
      <c r="AF84" s="685">
        <f t="shared" si="39"/>
        <v>1</v>
      </c>
      <c r="AG84" s="690">
        <f t="shared" si="40"/>
        <v>1</v>
      </c>
      <c r="AI84" s="680">
        <f t="shared" si="41"/>
        <v>-0.47180048377534028</v>
      </c>
      <c r="AJ84" s="685">
        <f t="shared" si="42"/>
        <v>0.31853460278846657</v>
      </c>
      <c r="AK84" s="680">
        <f t="shared" si="43"/>
        <v>-0.47180048377534028</v>
      </c>
      <c r="AL84" s="682">
        <f t="shared" si="44"/>
        <v>0.31853460278846657</v>
      </c>
      <c r="AM84" s="688">
        <f t="shared" si="45"/>
        <v>0</v>
      </c>
      <c r="AN84" s="702">
        <f t="shared" si="46"/>
        <v>0</v>
      </c>
      <c r="AO84" s="685">
        <f t="shared" si="47"/>
        <v>1</v>
      </c>
      <c r="AP84" s="703">
        <f t="shared" si="48"/>
        <v>1</v>
      </c>
      <c r="AR84" s="680">
        <f t="shared" si="49"/>
        <v>-0.47180048377534028</v>
      </c>
      <c r="AS84" s="685">
        <f t="shared" si="50"/>
        <v>0.31853460278846657</v>
      </c>
      <c r="AT84" s="680">
        <f t="shared" si="51"/>
        <v>-0.47180048377534028</v>
      </c>
      <c r="AU84" s="682">
        <f t="shared" si="52"/>
        <v>0.31853460278846657</v>
      </c>
      <c r="AV84" s="688">
        <f t="shared" si="53"/>
        <v>0</v>
      </c>
      <c r="AW84" s="702">
        <f t="shared" si="54"/>
        <v>0</v>
      </c>
      <c r="AX84" s="680">
        <f t="shared" si="55"/>
        <v>1</v>
      </c>
      <c r="AY84" s="730">
        <f t="shared" si="56"/>
        <v>1</v>
      </c>
    </row>
    <row r="85" spans="1:51">
      <c r="G85" s="684" t="s">
        <v>1441</v>
      </c>
      <c r="H85" s="748">
        <f>MAX(H74:H84)</f>
        <v>0</v>
      </c>
      <c r="M85" s="929"/>
    </row>
    <row r="86" spans="1:51">
      <c r="M86" s="929"/>
    </row>
    <row r="87" spans="1:51">
      <c r="M87" s="929"/>
      <c r="N87" s="712"/>
      <c r="O87" s="713" t="str">
        <f>O70</f>
        <v>Equipo de Pesaje</v>
      </c>
      <c r="P87" s="713" t="str">
        <f>P70</f>
        <v>0,01 a 40 g</v>
      </c>
      <c r="Q87" s="713" t="str">
        <f>Q70</f>
        <v>TM028-25A</v>
      </c>
      <c r="R87" s="670" t="s">
        <v>1442</v>
      </c>
      <c r="U87" s="731" t="s">
        <v>1443</v>
      </c>
      <c r="V87" s="731"/>
      <c r="W87" s="731"/>
      <c r="X87" s="731"/>
      <c r="Y87" s="731"/>
      <c r="Z87" s="731"/>
    </row>
    <row r="88" spans="1:51">
      <c r="M88" s="929"/>
      <c r="N88" s="721" t="s">
        <v>1431</v>
      </c>
      <c r="O88" s="722" t="s">
        <v>182</v>
      </c>
      <c r="P88" s="722" t="s">
        <v>1423</v>
      </c>
      <c r="Q88" s="722" t="s">
        <v>317</v>
      </c>
      <c r="R88" s="670" t="s">
        <v>1444</v>
      </c>
      <c r="T88" s="670" t="s">
        <v>1445</v>
      </c>
      <c r="U88" s="670" t="s">
        <v>1446</v>
      </c>
      <c r="V88" s="670" t="s">
        <v>1447</v>
      </c>
      <c r="W88" s="670" t="s">
        <v>1448</v>
      </c>
      <c r="AM88" s="930" t="s">
        <v>1417</v>
      </c>
      <c r="AN88" s="930"/>
      <c r="AO88" s="931" t="s">
        <v>1417</v>
      </c>
      <c r="AP88" s="931"/>
      <c r="AR88" s="676"/>
      <c r="AS88" s="676"/>
      <c r="AT88" s="676"/>
      <c r="AU88" s="676"/>
      <c r="AV88" s="930" t="s">
        <v>1417</v>
      </c>
      <c r="AW88" s="930"/>
      <c r="AX88" s="931" t="s">
        <v>1417</v>
      </c>
      <c r="AY88" s="931"/>
    </row>
    <row r="89" spans="1:51">
      <c r="M89" s="929"/>
      <c r="N89" s="683" t="str">
        <f t="shared" ref="N89:Q101" si="57">N72</f>
        <v>g</v>
      </c>
      <c r="O89" s="677" t="str">
        <f t="shared" si="57"/>
        <v>g</v>
      </c>
      <c r="P89" s="677" t="str">
        <f t="shared" si="57"/>
        <v>g</v>
      </c>
      <c r="Q89" s="677" t="str">
        <f t="shared" si="57"/>
        <v>g</v>
      </c>
      <c r="R89" s="840" t="s">
        <v>326</v>
      </c>
      <c r="S89" s="679" t="str">
        <f>S72</f>
        <v>TL</v>
      </c>
      <c r="T89" s="677" t="str">
        <f>T72</f>
        <v>AL</v>
      </c>
      <c r="U89" s="677" t="str">
        <f>U72</f>
        <v>TL</v>
      </c>
      <c r="V89" s="677" t="str">
        <f>V72</f>
        <v>AL-</v>
      </c>
      <c r="W89" s="677" t="str">
        <f>W72</f>
        <v>TL-</v>
      </c>
      <c r="X89" s="677" t="s">
        <v>1421</v>
      </c>
      <c r="Y89" s="679" t="s">
        <v>1423</v>
      </c>
      <c r="Z89" s="677" t="s">
        <v>1433</v>
      </c>
      <c r="AA89" s="677" t="s">
        <v>1424</v>
      </c>
      <c r="AB89" s="685" t="s">
        <v>1425</v>
      </c>
      <c r="AC89" s="685" t="s">
        <v>1426</v>
      </c>
      <c r="AD89" s="930" t="s">
        <v>1417</v>
      </c>
      <c r="AE89" s="930"/>
      <c r="AF89" s="932" t="s">
        <v>1417</v>
      </c>
      <c r="AG89" s="932"/>
      <c r="AI89" s="677" t="s">
        <v>1427</v>
      </c>
      <c r="AJ89" s="680" t="str">
        <f>CONCATENATE("ɸ(",ROUND(AI91,2)," ) ")</f>
        <v xml:space="preserve">ɸ(-0,03 ) </v>
      </c>
      <c r="AK89" s="677" t="s">
        <v>1428</v>
      </c>
      <c r="AL89" s="681" t="str">
        <f>CONCATENATE("ɸ(",ROUND(AK91,2)," ) ")</f>
        <v xml:space="preserve">ɸ(-0,03 ) </v>
      </c>
      <c r="AM89" s="697" t="str">
        <f>CONCATENATE("ɸ(",ROUND(AI91,2)," ) - ","ɸ(",ROUND(AK91,2)," ) ")</f>
        <v xml:space="preserve">ɸ(-0,03 ) - ɸ(-0,03 ) </v>
      </c>
      <c r="AN89" s="698"/>
      <c r="AO89" s="677"/>
      <c r="AP89" s="684"/>
      <c r="AR89" s="677" t="s">
        <v>1427</v>
      </c>
      <c r="AS89" s="680" t="str">
        <f>CONCATENATE("ɸ(",ROUND(AR91,2)," ) ")</f>
        <v xml:space="preserve">ɸ(-0,03 ) </v>
      </c>
      <c r="AT89" s="677" t="s">
        <v>1428</v>
      </c>
      <c r="AU89" s="681" t="str">
        <f>CONCATENATE("ɸ(",ROUND(AT91,2)," ) ")</f>
        <v xml:space="preserve">ɸ(-0,03 ) </v>
      </c>
      <c r="AV89" s="725" t="str">
        <f>CONCATENATE("ɸ(",ROUND(AR91,2)," ) - ","ɸ(",ROUND(AT91,2)," ) ")</f>
        <v xml:space="preserve">ɸ(-0,03 ) - ɸ(-0,03 ) </v>
      </c>
      <c r="AW89" s="698"/>
      <c r="AX89" s="677"/>
      <c r="AY89" s="684"/>
    </row>
    <row r="90" spans="1:51">
      <c r="M90" s="929"/>
      <c r="N90" s="728">
        <f t="shared" si="57"/>
        <v>0</v>
      </c>
      <c r="O90" s="747">
        <f t="shared" si="57"/>
        <v>0</v>
      </c>
      <c r="P90" s="747">
        <f t="shared" si="57"/>
        <v>2.3459923272814481E-5</v>
      </c>
      <c r="Q90" s="747">
        <f t="shared" si="57"/>
        <v>0</v>
      </c>
      <c r="R90" s="729">
        <f>N90+O90</f>
        <v>0</v>
      </c>
      <c r="S90" s="688">
        <f>Q90</f>
        <v>0</v>
      </c>
      <c r="T90" s="688">
        <f>S90-P90</f>
        <v>-2.3459923272814481E-5</v>
      </c>
      <c r="U90" s="688">
        <f>N90+S90-P90</f>
        <v>-2.3459923272814481E-5</v>
      </c>
      <c r="V90" s="745">
        <f>-S90+P90</f>
        <v>2.3459923272814481E-5</v>
      </c>
      <c r="W90" s="745">
        <f>N90-S90-P90</f>
        <v>-2.3459923272814481E-5</v>
      </c>
      <c r="X90" s="700">
        <f>R90</f>
        <v>0</v>
      </c>
      <c r="Y90" s="688">
        <f>P90</f>
        <v>2.3459923272814481E-5</v>
      </c>
      <c r="Z90" s="677">
        <f>Y90/AA90</f>
        <v>3.4807789875724214E-6</v>
      </c>
      <c r="AA90" s="685">
        <f t="shared" ref="AA90:AA101" si="58">AA73</f>
        <v>6.739848567396689</v>
      </c>
      <c r="AB90" s="685">
        <f>_xlfn.NORM.DIST(U90+P90,X90,Z90,1)</f>
        <v>0.5</v>
      </c>
      <c r="AC90" s="685">
        <f>_xlfn.NORM.DIST(W90+P90,X90,Z90,1)</f>
        <v>0.5</v>
      </c>
      <c r="AD90" s="685">
        <f>AB90-AC90</f>
        <v>0</v>
      </c>
      <c r="AE90" s="689">
        <f>AD90</f>
        <v>0</v>
      </c>
      <c r="AF90" s="685">
        <f>1-AD90</f>
        <v>1</v>
      </c>
      <c r="AG90" s="744">
        <f>AF90</f>
        <v>1</v>
      </c>
      <c r="AI90" s="680">
        <f>(U90+P90-X90)/Z90</f>
        <v>0</v>
      </c>
      <c r="AJ90" s="685">
        <f>_xlfn.NORM.S.DIST(AI90,1)</f>
        <v>0.5</v>
      </c>
      <c r="AK90" s="680">
        <f>(W90+P90-X90)/Z90</f>
        <v>0</v>
      </c>
      <c r="AL90" s="682">
        <f>_xlfn.NORM.S.DIST(AK90,1)</f>
        <v>0.5</v>
      </c>
      <c r="AM90" s="688">
        <f>AJ90-AL90</f>
        <v>0</v>
      </c>
      <c r="AN90" s="702">
        <f>AM90</f>
        <v>0</v>
      </c>
      <c r="AO90" s="685">
        <f>1-AM90</f>
        <v>1</v>
      </c>
      <c r="AP90" s="703">
        <f>AO90</f>
        <v>1</v>
      </c>
      <c r="AR90" s="680">
        <f>(U90+P90-X90)/Z90</f>
        <v>0</v>
      </c>
      <c r="AS90" s="685">
        <f>NORMSDIST(AR90)</f>
        <v>0.5</v>
      </c>
      <c r="AT90" s="680">
        <f>(W90+P90-X90)/Z90</f>
        <v>0</v>
      </c>
      <c r="AU90" s="682">
        <f>NORMSDIST(AT90)</f>
        <v>0.5</v>
      </c>
      <c r="AV90" s="688">
        <f>AS90-AU90</f>
        <v>0</v>
      </c>
      <c r="AW90" s="702">
        <f>AV90</f>
        <v>0</v>
      </c>
      <c r="AX90" s="680">
        <f>1-AV90</f>
        <v>1</v>
      </c>
      <c r="AY90" s="730">
        <f>AX90</f>
        <v>1</v>
      </c>
    </row>
    <row r="91" spans="1:51">
      <c r="M91" s="929"/>
      <c r="N91" s="728">
        <f t="shared" si="57"/>
        <v>0.01</v>
      </c>
      <c r="O91" s="747">
        <f t="shared" si="57"/>
        <v>2.9894351623142856E-7</v>
      </c>
      <c r="P91" s="747">
        <f t="shared" si="57"/>
        <v>2.4028590447104866E-5</v>
      </c>
      <c r="Q91" s="747">
        <f t="shared" si="57"/>
        <v>0</v>
      </c>
      <c r="R91" s="729">
        <f>N91+O91</f>
        <v>1.0000298943516232E-2</v>
      </c>
      <c r="S91" s="688">
        <f>Q91</f>
        <v>0</v>
      </c>
      <c r="T91" s="688">
        <f>S91-P91</f>
        <v>-2.4028590447104866E-5</v>
      </c>
      <c r="U91" s="688">
        <f>N91+S91-P91</f>
        <v>9.9759714095528952E-3</v>
      </c>
      <c r="V91" s="745">
        <f>-S91+P91</f>
        <v>2.4028590447104866E-5</v>
      </c>
      <c r="W91" s="745">
        <f>N91-S91-P91</f>
        <v>9.9759714095528952E-3</v>
      </c>
      <c r="X91" s="700">
        <f>R91</f>
        <v>1.0000298943516232E-2</v>
      </c>
      <c r="Y91" s="688">
        <f>P91</f>
        <v>2.4028590447104866E-5</v>
      </c>
      <c r="Z91" s="677">
        <f>Y91/AA91</f>
        <v>9.5351549393273282E-6</v>
      </c>
      <c r="AA91" s="685">
        <f t="shared" si="58"/>
        <v>2.52</v>
      </c>
      <c r="AB91" s="685">
        <f>_xlfn.NORM.DIST(U91+P91,X91,Z91,1)</f>
        <v>0.48749452167922469</v>
      </c>
      <c r="AC91" s="685">
        <f>_xlfn.NORM.DIST(W91+P91,X91,Z91,1)</f>
        <v>0.48749452167922469</v>
      </c>
      <c r="AD91" s="685">
        <f>AB91-AC91</f>
        <v>0</v>
      </c>
      <c r="AE91" s="689">
        <f>AD91</f>
        <v>0</v>
      </c>
      <c r="AF91" s="685">
        <f>1-AD91</f>
        <v>1</v>
      </c>
      <c r="AG91" s="744">
        <f>AF91</f>
        <v>1</v>
      </c>
      <c r="AI91" s="680">
        <f>(U91+P91-X91)/Z91</f>
        <v>-3.1351720882735648E-2</v>
      </c>
      <c r="AJ91" s="685">
        <f>_xlfn.NORM.S.DIST(AI91,1)</f>
        <v>0.48749452167922469</v>
      </c>
      <c r="AK91" s="680">
        <f>(W91+P91-X91)/Z91</f>
        <v>-3.1351720882735648E-2</v>
      </c>
      <c r="AL91" s="682">
        <f>_xlfn.NORM.S.DIST(AK91,1)</f>
        <v>0.48749452167922469</v>
      </c>
      <c r="AM91" s="688">
        <f>AJ91-AL91</f>
        <v>0</v>
      </c>
      <c r="AN91" s="702">
        <f>AM91</f>
        <v>0</v>
      </c>
      <c r="AO91" s="685">
        <f>1-AM91</f>
        <v>1</v>
      </c>
      <c r="AP91" s="703">
        <f>AO91</f>
        <v>1</v>
      </c>
      <c r="AR91" s="680">
        <f>(U91+P91-X91)/Z91</f>
        <v>-3.1351720882735648E-2</v>
      </c>
      <c r="AS91" s="685">
        <f>NORMSDIST(AR91)</f>
        <v>0.48749452167922469</v>
      </c>
      <c r="AT91" s="680">
        <f>(W91+P91-X91)/Z91</f>
        <v>-3.1351720882735648E-2</v>
      </c>
      <c r="AU91" s="682">
        <f>NORMSDIST(AT91)</f>
        <v>0.48749452167922469</v>
      </c>
      <c r="AV91" s="688">
        <f>AS91-AU91</f>
        <v>0</v>
      </c>
      <c r="AW91" s="702">
        <f>AV91</f>
        <v>0</v>
      </c>
      <c r="AX91" s="680">
        <f>1-AV91</f>
        <v>1</v>
      </c>
      <c r="AY91" s="730">
        <f>AX91</f>
        <v>1</v>
      </c>
    </row>
    <row r="92" spans="1:51">
      <c r="M92" s="929"/>
      <c r="N92" s="728">
        <f t="shared" si="57"/>
        <v>4</v>
      </c>
      <c r="O92" s="747">
        <f t="shared" si="57"/>
        <v>5.5773944480641546E-6</v>
      </c>
      <c r="P92" s="747">
        <f t="shared" si="57"/>
        <v>4.4398152426525772E-5</v>
      </c>
      <c r="Q92" s="747">
        <f t="shared" si="57"/>
        <v>0</v>
      </c>
      <c r="R92" s="729">
        <f>N92+O92</f>
        <v>4.0000055773944485</v>
      </c>
      <c r="S92" s="688">
        <f>Q92</f>
        <v>0</v>
      </c>
      <c r="T92" s="688">
        <f t="shared" ref="T92:T101" si="59">S92-P92</f>
        <v>-4.4398152426525772E-5</v>
      </c>
      <c r="U92" s="688">
        <f t="shared" ref="U92:U101" si="60">N92+S92-P92</f>
        <v>3.9999556018475735</v>
      </c>
      <c r="V92" s="745">
        <f t="shared" ref="V92:V101" si="61">-S92+P92</f>
        <v>4.4398152426525772E-5</v>
      </c>
      <c r="W92" s="745">
        <f t="shared" ref="W92:W101" si="62">N92-S92-P92</f>
        <v>3.9999556018475735</v>
      </c>
      <c r="X92" s="700">
        <f t="shared" ref="X92:X101" si="63">R92</f>
        <v>4.0000055773944485</v>
      </c>
      <c r="Y92" s="688">
        <f t="shared" ref="Y92:Y101" si="64">P92</f>
        <v>4.4398152426525772E-5</v>
      </c>
      <c r="Z92" s="677">
        <f t="shared" ref="Z92:Z101" si="65">Y92/AA92</f>
        <v>2.1979283379468204E-5</v>
      </c>
      <c r="AA92" s="685">
        <f t="shared" si="58"/>
        <v>2.02</v>
      </c>
      <c r="AB92" s="685">
        <f t="shared" ref="AB92:AB101" si="66">_xlfn.NORM.DIST(U92+P92,X92,Z92,1)</f>
        <v>0.39984169269822828</v>
      </c>
      <c r="AC92" s="685">
        <f t="shared" ref="AC92:AC101" si="67">_xlfn.NORM.DIST(W92+P92,X92,Z92,1)</f>
        <v>0.39984169269822828</v>
      </c>
      <c r="AD92" s="685">
        <f t="shared" ref="AD92:AD101" si="68">AB92-AC92</f>
        <v>0</v>
      </c>
      <c r="AE92" s="689">
        <f t="shared" ref="AE92:AE101" si="69">AD92</f>
        <v>0</v>
      </c>
      <c r="AF92" s="685">
        <f t="shared" ref="AF92:AF101" si="70">1-AD92</f>
        <v>1</v>
      </c>
      <c r="AG92" s="744">
        <f t="shared" ref="AG92:AG101" si="71">AF92</f>
        <v>1</v>
      </c>
      <c r="AI92" s="680">
        <f t="shared" ref="AI92:AI101" si="72">(U92+P92-X92)/Z92</f>
        <v>-0.25375688334399149</v>
      </c>
      <c r="AJ92" s="685">
        <f>_xlfn.NORM.S.DIST(AI92,1)</f>
        <v>0.39984169269822828</v>
      </c>
      <c r="AK92" s="680">
        <f t="shared" ref="AK92:AK101" si="73">(W92+P92-X92)/Z92</f>
        <v>-0.25375688334399149</v>
      </c>
      <c r="AL92" s="682">
        <f>_xlfn.NORM.S.DIST(AK92,1)</f>
        <v>0.39984169269822828</v>
      </c>
      <c r="AM92" s="688">
        <f>AJ92-AL92</f>
        <v>0</v>
      </c>
      <c r="AN92" s="702">
        <f>AM92</f>
        <v>0</v>
      </c>
      <c r="AO92" s="685">
        <f>1-AM92</f>
        <v>1</v>
      </c>
      <c r="AP92" s="754">
        <f>AO92</f>
        <v>1</v>
      </c>
      <c r="AR92" s="680">
        <f t="shared" ref="AR92:AR101" si="74">(U92+P92-X92)/Z92</f>
        <v>-0.25375688334399149</v>
      </c>
      <c r="AS92" s="685">
        <f>NORMSDIST(AR92)</f>
        <v>0.39984169269822828</v>
      </c>
      <c r="AT92" s="680">
        <f t="shared" ref="AT92:AT101" si="75">(W92+P92-X92)/Z92</f>
        <v>-0.25375688334399149</v>
      </c>
      <c r="AU92" s="682">
        <f>NORMSDIST(AT92)</f>
        <v>0.39984169269822828</v>
      </c>
      <c r="AV92" s="688">
        <f>AS92-AU92</f>
        <v>0</v>
      </c>
      <c r="AW92" s="702">
        <f>AV92</f>
        <v>0</v>
      </c>
      <c r="AX92" s="680">
        <f>1-AV92</f>
        <v>1</v>
      </c>
      <c r="AY92" s="756">
        <f>AX92</f>
        <v>1</v>
      </c>
    </row>
    <row r="93" spans="1:51">
      <c r="M93" s="929"/>
      <c r="N93" s="728">
        <f t="shared" si="57"/>
        <v>8</v>
      </c>
      <c r="O93" s="747">
        <f t="shared" si="57"/>
        <v>1.2154789001073141E-5</v>
      </c>
      <c r="P93" s="747">
        <f t="shared" si="57"/>
        <v>6.4456647642294077E-5</v>
      </c>
      <c r="Q93" s="747">
        <f t="shared" si="57"/>
        <v>0</v>
      </c>
      <c r="R93" s="729">
        <f>N93+O93</f>
        <v>8.0000121547890011</v>
      </c>
      <c r="S93" s="688">
        <f>Q93</f>
        <v>0</v>
      </c>
      <c r="T93" s="688">
        <f t="shared" si="59"/>
        <v>-6.4456647642294077E-5</v>
      </c>
      <c r="U93" s="688">
        <f t="shared" si="60"/>
        <v>7.9999355433523576</v>
      </c>
      <c r="V93" s="745">
        <f t="shared" si="61"/>
        <v>6.4456647642294077E-5</v>
      </c>
      <c r="W93" s="745">
        <f t="shared" si="62"/>
        <v>7.9999355433523576</v>
      </c>
      <c r="X93" s="700">
        <f t="shared" si="63"/>
        <v>8.0000121547890011</v>
      </c>
      <c r="Y93" s="688">
        <f t="shared" si="64"/>
        <v>6.4456647642294077E-5</v>
      </c>
      <c r="Z93" s="677">
        <f t="shared" si="65"/>
        <v>3.2067983901638849E-5</v>
      </c>
      <c r="AA93" s="685">
        <f t="shared" si="58"/>
        <v>2.0099999999999998</v>
      </c>
      <c r="AB93" s="685">
        <f t="shared" si="66"/>
        <v>0.35233208614267025</v>
      </c>
      <c r="AC93" s="685">
        <f t="shared" si="67"/>
        <v>0.35233208614267025</v>
      </c>
      <c r="AD93" s="685">
        <f t="shared" si="68"/>
        <v>0</v>
      </c>
      <c r="AE93" s="689">
        <f t="shared" si="69"/>
        <v>0</v>
      </c>
      <c r="AF93" s="685">
        <f t="shared" si="70"/>
        <v>1</v>
      </c>
      <c r="AG93" s="744">
        <f t="shared" si="71"/>
        <v>1</v>
      </c>
      <c r="AH93" s="732"/>
      <c r="AI93" s="680">
        <f t="shared" si="72"/>
        <v>-0.37903190416819327</v>
      </c>
      <c r="AJ93" s="685">
        <f>_xlfn.NORM.S.DIST(AI93,1)</f>
        <v>0.35233208614267025</v>
      </c>
      <c r="AK93" s="680">
        <f t="shared" si="73"/>
        <v>-0.37903190416819327</v>
      </c>
      <c r="AL93" s="682">
        <f>_xlfn.NORM.S.DIST(AK93,1)</f>
        <v>0.35233208614267025</v>
      </c>
      <c r="AM93" s="688">
        <f>AJ93-AL93</f>
        <v>0</v>
      </c>
      <c r="AN93" s="702">
        <f>AM93</f>
        <v>0</v>
      </c>
      <c r="AO93" s="685">
        <f>1-AM93</f>
        <v>1</v>
      </c>
      <c r="AP93" s="755">
        <f>AO93</f>
        <v>1</v>
      </c>
      <c r="AR93" s="680">
        <f t="shared" si="74"/>
        <v>-0.37903190416819327</v>
      </c>
      <c r="AS93" s="685">
        <f>NORMSDIST(AR93)</f>
        <v>0.35233208614267025</v>
      </c>
      <c r="AT93" s="680">
        <f t="shared" si="75"/>
        <v>-0.37903190416819327</v>
      </c>
      <c r="AU93" s="682">
        <f>NORMSDIST(AT93)</f>
        <v>0.35233208614267025</v>
      </c>
      <c r="AV93" s="688">
        <f>AS93-AU93</f>
        <v>0</v>
      </c>
      <c r="AW93" s="702">
        <f>AV93</f>
        <v>0</v>
      </c>
      <c r="AX93" s="680">
        <f>1-AV93</f>
        <v>1</v>
      </c>
      <c r="AY93" s="743">
        <f>AX93</f>
        <v>1</v>
      </c>
    </row>
    <row r="94" spans="1:51">
      <c r="M94" s="929"/>
      <c r="N94" s="728">
        <f t="shared" si="57"/>
        <v>12</v>
      </c>
      <c r="O94" s="747">
        <f t="shared" si="57"/>
        <v>-1.2678196146254095E-6</v>
      </c>
      <c r="P94" s="747">
        <f t="shared" si="57"/>
        <v>5.5921728620574623E-5</v>
      </c>
      <c r="Q94" s="747">
        <f t="shared" si="57"/>
        <v>0</v>
      </c>
      <c r="R94" s="729">
        <f t="shared" ref="R94:R101" si="76">N94+O94</f>
        <v>11.999998732180385</v>
      </c>
      <c r="S94" s="688">
        <f t="shared" ref="S94:S101" si="77">Q94</f>
        <v>0</v>
      </c>
      <c r="T94" s="688">
        <f t="shared" si="59"/>
        <v>-5.5921728620574623E-5</v>
      </c>
      <c r="U94" s="688">
        <f t="shared" si="60"/>
        <v>11.99994407827138</v>
      </c>
      <c r="V94" s="745">
        <f t="shared" si="61"/>
        <v>5.5921728620574623E-5</v>
      </c>
      <c r="W94" s="745">
        <f t="shared" si="62"/>
        <v>11.99994407827138</v>
      </c>
      <c r="X94" s="700">
        <f t="shared" si="63"/>
        <v>11.999998732180385</v>
      </c>
      <c r="Y94" s="688">
        <f t="shared" si="64"/>
        <v>5.5921728620574623E-5</v>
      </c>
      <c r="Z94" s="677">
        <f t="shared" si="65"/>
        <v>2.7821755532624192E-5</v>
      </c>
      <c r="AA94" s="685">
        <f t="shared" si="58"/>
        <v>2.0099999999999998</v>
      </c>
      <c r="AB94" s="685">
        <f t="shared" si="66"/>
        <v>0.51817325481490495</v>
      </c>
      <c r="AC94" s="685">
        <f t="shared" si="67"/>
        <v>0.51817325481490495</v>
      </c>
      <c r="AD94" s="685">
        <f t="shared" si="68"/>
        <v>0</v>
      </c>
      <c r="AE94" s="689">
        <f t="shared" si="69"/>
        <v>0</v>
      </c>
      <c r="AF94" s="685">
        <f t="shared" si="70"/>
        <v>1</v>
      </c>
      <c r="AG94" s="744">
        <f t="shared" si="71"/>
        <v>1</v>
      </c>
      <c r="AH94" s="732"/>
      <c r="AI94" s="680">
        <f t="shared" si="72"/>
        <v>4.5569360752190709E-2</v>
      </c>
      <c r="AJ94" s="685">
        <f t="shared" ref="AJ94:AJ101" si="78">_xlfn.NORM.S.DIST(AI94,1)</f>
        <v>0.51817325481490495</v>
      </c>
      <c r="AK94" s="680">
        <f t="shared" si="73"/>
        <v>4.5569360752190709E-2</v>
      </c>
      <c r="AL94" s="682">
        <f t="shared" ref="AL94:AL101" si="79">_xlfn.NORM.S.DIST(AK94,1)</f>
        <v>0.51817325481490495</v>
      </c>
      <c r="AM94" s="688">
        <f t="shared" ref="AM94:AM101" si="80">AJ94-AL94</f>
        <v>0</v>
      </c>
      <c r="AN94" s="702">
        <f t="shared" ref="AN94:AN101" si="81">AM94</f>
        <v>0</v>
      </c>
      <c r="AO94" s="685">
        <f t="shared" ref="AO94:AO101" si="82">1-AM94</f>
        <v>1</v>
      </c>
      <c r="AP94" s="755">
        <f t="shared" ref="AP94:AP101" si="83">AO94</f>
        <v>1</v>
      </c>
      <c r="AR94" s="680">
        <f t="shared" si="74"/>
        <v>4.5569360752190709E-2</v>
      </c>
      <c r="AS94" s="685">
        <f t="shared" ref="AS94:AS101" si="84">NORMSDIST(AR94)</f>
        <v>0.51817325481490495</v>
      </c>
      <c r="AT94" s="680">
        <f t="shared" si="75"/>
        <v>4.5569360752190709E-2</v>
      </c>
      <c r="AU94" s="682">
        <f t="shared" ref="AU94:AU101" si="85">NORMSDIST(AT94)</f>
        <v>0.51817325481490495</v>
      </c>
      <c r="AV94" s="688">
        <f t="shared" ref="AV94:AV101" si="86">AS94-AU94</f>
        <v>0</v>
      </c>
      <c r="AW94" s="702">
        <f t="shared" ref="AW94:AW101" si="87">AV94</f>
        <v>0</v>
      </c>
      <c r="AX94" s="680">
        <f t="shared" ref="AX94:AX101" si="88">1-AV94</f>
        <v>1</v>
      </c>
      <c r="AY94" s="743">
        <f t="shared" ref="AY94:AY101" si="89">AX94</f>
        <v>1</v>
      </c>
    </row>
    <row r="95" spans="1:51">
      <c r="M95" s="929"/>
      <c r="N95" s="728">
        <f t="shared" si="57"/>
        <v>15.00001</v>
      </c>
      <c r="O95" s="747">
        <f t="shared" si="57"/>
        <v>1.0415225958126939E-5</v>
      </c>
      <c r="P95" s="747">
        <f t="shared" si="57"/>
        <v>6.1885757897511143E-5</v>
      </c>
      <c r="Q95" s="747">
        <f t="shared" si="57"/>
        <v>0</v>
      </c>
      <c r="R95" s="729">
        <f t="shared" si="76"/>
        <v>15.000020415225958</v>
      </c>
      <c r="S95" s="688">
        <f t="shared" si="77"/>
        <v>0</v>
      </c>
      <c r="T95" s="688">
        <f t="shared" si="59"/>
        <v>-6.1885757897511143E-5</v>
      </c>
      <c r="U95" s="688">
        <f t="shared" si="60"/>
        <v>14.999948114242102</v>
      </c>
      <c r="V95" s="745">
        <f t="shared" si="61"/>
        <v>6.1885757897511143E-5</v>
      </c>
      <c r="W95" s="745">
        <f t="shared" si="62"/>
        <v>14.999948114242102</v>
      </c>
      <c r="X95" s="700">
        <f t="shared" si="63"/>
        <v>15.000020415225958</v>
      </c>
      <c r="Y95" s="688">
        <f t="shared" si="64"/>
        <v>6.1885757897511143E-5</v>
      </c>
      <c r="Z95" s="677">
        <f t="shared" si="65"/>
        <v>3.078893427736873E-5</v>
      </c>
      <c r="AA95" s="685">
        <f t="shared" si="58"/>
        <v>2.0099999999999998</v>
      </c>
      <c r="AB95" s="685">
        <f t="shared" si="66"/>
        <v>0.36757676667952516</v>
      </c>
      <c r="AC95" s="685">
        <f t="shared" si="67"/>
        <v>0.36757676667952516</v>
      </c>
      <c r="AD95" s="685">
        <f t="shared" si="68"/>
        <v>0</v>
      </c>
      <c r="AE95" s="689">
        <f t="shared" si="69"/>
        <v>0</v>
      </c>
      <c r="AF95" s="685">
        <f t="shared" si="70"/>
        <v>1</v>
      </c>
      <c r="AG95" s="744">
        <f t="shared" si="71"/>
        <v>1</v>
      </c>
      <c r="AH95" s="732"/>
      <c r="AI95" s="680">
        <f t="shared" si="72"/>
        <v>-0.33827822243859235</v>
      </c>
      <c r="AJ95" s="685">
        <f t="shared" si="78"/>
        <v>0.36757676667952516</v>
      </c>
      <c r="AK95" s="680">
        <f t="shared" si="73"/>
        <v>-0.33827822243859235</v>
      </c>
      <c r="AL95" s="682">
        <f t="shared" si="79"/>
        <v>0.36757676667952516</v>
      </c>
      <c r="AM95" s="688">
        <f t="shared" si="80"/>
        <v>0</v>
      </c>
      <c r="AN95" s="702">
        <f t="shared" si="81"/>
        <v>0</v>
      </c>
      <c r="AO95" s="685">
        <f t="shared" si="82"/>
        <v>1</v>
      </c>
      <c r="AP95" s="755">
        <f t="shared" si="83"/>
        <v>1</v>
      </c>
      <c r="AR95" s="680">
        <f t="shared" si="74"/>
        <v>-0.33827822243859235</v>
      </c>
      <c r="AS95" s="685">
        <f t="shared" si="84"/>
        <v>0.36757676667952516</v>
      </c>
      <c r="AT95" s="680">
        <f t="shared" si="75"/>
        <v>-0.33827822243859235</v>
      </c>
      <c r="AU95" s="682">
        <f t="shared" si="85"/>
        <v>0.36757676667952516</v>
      </c>
      <c r="AV95" s="688">
        <f t="shared" si="86"/>
        <v>0</v>
      </c>
      <c r="AW95" s="702">
        <f t="shared" si="87"/>
        <v>0</v>
      </c>
      <c r="AX95" s="680">
        <f t="shared" si="88"/>
        <v>1</v>
      </c>
      <c r="AY95" s="743">
        <f t="shared" si="89"/>
        <v>1</v>
      </c>
    </row>
    <row r="96" spans="1:51">
      <c r="M96" s="929"/>
      <c r="N96" s="728">
        <f t="shared" si="57"/>
        <v>20</v>
      </c>
      <c r="O96" s="747">
        <f t="shared" si="57"/>
        <v>3.8869686491693756E-6</v>
      </c>
      <c r="P96" s="747">
        <f t="shared" si="57"/>
        <v>4.9375364026449772E-5</v>
      </c>
      <c r="Q96" s="747">
        <f t="shared" si="57"/>
        <v>0</v>
      </c>
      <c r="R96" s="729">
        <f t="shared" si="76"/>
        <v>20.000003886968649</v>
      </c>
      <c r="S96" s="688">
        <f t="shared" si="77"/>
        <v>0</v>
      </c>
      <c r="T96" s="688">
        <f t="shared" si="59"/>
        <v>-4.9375364026449772E-5</v>
      </c>
      <c r="U96" s="688">
        <f t="shared" si="60"/>
        <v>19.999950624635975</v>
      </c>
      <c r="V96" s="745">
        <f t="shared" si="61"/>
        <v>4.9375364026449772E-5</v>
      </c>
      <c r="W96" s="745">
        <f t="shared" si="62"/>
        <v>19.999950624635975</v>
      </c>
      <c r="X96" s="700">
        <f t="shared" si="63"/>
        <v>20.000003886968649</v>
      </c>
      <c r="Y96" s="688">
        <f t="shared" si="64"/>
        <v>4.9375364026449772E-5</v>
      </c>
      <c r="Z96" s="677">
        <f t="shared" si="65"/>
        <v>2.4443249518044443E-5</v>
      </c>
      <c r="AA96" s="685">
        <f t="shared" si="58"/>
        <v>2.02</v>
      </c>
      <c r="AB96" s="685">
        <f t="shared" si="66"/>
        <v>0.43682650817025431</v>
      </c>
      <c r="AC96" s="685">
        <f t="shared" si="67"/>
        <v>0.43682650817025431</v>
      </c>
      <c r="AD96" s="685">
        <f t="shared" si="68"/>
        <v>0</v>
      </c>
      <c r="AE96" s="689">
        <f t="shared" si="69"/>
        <v>0</v>
      </c>
      <c r="AF96" s="685">
        <f t="shared" si="70"/>
        <v>1</v>
      </c>
      <c r="AG96" s="744">
        <f t="shared" si="71"/>
        <v>1</v>
      </c>
      <c r="AH96" s="732"/>
      <c r="AI96" s="680">
        <f t="shared" si="72"/>
        <v>-0.1590201272666282</v>
      </c>
      <c r="AJ96" s="685">
        <f t="shared" si="78"/>
        <v>0.43682650817025431</v>
      </c>
      <c r="AK96" s="680">
        <f t="shared" si="73"/>
        <v>-0.1590201272666282</v>
      </c>
      <c r="AL96" s="682">
        <f t="shared" si="79"/>
        <v>0.43682650817025431</v>
      </c>
      <c r="AM96" s="688">
        <f t="shared" si="80"/>
        <v>0</v>
      </c>
      <c r="AN96" s="702">
        <f t="shared" si="81"/>
        <v>0</v>
      </c>
      <c r="AO96" s="685">
        <f t="shared" si="82"/>
        <v>1</v>
      </c>
      <c r="AP96" s="755">
        <f t="shared" si="83"/>
        <v>1</v>
      </c>
      <c r="AR96" s="680">
        <f t="shared" si="74"/>
        <v>-0.1590201272666282</v>
      </c>
      <c r="AS96" s="685">
        <f t="shared" si="84"/>
        <v>0.43682650817025431</v>
      </c>
      <c r="AT96" s="680">
        <f t="shared" si="75"/>
        <v>-0.1590201272666282</v>
      </c>
      <c r="AU96" s="682">
        <f t="shared" si="85"/>
        <v>0.43682650817025431</v>
      </c>
      <c r="AV96" s="688">
        <f t="shared" si="86"/>
        <v>0</v>
      </c>
      <c r="AW96" s="702">
        <f t="shared" si="87"/>
        <v>0</v>
      </c>
      <c r="AX96" s="680">
        <f t="shared" si="88"/>
        <v>1</v>
      </c>
      <c r="AY96" s="743">
        <f t="shared" si="89"/>
        <v>1</v>
      </c>
    </row>
    <row r="97" spans="3:51">
      <c r="M97" s="929"/>
      <c r="N97" s="728">
        <f t="shared" si="57"/>
        <v>25.00001</v>
      </c>
      <c r="O97" s="747">
        <f t="shared" si="57"/>
        <v>2.5358712186118737E-5</v>
      </c>
      <c r="P97" s="747">
        <f t="shared" si="57"/>
        <v>7.3328671417515837E-5</v>
      </c>
      <c r="Q97" s="747">
        <f t="shared" si="57"/>
        <v>0</v>
      </c>
      <c r="R97" s="729">
        <f t="shared" si="76"/>
        <v>25.000035358712186</v>
      </c>
      <c r="S97" s="688">
        <f t="shared" si="77"/>
        <v>0</v>
      </c>
      <c r="T97" s="688">
        <f t="shared" si="59"/>
        <v>-7.3328671417515837E-5</v>
      </c>
      <c r="U97" s="688">
        <f t="shared" si="60"/>
        <v>24.999936671328584</v>
      </c>
      <c r="V97" s="745">
        <f t="shared" si="61"/>
        <v>7.3328671417515837E-5</v>
      </c>
      <c r="W97" s="745">
        <f t="shared" si="62"/>
        <v>24.999936671328584</v>
      </c>
      <c r="X97" s="700">
        <f t="shared" si="63"/>
        <v>25.000035358712186</v>
      </c>
      <c r="Y97" s="688">
        <f t="shared" si="64"/>
        <v>7.3328671417515837E-5</v>
      </c>
      <c r="Z97" s="677">
        <f t="shared" si="65"/>
        <v>3.6481926078366091E-5</v>
      </c>
      <c r="AA97" s="685">
        <f t="shared" si="58"/>
        <v>2.0099999999999998</v>
      </c>
      <c r="AB97" s="685">
        <f t="shared" si="66"/>
        <v>0.24349524066276806</v>
      </c>
      <c r="AC97" s="685">
        <f t="shared" si="67"/>
        <v>0.24349524066276806</v>
      </c>
      <c r="AD97" s="685">
        <f t="shared" si="68"/>
        <v>0</v>
      </c>
      <c r="AE97" s="689">
        <f t="shared" si="69"/>
        <v>0</v>
      </c>
      <c r="AF97" s="685">
        <f t="shared" si="70"/>
        <v>1</v>
      </c>
      <c r="AG97" s="744">
        <f t="shared" si="71"/>
        <v>1</v>
      </c>
      <c r="AH97" s="732"/>
      <c r="AI97" s="680">
        <f t="shared" si="72"/>
        <v>-0.69510343647005368</v>
      </c>
      <c r="AJ97" s="685">
        <f t="shared" si="78"/>
        <v>0.24349524066276806</v>
      </c>
      <c r="AK97" s="680">
        <f t="shared" si="73"/>
        <v>-0.69510343647005368</v>
      </c>
      <c r="AL97" s="682">
        <f t="shared" si="79"/>
        <v>0.24349524066276806</v>
      </c>
      <c r="AM97" s="688">
        <f t="shared" si="80"/>
        <v>0</v>
      </c>
      <c r="AN97" s="702">
        <f t="shared" si="81"/>
        <v>0</v>
      </c>
      <c r="AO97" s="685">
        <f t="shared" si="82"/>
        <v>1</v>
      </c>
      <c r="AP97" s="755">
        <f t="shared" si="83"/>
        <v>1</v>
      </c>
      <c r="AR97" s="680">
        <f t="shared" si="74"/>
        <v>-0.69510343647005368</v>
      </c>
      <c r="AS97" s="685">
        <f t="shared" si="84"/>
        <v>0.24349524066276806</v>
      </c>
      <c r="AT97" s="680">
        <f t="shared" si="75"/>
        <v>-0.69510343647005368</v>
      </c>
      <c r="AU97" s="682">
        <f t="shared" si="85"/>
        <v>0.24349524066276806</v>
      </c>
      <c r="AV97" s="688">
        <f t="shared" si="86"/>
        <v>0</v>
      </c>
      <c r="AW97" s="702">
        <f t="shared" si="87"/>
        <v>0</v>
      </c>
      <c r="AX97" s="680">
        <f t="shared" si="88"/>
        <v>1</v>
      </c>
      <c r="AY97" s="743">
        <f t="shared" si="89"/>
        <v>1</v>
      </c>
    </row>
    <row r="98" spans="3:51">
      <c r="M98" s="929"/>
      <c r="N98" s="728">
        <f t="shared" si="57"/>
        <v>27.00001</v>
      </c>
      <c r="O98" s="747">
        <f t="shared" si="57"/>
        <v>3.5147410148539393E-5</v>
      </c>
      <c r="P98" s="747">
        <f t="shared" si="57"/>
        <v>9.2338127556328709E-5</v>
      </c>
      <c r="Q98" s="747">
        <f t="shared" si="57"/>
        <v>0</v>
      </c>
      <c r="R98" s="729">
        <f t="shared" si="76"/>
        <v>27.000045147410148</v>
      </c>
      <c r="S98" s="688">
        <f t="shared" si="77"/>
        <v>0</v>
      </c>
      <c r="T98" s="688">
        <f t="shared" si="59"/>
        <v>-9.2338127556328709E-5</v>
      </c>
      <c r="U98" s="688">
        <f t="shared" si="60"/>
        <v>26.999917661872445</v>
      </c>
      <c r="V98" s="745">
        <f t="shared" si="61"/>
        <v>9.2338127556328709E-5</v>
      </c>
      <c r="W98" s="745">
        <f t="shared" si="62"/>
        <v>26.999917661872445</v>
      </c>
      <c r="X98" s="700">
        <f t="shared" si="63"/>
        <v>27.000045147410148</v>
      </c>
      <c r="Y98" s="688">
        <f t="shared" si="64"/>
        <v>9.2338127556328709E-5</v>
      </c>
      <c r="Z98" s="677">
        <f t="shared" si="65"/>
        <v>4.5939366943447126E-5</v>
      </c>
      <c r="AA98" s="685">
        <f t="shared" si="58"/>
        <v>2.0099999999999998</v>
      </c>
      <c r="AB98" s="685">
        <f t="shared" si="66"/>
        <v>0.22211118117198705</v>
      </c>
      <c r="AC98" s="685">
        <f t="shared" si="67"/>
        <v>0.22211118117198705</v>
      </c>
      <c r="AD98" s="685">
        <f t="shared" si="68"/>
        <v>0</v>
      </c>
      <c r="AE98" s="689">
        <f t="shared" si="69"/>
        <v>0</v>
      </c>
      <c r="AF98" s="685">
        <f t="shared" si="70"/>
        <v>1</v>
      </c>
      <c r="AG98" s="744">
        <f t="shared" si="71"/>
        <v>1</v>
      </c>
      <c r="AH98" s="732"/>
      <c r="AI98" s="680">
        <f t="shared" si="72"/>
        <v>-0.76508259662800782</v>
      </c>
      <c r="AJ98" s="685">
        <f t="shared" si="78"/>
        <v>0.22211118117198705</v>
      </c>
      <c r="AK98" s="680">
        <f t="shared" si="73"/>
        <v>-0.76508259662800782</v>
      </c>
      <c r="AL98" s="682">
        <f t="shared" si="79"/>
        <v>0.22211118117198705</v>
      </c>
      <c r="AM98" s="688">
        <f t="shared" si="80"/>
        <v>0</v>
      </c>
      <c r="AN98" s="702">
        <f t="shared" si="81"/>
        <v>0</v>
      </c>
      <c r="AO98" s="685">
        <f t="shared" si="82"/>
        <v>1</v>
      </c>
      <c r="AP98" s="755">
        <f t="shared" si="83"/>
        <v>1</v>
      </c>
      <c r="AR98" s="680">
        <f t="shared" si="74"/>
        <v>-0.76508259662800782</v>
      </c>
      <c r="AS98" s="685">
        <f t="shared" si="84"/>
        <v>0.22211118117198705</v>
      </c>
      <c r="AT98" s="680">
        <f t="shared" si="75"/>
        <v>-0.76508259662800782</v>
      </c>
      <c r="AU98" s="682">
        <f t="shared" si="85"/>
        <v>0.22211118117198705</v>
      </c>
      <c r="AV98" s="688">
        <f t="shared" si="86"/>
        <v>0</v>
      </c>
      <c r="AW98" s="702">
        <f t="shared" si="87"/>
        <v>0</v>
      </c>
      <c r="AX98" s="680">
        <f t="shared" si="88"/>
        <v>1</v>
      </c>
      <c r="AY98" s="743">
        <f t="shared" si="89"/>
        <v>1</v>
      </c>
    </row>
    <row r="99" spans="3:51">
      <c r="M99" s="929"/>
      <c r="N99" s="728">
        <f t="shared" si="57"/>
        <v>30.00001</v>
      </c>
      <c r="O99" s="747">
        <f t="shared" si="57"/>
        <v>2.830451069968376E-6</v>
      </c>
      <c r="P99" s="747">
        <f t="shared" si="57"/>
        <v>8.1052707744965345E-5</v>
      </c>
      <c r="Q99" s="747">
        <f t="shared" si="57"/>
        <v>0</v>
      </c>
      <c r="R99" s="729">
        <f t="shared" si="76"/>
        <v>30.00001283045107</v>
      </c>
      <c r="S99" s="688">
        <f t="shared" si="77"/>
        <v>0</v>
      </c>
      <c r="T99" s="688">
        <f t="shared" si="59"/>
        <v>-8.1052707744965345E-5</v>
      </c>
      <c r="U99" s="688">
        <f t="shared" si="60"/>
        <v>29.999928947292254</v>
      </c>
      <c r="V99" s="745">
        <f t="shared" si="61"/>
        <v>8.1052707744965345E-5</v>
      </c>
      <c r="W99" s="745">
        <f t="shared" si="62"/>
        <v>29.999928947292254</v>
      </c>
      <c r="X99" s="700">
        <f t="shared" si="63"/>
        <v>30.00001283045107</v>
      </c>
      <c r="Y99" s="688">
        <f t="shared" si="64"/>
        <v>8.1052707744965345E-5</v>
      </c>
      <c r="Z99" s="677">
        <f t="shared" si="65"/>
        <v>4.03247302213758E-5</v>
      </c>
      <c r="AA99" s="685">
        <f t="shared" si="58"/>
        <v>2.0099999999999998</v>
      </c>
      <c r="AB99" s="685">
        <f t="shared" si="66"/>
        <v>0.47202064184981118</v>
      </c>
      <c r="AC99" s="685">
        <f t="shared" si="67"/>
        <v>0.47202064184981118</v>
      </c>
      <c r="AD99" s="685">
        <f t="shared" si="68"/>
        <v>0</v>
      </c>
      <c r="AE99" s="689">
        <f t="shared" si="69"/>
        <v>0</v>
      </c>
      <c r="AF99" s="685">
        <f t="shared" si="70"/>
        <v>1</v>
      </c>
      <c r="AG99" s="744">
        <f t="shared" si="71"/>
        <v>1</v>
      </c>
      <c r="AH99" s="732"/>
      <c r="AI99" s="680">
        <f t="shared" si="72"/>
        <v>-7.019144466508985E-2</v>
      </c>
      <c r="AJ99" s="685">
        <f t="shared" si="78"/>
        <v>0.47202064184981118</v>
      </c>
      <c r="AK99" s="680">
        <f t="shared" si="73"/>
        <v>-7.019144466508985E-2</v>
      </c>
      <c r="AL99" s="682">
        <f t="shared" si="79"/>
        <v>0.47202064184981118</v>
      </c>
      <c r="AM99" s="688">
        <f t="shared" si="80"/>
        <v>0</v>
      </c>
      <c r="AN99" s="702">
        <f t="shared" si="81"/>
        <v>0</v>
      </c>
      <c r="AO99" s="685">
        <f t="shared" si="82"/>
        <v>1</v>
      </c>
      <c r="AP99" s="755">
        <f t="shared" si="83"/>
        <v>1</v>
      </c>
      <c r="AR99" s="680">
        <f t="shared" si="74"/>
        <v>-7.019144466508985E-2</v>
      </c>
      <c r="AS99" s="685">
        <f t="shared" si="84"/>
        <v>0.47202064184981118</v>
      </c>
      <c r="AT99" s="680">
        <f t="shared" si="75"/>
        <v>-7.019144466508985E-2</v>
      </c>
      <c r="AU99" s="682">
        <f t="shared" si="85"/>
        <v>0.47202064184981118</v>
      </c>
      <c r="AV99" s="688">
        <f t="shared" si="86"/>
        <v>0</v>
      </c>
      <c r="AW99" s="702">
        <f t="shared" si="87"/>
        <v>0</v>
      </c>
      <c r="AX99" s="680">
        <f t="shared" si="88"/>
        <v>1</v>
      </c>
      <c r="AY99" s="743">
        <f t="shared" si="89"/>
        <v>1</v>
      </c>
    </row>
    <row r="100" spans="3:51">
      <c r="M100" s="929"/>
      <c r="N100" s="728">
        <f t="shared" si="57"/>
        <v>35.000019999999999</v>
      </c>
      <c r="O100" s="747">
        <f t="shared" si="57"/>
        <v>2.4302194610470451E-5</v>
      </c>
      <c r="P100" s="747">
        <f t="shared" si="57"/>
        <v>1.0577384405320574E-4</v>
      </c>
      <c r="Q100" s="747">
        <f t="shared" si="57"/>
        <v>0</v>
      </c>
      <c r="R100" s="729">
        <f t="shared" si="76"/>
        <v>35.00004430219461</v>
      </c>
      <c r="S100" s="688">
        <f t="shared" si="77"/>
        <v>0</v>
      </c>
      <c r="T100" s="688">
        <f t="shared" si="59"/>
        <v>-1.0577384405320574E-4</v>
      </c>
      <c r="U100" s="688">
        <f t="shared" si="60"/>
        <v>34.999914226155944</v>
      </c>
      <c r="V100" s="745">
        <f>-S100+P100</f>
        <v>1.0577384405320574E-4</v>
      </c>
      <c r="W100" s="745">
        <f t="shared" si="62"/>
        <v>34.999914226155944</v>
      </c>
      <c r="X100" s="700">
        <f t="shared" si="63"/>
        <v>35.00004430219461</v>
      </c>
      <c r="Y100" s="688">
        <f t="shared" si="64"/>
        <v>1.0577384405320574E-4</v>
      </c>
      <c r="Z100" s="677">
        <f t="shared" si="65"/>
        <v>5.2623803011545151E-5</v>
      </c>
      <c r="AA100" s="685">
        <f t="shared" si="58"/>
        <v>2.0099999999999998</v>
      </c>
      <c r="AB100" s="685">
        <f t="shared" si="66"/>
        <v>0.32210881581922535</v>
      </c>
      <c r="AC100" s="685">
        <f t="shared" si="67"/>
        <v>0.32210881581922535</v>
      </c>
      <c r="AD100" s="685">
        <f t="shared" si="68"/>
        <v>0</v>
      </c>
      <c r="AE100" s="689">
        <f t="shared" si="69"/>
        <v>0</v>
      </c>
      <c r="AF100" s="685">
        <f t="shared" si="70"/>
        <v>1</v>
      </c>
      <c r="AG100" s="744">
        <f t="shared" si="71"/>
        <v>1</v>
      </c>
      <c r="AH100" s="732"/>
      <c r="AI100" s="680">
        <f t="shared" si="72"/>
        <v>-0.46180992668163467</v>
      </c>
      <c r="AJ100" s="685">
        <f t="shared" si="78"/>
        <v>0.32210881581922535</v>
      </c>
      <c r="AK100" s="680">
        <f t="shared" si="73"/>
        <v>-0.46180992668163467</v>
      </c>
      <c r="AL100" s="682">
        <f t="shared" si="79"/>
        <v>0.32210881581922535</v>
      </c>
      <c r="AM100" s="688">
        <f t="shared" si="80"/>
        <v>0</v>
      </c>
      <c r="AN100" s="702">
        <f t="shared" si="81"/>
        <v>0</v>
      </c>
      <c r="AO100" s="685">
        <f t="shared" si="82"/>
        <v>1</v>
      </c>
      <c r="AP100" s="755">
        <f t="shared" si="83"/>
        <v>1</v>
      </c>
      <c r="AR100" s="680">
        <f t="shared" si="74"/>
        <v>-0.46180992668163467</v>
      </c>
      <c r="AS100" s="685">
        <f t="shared" si="84"/>
        <v>0.32210881581922535</v>
      </c>
      <c r="AT100" s="680">
        <f t="shared" si="75"/>
        <v>-0.46180992668163467</v>
      </c>
      <c r="AU100" s="682">
        <f t="shared" si="85"/>
        <v>0.32210881581922535</v>
      </c>
      <c r="AV100" s="688">
        <f t="shared" si="86"/>
        <v>0</v>
      </c>
      <c r="AW100" s="702">
        <f t="shared" si="87"/>
        <v>0</v>
      </c>
      <c r="AX100" s="680">
        <f t="shared" si="88"/>
        <v>1</v>
      </c>
      <c r="AY100" s="743">
        <f t="shared" si="89"/>
        <v>1</v>
      </c>
    </row>
    <row r="101" spans="3:51">
      <c r="M101" s="929"/>
      <c r="N101" s="728">
        <f t="shared" si="57"/>
        <v>40.000019999999999</v>
      </c>
      <c r="O101" s="747">
        <f t="shared" si="57"/>
        <v>2.1773936659030824E-5</v>
      </c>
      <c r="P101" s="747">
        <f t="shared" si="57"/>
        <v>9.2762966952556278E-5</v>
      </c>
      <c r="Q101" s="747">
        <f t="shared" si="57"/>
        <v>0</v>
      </c>
      <c r="R101" s="729">
        <f t="shared" si="76"/>
        <v>40.000041773936658</v>
      </c>
      <c r="S101" s="688">
        <f t="shared" si="77"/>
        <v>0</v>
      </c>
      <c r="T101" s="688">
        <f t="shared" si="59"/>
        <v>-9.2762966952556278E-5</v>
      </c>
      <c r="U101" s="688">
        <f t="shared" si="60"/>
        <v>39.999927237033049</v>
      </c>
      <c r="V101" s="745">
        <f t="shared" si="61"/>
        <v>9.2762966952556278E-5</v>
      </c>
      <c r="W101" s="745">
        <f t="shared" si="62"/>
        <v>39.999927237033049</v>
      </c>
      <c r="X101" s="700">
        <f t="shared" si="63"/>
        <v>40.000041773936658</v>
      </c>
      <c r="Y101" s="688">
        <f t="shared" si="64"/>
        <v>9.2762966952556278E-5</v>
      </c>
      <c r="Z101" s="677">
        <f t="shared" si="65"/>
        <v>4.6150729827142429E-5</v>
      </c>
      <c r="AA101" s="685">
        <f t="shared" si="58"/>
        <v>2.0099999999999998</v>
      </c>
      <c r="AB101" s="685">
        <f t="shared" si="66"/>
        <v>0.31853460278846657</v>
      </c>
      <c r="AC101" s="685">
        <f t="shared" si="67"/>
        <v>0.31853460278846657</v>
      </c>
      <c r="AD101" s="685">
        <f t="shared" si="68"/>
        <v>0</v>
      </c>
      <c r="AE101" s="689">
        <f t="shared" si="69"/>
        <v>0</v>
      </c>
      <c r="AF101" s="685">
        <f t="shared" si="70"/>
        <v>1</v>
      </c>
      <c r="AG101" s="744">
        <f t="shared" si="71"/>
        <v>1</v>
      </c>
      <c r="AH101" s="732"/>
      <c r="AI101" s="680">
        <f t="shared" si="72"/>
        <v>-0.47180048377534028</v>
      </c>
      <c r="AJ101" s="685">
        <f t="shared" si="78"/>
        <v>0.31853460278846657</v>
      </c>
      <c r="AK101" s="680">
        <f t="shared" si="73"/>
        <v>-0.47180048377534028</v>
      </c>
      <c r="AL101" s="682">
        <f t="shared" si="79"/>
        <v>0.31853460278846657</v>
      </c>
      <c r="AM101" s="688">
        <f t="shared" si="80"/>
        <v>0</v>
      </c>
      <c r="AN101" s="702">
        <f t="shared" si="81"/>
        <v>0</v>
      </c>
      <c r="AO101" s="685">
        <f t="shared" si="82"/>
        <v>1</v>
      </c>
      <c r="AP101" s="755">
        <f t="shared" si="83"/>
        <v>1</v>
      </c>
      <c r="AR101" s="680">
        <f t="shared" si="74"/>
        <v>-0.47180048377534028</v>
      </c>
      <c r="AS101" s="685">
        <f t="shared" si="84"/>
        <v>0.31853460278846657</v>
      </c>
      <c r="AT101" s="680">
        <f t="shared" si="75"/>
        <v>-0.47180048377534028</v>
      </c>
      <c r="AU101" s="682">
        <f t="shared" si="85"/>
        <v>0.31853460278846657</v>
      </c>
      <c r="AV101" s="688">
        <f t="shared" si="86"/>
        <v>0</v>
      </c>
      <c r="AW101" s="702">
        <f t="shared" si="87"/>
        <v>0</v>
      </c>
      <c r="AX101" s="680">
        <f t="shared" si="88"/>
        <v>1</v>
      </c>
      <c r="AY101" s="743">
        <f t="shared" si="89"/>
        <v>1</v>
      </c>
    </row>
    <row r="102" spans="3:51">
      <c r="Q102" s="733"/>
      <c r="R102" s="734"/>
      <c r="U102" s="731" t="s">
        <v>1458</v>
      </c>
      <c r="V102" s="731"/>
      <c r="W102" s="735"/>
      <c r="X102" s="735"/>
      <c r="Y102" s="735"/>
      <c r="Z102" s="735"/>
      <c r="AA102" s="735"/>
      <c r="AB102" s="735"/>
      <c r="AC102" s="735"/>
      <c r="AD102" s="735"/>
      <c r="AE102" s="735"/>
      <c r="AF102" s="735"/>
      <c r="AG102" s="735"/>
      <c r="AH102" s="735"/>
      <c r="AI102" s="736"/>
    </row>
    <row r="103" spans="3:51">
      <c r="Q103" s="733"/>
      <c r="U103" s="737" t="s">
        <v>1449</v>
      </c>
      <c r="V103" s="738">
        <f>Q93</f>
        <v>0</v>
      </c>
      <c r="W103" s="737" t="s">
        <v>1450</v>
      </c>
      <c r="X103" s="738">
        <f>-Q93</f>
        <v>0</v>
      </c>
      <c r="Y103" s="737"/>
      <c r="Z103" s="737" t="s">
        <v>182</v>
      </c>
      <c r="AA103" s="739">
        <f>O93</f>
        <v>1.2154789001073141E-5</v>
      </c>
      <c r="AB103" s="737" t="s">
        <v>1422</v>
      </c>
      <c r="AC103" s="739">
        <f>P93/AA93</f>
        <v>3.2067983901638849E-5</v>
      </c>
      <c r="AD103" s="737" t="s">
        <v>1417</v>
      </c>
      <c r="AE103" s="740">
        <f>_xlfn.NORM.DIST(V103,AA103,AC103,1)-_xlfn.NORM.DIST(X103,AA103,AC103,1)</f>
        <v>0</v>
      </c>
      <c r="AF103" s="741" t="s">
        <v>1451</v>
      </c>
      <c r="AG103" s="742">
        <f>1-AE103</f>
        <v>1</v>
      </c>
    </row>
    <row r="109" spans="3:51">
      <c r="D109" s="764" t="s">
        <v>1467</v>
      </c>
      <c r="E109" s="764" t="s">
        <v>1468</v>
      </c>
      <c r="G109" s="764" t="s">
        <v>1469</v>
      </c>
      <c r="H109" s="764" t="s">
        <v>1465</v>
      </c>
      <c r="J109" s="764" t="s">
        <v>1423</v>
      </c>
    </row>
    <row r="110" spans="3:51">
      <c r="C110" s="763">
        <f t="shared" ref="C110:C120" si="90">N74</f>
        <v>0.01</v>
      </c>
      <c r="D110" s="761">
        <f t="shared" ref="D110:D120" si="91">O74+J110</f>
        <v>2.4327533963336294E-5</v>
      </c>
      <c r="E110" s="762">
        <f t="shared" ref="E110:E120" si="92">Q74</f>
        <v>0</v>
      </c>
      <c r="F110" s="670" t="str">
        <f>IF(D110&lt;E110,"Cumple","No Cumple")</f>
        <v>No Cumple</v>
      </c>
      <c r="G110" s="699" t="str">
        <f t="shared" ref="G110:G120" si="93">C74</f>
        <v/>
      </c>
      <c r="H110" s="699" t="str">
        <f t="shared" ref="H110:H120" si="94">D74</f>
        <v/>
      </c>
      <c r="I110" s="670" t="str">
        <f>IF(AND(D110&lt;G110,D110&gt;H110),"Cumple","No Cumple")</f>
        <v>No Cumple</v>
      </c>
      <c r="J110" s="761">
        <f>P74</f>
        <v>2.4028590447104866E-5</v>
      </c>
    </row>
    <row r="111" spans="3:51">
      <c r="C111" s="763">
        <f t="shared" si="90"/>
        <v>4</v>
      </c>
      <c r="D111" s="761">
        <f t="shared" si="91"/>
        <v>4.9975546874589926E-5</v>
      </c>
      <c r="E111" s="762">
        <f t="shared" si="92"/>
        <v>0</v>
      </c>
      <c r="F111" s="670" t="str">
        <f t="shared" ref="F111:F120" si="95">IF(D111&lt;E111,"Cumple","No Cumple")</f>
        <v>No Cumple</v>
      </c>
      <c r="G111" s="699" t="str">
        <f t="shared" si="93"/>
        <v/>
      </c>
      <c r="H111" s="699" t="str">
        <f t="shared" si="94"/>
        <v/>
      </c>
      <c r="I111" s="670" t="str">
        <f t="shared" ref="I111:I120" si="96">IF(AND(D111&lt;G111,D111&gt;H111),"Cumple","No Cumple")</f>
        <v>No Cumple</v>
      </c>
      <c r="J111" s="761">
        <f t="shared" ref="J111:J120" si="97">P75</f>
        <v>4.4398152426525772E-5</v>
      </c>
    </row>
    <row r="112" spans="3:51">
      <c r="C112" s="763">
        <f t="shared" si="90"/>
        <v>8</v>
      </c>
      <c r="D112" s="761">
        <f t="shared" si="91"/>
        <v>7.6611436643367217E-5</v>
      </c>
      <c r="E112" s="762">
        <f t="shared" si="92"/>
        <v>0</v>
      </c>
      <c r="F112" s="670" t="str">
        <f t="shared" si="95"/>
        <v>No Cumple</v>
      </c>
      <c r="G112" s="699" t="str">
        <f t="shared" si="93"/>
        <v/>
      </c>
      <c r="H112" s="699" t="str">
        <f t="shared" si="94"/>
        <v/>
      </c>
      <c r="I112" s="670" t="str">
        <f t="shared" si="96"/>
        <v>No Cumple</v>
      </c>
      <c r="J112" s="761">
        <f t="shared" si="97"/>
        <v>6.4456647642294077E-5</v>
      </c>
    </row>
    <row r="113" spans="3:14">
      <c r="C113" s="763">
        <f t="shared" si="90"/>
        <v>12</v>
      </c>
      <c r="D113" s="761">
        <f t="shared" si="91"/>
        <v>5.4653909005949214E-5</v>
      </c>
      <c r="E113" s="762">
        <f t="shared" si="92"/>
        <v>0</v>
      </c>
      <c r="F113" s="670" t="str">
        <f t="shared" si="95"/>
        <v>No Cumple</v>
      </c>
      <c r="G113" s="699" t="str">
        <f t="shared" si="93"/>
        <v/>
      </c>
      <c r="H113" s="699" t="str">
        <f t="shared" si="94"/>
        <v/>
      </c>
      <c r="I113" s="670" t="str">
        <f t="shared" si="96"/>
        <v>No Cumple</v>
      </c>
      <c r="J113" s="761">
        <f t="shared" si="97"/>
        <v>5.5921728620574623E-5</v>
      </c>
    </row>
    <row r="114" spans="3:14">
      <c r="C114" s="763">
        <f t="shared" si="90"/>
        <v>15.00001</v>
      </c>
      <c r="D114" s="761">
        <f t="shared" si="91"/>
        <v>7.2300983855638082E-5</v>
      </c>
      <c r="E114" s="762">
        <f t="shared" si="92"/>
        <v>0</v>
      </c>
      <c r="F114" s="670" t="str">
        <f t="shared" si="95"/>
        <v>No Cumple</v>
      </c>
      <c r="G114" s="699" t="str">
        <f t="shared" si="93"/>
        <v/>
      </c>
      <c r="H114" s="699" t="str">
        <f t="shared" si="94"/>
        <v/>
      </c>
      <c r="I114" s="670" t="str">
        <f t="shared" si="96"/>
        <v>No Cumple</v>
      </c>
      <c r="J114" s="761">
        <f t="shared" si="97"/>
        <v>6.1885757897511143E-5</v>
      </c>
    </row>
    <row r="115" spans="3:14">
      <c r="C115" s="763">
        <f t="shared" si="90"/>
        <v>20</v>
      </c>
      <c r="D115" s="761">
        <f t="shared" si="91"/>
        <v>5.3262332675619148E-5</v>
      </c>
      <c r="E115" s="762">
        <f t="shared" si="92"/>
        <v>0</v>
      </c>
      <c r="F115" s="670" t="str">
        <f t="shared" si="95"/>
        <v>No Cumple</v>
      </c>
      <c r="G115" s="699" t="str">
        <f t="shared" si="93"/>
        <v/>
      </c>
      <c r="H115" s="699" t="str">
        <f t="shared" si="94"/>
        <v/>
      </c>
      <c r="I115" s="670" t="str">
        <f t="shared" si="96"/>
        <v>No Cumple</v>
      </c>
      <c r="J115" s="761">
        <f t="shared" si="97"/>
        <v>4.9375364026449772E-5</v>
      </c>
    </row>
    <row r="116" spans="3:14">
      <c r="C116" s="763">
        <f t="shared" si="90"/>
        <v>25.00001</v>
      </c>
      <c r="D116" s="761">
        <f t="shared" si="91"/>
        <v>9.8687383603634574E-5</v>
      </c>
      <c r="E116" s="762">
        <f t="shared" si="92"/>
        <v>0</v>
      </c>
      <c r="F116" s="670" t="str">
        <f t="shared" si="95"/>
        <v>No Cumple</v>
      </c>
      <c r="G116" s="699" t="str">
        <f t="shared" si="93"/>
        <v/>
      </c>
      <c r="H116" s="699" t="str">
        <f t="shared" si="94"/>
        <v/>
      </c>
      <c r="I116" s="670" t="str">
        <f t="shared" si="96"/>
        <v>No Cumple</v>
      </c>
      <c r="J116" s="761">
        <f t="shared" si="97"/>
        <v>7.3328671417515837E-5</v>
      </c>
    </row>
    <row r="117" spans="3:14">
      <c r="C117" s="763">
        <f t="shared" si="90"/>
        <v>27.00001</v>
      </c>
      <c r="D117" s="761">
        <f t="shared" si="91"/>
        <v>1.2748553770486809E-4</v>
      </c>
      <c r="E117" s="762">
        <f t="shared" si="92"/>
        <v>0</v>
      </c>
      <c r="F117" s="670" t="str">
        <f t="shared" si="95"/>
        <v>No Cumple</v>
      </c>
      <c r="G117" s="699" t="str">
        <f t="shared" si="93"/>
        <v/>
      </c>
      <c r="H117" s="699" t="str">
        <f t="shared" si="94"/>
        <v/>
      </c>
      <c r="I117" s="670" t="str">
        <f t="shared" si="96"/>
        <v>No Cumple</v>
      </c>
      <c r="J117" s="761">
        <f t="shared" si="97"/>
        <v>9.2338127556328709E-5</v>
      </c>
    </row>
    <row r="118" spans="3:14">
      <c r="C118" s="763">
        <f t="shared" si="90"/>
        <v>30.00001</v>
      </c>
      <c r="D118" s="761">
        <f t="shared" si="91"/>
        <v>8.3883158814933721E-5</v>
      </c>
      <c r="E118" s="762">
        <f t="shared" si="92"/>
        <v>0</v>
      </c>
      <c r="F118" s="670" t="str">
        <f t="shared" si="95"/>
        <v>No Cumple</v>
      </c>
      <c r="G118" s="699" t="str">
        <f t="shared" si="93"/>
        <v/>
      </c>
      <c r="H118" s="699" t="str">
        <f t="shared" si="94"/>
        <v/>
      </c>
      <c r="I118" s="670" t="str">
        <f t="shared" si="96"/>
        <v>No Cumple</v>
      </c>
      <c r="J118" s="761">
        <f t="shared" si="97"/>
        <v>8.1052707744965345E-5</v>
      </c>
    </row>
    <row r="119" spans="3:14">
      <c r="C119" s="763">
        <f t="shared" si="90"/>
        <v>35.000019999999999</v>
      </c>
      <c r="D119" s="761">
        <f t="shared" si="91"/>
        <v>1.3007603866367618E-4</v>
      </c>
      <c r="E119" s="762">
        <f t="shared" si="92"/>
        <v>0</v>
      </c>
      <c r="F119" s="670" t="str">
        <f t="shared" si="95"/>
        <v>No Cumple</v>
      </c>
      <c r="G119" s="699" t="str">
        <f t="shared" si="93"/>
        <v/>
      </c>
      <c r="H119" s="699" t="str">
        <f t="shared" si="94"/>
        <v/>
      </c>
      <c r="I119" s="670" t="str">
        <f t="shared" si="96"/>
        <v>No Cumple</v>
      </c>
      <c r="J119" s="761">
        <f t="shared" si="97"/>
        <v>1.0577384405320574E-4</v>
      </c>
      <c r="L119" s="761">
        <f>D119-J119</f>
        <v>2.4302194610470438E-5</v>
      </c>
      <c r="N119" s="761">
        <f>E119+L119</f>
        <v>2.4302194610470438E-5</v>
      </c>
    </row>
    <row r="120" spans="3:14">
      <c r="C120" s="763">
        <f t="shared" si="90"/>
        <v>40.000019999999999</v>
      </c>
      <c r="D120" s="761">
        <f t="shared" si="91"/>
        <v>1.145369036115871E-4</v>
      </c>
      <c r="E120" s="762">
        <f t="shared" si="92"/>
        <v>0</v>
      </c>
      <c r="F120" s="670" t="str">
        <f t="shared" si="95"/>
        <v>No Cumple</v>
      </c>
      <c r="G120" s="699" t="str">
        <f t="shared" si="93"/>
        <v/>
      </c>
      <c r="H120" s="699" t="str">
        <f t="shared" si="94"/>
        <v/>
      </c>
      <c r="I120" s="670" t="str">
        <f t="shared" si="96"/>
        <v>No Cumple</v>
      </c>
      <c r="J120" s="761">
        <f t="shared" si="97"/>
        <v>9.2762966952556278E-5</v>
      </c>
    </row>
    <row r="121" spans="3:14">
      <c r="D121" s="761"/>
      <c r="E121" s="762"/>
    </row>
    <row r="122" spans="3:14">
      <c r="D122" s="761"/>
      <c r="E122" s="762"/>
    </row>
    <row r="123" spans="3:14">
      <c r="D123" s="761"/>
    </row>
    <row r="124" spans="3:14">
      <c r="D124" s="761"/>
    </row>
  </sheetData>
  <sheetProtection algorithmName="SHA-512" hashValue="V+mIyE8H5lV+fcV7qD0Q3MTxEPyoTjwf2UM4TOTUCXEXVPwtpi5jbrCAXNGIPGQzW49Hvbf+N++cHpqrCnSgrQ==" saltValue="+3yuPZrfRjGDfoJ/QbH1AA==" spinCount="100000" sheet="1" objects="1" scenarios="1"/>
  <mergeCells count="25">
    <mergeCell ref="AM55:AN55"/>
    <mergeCell ref="AO55:AP55"/>
    <mergeCell ref="AD56:AE56"/>
    <mergeCell ref="AF56:AG56"/>
    <mergeCell ref="AX88:AY88"/>
    <mergeCell ref="AM71:AN71"/>
    <mergeCell ref="AO71:AP71"/>
    <mergeCell ref="AV71:AW71"/>
    <mergeCell ref="AX71:AY71"/>
    <mergeCell ref="AD72:AE72"/>
    <mergeCell ref="AM88:AN88"/>
    <mergeCell ref="AO88:AP88"/>
    <mergeCell ref="AV88:AW88"/>
    <mergeCell ref="M70:M101"/>
    <mergeCell ref="AF42:AG42"/>
    <mergeCell ref="AH42:AI42"/>
    <mergeCell ref="W43:X43"/>
    <mergeCell ref="Y43:Z43"/>
    <mergeCell ref="AF43:AG43"/>
    <mergeCell ref="AH43:AI43"/>
    <mergeCell ref="AF72:AG72"/>
    <mergeCell ref="W46:X46"/>
    <mergeCell ref="Y46:Z46"/>
    <mergeCell ref="AD89:AE89"/>
    <mergeCell ref="AF89:AG89"/>
  </mergeCells>
  <hyperlinks>
    <hyperlink ref="X3" r:id="rId1" xr:uid="{503987BF-EA5D-49B7-8D99-DEDD47739417}"/>
  </hyperlinks>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FF00"/>
  </sheetPr>
  <dimension ref="A1:BB214"/>
  <sheetViews>
    <sheetView showGridLines="0" tabSelected="1" view="pageBreakPreview" topLeftCell="A115" zoomScale="70" zoomScaleNormal="70" zoomScaleSheetLayoutView="70" workbookViewId="0">
      <selection activeCell="X127" sqref="X127:AA127"/>
    </sheetView>
  </sheetViews>
  <sheetFormatPr baseColWidth="10" defaultColWidth="11.42578125" defaultRowHeight="15.75"/>
  <cols>
    <col min="1" max="1" width="8.7109375" style="3" customWidth="1"/>
    <col min="2" max="5" width="4.7109375" style="3" customWidth="1"/>
    <col min="6" max="7" width="6.140625" style="3" customWidth="1"/>
    <col min="8" max="8" width="5.7109375" style="3" customWidth="1"/>
    <col min="9" max="9" width="4.85546875" style="3" customWidth="1"/>
    <col min="10" max="10" width="4.7109375" style="3" customWidth="1"/>
    <col min="11" max="11" width="7" style="3" customWidth="1"/>
    <col min="12" max="12" width="6.7109375" style="3" customWidth="1"/>
    <col min="13" max="13" width="8.140625" style="3" customWidth="1"/>
    <col min="14" max="15" width="8.5703125" style="3" customWidth="1"/>
    <col min="16" max="16" width="9.140625" style="3" customWidth="1"/>
    <col min="17" max="17" width="4.7109375" style="3" customWidth="1"/>
    <col min="18" max="18" width="7.140625" style="3" customWidth="1"/>
    <col min="19" max="19" width="8.42578125" style="3" customWidth="1"/>
    <col min="20" max="20" width="4.7109375" style="3" customWidth="1"/>
    <col min="21" max="21" width="8" style="3" customWidth="1"/>
    <col min="22" max="22" width="7.5703125" style="3" customWidth="1"/>
    <col min="23" max="23" width="11.28515625" style="3" customWidth="1"/>
    <col min="24" max="24" width="6.140625" style="3" customWidth="1"/>
    <col min="25" max="25" width="9" style="3" customWidth="1"/>
    <col min="26" max="26" width="5.7109375" style="3" customWidth="1"/>
    <col min="27" max="27" width="4.7109375" style="3" customWidth="1"/>
    <col min="28" max="28" width="9.85546875" style="3" customWidth="1"/>
    <col min="29" max="29" width="9.140625" style="3" customWidth="1"/>
    <col min="30" max="30" width="4.7109375" style="3" customWidth="1"/>
    <col min="31" max="31" width="11.42578125" style="3" customWidth="1"/>
    <col min="32" max="32" width="13.85546875" style="3" customWidth="1"/>
    <col min="33" max="33" width="18" style="3" customWidth="1"/>
    <col min="34" max="34" width="13.85546875" style="3" customWidth="1"/>
    <col min="35" max="35" width="11.140625" style="3" customWidth="1"/>
    <col min="36" max="36" width="13.85546875" style="3" customWidth="1"/>
    <col min="37" max="37" width="14" style="19" customWidth="1"/>
    <col min="38" max="38" width="12.28515625" style="19" customWidth="1"/>
    <col min="39" max="39" width="13" style="19" customWidth="1"/>
    <col min="40" max="40" width="12.7109375" style="19" customWidth="1"/>
    <col min="41" max="41" width="17" style="19" customWidth="1"/>
    <col min="42" max="46" width="12.7109375" style="19" customWidth="1"/>
    <col min="47" max="47" width="10.42578125" style="19" customWidth="1"/>
    <col min="48" max="49" width="11.42578125" style="3"/>
    <col min="50" max="50" width="11.42578125" style="451"/>
    <col min="51" max="16384" width="11.42578125" style="3"/>
  </cols>
  <sheetData>
    <row r="1" spans="1:53" ht="60" customHeight="1">
      <c r="A1" s="1032"/>
      <c r="B1" s="1032"/>
      <c r="C1" s="1032"/>
      <c r="D1" s="1032"/>
      <c r="E1" s="1032"/>
      <c r="F1" s="1032"/>
      <c r="G1" s="1032"/>
      <c r="H1" s="1032"/>
      <c r="I1" s="1032"/>
      <c r="J1" s="1032"/>
      <c r="K1" s="1032"/>
      <c r="L1" s="1032"/>
      <c r="M1" s="1032"/>
      <c r="N1" s="1032"/>
      <c r="O1" s="1032"/>
      <c r="P1" s="1032"/>
      <c r="Q1" s="1032"/>
      <c r="R1" s="1032"/>
      <c r="S1" s="1288" t="s">
        <v>1524</v>
      </c>
      <c r="T1" s="1288"/>
      <c r="U1" s="1288"/>
      <c r="V1" s="1288"/>
      <c r="W1" s="1288"/>
      <c r="X1" s="1288"/>
      <c r="Y1" s="1288"/>
      <c r="Z1" s="1288"/>
      <c r="AA1" s="1288"/>
      <c r="AB1" s="1288"/>
      <c r="AC1" s="1288"/>
      <c r="AD1" s="1288"/>
      <c r="AE1" s="1288"/>
      <c r="AF1" s="1288"/>
      <c r="AG1" s="1288"/>
      <c r="AH1" s="1288"/>
      <c r="AI1" s="1288"/>
      <c r="AJ1" s="1288"/>
      <c r="AK1" s="1288"/>
      <c r="AL1" s="1288"/>
      <c r="AM1" s="1288"/>
      <c r="AN1" s="901"/>
      <c r="AO1" s="901"/>
      <c r="AP1" s="901"/>
      <c r="AQ1" s="901"/>
      <c r="AR1" s="901"/>
      <c r="AS1" s="901"/>
      <c r="AT1" s="901"/>
      <c r="AU1" s="901"/>
      <c r="AV1" s="901"/>
    </row>
    <row r="2" spans="1:53" ht="20.45" customHeight="1">
      <c r="A2" s="1032"/>
      <c r="B2" s="1032"/>
      <c r="C2" s="1032"/>
      <c r="D2" s="1032"/>
      <c r="E2" s="1032"/>
      <c r="F2" s="1032"/>
      <c r="G2" s="1032"/>
      <c r="H2" s="1032"/>
      <c r="I2" s="1032"/>
      <c r="J2" s="1032"/>
      <c r="K2" s="1032"/>
      <c r="L2" s="1032"/>
      <c r="M2" s="1032"/>
      <c r="N2" s="1032"/>
      <c r="O2" s="1032"/>
      <c r="P2" s="1032"/>
      <c r="Q2" s="1032"/>
      <c r="R2" s="1032"/>
      <c r="S2" s="1289" t="s">
        <v>1525</v>
      </c>
      <c r="T2" s="1289"/>
      <c r="U2" s="1289"/>
      <c r="V2" s="1289"/>
      <c r="W2" s="1289"/>
      <c r="X2" s="1289"/>
      <c r="Y2" s="1289"/>
      <c r="Z2" s="1289"/>
      <c r="AA2" s="1289"/>
      <c r="AB2" s="1289"/>
      <c r="AC2" s="1289"/>
      <c r="AD2" s="1289"/>
      <c r="AE2" s="1289"/>
      <c r="AF2" s="1289"/>
      <c r="AG2" s="1289"/>
      <c r="AH2" s="1289"/>
      <c r="AI2" s="1289"/>
      <c r="AJ2" s="1289"/>
      <c r="AK2" s="1289"/>
      <c r="AL2" s="1289"/>
      <c r="AM2" s="1289"/>
      <c r="AN2" s="901"/>
      <c r="AO2" s="901"/>
      <c r="AP2" s="901"/>
      <c r="AQ2" s="901"/>
      <c r="AR2" s="901"/>
      <c r="AS2" s="901"/>
      <c r="AT2" s="901"/>
      <c r="AU2" s="901"/>
      <c r="AV2" s="901"/>
    </row>
    <row r="3" spans="1:53" ht="12" customHeight="1">
      <c r="A3" s="902"/>
      <c r="B3" s="902"/>
      <c r="C3" s="902"/>
      <c r="D3" s="902"/>
      <c r="E3" s="902"/>
      <c r="F3" s="902"/>
      <c r="G3" s="902"/>
      <c r="H3" s="902"/>
      <c r="I3" s="902"/>
      <c r="J3" s="902"/>
      <c r="K3" s="902"/>
      <c r="L3" s="902"/>
      <c r="M3" s="902"/>
      <c r="N3" s="902"/>
      <c r="O3" s="902"/>
      <c r="P3" s="902"/>
      <c r="Q3" s="902"/>
      <c r="R3" s="902"/>
      <c r="S3" s="902"/>
      <c r="T3" s="902"/>
      <c r="U3" s="902"/>
      <c r="V3" s="902"/>
      <c r="W3" s="902"/>
      <c r="X3" s="902"/>
      <c r="Y3" s="902"/>
      <c r="Z3" s="902"/>
      <c r="AA3" s="902"/>
      <c r="AB3" s="902"/>
      <c r="AC3" s="902"/>
      <c r="AD3" s="902"/>
      <c r="AE3" s="902"/>
      <c r="AF3" s="902"/>
      <c r="AG3" s="902"/>
      <c r="AH3" s="903"/>
      <c r="AI3" s="903"/>
      <c r="AJ3" s="903"/>
      <c r="AK3" s="903"/>
      <c r="AL3" s="903"/>
      <c r="AM3" s="903"/>
      <c r="AN3" s="901"/>
      <c r="AO3" s="901"/>
      <c r="AP3" s="901"/>
      <c r="AQ3" s="901"/>
      <c r="AR3" s="901"/>
      <c r="AS3" s="901"/>
      <c r="AT3" s="901"/>
      <c r="AU3" s="901"/>
      <c r="AV3" s="901"/>
      <c r="AZ3" s="451"/>
    </row>
    <row r="4" spans="1:53" ht="19.5" customHeight="1">
      <c r="A4" s="1290" t="s">
        <v>1531</v>
      </c>
      <c r="B4" s="1290"/>
      <c r="C4" s="1290"/>
      <c r="D4" s="1290"/>
      <c r="E4" s="1290"/>
      <c r="F4" s="1290"/>
      <c r="G4" s="1290"/>
      <c r="H4" s="1290"/>
      <c r="I4" s="1290"/>
      <c r="J4" s="1290"/>
      <c r="K4" s="1290"/>
      <c r="L4" s="1290"/>
      <c r="M4" s="1290"/>
      <c r="N4" s="1290"/>
      <c r="O4" s="1290"/>
      <c r="P4" s="1290"/>
      <c r="Q4" s="1290"/>
      <c r="R4" s="1290"/>
      <c r="S4" s="1290"/>
      <c r="T4" s="1290"/>
      <c r="U4" s="1290"/>
      <c r="V4" s="1290"/>
      <c r="W4" s="1290"/>
      <c r="X4" s="1290"/>
      <c r="Y4" s="1290"/>
      <c r="Z4" s="1290"/>
      <c r="AA4" s="1290"/>
      <c r="AB4" s="1290"/>
      <c r="AC4" s="1290"/>
      <c r="AD4" s="1290"/>
      <c r="AE4" s="1290"/>
      <c r="AF4" s="1290"/>
      <c r="AG4" s="1290"/>
      <c r="AH4" s="1290"/>
      <c r="AI4" s="1290"/>
      <c r="AJ4" s="1290"/>
      <c r="AK4" s="1290"/>
      <c r="AL4" s="1290"/>
      <c r="AM4" s="1290"/>
      <c r="AN4" s="901"/>
      <c r="AO4" s="901"/>
      <c r="AP4" s="901"/>
      <c r="AQ4" s="901"/>
      <c r="AR4" s="901"/>
      <c r="AS4" s="901"/>
      <c r="AT4" s="901"/>
      <c r="AU4" s="901"/>
      <c r="AV4" s="901"/>
      <c r="AZ4" s="451"/>
    </row>
    <row r="5" spans="1:53" ht="23.25" customHeight="1">
      <c r="AX5" s="451" t="s">
        <v>152</v>
      </c>
      <c r="AY5" s="337"/>
      <c r="AZ5" s="451" t="s">
        <v>1015</v>
      </c>
      <c r="BA5" s="337"/>
    </row>
    <row r="6" spans="1:53" ht="9" customHeight="1" thickBot="1">
      <c r="AX6" s="451" t="s">
        <v>153</v>
      </c>
      <c r="AY6" s="337"/>
      <c r="AZ6" s="451" t="s">
        <v>1006</v>
      </c>
      <c r="BA6" s="337"/>
    </row>
    <row r="7" spans="1:53" ht="28.5" customHeight="1" thickBot="1">
      <c r="A7" s="1206" t="s">
        <v>87</v>
      </c>
      <c r="B7" s="1206"/>
      <c r="C7" s="1206"/>
      <c r="D7" s="1206"/>
      <c r="E7" s="1206"/>
      <c r="F7" s="1206"/>
      <c r="G7" s="1206"/>
      <c r="H7" s="1207"/>
      <c r="I7" s="944" t="s">
        <v>1545</v>
      </c>
      <c r="J7" s="1002"/>
      <c r="K7" s="1002"/>
      <c r="L7" s="1002"/>
      <c r="M7" s="1002"/>
      <c r="N7" s="1002"/>
      <c r="O7" s="1002"/>
      <c r="P7" s="1002"/>
      <c r="Q7" s="1002"/>
      <c r="R7" s="945"/>
      <c r="S7" s="1205" t="s">
        <v>37</v>
      </c>
      <c r="T7" s="1206"/>
      <c r="U7" s="1206"/>
      <c r="V7" s="1206"/>
      <c r="W7" s="1206"/>
      <c r="X7" s="1207"/>
      <c r="Y7" s="1272">
        <v>45678</v>
      </c>
      <c r="Z7" s="1273"/>
      <c r="AA7" s="1273"/>
      <c r="AB7" s="1273"/>
      <c r="AC7" s="1273"/>
      <c r="AD7" s="1273"/>
      <c r="AE7" s="1273"/>
      <c r="AF7" s="1274"/>
      <c r="AG7" s="103"/>
      <c r="AX7" s="451" t="s">
        <v>360</v>
      </c>
      <c r="AY7" s="337"/>
      <c r="AZ7" s="451"/>
      <c r="BA7" s="337"/>
    </row>
    <row r="8" spans="1:53" ht="28.5" customHeight="1" thickBot="1">
      <c r="A8" s="1206" t="s">
        <v>111</v>
      </c>
      <c r="B8" s="1206"/>
      <c r="C8" s="1206"/>
      <c r="D8" s="1206"/>
      <c r="E8" s="1206"/>
      <c r="F8" s="1206"/>
      <c r="G8" s="1206"/>
      <c r="H8" s="1207"/>
      <c r="I8" s="1181">
        <v>0.58333333333333337</v>
      </c>
      <c r="J8" s="1221"/>
      <c r="K8" s="1221"/>
      <c r="L8" s="1221"/>
      <c r="M8" s="1221"/>
      <c r="N8" s="1221"/>
      <c r="O8" s="1221"/>
      <c r="P8" s="1221"/>
      <c r="Q8" s="1221"/>
      <c r="R8" s="1182"/>
      <c r="S8" s="1205" t="s">
        <v>112</v>
      </c>
      <c r="T8" s="1206"/>
      <c r="U8" s="1206"/>
      <c r="V8" s="1206"/>
      <c r="W8" s="1206"/>
      <c r="X8" s="1207"/>
      <c r="Y8" s="1202">
        <f>IF(ISBLANK(T52),"",T52)</f>
        <v>0.60555555555555551</v>
      </c>
      <c r="Z8" s="1203"/>
      <c r="AA8" s="1203"/>
      <c r="AB8" s="1203"/>
      <c r="AC8" s="1203"/>
      <c r="AD8" s="1203"/>
      <c r="AE8" s="1203"/>
      <c r="AF8" s="1204"/>
      <c r="AG8" s="103"/>
      <c r="AI8" s="597"/>
      <c r="AY8" s="337"/>
      <c r="AZ8" s="337"/>
      <c r="BA8" s="337"/>
    </row>
    <row r="9" spans="1:53" ht="28.5" customHeight="1" thickBot="1">
      <c r="A9" s="1259" t="s">
        <v>35</v>
      </c>
      <c r="B9" s="1259"/>
      <c r="C9" s="1259"/>
      <c r="D9" s="1259"/>
      <c r="E9" s="1259"/>
      <c r="F9" s="1259"/>
      <c r="G9" s="1259"/>
      <c r="H9" s="1260"/>
      <c r="I9" s="1181">
        <v>0.60763888888888884</v>
      </c>
      <c r="J9" s="1221"/>
      <c r="K9" s="1221"/>
      <c r="L9" s="1221"/>
      <c r="M9" s="1221"/>
      <c r="N9" s="1221"/>
      <c r="O9" s="1221"/>
      <c r="P9" s="1221"/>
      <c r="Q9" s="1221"/>
      <c r="R9" s="1182"/>
      <c r="S9" s="1205" t="s">
        <v>36</v>
      </c>
      <c r="T9" s="1206"/>
      <c r="U9" s="1206"/>
      <c r="V9" s="1206"/>
      <c r="W9" s="1206"/>
      <c r="X9" s="1207"/>
      <c r="Y9" s="1202">
        <f>IF(ISBLANK(AD152),"",AD152)</f>
        <v>0.62986111111111109</v>
      </c>
      <c r="Z9" s="1203"/>
      <c r="AA9" s="1203"/>
      <c r="AB9" s="1203"/>
      <c r="AC9" s="1203"/>
      <c r="AD9" s="1203"/>
      <c r="AE9" s="1203"/>
      <c r="AF9" s="1204"/>
      <c r="AG9" s="104"/>
      <c r="AX9" s="451" t="s">
        <v>305</v>
      </c>
      <c r="AY9" s="337"/>
      <c r="AZ9" s="337"/>
      <c r="BA9" s="337"/>
    </row>
    <row r="10" spans="1:53" ht="18" customHeight="1">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X10" s="451" t="s">
        <v>1153</v>
      </c>
      <c r="AY10" s="337"/>
      <c r="AZ10" s="337"/>
      <c r="BA10" s="337"/>
    </row>
    <row r="11" spans="1:53" ht="21" customHeight="1" thickBot="1">
      <c r="A11" s="1261" t="s">
        <v>38</v>
      </c>
      <c r="B11" s="1261"/>
      <c r="C11" s="1261"/>
      <c r="D11" s="1261"/>
      <c r="E11" s="1261"/>
      <c r="F11" s="1261"/>
      <c r="G11" s="1261"/>
      <c r="H11" s="1261"/>
      <c r="I11" s="1261"/>
      <c r="J11" s="1261"/>
      <c r="K11" s="1261"/>
      <c r="L11" s="1261"/>
      <c r="M11" s="1261"/>
      <c r="N11" s="1261"/>
      <c r="O11" s="1261"/>
      <c r="P11" s="1261"/>
      <c r="Q11" s="1261"/>
      <c r="R11" s="1261"/>
      <c r="S11" s="1261"/>
      <c r="T11" s="1261"/>
      <c r="U11" s="1261"/>
      <c r="V11" s="1261"/>
      <c r="W11" s="1261"/>
      <c r="X11" s="1261"/>
      <c r="Y11" s="1261"/>
      <c r="Z11" s="1261"/>
      <c r="AA11" s="1261"/>
      <c r="AB11" s="1261"/>
      <c r="AC11" s="1261"/>
      <c r="AD11" s="1261"/>
      <c r="AE11" s="1261"/>
      <c r="AF11" s="1261"/>
      <c r="AG11" s="1262"/>
      <c r="AY11" s="337"/>
      <c r="AZ11" s="337"/>
      <c r="BA11" s="337"/>
    </row>
    <row r="12" spans="1:53" ht="29.25" customHeight="1" thickBot="1">
      <c r="A12" s="1209" t="s">
        <v>88</v>
      </c>
      <c r="B12" s="1209"/>
      <c r="C12" s="1209"/>
      <c r="D12" s="1222" t="s">
        <v>385</v>
      </c>
      <c r="E12" s="1222"/>
      <c r="F12" s="1222"/>
      <c r="G12" s="1222"/>
      <c r="H12" s="1222"/>
      <c r="I12" s="1222"/>
      <c r="J12" s="1222"/>
      <c r="K12" s="1222"/>
      <c r="L12" s="1222"/>
      <c r="M12" s="1209" t="s">
        <v>17</v>
      </c>
      <c r="N12" s="1209"/>
      <c r="O12" s="1209"/>
      <c r="P12" s="1263" t="s">
        <v>1554</v>
      </c>
      <c r="Q12" s="1263"/>
      <c r="R12" s="1263"/>
      <c r="S12" s="1263"/>
      <c r="T12" s="1263"/>
      <c r="U12" s="1263"/>
      <c r="V12" s="1263"/>
      <c r="W12" s="1263"/>
      <c r="X12" s="1219" t="s">
        <v>89</v>
      </c>
      <c r="Y12" s="1087"/>
      <c r="Z12" s="1220"/>
      <c r="AA12" s="1264" t="s">
        <v>1546</v>
      </c>
      <c r="AB12" s="1265"/>
      <c r="AC12" s="1265"/>
      <c r="AD12" s="1265"/>
      <c r="AE12" s="1265"/>
      <c r="AF12" s="1265"/>
      <c r="AG12" s="1266"/>
      <c r="AY12" s="337"/>
      <c r="AZ12" s="337"/>
      <c r="BA12" s="337"/>
    </row>
    <row r="13" spans="1:53" ht="29.25" customHeight="1" thickBot="1">
      <c r="A13" s="1209" t="s">
        <v>1461</v>
      </c>
      <c r="B13" s="1209"/>
      <c r="C13" s="1209"/>
      <c r="D13" s="1222" t="s">
        <v>1547</v>
      </c>
      <c r="E13" s="1222"/>
      <c r="F13" s="1222"/>
      <c r="G13" s="1222"/>
      <c r="H13" s="1222"/>
      <c r="I13" s="1222"/>
      <c r="J13" s="1222"/>
      <c r="K13" s="1222"/>
      <c r="L13" s="1222"/>
      <c r="M13" s="1209" t="s">
        <v>1460</v>
      </c>
      <c r="N13" s="1209"/>
      <c r="O13" s="1209"/>
      <c r="P13" s="1222" t="s">
        <v>1548</v>
      </c>
      <c r="Q13" s="1222"/>
      <c r="R13" s="1222"/>
      <c r="S13" s="1222"/>
      <c r="T13" s="1222"/>
      <c r="U13" s="1222"/>
      <c r="V13" s="1222"/>
      <c r="W13" s="1222"/>
      <c r="X13" s="1109" t="s">
        <v>1008</v>
      </c>
      <c r="Y13" s="1215"/>
      <c r="Z13" s="1000"/>
      <c r="AA13" s="1216" t="s">
        <v>1034</v>
      </c>
      <c r="AB13" s="1217"/>
      <c r="AC13" s="1217"/>
      <c r="AD13" s="1217"/>
      <c r="AE13" s="1217"/>
      <c r="AF13" s="1217"/>
      <c r="AG13" s="1218"/>
    </row>
    <row r="14" spans="1:53" ht="20.25" customHeight="1" thickBot="1">
      <c r="A14" s="1212" t="s">
        <v>39</v>
      </c>
      <c r="B14" s="1212"/>
      <c r="C14" s="1212"/>
      <c r="D14" s="1212"/>
      <c r="E14" s="1212"/>
      <c r="F14" s="1212"/>
      <c r="G14" s="1212"/>
      <c r="H14" s="1212"/>
      <c r="I14" s="1212"/>
      <c r="J14" s="1212"/>
      <c r="K14" s="1212"/>
      <c r="L14" s="1212"/>
      <c r="M14" s="1212"/>
      <c r="N14" s="1212"/>
      <c r="O14" s="1212"/>
      <c r="P14" s="1212"/>
      <c r="Q14" s="1212"/>
      <c r="R14" s="1212"/>
      <c r="S14" s="1212"/>
      <c r="T14" s="1212"/>
      <c r="U14" s="1212"/>
      <c r="V14" s="1212"/>
      <c r="W14" s="1212"/>
      <c r="X14" s="1213"/>
      <c r="Y14" s="1213"/>
      <c r="Z14" s="1213"/>
      <c r="AA14" s="1213"/>
      <c r="AB14" s="1213"/>
      <c r="AC14" s="1213"/>
      <c r="AD14" s="1213"/>
      <c r="AE14" s="1213"/>
      <c r="AF14" s="1213"/>
      <c r="AG14" s="1214"/>
    </row>
    <row r="15" spans="1:53" ht="30" customHeight="1" thickBot="1">
      <c r="A15" s="1210" t="s">
        <v>74</v>
      </c>
      <c r="B15" s="1211"/>
      <c r="C15" s="1211"/>
      <c r="D15" s="1224" t="s">
        <v>1065</v>
      </c>
      <c r="E15" s="1225"/>
      <c r="F15" s="1225"/>
      <c r="G15" s="1225"/>
      <c r="H15" s="1225"/>
      <c r="I15" s="1225"/>
      <c r="J15" s="1225"/>
      <c r="K15" s="1225"/>
      <c r="L15" s="1225"/>
      <c r="M15" s="1226"/>
      <c r="N15" s="1211" t="s">
        <v>13</v>
      </c>
      <c r="O15" s="1211"/>
      <c r="P15" s="1211"/>
      <c r="Q15" s="1224" t="s">
        <v>1549</v>
      </c>
      <c r="R15" s="1225"/>
      <c r="S15" s="1225"/>
      <c r="T15" s="1225"/>
      <c r="U15" s="1225"/>
      <c r="V15" s="1225"/>
      <c r="W15" s="1226"/>
      <c r="X15" s="1211" t="s">
        <v>12</v>
      </c>
      <c r="Y15" s="1211"/>
      <c r="Z15" s="1224" t="s">
        <v>1550</v>
      </c>
      <c r="AA15" s="1225"/>
      <c r="AB15" s="1225"/>
      <c r="AC15" s="1225"/>
      <c r="AD15" s="1225"/>
      <c r="AE15" s="1225"/>
      <c r="AF15" s="1225"/>
      <c r="AG15" s="1226"/>
    </row>
    <row r="16" spans="1:53" ht="30" customHeight="1" thickBot="1">
      <c r="A16" s="1132" t="s">
        <v>29</v>
      </c>
      <c r="B16" s="1223"/>
      <c r="C16" s="1223"/>
      <c r="D16" s="1223"/>
      <c r="E16" s="1275" t="s">
        <v>1552</v>
      </c>
      <c r="F16" s="1276"/>
      <c r="G16" s="1276"/>
      <c r="H16" s="1276"/>
      <c r="I16" s="1276"/>
      <c r="J16" s="1276"/>
      <c r="K16" s="1276"/>
      <c r="L16" s="1276"/>
      <c r="M16" s="1277"/>
      <c r="N16" s="1208" t="s">
        <v>90</v>
      </c>
      <c r="O16" s="1208"/>
      <c r="P16" s="1208"/>
      <c r="Q16" s="1278" t="s">
        <v>1551</v>
      </c>
      <c r="R16" s="1279"/>
      <c r="S16" s="1279"/>
      <c r="T16" s="1279"/>
      <c r="U16" s="1279"/>
      <c r="V16" s="1279"/>
      <c r="W16" s="1280"/>
      <c r="X16" s="1223" t="s">
        <v>14</v>
      </c>
      <c r="Y16" s="1223"/>
      <c r="Z16" s="1224" t="s">
        <v>1553</v>
      </c>
      <c r="AA16" s="1225"/>
      <c r="AB16" s="1225"/>
      <c r="AC16" s="1225"/>
      <c r="AD16" s="1225"/>
      <c r="AE16" s="1225"/>
      <c r="AF16" s="1225"/>
      <c r="AG16" s="1226"/>
    </row>
    <row r="17" spans="1:53" ht="30" customHeight="1" thickBot="1">
      <c r="A17" s="958" t="s">
        <v>1007</v>
      </c>
      <c r="B17" s="958"/>
      <c r="C17" s="958"/>
      <c r="D17" s="959"/>
      <c r="E17" s="1224" t="s">
        <v>1006</v>
      </c>
      <c r="F17" s="1225"/>
      <c r="G17" s="1225"/>
      <c r="H17" s="1225"/>
      <c r="I17" s="1225"/>
      <c r="J17" s="1225"/>
      <c r="K17" s="1225"/>
      <c r="L17" s="1225"/>
      <c r="M17" s="1226"/>
      <c r="N17" s="164"/>
      <c r="O17" s="164"/>
      <c r="P17" s="164"/>
      <c r="Q17" s="164"/>
      <c r="R17" s="164"/>
      <c r="S17" s="164"/>
      <c r="T17" s="164"/>
      <c r="U17" s="164"/>
      <c r="V17" s="164"/>
      <c r="W17" s="164"/>
      <c r="X17" s="164"/>
      <c r="Y17" s="164"/>
      <c r="Z17" s="164"/>
      <c r="AA17" s="164"/>
      <c r="AB17" s="164"/>
      <c r="AC17" s="164"/>
      <c r="AD17" s="164"/>
      <c r="AE17" s="164"/>
      <c r="AF17" s="164"/>
      <c r="AG17" s="164"/>
    </row>
    <row r="18" spans="1:53" ht="18"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BA18" s="3" t="s">
        <v>183</v>
      </c>
    </row>
    <row r="19" spans="1:53" ht="26.25" customHeight="1" thickBot="1">
      <c r="A19" s="1261" t="s">
        <v>91</v>
      </c>
      <c r="B19" s="1261"/>
      <c r="C19" s="1261"/>
      <c r="D19" s="1261"/>
      <c r="E19" s="1261"/>
      <c r="F19" s="1261"/>
      <c r="G19" s="1261"/>
      <c r="H19" s="1261"/>
      <c r="I19" s="1261"/>
      <c r="J19" s="1261"/>
      <c r="K19" s="1261"/>
      <c r="L19" s="1261"/>
      <c r="M19" s="1261"/>
      <c r="N19" s="1261"/>
      <c r="O19" s="1261"/>
      <c r="P19" s="1261"/>
      <c r="Q19" s="1261"/>
      <c r="R19" s="1261"/>
      <c r="S19" s="1261"/>
      <c r="T19" s="1261"/>
      <c r="U19" s="1261"/>
      <c r="V19" s="1261"/>
      <c r="W19" s="1261"/>
      <c r="X19" s="1261"/>
      <c r="Y19" s="1261"/>
      <c r="Z19" s="1261"/>
      <c r="AA19" s="1261"/>
      <c r="AB19" s="1261"/>
      <c r="AC19" s="1261"/>
      <c r="AD19" s="1261"/>
      <c r="AE19" s="1261"/>
      <c r="AF19" s="1261"/>
      <c r="AG19" s="1261"/>
      <c r="AH19" s="1262"/>
      <c r="AX19" s="452">
        <f>+IF(MID(AE20,5,1)="","--",1)</f>
        <v>1</v>
      </c>
      <c r="AY19" s="107">
        <f>+IF(MID(AE20,6,1)="","--",1)</f>
        <v>1</v>
      </c>
      <c r="AZ19" s="107">
        <f>+IF(MID(AE20,7,1)="","--",1)</f>
        <v>1</v>
      </c>
      <c r="BA19" s="107">
        <f>+COUNT(AH20:AL20)</f>
        <v>2</v>
      </c>
    </row>
    <row r="20" spans="1:53" ht="30" customHeight="1" thickBot="1">
      <c r="A20" s="1281" t="s">
        <v>1044</v>
      </c>
      <c r="B20" s="1087"/>
      <c r="C20" s="1087"/>
      <c r="D20" s="1088"/>
      <c r="E20" s="1267">
        <v>0</v>
      </c>
      <c r="F20" s="1268"/>
      <c r="G20" s="1268"/>
      <c r="H20" s="1269"/>
      <c r="I20" s="91" t="s">
        <v>0</v>
      </c>
      <c r="J20" s="1109" t="s">
        <v>50</v>
      </c>
      <c r="K20" s="1000"/>
      <c r="L20" s="1270">
        <v>200</v>
      </c>
      <c r="M20" s="1271"/>
      <c r="N20" s="215" t="str">
        <f>IF(ISBLANK(I20),"",I20)</f>
        <v>g</v>
      </c>
      <c r="O20" s="1219" t="s">
        <v>1045</v>
      </c>
      <c r="P20" s="1087"/>
      <c r="Q20" s="1087"/>
      <c r="R20" s="1088"/>
      <c r="S20" s="1199">
        <v>0.01</v>
      </c>
      <c r="T20" s="1200"/>
      <c r="U20" s="1201"/>
      <c r="V20" s="171" t="str">
        <f>IF(ISBLANK(I20),"",I20)</f>
        <v>g</v>
      </c>
      <c r="W20" s="1215"/>
      <c r="X20" s="1000"/>
      <c r="Y20" s="1015">
        <v>40</v>
      </c>
      <c r="Z20" s="1017"/>
      <c r="AA20" s="215" t="str">
        <f>IF(ISBLANK(I20),"",I20)</f>
        <v>g</v>
      </c>
      <c r="AB20" s="1219" t="s">
        <v>393</v>
      </c>
      <c r="AC20" s="1087"/>
      <c r="AD20" s="1088"/>
      <c r="AE20" s="924">
        <v>1.0000000000000001E-5</v>
      </c>
      <c r="AF20" s="215" t="str">
        <f>IF(ISBLANK(I20),"",I20)</f>
        <v>g</v>
      </c>
      <c r="AG20" s="214"/>
      <c r="AH20" s="229">
        <f>+IF(MID(AE20,3,1)="","--",1)</f>
        <v>1</v>
      </c>
      <c r="AI20" s="106">
        <f>+IF(MID(AE20,4,1)="","--",1)</f>
        <v>1</v>
      </c>
    </row>
    <row r="21" spans="1:53" ht="32.25" customHeight="1" thickBot="1">
      <c r="A21" s="1087" t="s">
        <v>394</v>
      </c>
      <c r="B21" s="1087"/>
      <c r="C21" s="1087"/>
      <c r="D21" s="1087"/>
      <c r="E21" s="1133"/>
      <c r="F21" s="1132"/>
      <c r="G21" s="1122"/>
      <c r="H21" s="1117"/>
      <c r="I21" s="1117"/>
      <c r="J21" s="1117"/>
      <c r="K21" s="1117"/>
      <c r="L21" s="1117"/>
      <c r="M21" s="1118"/>
      <c r="N21" s="1131" t="s">
        <v>395</v>
      </c>
      <c r="O21" s="1087"/>
      <c r="P21" s="1087"/>
      <c r="Q21" s="1087"/>
      <c r="R21" s="1087"/>
      <c r="S21" s="1132"/>
      <c r="T21" s="1015"/>
      <c r="U21" s="1016"/>
      <c r="V21" s="1016"/>
      <c r="W21" s="1016"/>
      <c r="X21" s="1016"/>
      <c r="Y21" s="1016"/>
      <c r="Z21" s="1017"/>
      <c r="AA21" s="964" t="s">
        <v>57</v>
      </c>
      <c r="AB21" s="958"/>
      <c r="AC21" s="958"/>
      <c r="AD21" s="959"/>
      <c r="AE21" s="91"/>
      <c r="AF21" s="215" t="str">
        <f>IF(AE21="N.A.","N.A.",AF20)</f>
        <v>g</v>
      </c>
      <c r="AG21" s="108"/>
    </row>
    <row r="22" spans="1:53" s="28" customFormat="1" ht="12.75" customHeight="1">
      <c r="A22" s="164"/>
      <c r="B22" s="164"/>
      <c r="C22" s="164"/>
      <c r="D22" s="164"/>
      <c r="E22" s="164"/>
      <c r="F22" s="164"/>
      <c r="G22" s="164"/>
      <c r="H22" s="164"/>
      <c r="I22" s="164"/>
      <c r="J22" s="164"/>
      <c r="K22" s="164"/>
      <c r="L22" s="164"/>
      <c r="M22" s="164"/>
      <c r="N22" s="164"/>
      <c r="O22" s="164"/>
      <c r="P22" s="164"/>
      <c r="Q22" s="164"/>
      <c r="R22" s="164"/>
      <c r="S22" s="164"/>
      <c r="T22" s="164"/>
      <c r="U22" s="164"/>
      <c r="V22" s="164"/>
      <c r="W22" s="164"/>
      <c r="X22" s="164"/>
      <c r="Y22" s="164"/>
      <c r="Z22" s="164"/>
      <c r="AA22" s="164"/>
      <c r="AB22" s="164"/>
      <c r="AC22" s="164"/>
      <c r="AD22" s="164"/>
      <c r="AE22" s="164"/>
      <c r="AF22" s="216">
        <f>IF(AE20&gt;=1,0,ABS(LEN(AE20)-2))</f>
        <v>5</v>
      </c>
      <c r="AG22" s="164"/>
      <c r="AK22" s="328"/>
      <c r="AL22" s="328"/>
      <c r="AM22" s="328"/>
      <c r="AN22" s="328"/>
      <c r="AO22" s="328"/>
      <c r="AP22" s="328"/>
      <c r="AQ22" s="328"/>
      <c r="AR22" s="328"/>
      <c r="AS22" s="328"/>
      <c r="AT22" s="328"/>
      <c r="AU22" s="328"/>
      <c r="AX22" s="453"/>
    </row>
    <row r="23" spans="1:53" ht="21.95" customHeight="1">
      <c r="A23" s="1083" t="s">
        <v>31</v>
      </c>
      <c r="B23" s="1083"/>
      <c r="C23" s="1083"/>
      <c r="D23" s="1083"/>
      <c r="E23" s="1083"/>
      <c r="F23" s="1083"/>
      <c r="G23" s="1083"/>
      <c r="H23" s="1083"/>
      <c r="I23" s="1083"/>
      <c r="J23" s="1083"/>
      <c r="K23" s="1083"/>
      <c r="L23" s="1083"/>
      <c r="M23" s="1083"/>
      <c r="N23" s="1083"/>
      <c r="O23" s="1083"/>
      <c r="P23" s="1083"/>
      <c r="Q23" s="1083"/>
      <c r="R23" s="1083"/>
      <c r="S23" s="1083"/>
      <c r="T23" s="1083"/>
      <c r="U23" s="1083"/>
      <c r="V23" s="1083"/>
      <c r="W23" s="1083"/>
      <c r="X23" s="1083"/>
      <c r="Y23" s="1083"/>
      <c r="Z23" s="1083"/>
      <c r="AA23" s="1083"/>
      <c r="AB23" s="1083"/>
      <c r="AC23" s="1083"/>
      <c r="AD23" s="1083"/>
      <c r="AE23" s="1083"/>
      <c r="AF23" s="1083"/>
      <c r="AG23" s="1083"/>
    </row>
    <row r="24" spans="1:53" ht="21.95" customHeight="1">
      <c r="A24" s="1124" t="s">
        <v>62</v>
      </c>
      <c r="B24" s="1125"/>
      <c r="C24" s="1125"/>
      <c r="D24" s="1125"/>
      <c r="E24" s="1125"/>
      <c r="F24" s="1125"/>
      <c r="G24" s="1125"/>
      <c r="H24" s="1125"/>
      <c r="I24" s="1125"/>
      <c r="J24" s="1125"/>
      <c r="K24" s="1125"/>
      <c r="L24" s="1125"/>
      <c r="M24" s="1125"/>
      <c r="N24" s="1125"/>
      <c r="O24" s="1125"/>
      <c r="P24" s="1125"/>
      <c r="Q24" s="1125"/>
      <c r="R24" s="1125"/>
      <c r="S24" s="1125"/>
      <c r="T24" s="1125"/>
      <c r="U24" s="1125"/>
      <c r="V24" s="1125"/>
      <c r="W24" s="1126"/>
      <c r="X24" s="1123" t="s">
        <v>32</v>
      </c>
      <c r="Y24" s="1123"/>
      <c r="Z24" s="1080" t="s">
        <v>33</v>
      </c>
      <c r="AA24" s="1081"/>
      <c r="AB24" s="1081"/>
      <c r="AC24" s="1081"/>
      <c r="AD24" s="1081"/>
      <c r="AE24" s="1081"/>
      <c r="AF24" s="1081"/>
      <c r="AG24" s="1082"/>
      <c r="AH24" s="109"/>
    </row>
    <row r="25" spans="1:53" ht="21.95" customHeight="1" thickBot="1">
      <c r="A25" s="1127"/>
      <c r="B25" s="1128"/>
      <c r="C25" s="1128"/>
      <c r="D25" s="1128"/>
      <c r="E25" s="1128"/>
      <c r="F25" s="1128"/>
      <c r="G25" s="1128"/>
      <c r="H25" s="1128"/>
      <c r="I25" s="1128"/>
      <c r="J25" s="1128"/>
      <c r="K25" s="1128"/>
      <c r="L25" s="1128"/>
      <c r="M25" s="1128"/>
      <c r="N25" s="1128"/>
      <c r="O25" s="1128"/>
      <c r="P25" s="1128"/>
      <c r="Q25" s="1128"/>
      <c r="R25" s="1128"/>
      <c r="S25" s="1128"/>
      <c r="T25" s="1128"/>
      <c r="U25" s="1128"/>
      <c r="V25" s="1128"/>
      <c r="W25" s="1129"/>
      <c r="X25" s="217" t="s">
        <v>58</v>
      </c>
      <c r="Y25" s="217" t="s">
        <v>59</v>
      </c>
      <c r="Z25" s="1080"/>
      <c r="AA25" s="1081"/>
      <c r="AB25" s="1081"/>
      <c r="AC25" s="1081"/>
      <c r="AD25" s="1081"/>
      <c r="AE25" s="1081"/>
      <c r="AF25" s="1081"/>
      <c r="AG25" s="1082"/>
      <c r="AH25" s="28"/>
      <c r="AI25" s="28"/>
      <c r="AJ25" s="28"/>
      <c r="AK25" s="328"/>
      <c r="AL25" s="328"/>
    </row>
    <row r="26" spans="1:53" s="28" customFormat="1" ht="30.75" customHeight="1" thickBot="1">
      <c r="A26" s="1087" t="s">
        <v>60</v>
      </c>
      <c r="B26" s="1087"/>
      <c r="C26" s="1087"/>
      <c r="D26" s="1087"/>
      <c r="E26" s="1087"/>
      <c r="F26" s="1087"/>
      <c r="G26" s="1087"/>
      <c r="H26" s="1087"/>
      <c r="I26" s="1087"/>
      <c r="J26" s="1087"/>
      <c r="K26" s="1087"/>
      <c r="L26" s="1087"/>
      <c r="M26" s="1087"/>
      <c r="N26" s="1087"/>
      <c r="O26" s="1087"/>
      <c r="P26" s="1087"/>
      <c r="Q26" s="1087"/>
      <c r="R26" s="1087"/>
      <c r="S26" s="1087"/>
      <c r="T26" s="1087"/>
      <c r="U26" s="1087"/>
      <c r="V26" s="1087"/>
      <c r="W26" s="1088"/>
      <c r="X26" s="97" t="s">
        <v>316</v>
      </c>
      <c r="Y26" s="97"/>
      <c r="Z26" s="1089"/>
      <c r="AA26" s="1090"/>
      <c r="AB26" s="1090"/>
      <c r="AC26" s="1090"/>
      <c r="AD26" s="1090"/>
      <c r="AE26" s="1090"/>
      <c r="AF26" s="1090"/>
      <c r="AG26" s="1091"/>
      <c r="AI26" s="3"/>
      <c r="AJ26" s="3"/>
      <c r="AK26" s="19"/>
      <c r="AL26" s="19"/>
      <c r="AM26" s="328"/>
      <c r="AN26" s="328"/>
      <c r="AO26" s="328"/>
      <c r="AP26" s="328"/>
      <c r="AQ26" s="328"/>
      <c r="AR26" s="328"/>
      <c r="AS26" s="328"/>
      <c r="AT26" s="328"/>
      <c r="AU26" s="328"/>
      <c r="AX26" s="453"/>
    </row>
    <row r="27" spans="1:53" s="28" customFormat="1" ht="30.75" customHeight="1" thickBot="1">
      <c r="A27" s="1087" t="s">
        <v>64</v>
      </c>
      <c r="B27" s="1087"/>
      <c r="C27" s="1087"/>
      <c r="D27" s="1087"/>
      <c r="E27" s="1087"/>
      <c r="F27" s="1087"/>
      <c r="G27" s="1087"/>
      <c r="H27" s="1087"/>
      <c r="I27" s="1087"/>
      <c r="J27" s="1087"/>
      <c r="K27" s="1087"/>
      <c r="L27" s="1087"/>
      <c r="M27" s="1087"/>
      <c r="N27" s="1087"/>
      <c r="O27" s="1087"/>
      <c r="P27" s="1087"/>
      <c r="Q27" s="1087"/>
      <c r="R27" s="1087"/>
      <c r="S27" s="1087"/>
      <c r="T27" s="1087"/>
      <c r="U27" s="1087"/>
      <c r="V27" s="1087"/>
      <c r="W27" s="1088"/>
      <c r="X27" s="97" t="s">
        <v>316</v>
      </c>
      <c r="Y27" s="97"/>
      <c r="Z27" s="1095"/>
      <c r="AA27" s="1096"/>
      <c r="AB27" s="1096"/>
      <c r="AC27" s="1096"/>
      <c r="AD27" s="1096"/>
      <c r="AE27" s="1096"/>
      <c r="AF27" s="1096"/>
      <c r="AG27" s="1097"/>
      <c r="AK27" s="328"/>
      <c r="AL27" s="328"/>
      <c r="AM27" s="328"/>
      <c r="AN27" s="328"/>
      <c r="AO27" s="328"/>
      <c r="AP27" s="328"/>
      <c r="AQ27" s="328"/>
      <c r="AR27" s="328"/>
      <c r="AS27" s="328"/>
      <c r="AT27" s="328"/>
      <c r="AU27" s="328"/>
      <c r="AX27" s="453"/>
    </row>
    <row r="28" spans="1:53" s="28" customFormat="1" ht="30.75" customHeight="1" thickBot="1">
      <c r="A28" s="1087" t="s">
        <v>61</v>
      </c>
      <c r="B28" s="1087"/>
      <c r="C28" s="1087"/>
      <c r="D28" s="1087"/>
      <c r="E28" s="1087"/>
      <c r="F28" s="1087"/>
      <c r="G28" s="1087"/>
      <c r="H28" s="1087"/>
      <c r="I28" s="1087"/>
      <c r="J28" s="1087"/>
      <c r="K28" s="1087"/>
      <c r="L28" s="1087"/>
      <c r="M28" s="1087"/>
      <c r="N28" s="1087"/>
      <c r="O28" s="1087"/>
      <c r="P28" s="1087"/>
      <c r="Q28" s="1087"/>
      <c r="R28" s="1087"/>
      <c r="S28" s="1087"/>
      <c r="T28" s="1087"/>
      <c r="U28" s="1087"/>
      <c r="V28" s="1087"/>
      <c r="W28" s="1088"/>
      <c r="X28" s="97" t="s">
        <v>316</v>
      </c>
      <c r="Y28" s="97"/>
      <c r="Z28" s="1095"/>
      <c r="AA28" s="1096"/>
      <c r="AB28" s="1096"/>
      <c r="AC28" s="1096"/>
      <c r="AD28" s="1096"/>
      <c r="AE28" s="1096"/>
      <c r="AF28" s="1096"/>
      <c r="AG28" s="1097"/>
      <c r="AK28" s="328"/>
      <c r="AL28" s="328"/>
      <c r="AM28" s="328"/>
      <c r="AN28" s="328"/>
      <c r="AO28" s="328"/>
      <c r="AP28" s="328"/>
      <c r="AQ28" s="328"/>
      <c r="AR28" s="328"/>
      <c r="AS28" s="328"/>
      <c r="AT28" s="328"/>
      <c r="AU28" s="328"/>
      <c r="AX28" s="453"/>
    </row>
    <row r="29" spans="1:53" s="28" customFormat="1" ht="30.75" customHeight="1" thickBot="1">
      <c r="A29" s="1098" t="s">
        <v>195</v>
      </c>
      <c r="B29" s="1098"/>
      <c r="C29" s="1098"/>
      <c r="D29" s="1098"/>
      <c r="E29" s="1098"/>
      <c r="F29" s="1098"/>
      <c r="G29" s="1098"/>
      <c r="H29" s="1098"/>
      <c r="I29" s="1098"/>
      <c r="J29" s="1098"/>
      <c r="K29" s="1098"/>
      <c r="L29" s="1098"/>
      <c r="M29" s="1098"/>
      <c r="N29" s="1098"/>
      <c r="O29" s="1098"/>
      <c r="P29" s="1098"/>
      <c r="Q29" s="1098"/>
      <c r="R29" s="1098"/>
      <c r="S29" s="1098"/>
      <c r="T29" s="1098"/>
      <c r="U29" s="1098"/>
      <c r="V29" s="1098"/>
      <c r="W29" s="1099"/>
      <c r="X29" s="97" t="s">
        <v>316</v>
      </c>
      <c r="Y29" s="97"/>
      <c r="Z29" s="1095"/>
      <c r="AA29" s="1096"/>
      <c r="AB29" s="1096"/>
      <c r="AC29" s="1096"/>
      <c r="AD29" s="1096"/>
      <c r="AE29" s="1096"/>
      <c r="AF29" s="1096"/>
      <c r="AG29" s="1097"/>
      <c r="AK29" s="328"/>
      <c r="AL29" s="328"/>
      <c r="AM29" s="328"/>
      <c r="AN29" s="328"/>
      <c r="AO29" s="328"/>
      <c r="AP29" s="328"/>
      <c r="AQ29" s="328"/>
      <c r="AR29" s="328"/>
      <c r="AS29" s="328"/>
      <c r="AT29" s="328"/>
      <c r="AU29" s="328"/>
      <c r="AX29" s="453"/>
    </row>
    <row r="30" spans="1:53" s="28" customFormat="1" ht="30.75" customHeight="1" thickBot="1">
      <c r="A30" s="1087" t="s">
        <v>149</v>
      </c>
      <c r="B30" s="1087"/>
      <c r="C30" s="1087"/>
      <c r="D30" s="1087"/>
      <c r="E30" s="1087"/>
      <c r="F30" s="1087"/>
      <c r="G30" s="1087"/>
      <c r="H30" s="1087"/>
      <c r="I30" s="1087"/>
      <c r="J30" s="1087"/>
      <c r="K30" s="1087"/>
      <c r="L30" s="1087"/>
      <c r="M30" s="1087"/>
      <c r="N30" s="1087"/>
      <c r="O30" s="1087"/>
      <c r="P30" s="1087"/>
      <c r="Q30" s="1087"/>
      <c r="R30" s="1087"/>
      <c r="S30" s="1087"/>
      <c r="T30" s="1087"/>
      <c r="U30" s="1087"/>
      <c r="V30" s="1087"/>
      <c r="W30" s="1088"/>
      <c r="X30" s="97" t="s">
        <v>316</v>
      </c>
      <c r="Y30" s="97"/>
      <c r="Z30" s="1077"/>
      <c r="AA30" s="1078"/>
      <c r="AB30" s="1078"/>
      <c r="AC30" s="1078"/>
      <c r="AD30" s="1078"/>
      <c r="AE30" s="1078"/>
      <c r="AF30" s="1078"/>
      <c r="AG30" s="1079"/>
      <c r="AK30" s="328"/>
      <c r="AL30" s="328"/>
      <c r="AM30" s="328"/>
      <c r="AN30" s="328"/>
      <c r="AO30" s="328"/>
      <c r="AP30" s="328"/>
      <c r="AQ30" s="328"/>
      <c r="AR30" s="328"/>
      <c r="AS30" s="328"/>
      <c r="AT30" s="328"/>
      <c r="AU30" s="328"/>
      <c r="AX30" s="453"/>
    </row>
    <row r="31" spans="1:53" s="28" customFormat="1" ht="30.75" customHeight="1" thickBot="1">
      <c r="A31" s="1087" t="s">
        <v>63</v>
      </c>
      <c r="B31" s="1087"/>
      <c r="C31" s="1087"/>
      <c r="D31" s="1087"/>
      <c r="E31" s="1087"/>
      <c r="F31" s="1087"/>
      <c r="G31" s="1087"/>
      <c r="H31" s="1087"/>
      <c r="I31" s="1087"/>
      <c r="J31" s="1087"/>
      <c r="K31" s="1087"/>
      <c r="L31" s="1087"/>
      <c r="M31" s="1087"/>
      <c r="N31" s="1087"/>
      <c r="O31" s="1087"/>
      <c r="P31" s="1087"/>
      <c r="Q31" s="1087"/>
      <c r="R31" s="1087"/>
      <c r="S31" s="1087"/>
      <c r="T31" s="1087"/>
      <c r="U31" s="1087"/>
      <c r="V31" s="1087"/>
      <c r="W31" s="1088"/>
      <c r="X31" s="97" t="s">
        <v>316</v>
      </c>
      <c r="Y31" s="97"/>
      <c r="Z31" s="1077"/>
      <c r="AA31" s="1078"/>
      <c r="AB31" s="1078"/>
      <c r="AC31" s="1078"/>
      <c r="AD31" s="1078"/>
      <c r="AE31" s="1078"/>
      <c r="AF31" s="1078"/>
      <c r="AG31" s="1079"/>
      <c r="AK31" s="328"/>
      <c r="AL31" s="328"/>
      <c r="AM31" s="328"/>
      <c r="AN31" s="328"/>
      <c r="AO31" s="328"/>
      <c r="AP31" s="328"/>
      <c r="AQ31" s="328"/>
      <c r="AR31" s="328"/>
      <c r="AS31" s="328"/>
      <c r="AT31" s="328"/>
      <c r="AU31" s="328"/>
      <c r="AX31" s="453"/>
    </row>
    <row r="32" spans="1:53" s="28" customFormat="1" ht="30.75" customHeight="1" thickBot="1">
      <c r="A32" s="1099" t="s">
        <v>196</v>
      </c>
      <c r="B32" s="1103"/>
      <c r="C32" s="1103"/>
      <c r="D32" s="1103"/>
      <c r="E32" s="1103"/>
      <c r="F32" s="1103"/>
      <c r="G32" s="1103"/>
      <c r="H32" s="1103"/>
      <c r="I32" s="1103"/>
      <c r="J32" s="1103"/>
      <c r="K32" s="1103"/>
      <c r="L32" s="1103"/>
      <c r="M32" s="1103"/>
      <c r="N32" s="1103"/>
      <c r="O32" s="1103"/>
      <c r="P32" s="1103"/>
      <c r="Q32" s="1103"/>
      <c r="R32" s="1103"/>
      <c r="S32" s="1103"/>
      <c r="T32" s="1103"/>
      <c r="U32" s="1103"/>
      <c r="V32" s="1103"/>
      <c r="W32" s="1103"/>
      <c r="X32" s="97" t="s">
        <v>316</v>
      </c>
      <c r="Y32" s="97"/>
      <c r="Z32" s="1092"/>
      <c r="AA32" s="1093"/>
      <c r="AB32" s="1093"/>
      <c r="AC32" s="1093"/>
      <c r="AD32" s="1093"/>
      <c r="AE32" s="1093"/>
      <c r="AF32" s="1093"/>
      <c r="AG32" s="1094"/>
      <c r="AK32" s="328"/>
      <c r="AL32" s="328"/>
      <c r="AM32" s="328"/>
      <c r="AN32" s="328"/>
      <c r="AO32" s="328"/>
      <c r="AP32" s="328"/>
      <c r="AQ32" s="328"/>
      <c r="AR32" s="328"/>
      <c r="AS32" s="328"/>
      <c r="AT32" s="328"/>
      <c r="AU32" s="328"/>
      <c r="AX32" s="453"/>
    </row>
    <row r="33" spans="8:51" ht="11.25" customHeight="1"/>
    <row r="34" spans="8:51" ht="21" customHeight="1">
      <c r="I34" s="1100" t="s">
        <v>294</v>
      </c>
      <c r="J34" s="1101"/>
      <c r="K34" s="1101"/>
      <c r="L34" s="1101"/>
      <c r="M34" s="1101"/>
      <c r="N34" s="1101"/>
      <c r="O34" s="1101"/>
      <c r="P34" s="1101"/>
      <c r="Q34" s="1101"/>
      <c r="R34" s="1101"/>
      <c r="S34" s="1101"/>
      <c r="T34" s="1101"/>
      <c r="U34" s="1101"/>
      <c r="V34" s="1101"/>
      <c r="W34" s="1101"/>
      <c r="X34" s="1101"/>
      <c r="Y34" s="1101"/>
      <c r="Z34" s="1101"/>
      <c r="AA34" s="1101"/>
      <c r="AB34" s="1101"/>
      <c r="AC34" s="1101"/>
      <c r="AD34" s="1102"/>
      <c r="AE34" s="21"/>
      <c r="AF34" s="21"/>
      <c r="AG34" s="21"/>
    </row>
    <row r="35" spans="8:51" ht="45.75" customHeight="1" thickBot="1">
      <c r="I35" s="960" t="s">
        <v>15</v>
      </c>
      <c r="J35" s="960"/>
      <c r="K35" s="960"/>
      <c r="L35" s="960"/>
      <c r="M35" s="960"/>
      <c r="N35" s="960"/>
      <c r="O35" s="960" t="s">
        <v>8</v>
      </c>
      <c r="P35" s="960"/>
      <c r="Q35" s="960"/>
      <c r="R35" s="960"/>
      <c r="S35" s="960"/>
      <c r="T35" s="960"/>
      <c r="U35" s="960"/>
      <c r="V35" s="960"/>
      <c r="W35" s="960"/>
      <c r="X35" s="960"/>
      <c r="Y35" s="960"/>
      <c r="Z35" s="960"/>
      <c r="AA35" s="960" t="s">
        <v>154</v>
      </c>
      <c r="AB35" s="960"/>
      <c r="AC35" s="960"/>
      <c r="AD35" s="960"/>
      <c r="AE35" s="99"/>
      <c r="AF35" s="99"/>
      <c r="AG35" s="99"/>
      <c r="AP35" s="411"/>
    </row>
    <row r="36" spans="8:51" ht="30" customHeight="1" thickBot="1">
      <c r="H36" s="337" t="str">
        <f>MID(I36,12,2)</f>
        <v>04</v>
      </c>
      <c r="I36" s="1018" t="s">
        <v>229</v>
      </c>
      <c r="J36" s="1018"/>
      <c r="K36" s="1018"/>
      <c r="L36" s="1018"/>
      <c r="M36" s="1018"/>
      <c r="N36" s="1018"/>
      <c r="O36" s="1104" t="str">
        <f>IF(I36="","",VLOOKUP(I36,AG190:AI202,2,FALSE))</f>
        <v>KIT DE MASAS PATRON E2</v>
      </c>
      <c r="P36" s="1105"/>
      <c r="Q36" s="1105"/>
      <c r="R36" s="1105"/>
      <c r="S36" s="1105"/>
      <c r="T36" s="1105"/>
      <c r="U36" s="1105"/>
      <c r="V36" s="1105"/>
      <c r="W36" s="1105"/>
      <c r="X36" s="1105"/>
      <c r="Y36" s="1105"/>
      <c r="Z36" s="1106"/>
      <c r="AA36" s="1251">
        <f>IF(I36="","",VLOOKUP(I36,'Errores  Patrones'!AB4:AG25,5,FALSE))</f>
        <v>45696</v>
      </c>
      <c r="AB36" s="1252"/>
      <c r="AC36" s="1252"/>
      <c r="AD36" s="1253"/>
      <c r="AE36" s="99" t="str">
        <f ca="1">IF(AA36&lt;TODAY(),"Ojo EQ Vencido","")</f>
        <v/>
      </c>
      <c r="AF36" s="99"/>
      <c r="AG36" s="99"/>
      <c r="AH36" s="99"/>
      <c r="AI36" s="99"/>
      <c r="AJ36" s="99"/>
      <c r="AV36" s="337"/>
      <c r="AW36" s="337"/>
      <c r="AX36" s="454">
        <f ca="1">+TODAY()</f>
        <v>45681</v>
      </c>
      <c r="AY36" s="337"/>
    </row>
    <row r="37" spans="8:51" ht="30" customHeight="1" thickBot="1">
      <c r="H37" s="337" t="str">
        <f>MID(I37,12,2)</f>
        <v/>
      </c>
      <c r="I37" s="1018"/>
      <c r="J37" s="1018"/>
      <c r="K37" s="1018"/>
      <c r="L37" s="1018"/>
      <c r="M37" s="1018"/>
      <c r="N37" s="1018"/>
      <c r="O37" s="1104" t="str">
        <f>IF(I37="","",VLOOKUP(I37,AG190:AI202,2,FALSE))</f>
        <v/>
      </c>
      <c r="P37" s="1105"/>
      <c r="Q37" s="1105"/>
      <c r="R37" s="1105"/>
      <c r="S37" s="1105"/>
      <c r="T37" s="1105"/>
      <c r="U37" s="1105"/>
      <c r="V37" s="1105"/>
      <c r="W37" s="1105"/>
      <c r="X37" s="1105"/>
      <c r="Y37" s="1105"/>
      <c r="Z37" s="1106"/>
      <c r="AA37" s="1084" t="str">
        <f>IF(I37="","",VLOOKUP(I37,'Errores  Patrones'!AB4:AG25,5,FALSE))</f>
        <v/>
      </c>
      <c r="AB37" s="1085"/>
      <c r="AC37" s="1085"/>
      <c r="AD37" s="1086"/>
      <c r="AE37" s="99" t="str">
        <f ca="1">IF(AA37&lt;TODAY(),"Ojo EQ Vencido","")</f>
        <v/>
      </c>
      <c r="AF37" s="99"/>
      <c r="AG37" s="99"/>
      <c r="AH37" s="99"/>
      <c r="AI37" s="99"/>
      <c r="AJ37" s="99"/>
      <c r="AL37" s="101">
        <f>IF(AND(AF20="g",AE20&lt;=0.00001),1,IF(AND(AF20="mg",AE20&lt;=0.01),1,2))</f>
        <v>1</v>
      </c>
      <c r="AV37" s="337"/>
      <c r="AW37" s="337"/>
      <c r="AX37" s="455"/>
      <c r="AY37" s="337"/>
    </row>
    <row r="38" spans="8:51" ht="27.75" customHeight="1" thickBot="1">
      <c r="H38" s="337" t="str">
        <f>MID(I38,12,2)</f>
        <v/>
      </c>
      <c r="I38" s="1018"/>
      <c r="J38" s="1018"/>
      <c r="K38" s="1018"/>
      <c r="L38" s="1018"/>
      <c r="M38" s="1018"/>
      <c r="N38" s="1018"/>
      <c r="O38" s="1104" t="str">
        <f>IF(I38="","",VLOOKUP(I38,AG190:AI202,2,FALSE))</f>
        <v/>
      </c>
      <c r="P38" s="1105"/>
      <c r="Q38" s="1105"/>
      <c r="R38" s="1105"/>
      <c r="S38" s="1105"/>
      <c r="T38" s="1105"/>
      <c r="U38" s="1105"/>
      <c r="V38" s="1105"/>
      <c r="W38" s="1105"/>
      <c r="X38" s="1105"/>
      <c r="Y38" s="1105"/>
      <c r="Z38" s="1106"/>
      <c r="AA38" s="1248" t="str">
        <f>IF(I38="","",VLOOKUP(I38,'Errores  Patrones'!AB4:AG25,5,FALSE))</f>
        <v/>
      </c>
      <c r="AB38" s="1249"/>
      <c r="AC38" s="1249"/>
      <c r="AD38" s="1250"/>
      <c r="AE38" s="99" t="str">
        <f ca="1">IF(AA38&lt;TODAY(),"Ojo EQ Vencido","")</f>
        <v/>
      </c>
      <c r="AF38" s="99"/>
      <c r="AG38" s="99"/>
      <c r="AH38" s="99"/>
      <c r="AI38" s="99"/>
      <c r="AJ38" s="99"/>
      <c r="AP38" s="411"/>
      <c r="AV38" s="337"/>
      <c r="AW38" s="337"/>
      <c r="AY38" s="337"/>
    </row>
    <row r="39" spans="8:51" ht="27" customHeight="1" thickBot="1">
      <c r="H39" s="337" t="str">
        <f>MID(I39,12,2)</f>
        <v/>
      </c>
      <c r="I39" s="1018"/>
      <c r="J39" s="1018"/>
      <c r="K39" s="1018"/>
      <c r="L39" s="1018"/>
      <c r="M39" s="1018"/>
      <c r="N39" s="1018"/>
      <c r="O39" s="1104" t="str">
        <f>IF(I39="","",VLOOKUP(I39,AG190:AI202,2,FALSE))</f>
        <v/>
      </c>
      <c r="P39" s="1105"/>
      <c r="Q39" s="1105"/>
      <c r="R39" s="1105"/>
      <c r="S39" s="1105"/>
      <c r="T39" s="1105"/>
      <c r="U39" s="1105"/>
      <c r="V39" s="1105"/>
      <c r="W39" s="1105"/>
      <c r="X39" s="1105"/>
      <c r="Y39" s="1105"/>
      <c r="Z39" s="1106"/>
      <c r="AA39" s="1248" t="str">
        <f>IF(I39="","",VLOOKUP(I39,'Errores  Patrones'!AB4:AG25,5,FALSE))</f>
        <v/>
      </c>
      <c r="AB39" s="1249"/>
      <c r="AC39" s="1249"/>
      <c r="AD39" s="1250"/>
      <c r="AE39" s="99" t="str">
        <f ca="1">IF(AA39&lt;TODAY(),"Ojo EQ Vencido","")</f>
        <v/>
      </c>
      <c r="AF39" s="99"/>
      <c r="AG39" s="99"/>
      <c r="AH39" s="99"/>
      <c r="AI39" s="99"/>
      <c r="AJ39" s="99"/>
      <c r="AV39" s="337"/>
      <c r="AW39" s="337"/>
      <c r="AY39" s="337"/>
    </row>
    <row r="40" spans="8:51" ht="27" customHeight="1" thickBot="1">
      <c r="H40" s="337" t="str">
        <f>MID(I40,12,2)</f>
        <v/>
      </c>
      <c r="I40" s="1018"/>
      <c r="J40" s="1018"/>
      <c r="K40" s="1018"/>
      <c r="L40" s="1018"/>
      <c r="M40" s="1018"/>
      <c r="N40" s="1018"/>
      <c r="O40" s="1104" t="str">
        <f>IF(I40="","",VLOOKUP(I40,AG190:AI202,2,FALSE))</f>
        <v/>
      </c>
      <c r="P40" s="1105"/>
      <c r="Q40" s="1105"/>
      <c r="R40" s="1105"/>
      <c r="S40" s="1105"/>
      <c r="T40" s="1105"/>
      <c r="U40" s="1105"/>
      <c r="V40" s="1105"/>
      <c r="W40" s="1105"/>
      <c r="X40" s="1105"/>
      <c r="Y40" s="1105"/>
      <c r="Z40" s="1106"/>
      <c r="AA40" s="1248" t="str">
        <f>IF(I40="","",VLOOKUP(I40,'Errores  Patrones'!AB4:AG25,5,FALSE))</f>
        <v/>
      </c>
      <c r="AB40" s="1249"/>
      <c r="AC40" s="1249"/>
      <c r="AD40" s="1250"/>
      <c r="AE40" s="99" t="str">
        <f ca="1">IF(AA40&lt;TODAY(),"Ojo EQ Vencido","")</f>
        <v/>
      </c>
      <c r="AF40" s="99"/>
      <c r="AG40" s="99"/>
      <c r="AH40" s="99"/>
      <c r="AI40" s="99"/>
      <c r="AJ40" s="99"/>
      <c r="AV40" s="337"/>
      <c r="AW40" s="337"/>
      <c r="AY40" s="337"/>
    </row>
    <row r="41" spans="8:51" ht="36.75" customHeight="1">
      <c r="I41" s="1134"/>
      <c r="J41" s="1134"/>
      <c r="K41" s="1134"/>
      <c r="L41" s="1134"/>
      <c r="M41" s="1134"/>
      <c r="N41" s="1134"/>
      <c r="O41" s="1130"/>
      <c r="P41" s="1130"/>
      <c r="Q41" s="1130"/>
      <c r="R41" s="1130"/>
      <c r="S41" s="1130"/>
      <c r="T41" s="1130"/>
      <c r="U41" s="1130"/>
      <c r="V41" s="1130"/>
      <c r="W41" s="1134"/>
      <c r="X41" s="1134"/>
      <c r="Y41" s="1134"/>
      <c r="Z41" s="1134"/>
      <c r="AA41" s="99"/>
      <c r="AB41" s="99"/>
      <c r="AC41" s="99"/>
      <c r="AD41" s="99"/>
      <c r="AE41" s="99"/>
      <c r="AF41" s="99"/>
      <c r="AG41" s="99"/>
      <c r="AH41" s="99"/>
      <c r="AI41" s="99"/>
      <c r="AJ41" s="99"/>
      <c r="AV41" s="337"/>
      <c r="AW41" s="337"/>
      <c r="AY41" s="337"/>
    </row>
    <row r="42" spans="8:51" ht="45" customHeight="1">
      <c r="H42" s="1135" t="s">
        <v>92</v>
      </c>
      <c r="I42" s="1135"/>
      <c r="J42" s="1135"/>
      <c r="K42" s="1135"/>
      <c r="L42" s="1135"/>
      <c r="M42" s="1135"/>
      <c r="N42" s="1135"/>
      <c r="O42" s="1135"/>
      <c r="P42" s="1135"/>
      <c r="Q42" s="1135"/>
      <c r="R42" s="1135"/>
      <c r="S42" s="1135"/>
      <c r="T42" s="1135"/>
      <c r="U42" s="1135"/>
      <c r="V42" s="1135"/>
      <c r="W42" s="1135"/>
      <c r="Y42" s="994" t="s">
        <v>1050</v>
      </c>
      <c r="Z42" s="994"/>
      <c r="AA42" s="994"/>
      <c r="AB42" s="994"/>
      <c r="AC42" s="994"/>
      <c r="AD42" s="994"/>
      <c r="AE42" s="993" t="s">
        <v>1051</v>
      </c>
      <c r="AF42" s="993"/>
      <c r="AG42" s="993"/>
      <c r="AH42" s="993"/>
      <c r="AV42" s="337"/>
      <c r="AW42" s="337"/>
      <c r="AY42" s="337"/>
    </row>
    <row r="43" spans="8:51" ht="30" customHeight="1" thickBot="1">
      <c r="H43" s="952" t="s">
        <v>43</v>
      </c>
      <c r="I43" s="952"/>
      <c r="J43" s="952"/>
      <c r="K43" s="952"/>
      <c r="L43" s="1072" t="s">
        <v>42</v>
      </c>
      <c r="M43" s="1072"/>
      <c r="N43" s="1072"/>
      <c r="O43" s="1072"/>
      <c r="P43" s="1072" t="s">
        <v>97</v>
      </c>
      <c r="Q43" s="1072"/>
      <c r="R43" s="1072"/>
      <c r="S43" s="1072"/>
      <c r="T43" s="1072"/>
      <c r="U43" s="941" t="s">
        <v>147</v>
      </c>
      <c r="V43" s="942"/>
      <c r="W43" s="943"/>
      <c r="Y43" s="598" t="s">
        <v>1242</v>
      </c>
      <c r="Z43" s="599"/>
      <c r="AA43" s="600"/>
      <c r="AB43" s="601"/>
      <c r="AC43" s="575"/>
    </row>
    <row r="44" spans="8:51" ht="30" customHeight="1" thickBot="1">
      <c r="H44" s="952" t="s">
        <v>1011</v>
      </c>
      <c r="I44" s="952"/>
      <c r="J44" s="952"/>
      <c r="K44" s="953"/>
      <c r="L44" s="995">
        <v>24</v>
      </c>
      <c r="M44" s="1003"/>
      <c r="N44" s="1003"/>
      <c r="O44" s="996"/>
      <c r="P44" s="1055">
        <v>54</v>
      </c>
      <c r="Q44" s="1056"/>
      <c r="R44" s="1056"/>
      <c r="S44" s="1056"/>
      <c r="T44" s="1057"/>
      <c r="U44" s="1119">
        <v>902</v>
      </c>
      <c r="V44" s="1120"/>
      <c r="W44" s="1121"/>
      <c r="Y44" s="1019" t="s">
        <v>1241</v>
      </c>
      <c r="Z44" s="1020"/>
      <c r="AA44" s="1019" t="s">
        <v>1239</v>
      </c>
      <c r="AB44" s="1020"/>
      <c r="AC44" s="602" t="s">
        <v>1240</v>
      </c>
    </row>
    <row r="45" spans="8:51" ht="30" customHeight="1" thickBot="1">
      <c r="H45" s="952" t="s">
        <v>1012</v>
      </c>
      <c r="I45" s="952"/>
      <c r="J45" s="952"/>
      <c r="K45" s="953"/>
      <c r="L45" s="995">
        <v>24.4</v>
      </c>
      <c r="M45" s="1003"/>
      <c r="N45" s="1003"/>
      <c r="O45" s="996"/>
      <c r="P45" s="1055">
        <v>56</v>
      </c>
      <c r="Q45" s="1056"/>
      <c r="R45" s="1056"/>
      <c r="S45" s="1056"/>
      <c r="T45" s="1057"/>
      <c r="U45" s="1116">
        <v>902</v>
      </c>
      <c r="V45" s="1117"/>
      <c r="W45" s="1118"/>
      <c r="Y45" s="1019">
        <v>2</v>
      </c>
      <c r="Z45" s="1020"/>
      <c r="AA45" s="1019">
        <v>10</v>
      </c>
      <c r="AB45" s="1020"/>
      <c r="AC45" s="558">
        <v>5</v>
      </c>
      <c r="AF45" s="603"/>
    </row>
    <row r="46" spans="8:51" ht="30" customHeight="1" thickBot="1">
      <c r="H46" s="1005" t="s">
        <v>303</v>
      </c>
      <c r="I46" s="1005"/>
      <c r="J46" s="1005"/>
      <c r="K46" s="1005"/>
      <c r="L46" s="1075"/>
      <c r="M46" s="1075"/>
      <c r="N46" s="1075"/>
      <c r="O46" s="1075"/>
      <c r="P46" s="1075"/>
      <c r="Q46" s="1075"/>
      <c r="R46" s="1075"/>
      <c r="S46" s="1075"/>
      <c r="T46" s="1075"/>
      <c r="U46" s="1075"/>
      <c r="V46" s="1075"/>
      <c r="W46" s="1076"/>
    </row>
    <row r="47" spans="8:51" ht="30" customHeight="1" thickBot="1">
      <c r="H47" s="1139" t="s">
        <v>151</v>
      </c>
      <c r="I47" s="1139"/>
      <c r="J47" s="1139"/>
      <c r="K47" s="1139"/>
      <c r="L47" s="1139"/>
      <c r="M47" s="1139"/>
      <c r="N47" s="1139"/>
      <c r="O47" s="1139"/>
      <c r="P47" s="1139"/>
      <c r="Q47" s="1139"/>
      <c r="R47" s="1139"/>
      <c r="S47" s="1139"/>
      <c r="T47" s="1139"/>
      <c r="U47" s="1140"/>
      <c r="V47" s="1141"/>
      <c r="W47" s="361" t="s">
        <v>360</v>
      </c>
      <c r="X47" s="166"/>
      <c r="Y47" s="166"/>
      <c r="Z47" s="166"/>
      <c r="AA47" s="166"/>
      <c r="AB47" s="166"/>
    </row>
    <row r="48" spans="8:51" ht="30" customHeight="1" thickBot="1">
      <c r="H48" s="1005" t="s">
        <v>168</v>
      </c>
      <c r="I48" s="1005"/>
      <c r="J48" s="1005"/>
      <c r="K48" s="1005"/>
      <c r="L48" s="1005"/>
      <c r="M48" s="1005"/>
      <c r="N48" s="1005"/>
      <c r="O48" s="1005"/>
      <c r="P48" s="1005"/>
      <c r="Q48" s="1005"/>
      <c r="R48" s="1005"/>
      <c r="S48" s="1005"/>
      <c r="T48" s="1006"/>
      <c r="U48" s="1073"/>
      <c r="V48" s="1074"/>
      <c r="W48" s="219" t="s">
        <v>307</v>
      </c>
      <c r="X48" s="166"/>
      <c r="Y48" s="166"/>
      <c r="Z48" s="166"/>
      <c r="AA48" s="166"/>
      <c r="AB48" s="166"/>
    </row>
    <row r="49" spans="1:35" ht="30" customHeight="1">
      <c r="H49" s="1"/>
      <c r="I49" s="1"/>
      <c r="J49" s="1"/>
      <c r="K49" s="1"/>
      <c r="L49" s="1136">
        <f>(MAX(L44:O45)-MIN(L44:O45))</f>
        <v>0.39999999999999858</v>
      </c>
      <c r="M49" s="1136"/>
      <c r="N49" s="1136"/>
      <c r="O49" s="1136"/>
      <c r="P49" s="1136">
        <f>(MAX(O44:R45)-MIN(O44:R45))</f>
        <v>2</v>
      </c>
      <c r="Q49" s="1136"/>
      <c r="R49" s="1136"/>
      <c r="S49" s="1136"/>
      <c r="T49" s="1136"/>
      <c r="U49" s="1137">
        <f>(MAX(T44:W45)-MIN(T44:W45))</f>
        <v>0</v>
      </c>
      <c r="V49" s="1137"/>
      <c r="W49" s="1137"/>
      <c r="X49" s="166"/>
      <c r="Y49" s="166"/>
      <c r="Z49" s="166"/>
      <c r="AA49" s="166"/>
      <c r="AB49" s="166"/>
    </row>
    <row r="50" spans="1:35" ht="30" customHeight="1">
      <c r="I50" s="218"/>
      <c r="J50" s="218"/>
      <c r="K50" s="1110" t="s">
        <v>315</v>
      </c>
      <c r="L50" s="1111"/>
      <c r="M50" s="1111"/>
      <c r="N50" s="1111"/>
      <c r="O50" s="1111"/>
      <c r="P50" s="1111"/>
      <c r="Q50" s="1111"/>
      <c r="R50" s="1111"/>
      <c r="S50" s="1111"/>
      <c r="T50" s="1111"/>
      <c r="U50" s="1111"/>
      <c r="V50" s="1112"/>
      <c r="W50" s="218"/>
      <c r="X50" s="166"/>
      <c r="Y50" s="166"/>
      <c r="Z50" s="1021" t="s">
        <v>108</v>
      </c>
      <c r="AA50" s="1021"/>
      <c r="AB50" s="1021"/>
      <c r="AC50" s="1021"/>
      <c r="AD50" s="1021"/>
      <c r="AE50" s="1021"/>
    </row>
    <row r="51" spans="1:35" ht="30" customHeight="1" thickBot="1">
      <c r="H51" s="165"/>
      <c r="I51" s="165"/>
      <c r="J51" s="165"/>
      <c r="K51" s="1000" t="str">
        <f>+CONCATENATE("Carga aplicada ","(",I20,")")</f>
        <v>Carga aplicada (g)</v>
      </c>
      <c r="L51" s="1001"/>
      <c r="M51" s="1001"/>
      <c r="N51" s="1109"/>
      <c r="O51" s="941" t="s">
        <v>156</v>
      </c>
      <c r="P51" s="942"/>
      <c r="Q51" s="942"/>
      <c r="R51" s="942"/>
      <c r="S51" s="943"/>
      <c r="T51" s="1072" t="s">
        <v>112</v>
      </c>
      <c r="U51" s="1072"/>
      <c r="V51" s="1072"/>
      <c r="W51" s="166"/>
      <c r="X51" s="166"/>
      <c r="Y51" s="166"/>
      <c r="Z51" s="952" t="s">
        <v>82</v>
      </c>
      <c r="AA51" s="952"/>
      <c r="AB51" s="1004" t="str">
        <f>CONCATENATE("Indicación del instrumento"," ","( ",$I$20, "  )" )</f>
        <v>Indicación del instrumento ( g  )</v>
      </c>
      <c r="AC51" s="1004"/>
      <c r="AD51" s="1004"/>
      <c r="AE51" s="1004"/>
    </row>
    <row r="52" spans="1:35" ht="30" customHeight="1" thickBot="1">
      <c r="H52" s="165"/>
      <c r="I52" s="165"/>
      <c r="J52" s="165"/>
      <c r="K52" s="944">
        <v>20</v>
      </c>
      <c r="L52" s="1002"/>
      <c r="M52" s="1002"/>
      <c r="N52" s="945"/>
      <c r="O52" s="995">
        <v>24.2</v>
      </c>
      <c r="P52" s="1003"/>
      <c r="Q52" s="1003"/>
      <c r="R52" s="1003"/>
      <c r="S52" s="996"/>
      <c r="T52" s="1254">
        <v>0.60555555555555551</v>
      </c>
      <c r="U52" s="1255"/>
      <c r="V52" s="1256"/>
      <c r="W52" s="166"/>
      <c r="X52" s="166"/>
      <c r="Y52" s="166"/>
      <c r="Z52" s="959">
        <v>1</v>
      </c>
      <c r="AA52" s="1014"/>
      <c r="AB52" s="978">
        <v>40.000030000000002</v>
      </c>
      <c r="AC52" s="979"/>
      <c r="AD52" s="979"/>
      <c r="AE52" s="980"/>
    </row>
    <row r="53" spans="1:35" ht="30" customHeight="1" thickBot="1">
      <c r="H53" s="165"/>
      <c r="I53" s="165"/>
      <c r="J53" s="165"/>
      <c r="K53" s="3" t="s">
        <v>155</v>
      </c>
      <c r="O53" s="111"/>
      <c r="P53" s="111"/>
      <c r="Q53" s="111"/>
      <c r="R53" s="111"/>
      <c r="S53" s="111"/>
      <c r="T53" s="165"/>
      <c r="U53" s="165"/>
      <c r="V53" s="165"/>
      <c r="W53" s="166"/>
      <c r="X53" s="166"/>
      <c r="Y53" s="166"/>
      <c r="Z53" s="959">
        <v>2</v>
      </c>
      <c r="AA53" s="1014"/>
      <c r="AB53" s="978">
        <v>40.000039999999998</v>
      </c>
      <c r="AC53" s="979"/>
      <c r="AD53" s="979"/>
      <c r="AE53" s="980"/>
    </row>
    <row r="54" spans="1:35" ht="30" customHeight="1" thickBot="1">
      <c r="H54" s="165"/>
      <c r="I54" s="165"/>
      <c r="J54" s="165"/>
      <c r="K54" s="970"/>
      <c r="L54" s="970"/>
      <c r="M54" s="970"/>
      <c r="N54" s="970"/>
      <c r="O54" s="970"/>
      <c r="P54" s="970"/>
      <c r="Q54" s="971"/>
      <c r="R54" s="970"/>
      <c r="S54" s="970"/>
      <c r="T54" s="970"/>
      <c r="V54" s="166"/>
      <c r="W54" s="166"/>
      <c r="X54" s="166"/>
      <c r="Y54" s="166"/>
      <c r="Z54" s="959">
        <v>3</v>
      </c>
      <c r="AA54" s="1014"/>
      <c r="AB54" s="978">
        <v>40.000030000000002</v>
      </c>
      <c r="AC54" s="979"/>
      <c r="AD54" s="979"/>
      <c r="AE54" s="980"/>
    </row>
    <row r="55" spans="1:35" ht="18" customHeight="1">
      <c r="H55" s="165"/>
      <c r="I55" s="165"/>
      <c r="J55" s="165"/>
      <c r="K55" s="165"/>
      <c r="L55" s="165"/>
      <c r="M55" s="165"/>
      <c r="N55" s="165"/>
      <c r="O55" s="165"/>
      <c r="P55" s="165"/>
      <c r="Q55" s="165"/>
      <c r="R55" s="165"/>
      <c r="S55" s="165"/>
      <c r="T55" s="165"/>
      <c r="V55" s="166"/>
      <c r="W55" s="166"/>
      <c r="X55" s="166"/>
      <c r="Y55" s="166"/>
      <c r="Z55" s="166"/>
      <c r="AA55" s="166"/>
      <c r="AB55" s="166"/>
    </row>
    <row r="56" spans="1:35" ht="6.75" customHeight="1">
      <c r="H56" s="165"/>
      <c r="I56" s="165"/>
      <c r="J56" s="165"/>
      <c r="K56" s="165"/>
      <c r="L56" s="165"/>
      <c r="M56" s="165"/>
      <c r="N56" s="165"/>
      <c r="O56" s="165"/>
      <c r="P56" s="165"/>
      <c r="Q56" s="165"/>
      <c r="R56" s="165"/>
      <c r="S56" s="165"/>
      <c r="T56" s="165"/>
      <c r="V56" s="166"/>
      <c r="W56" s="166"/>
      <c r="X56" s="166"/>
      <c r="Y56" s="166"/>
      <c r="Z56" s="166"/>
      <c r="AA56" s="166"/>
      <c r="AB56" s="166"/>
    </row>
    <row r="57" spans="1:35" ht="6" customHeight="1">
      <c r="H57" s="165"/>
      <c r="I57" s="165"/>
      <c r="J57" s="165"/>
      <c r="K57" s="165"/>
      <c r="L57" s="165"/>
      <c r="M57" s="165"/>
      <c r="N57" s="165"/>
      <c r="O57" s="165"/>
      <c r="P57" s="165"/>
      <c r="Q57" s="165"/>
      <c r="R57" s="165"/>
      <c r="S57" s="165"/>
      <c r="T57" s="165"/>
      <c r="V57" s="166"/>
      <c r="W57" s="166"/>
      <c r="X57" s="166"/>
      <c r="Y57" s="166"/>
      <c r="Z57" s="166"/>
      <c r="AA57" s="166"/>
      <c r="AB57" s="166"/>
    </row>
    <row r="58" spans="1:35" ht="6" customHeight="1">
      <c r="G58" s="1138"/>
      <c r="H58" s="1138"/>
      <c r="I58" s="1138"/>
      <c r="J58" s="1138"/>
      <c r="K58" s="1138"/>
      <c r="L58" s="1138"/>
      <c r="M58" s="1138"/>
      <c r="N58" s="1138"/>
      <c r="O58" s="1138"/>
      <c r="P58" s="1138"/>
      <c r="Q58" s="1138"/>
      <c r="R58" s="1138"/>
      <c r="S58" s="1138"/>
      <c r="T58" s="1138"/>
      <c r="U58" s="1138"/>
      <c r="V58" s="1138"/>
      <c r="W58" s="1138"/>
      <c r="X58" s="1138"/>
      <c r="Y58" s="1138"/>
      <c r="Z58" s="1138"/>
      <c r="AA58" s="1138"/>
      <c r="AB58" s="1138"/>
      <c r="AC58" s="1138"/>
    </row>
    <row r="59" spans="1:35" ht="6" customHeight="1">
      <c r="G59" s="1067"/>
      <c r="H59" s="1067"/>
      <c r="I59" s="1067"/>
      <c r="J59" s="1067"/>
      <c r="K59" s="1067"/>
      <c r="L59" s="1067"/>
      <c r="M59" s="1067"/>
      <c r="N59" s="1067"/>
      <c r="O59" s="1067"/>
      <c r="P59" s="1067"/>
      <c r="Q59" s="1067"/>
      <c r="R59" s="1067"/>
      <c r="S59" s="1067"/>
      <c r="T59" s="1067"/>
      <c r="U59" s="1067"/>
      <c r="V59" s="1067"/>
      <c r="W59" s="1138"/>
      <c r="X59" s="1138"/>
      <c r="Y59" s="1138"/>
      <c r="Z59" s="1138"/>
      <c r="AA59" s="1138"/>
      <c r="AB59" s="1138"/>
      <c r="AC59" s="1138"/>
    </row>
    <row r="60" spans="1:35" ht="6" customHeight="1">
      <c r="G60" s="1068"/>
      <c r="H60" s="1068"/>
      <c r="I60" s="1068"/>
      <c r="J60" s="1068"/>
      <c r="K60" s="1068"/>
      <c r="L60" s="1068"/>
      <c r="M60" s="1068"/>
      <c r="N60" s="1069"/>
      <c r="O60" s="1069"/>
      <c r="P60" s="1069"/>
      <c r="Q60" s="1069"/>
      <c r="R60" s="1069"/>
      <c r="S60" s="1069"/>
      <c r="T60" s="1069"/>
      <c r="U60" s="1069"/>
      <c r="V60" s="1069"/>
      <c r="W60" s="1138"/>
      <c r="X60" s="1138"/>
      <c r="Y60" s="1138"/>
      <c r="Z60" s="1138"/>
      <c r="AA60" s="1138"/>
      <c r="AB60" s="1138"/>
      <c r="AC60" s="1138"/>
    </row>
    <row r="61" spans="1:35" ht="6" customHeight="1">
      <c r="J61" s="16"/>
      <c r="K61" s="16"/>
      <c r="L61" s="16"/>
      <c r="M61" s="16"/>
      <c r="N61" s="16"/>
      <c r="O61" s="16"/>
      <c r="P61" s="16"/>
      <c r="Q61" s="16"/>
      <c r="R61" s="16"/>
      <c r="S61" s="16"/>
      <c r="T61" s="16"/>
      <c r="U61" s="16"/>
      <c r="V61" s="16"/>
      <c r="W61" s="16"/>
      <c r="X61" s="16"/>
      <c r="Y61" s="16"/>
      <c r="Z61" s="16"/>
    </row>
    <row r="62" spans="1:35" ht="21.75" customHeight="1">
      <c r="A62" s="1083" t="s">
        <v>93</v>
      </c>
      <c r="B62" s="1083"/>
      <c r="C62" s="1083"/>
      <c r="D62" s="1083"/>
      <c r="E62" s="1083"/>
      <c r="F62" s="1083"/>
      <c r="G62" s="1083"/>
      <c r="H62" s="1083"/>
      <c r="I62" s="1083"/>
      <c r="J62" s="1083"/>
      <c r="K62" s="1083"/>
      <c r="L62" s="1083"/>
      <c r="M62" s="1083"/>
      <c r="N62" s="1083"/>
      <c r="O62" s="1083"/>
      <c r="P62" s="1083"/>
      <c r="Q62" s="1083"/>
      <c r="R62" s="1083"/>
      <c r="S62" s="1083"/>
      <c r="T62" s="1083"/>
      <c r="U62" s="1083"/>
      <c r="V62" s="1083"/>
      <c r="W62" s="1083"/>
      <c r="X62" s="1083"/>
      <c r="Y62" s="1083"/>
      <c r="Z62" s="1083"/>
      <c r="AA62" s="1083"/>
      <c r="AB62" s="1083"/>
      <c r="AC62" s="1083"/>
      <c r="AD62" s="1083"/>
      <c r="AE62" s="1083"/>
      <c r="AF62" s="1083"/>
      <c r="AG62" s="1083"/>
      <c r="AH62" s="1083"/>
    </row>
    <row r="63" spans="1:35" ht="5.25" customHeight="1">
      <c r="A63" s="1130"/>
      <c r="B63" s="1130"/>
      <c r="C63" s="1130"/>
      <c r="D63" s="1130"/>
      <c r="E63" s="1130"/>
      <c r="F63" s="1130"/>
      <c r="G63" s="1130"/>
      <c r="H63" s="1130"/>
      <c r="I63" s="1130"/>
      <c r="J63" s="1130"/>
      <c r="K63" s="1130"/>
      <c r="L63" s="1130"/>
      <c r="M63" s="1130"/>
      <c r="N63" s="1130"/>
      <c r="O63" s="1130"/>
      <c r="P63" s="1130"/>
      <c r="Q63" s="1130"/>
      <c r="R63" s="1130"/>
      <c r="S63" s="1130"/>
      <c r="T63" s="1130"/>
      <c r="U63" s="1130"/>
      <c r="V63" s="1130"/>
      <c r="W63" s="1130"/>
      <c r="X63" s="1130"/>
      <c r="Y63" s="1130"/>
      <c r="Z63" s="1130"/>
      <c r="AA63" s="1130"/>
      <c r="AB63" s="1130"/>
      <c r="AC63" s="1130"/>
      <c r="AD63" s="1130"/>
      <c r="AE63" s="1130"/>
      <c r="AF63" s="1130"/>
      <c r="AG63" s="1130"/>
    </row>
    <row r="64" spans="1:35" ht="15.75" customHeight="1">
      <c r="B64" s="16"/>
      <c r="D64" s="1021" t="s">
        <v>51</v>
      </c>
      <c r="E64" s="1021"/>
      <c r="F64" s="1021"/>
      <c r="G64" s="1021"/>
      <c r="H64" s="1021"/>
      <c r="I64" s="1021"/>
      <c r="J64" s="1021"/>
      <c r="K64" s="1021"/>
      <c r="L64" s="1021"/>
      <c r="M64" s="1021"/>
      <c r="N64" s="1021"/>
      <c r="O64" s="1021"/>
      <c r="P64" s="1021"/>
      <c r="T64" s="1066" t="s">
        <v>95</v>
      </c>
      <c r="U64" s="1066"/>
      <c r="V64" s="1066"/>
      <c r="W64" s="1066"/>
      <c r="X64" s="1066"/>
      <c r="Y64" s="1066"/>
      <c r="Z64" s="1066"/>
      <c r="AA64" s="1066"/>
      <c r="AB64" s="1066"/>
      <c r="AC64" s="1066"/>
      <c r="AD64" s="112"/>
      <c r="AE64" s="113"/>
      <c r="AF64" s="113"/>
      <c r="AG64" s="113"/>
      <c r="AH64" s="113"/>
      <c r="AI64" s="114"/>
    </row>
    <row r="65" spans="1:51" ht="30" customHeight="1">
      <c r="D65" s="958" t="s">
        <v>56</v>
      </c>
      <c r="E65" s="958"/>
      <c r="F65" s="958"/>
      <c r="G65" s="958"/>
      <c r="H65" s="958"/>
      <c r="I65" s="958"/>
      <c r="J65" s="958"/>
      <c r="K65" s="1282">
        <v>20</v>
      </c>
      <c r="L65" s="1283"/>
      <c r="M65" s="1286" t="str">
        <f>IF(ISBLANK(I20),"",I20)</f>
        <v>g</v>
      </c>
      <c r="N65" s="1286"/>
      <c r="O65" s="1070"/>
      <c r="P65" s="1071"/>
      <c r="T65" s="1066"/>
      <c r="U65" s="1066"/>
      <c r="V65" s="1066"/>
      <c r="W65" s="1066"/>
      <c r="X65" s="1066"/>
      <c r="Y65" s="1066"/>
      <c r="Z65" s="1066"/>
      <c r="AA65" s="1066"/>
      <c r="AB65" s="1066"/>
      <c r="AC65" s="1066"/>
      <c r="AD65" s="102"/>
      <c r="AI65" s="116"/>
    </row>
    <row r="66" spans="1:51" ht="7.5" customHeight="1">
      <c r="D66" s="958"/>
      <c r="E66" s="958"/>
      <c r="F66" s="958"/>
      <c r="G66" s="958"/>
      <c r="H66" s="958"/>
      <c r="I66" s="958"/>
      <c r="J66" s="958"/>
      <c r="K66" s="1284"/>
      <c r="L66" s="1285"/>
      <c r="M66" s="1287"/>
      <c r="N66" s="1287"/>
      <c r="O66" s="221"/>
      <c r="P66" s="222"/>
      <c r="T66" s="1066"/>
      <c r="U66" s="1066"/>
      <c r="V66" s="1066"/>
      <c r="W66" s="1066"/>
      <c r="X66" s="1066"/>
      <c r="Y66" s="1066"/>
      <c r="Z66" s="1066"/>
      <c r="AA66" s="1066"/>
      <c r="AB66" s="1066"/>
      <c r="AC66" s="1066"/>
      <c r="AD66" s="102"/>
      <c r="AI66" s="116"/>
    </row>
    <row r="67" spans="1:51" ht="15" customHeight="1">
      <c r="D67" s="972" t="s">
        <v>94</v>
      </c>
      <c r="E67" s="973"/>
      <c r="F67" s="973"/>
      <c r="G67" s="974"/>
      <c r="H67" s="1064" t="str">
        <f>CONCATENATE("Indicación del instrumento","  ","(",$I$20,")  ")</f>
        <v xml:space="preserve">Indicación del instrumento  (g)  </v>
      </c>
      <c r="I67" s="1064"/>
      <c r="J67" s="1064"/>
      <c r="K67" s="1064"/>
      <c r="L67" s="1064"/>
      <c r="M67" s="1064" t="str">
        <f>CONCATENATE("Retorno a Cero "," ","(",$I$20," )")</f>
        <v>Retorno a Cero  (g )</v>
      </c>
      <c r="N67" s="1064"/>
      <c r="O67" s="1064"/>
      <c r="P67" s="1064"/>
      <c r="T67" s="1066"/>
      <c r="U67" s="1066"/>
      <c r="V67" s="1066"/>
      <c r="W67" s="1066"/>
      <c r="X67" s="1066"/>
      <c r="Y67" s="1066"/>
      <c r="Z67" s="1066"/>
      <c r="AA67" s="1066"/>
      <c r="AB67" s="1066"/>
      <c r="AC67" s="1066"/>
      <c r="AD67" s="102"/>
      <c r="AI67" s="116"/>
    </row>
    <row r="68" spans="1:51" ht="18" customHeight="1" thickBot="1">
      <c r="D68" s="975"/>
      <c r="E68" s="976"/>
      <c r="F68" s="976"/>
      <c r="G68" s="977"/>
      <c r="H68" s="1065"/>
      <c r="I68" s="1065"/>
      <c r="J68" s="1065"/>
      <c r="K68" s="1065"/>
      <c r="L68" s="1065"/>
      <c r="M68" s="1065"/>
      <c r="N68" s="1065"/>
      <c r="O68" s="1065"/>
      <c r="P68" s="1065"/>
      <c r="T68" s="112"/>
      <c r="U68" s="113"/>
      <c r="V68" s="113"/>
      <c r="W68" s="113"/>
      <c r="X68" s="113"/>
      <c r="Y68" s="113"/>
      <c r="Z68" s="113"/>
      <c r="AA68" s="113"/>
      <c r="AB68" s="113"/>
      <c r="AC68" s="114"/>
      <c r="AD68" s="102"/>
      <c r="AI68" s="116"/>
      <c r="AL68" s="19" t="s">
        <v>83</v>
      </c>
    </row>
    <row r="69" spans="1:51" ht="30" customHeight="1" thickBot="1">
      <c r="D69" s="959">
        <v>1</v>
      </c>
      <c r="E69" s="1014"/>
      <c r="F69" s="1014"/>
      <c r="G69" s="1014"/>
      <c r="H69" s="950">
        <v>20</v>
      </c>
      <c r="I69" s="950"/>
      <c r="J69" s="950"/>
      <c r="K69" s="950"/>
      <c r="L69" s="951"/>
      <c r="M69" s="946">
        <v>0</v>
      </c>
      <c r="N69" s="947"/>
      <c r="O69" s="947"/>
      <c r="P69" s="948"/>
      <c r="T69" s="115"/>
      <c r="U69" s="169"/>
      <c r="V69" s="169"/>
      <c r="W69" s="169"/>
      <c r="X69" s="169"/>
      <c r="AC69" s="116"/>
      <c r="AD69" s="102"/>
      <c r="AE69" s="1063"/>
      <c r="AF69" s="1063"/>
      <c r="AG69" s="1063"/>
      <c r="AI69" s="116"/>
    </row>
    <row r="70" spans="1:51" ht="30" customHeight="1" thickBot="1">
      <c r="D70" s="959">
        <v>2</v>
      </c>
      <c r="E70" s="1014"/>
      <c r="F70" s="1014"/>
      <c r="G70" s="1014"/>
      <c r="H70" s="950">
        <v>20.00001</v>
      </c>
      <c r="I70" s="950"/>
      <c r="J70" s="950"/>
      <c r="K70" s="950"/>
      <c r="L70" s="951"/>
      <c r="M70" s="946">
        <v>0</v>
      </c>
      <c r="N70" s="947"/>
      <c r="O70" s="947"/>
      <c r="P70" s="948"/>
      <c r="T70" s="115"/>
      <c r="U70" s="169"/>
      <c r="V70" s="169"/>
      <c r="W70" s="169"/>
      <c r="X70" s="169"/>
      <c r="AC70" s="116"/>
      <c r="AD70" s="102"/>
      <c r="AF70" s="348"/>
      <c r="AI70" s="116"/>
    </row>
    <row r="71" spans="1:51" ht="30" customHeight="1" thickBot="1">
      <c r="D71" s="959">
        <v>3</v>
      </c>
      <c r="E71" s="1014"/>
      <c r="F71" s="1014"/>
      <c r="G71" s="1014"/>
      <c r="H71" s="950">
        <v>20.000019999999999</v>
      </c>
      <c r="I71" s="950"/>
      <c r="J71" s="950"/>
      <c r="K71" s="950"/>
      <c r="L71" s="951"/>
      <c r="M71" s="946">
        <v>0</v>
      </c>
      <c r="N71" s="947"/>
      <c r="O71" s="947"/>
      <c r="P71" s="948"/>
      <c r="T71" s="115"/>
      <c r="U71" s="169"/>
      <c r="V71" s="169"/>
      <c r="W71" s="169"/>
      <c r="X71" s="169"/>
      <c r="AC71" s="116"/>
      <c r="AD71" s="102"/>
      <c r="AF71" s="348"/>
      <c r="AI71" s="116"/>
    </row>
    <row r="72" spans="1:51" ht="30" customHeight="1" thickBot="1">
      <c r="D72" s="959">
        <v>4</v>
      </c>
      <c r="E72" s="1014"/>
      <c r="F72" s="1014"/>
      <c r="G72" s="1014"/>
      <c r="H72" s="950">
        <v>20.000019999999999</v>
      </c>
      <c r="I72" s="950"/>
      <c r="J72" s="950"/>
      <c r="K72" s="950"/>
      <c r="L72" s="951"/>
      <c r="M72" s="946">
        <v>0</v>
      </c>
      <c r="N72" s="947"/>
      <c r="O72" s="947"/>
      <c r="P72" s="948"/>
      <c r="T72" s="115"/>
      <c r="U72" s="169"/>
      <c r="V72" s="179"/>
      <c r="W72" s="169"/>
      <c r="X72" s="169"/>
      <c r="Z72" s="944" t="s">
        <v>316</v>
      </c>
      <c r="AA72" s="945"/>
      <c r="AC72" s="116"/>
      <c r="AD72" s="102"/>
      <c r="AE72" s="179"/>
      <c r="AF72" s="1050" t="s">
        <v>1101</v>
      </c>
      <c r="AG72" s="1051"/>
      <c r="AH72" s="1051"/>
      <c r="AI72" s="1052"/>
    </row>
    <row r="73" spans="1:51" ht="30" customHeight="1" thickBot="1">
      <c r="D73" s="958">
        <v>5</v>
      </c>
      <c r="E73" s="958"/>
      <c r="F73" s="958"/>
      <c r="G73" s="959"/>
      <c r="H73" s="950">
        <v>20.00001</v>
      </c>
      <c r="I73" s="950"/>
      <c r="J73" s="950"/>
      <c r="K73" s="950"/>
      <c r="L73" s="951"/>
      <c r="M73" s="946">
        <v>0</v>
      </c>
      <c r="N73" s="947"/>
      <c r="O73" s="947"/>
      <c r="P73" s="948"/>
      <c r="T73" s="115"/>
      <c r="U73" s="169"/>
      <c r="V73" s="169"/>
      <c r="W73" s="169"/>
      <c r="X73" s="169"/>
      <c r="AC73" s="116"/>
      <c r="AD73" s="102"/>
      <c r="AF73" s="348"/>
      <c r="AI73" s="116"/>
    </row>
    <row r="74" spans="1:51" ht="30" customHeight="1" thickBot="1">
      <c r="D74" s="958">
        <v>1</v>
      </c>
      <c r="E74" s="958"/>
      <c r="F74" s="958"/>
      <c r="G74" s="959"/>
      <c r="H74" s="950">
        <v>20</v>
      </c>
      <c r="I74" s="950"/>
      <c r="J74" s="950"/>
      <c r="K74" s="950"/>
      <c r="L74" s="951"/>
      <c r="M74" s="946">
        <v>0</v>
      </c>
      <c r="N74" s="947"/>
      <c r="O74" s="947"/>
      <c r="P74" s="948"/>
      <c r="T74" s="953" t="s">
        <v>304</v>
      </c>
      <c r="U74" s="1043"/>
      <c r="V74" s="1043"/>
      <c r="W74" s="1043"/>
      <c r="X74" s="1043"/>
      <c r="Y74" s="1043"/>
      <c r="Z74" s="1043"/>
      <c r="AA74" s="1043"/>
      <c r="AB74" s="1043"/>
      <c r="AC74" s="1043"/>
      <c r="AD74" s="1043"/>
      <c r="AE74" s="1043"/>
      <c r="AF74" s="1043"/>
      <c r="AG74" s="1043"/>
      <c r="AH74" s="1043"/>
      <c r="AI74" s="1044"/>
    </row>
    <row r="75" spans="1:51" ht="33" customHeight="1">
      <c r="D75" s="1258" t="str">
        <f>CONCATENATE("Dif. Máxima "," ",I20)</f>
        <v>Dif. Máxima  g</v>
      </c>
      <c r="E75" s="1258"/>
      <c r="F75" s="1258"/>
      <c r="G75" s="1258"/>
      <c r="H75" s="1257">
        <f>+IF((MAX(H69:L74)-H69)&gt;ABS(MIN(H69:L74)-H69),(MAX(H69:L74)-H69),ABS(MIN(H69:L74)-H69))</f>
        <v>1.9999999999242846E-5</v>
      </c>
      <c r="I75" s="1257"/>
      <c r="J75" s="1257"/>
      <c r="K75" s="1257"/>
      <c r="L75" s="1257"/>
      <c r="M75" s="925"/>
      <c r="N75" s="925"/>
      <c r="O75" s="925"/>
      <c r="P75" s="925"/>
      <c r="T75" s="863"/>
      <c r="U75" s="863"/>
      <c r="V75" s="863"/>
      <c r="W75" s="863"/>
      <c r="X75" s="863"/>
      <c r="Y75" s="863"/>
      <c r="Z75" s="863"/>
      <c r="AA75" s="863"/>
      <c r="AB75" s="863"/>
      <c r="AC75" s="863"/>
      <c r="AD75" s="212"/>
      <c r="AE75" s="212"/>
      <c r="AF75" s="212"/>
      <c r="AG75" s="212"/>
      <c r="AH75" s="212"/>
      <c r="AI75" s="212"/>
    </row>
    <row r="76" spans="1:51" ht="39.75" customHeight="1">
      <c r="E76" s="957"/>
      <c r="F76" s="957"/>
      <c r="G76" s="957"/>
      <c r="H76" s="957"/>
      <c r="I76" s="957"/>
      <c r="J76" s="957"/>
      <c r="K76" s="957"/>
      <c r="L76" s="957"/>
      <c r="M76" s="957"/>
      <c r="N76" s="957"/>
      <c r="AJ76" s="572" t="s">
        <v>1228</v>
      </c>
      <c r="AK76" s="865"/>
      <c r="AL76" s="1238"/>
      <c r="AM76" s="1238"/>
    </row>
    <row r="77" spans="1:51" ht="42" customHeight="1">
      <c r="E77" s="957"/>
      <c r="F77" s="957"/>
      <c r="G77" s="957"/>
      <c r="H77" s="957"/>
      <c r="I77" s="957"/>
      <c r="J77" s="957"/>
      <c r="K77" s="957"/>
      <c r="L77" s="957"/>
      <c r="M77" s="957"/>
      <c r="N77" s="957"/>
      <c r="P77" s="918"/>
      <c r="AJ77" s="864" t="str">
        <f>IF(OR(AL76=A197,AL76=A198),"Especificacion:(Norma, SOP. Manual fab. etc) ↓","")</f>
        <v/>
      </c>
    </row>
    <row r="78" spans="1:51" ht="34.5" customHeight="1">
      <c r="J78" s="169"/>
      <c r="K78" s="169"/>
      <c r="L78" s="169"/>
      <c r="M78" s="169"/>
      <c r="N78" s="169"/>
      <c r="O78" s="169"/>
      <c r="P78" s="169"/>
      <c r="Q78" s="169"/>
      <c r="R78" s="169"/>
      <c r="S78" s="169"/>
      <c r="T78" s="169"/>
      <c r="U78" s="169"/>
      <c r="V78" s="169"/>
      <c r="W78" s="169"/>
      <c r="X78" s="169"/>
      <c r="Y78" s="169"/>
      <c r="Z78" s="169"/>
      <c r="AJ78" s="1230" t="s">
        <v>1479</v>
      </c>
      <c r="AK78" s="1231"/>
      <c r="AL78" s="1231"/>
      <c r="AM78" s="1232"/>
    </row>
    <row r="79" spans="1:51" ht="42.75" customHeight="1">
      <c r="A79" s="949" t="s">
        <v>1067</v>
      </c>
      <c r="B79" s="949"/>
      <c r="C79" s="949"/>
      <c r="D79" s="949"/>
      <c r="E79" s="949"/>
      <c r="F79" s="949"/>
      <c r="G79" s="949"/>
      <c r="H79" s="949"/>
      <c r="I79" s="949"/>
      <c r="J79" s="949"/>
      <c r="K79" s="949"/>
      <c r="L79" s="949"/>
      <c r="M79" s="949"/>
      <c r="Q79" s="1047" t="s">
        <v>1457</v>
      </c>
      <c r="R79" s="1048"/>
      <c r="S79" s="1048"/>
      <c r="T79" s="1048"/>
      <c r="U79" s="1048"/>
      <c r="V79" s="1048"/>
      <c r="W79" s="1048"/>
      <c r="X79" s="1048"/>
      <c r="Y79" s="1048"/>
      <c r="Z79" s="1048"/>
      <c r="AA79" s="1048"/>
      <c r="AB79" s="1048"/>
      <c r="AC79" s="1048"/>
      <c r="AD79" s="1048"/>
      <c r="AE79" s="1048"/>
      <c r="AF79" s="1048"/>
      <c r="AG79" s="1048"/>
      <c r="AH79" s="1049"/>
      <c r="AI79" s="206"/>
      <c r="AJ79" s="1239" t="str">
        <f>IF($AL$76="Simple","Aceptación simple (ILAC G8), evaluando  los errores de linealidad y repetibilidad, con  ",IF($AL$76="Conservadora","Declaración Binaria con zona de seguridad (ILAC G8),  evaluando  los errores de linealidad y repetibilidad, con zona de seguridad igual a la incertidumbre expandida, ","N.A. No fue requeridad declaracion de conformidad."))</f>
        <v>N.A. No fue requeridad declaracion de conformidad.</v>
      </c>
      <c r="AK79" s="1240"/>
      <c r="AL79" s="1240"/>
      <c r="AM79" s="1241"/>
      <c r="AN79" s="871"/>
      <c r="AO79" s="871"/>
    </row>
    <row r="80" spans="1:51" ht="26.25" customHeight="1">
      <c r="A80" s="1291" t="s">
        <v>52</v>
      </c>
      <c r="B80" s="1291"/>
      <c r="C80" s="1291"/>
      <c r="D80" s="1291"/>
      <c r="E80" s="1291"/>
      <c r="F80" s="1291"/>
      <c r="G80" s="1291"/>
      <c r="H80" s="1291"/>
      <c r="I80" s="1291"/>
      <c r="J80" s="1291"/>
      <c r="K80" s="1291"/>
      <c r="L80" s="1291"/>
      <c r="M80" s="1291"/>
      <c r="P80" s="16"/>
      <c r="Q80" s="872"/>
      <c r="R80" s="873"/>
      <c r="S80" s="873"/>
      <c r="T80" s="873"/>
      <c r="U80" s="873"/>
      <c r="V80" s="873"/>
      <c r="W80" s="873"/>
      <c r="X80" s="873"/>
      <c r="Y80" s="873"/>
      <c r="Z80" s="873"/>
      <c r="AA80" s="873"/>
      <c r="AB80" s="873"/>
      <c r="AC80" s="873"/>
      <c r="AD80" s="873"/>
      <c r="AE80" s="874"/>
      <c r="AF80" s="1242" t="s">
        <v>1009</v>
      </c>
      <c r="AG80" s="1243"/>
      <c r="AH80" s="1244"/>
      <c r="AI80" s="914" t="s">
        <v>1526</v>
      </c>
      <c r="AJ80" s="576" t="str">
        <f>IF($AL$76="Simple","probabilidad de no conformidad menor al 50 %.",IF($AL$76="Conservadora","probabilidad de no conformidad menor al 2,3 %.",""))</f>
        <v/>
      </c>
      <c r="AK80" s="573"/>
      <c r="AL80" s="574"/>
      <c r="AM80" s="575"/>
      <c r="AN80" s="421"/>
      <c r="AO80" s="421"/>
      <c r="AP80" s="421"/>
      <c r="AQ80" s="421"/>
      <c r="AU80" s="939" t="s">
        <v>1138</v>
      </c>
      <c r="AV80" s="939" t="s">
        <v>1139</v>
      </c>
      <c r="AX80" s="3"/>
      <c r="AY80" s="451"/>
    </row>
    <row r="81" spans="1:54" ht="42.75" customHeight="1" thickBot="1">
      <c r="A81" s="952" t="s">
        <v>109</v>
      </c>
      <c r="B81" s="1058" t="str">
        <f>CONCATENATE("Cargas de interes aplicadas"," ","(",$I$20, ")")</f>
        <v>Cargas de interes aplicadas (g)</v>
      </c>
      <c r="C81" s="1058"/>
      <c r="D81" s="1058"/>
      <c r="E81" s="1058"/>
      <c r="F81" s="1058"/>
      <c r="G81" s="1058"/>
      <c r="H81" s="1058"/>
      <c r="I81" s="1058"/>
      <c r="J81" s="1058"/>
      <c r="K81" s="1058"/>
      <c r="L81" s="1058"/>
      <c r="M81" s="1058"/>
      <c r="N81" s="21"/>
      <c r="O81" s="21"/>
      <c r="Q81" s="972" t="s">
        <v>71</v>
      </c>
      <c r="R81" s="974"/>
      <c r="S81" s="823" t="s">
        <v>289</v>
      </c>
      <c r="T81" s="972" t="str">
        <f>CONCATENATE("Valor nominal "," ","( ",$I$20," )")</f>
        <v>Valor nominal  ( g )</v>
      </c>
      <c r="U81" s="973"/>
      <c r="V81" s="974"/>
      <c r="W81" s="823" t="s">
        <v>358</v>
      </c>
      <c r="X81" s="972" t="str">
        <f>CONCATENATE("Indicacion del Instrumento "," ","( ",$I$20," )")</f>
        <v>Indicacion del Instrumento  ( g )</v>
      </c>
      <c r="Y81" s="973"/>
      <c r="Z81" s="973"/>
      <c r="AA81" s="974"/>
      <c r="AB81" s="972" t="str">
        <f>CONCATENATE("Retorno a Cero "," ","( ",$I$20," )")</f>
        <v>Retorno a Cero  ( g )</v>
      </c>
      <c r="AC81" s="973"/>
      <c r="AD81" s="974"/>
      <c r="AE81" s="866" t="s">
        <v>357</v>
      </c>
      <c r="AF81" s="860" t="str">
        <f>AQ85</f>
        <v>Lmin</v>
      </c>
      <c r="AG81" s="860" t="str">
        <f>CONCATENATE(AS85,"",AS86)</f>
        <v>punto medioCarga Obj</v>
      </c>
      <c r="AH81" s="860" t="str">
        <f>AR85</f>
        <v>Lmax</v>
      </c>
      <c r="AI81" s="915" t="s">
        <v>1523</v>
      </c>
      <c r="AJ81" s="838" t="s">
        <v>1223</v>
      </c>
      <c r="AK81" s="838" t="s">
        <v>1224</v>
      </c>
      <c r="AL81" s="839" t="s">
        <v>182</v>
      </c>
      <c r="AM81" s="838" t="s">
        <v>1221</v>
      </c>
      <c r="AN81" s="422"/>
      <c r="AO81" s="423"/>
      <c r="AP81" s="423"/>
      <c r="AQ81" s="423"/>
      <c r="AR81" s="423"/>
      <c r="AS81" s="423"/>
      <c r="AT81" s="424"/>
      <c r="AU81" s="940"/>
      <c r="AV81" s="940"/>
      <c r="AW81" s="19"/>
      <c r="AX81" s="19"/>
      <c r="AY81" s="19"/>
      <c r="BB81" s="451"/>
    </row>
    <row r="82" spans="1:54" ht="37.5" customHeight="1" thickBot="1">
      <c r="A82" s="953"/>
      <c r="B82" s="1055">
        <v>20</v>
      </c>
      <c r="C82" s="1056"/>
      <c r="D82" s="1056"/>
      <c r="E82" s="1056"/>
      <c r="F82" s="1056"/>
      <c r="G82" s="1057"/>
      <c r="H82" s="1055">
        <v>30</v>
      </c>
      <c r="I82" s="1056"/>
      <c r="J82" s="1056"/>
      <c r="K82" s="1056"/>
      <c r="L82" s="1056"/>
      <c r="M82" s="1057"/>
      <c r="N82" s="1053"/>
      <c r="O82" s="1032"/>
      <c r="P82" s="1054"/>
      <c r="Q82" s="953">
        <v>0</v>
      </c>
      <c r="R82" s="1044"/>
      <c r="S82" s="832" t="s">
        <v>360</v>
      </c>
      <c r="T82" s="1045">
        <v>0</v>
      </c>
      <c r="U82" s="1046"/>
      <c r="V82" s="833" t="s">
        <v>1031</v>
      </c>
      <c r="W82" s="197" t="s">
        <v>360</v>
      </c>
      <c r="X82" s="1235">
        <v>0</v>
      </c>
      <c r="Y82" s="1236"/>
      <c r="Z82" s="1236"/>
      <c r="AA82" s="1237"/>
      <c r="AB82" s="1235">
        <v>0</v>
      </c>
      <c r="AC82" s="1236"/>
      <c r="AD82" s="1237"/>
      <c r="AE82" s="861" t="s">
        <v>360</v>
      </c>
      <c r="AF82" s="867" t="s">
        <v>360</v>
      </c>
      <c r="AG82" s="867" t="s">
        <v>360</v>
      </c>
      <c r="AH82" s="867" t="s">
        <v>360</v>
      </c>
      <c r="AI82" s="558" t="str">
        <f>IF(AND(T82&gt;0,T82&lt;1500000000.1,$I$20="mg")," ",IF(AND(T82&gt;0,T82&lt;1500000.1,$I$20="g"),"",IF(AND(T82&gt;0,T82&lt;1500.1,$I$20="Kg"),"","**")))</f>
        <v>**</v>
      </c>
      <c r="AJ82" s="662">
        <f>T82</f>
        <v>0</v>
      </c>
      <c r="AK82" s="571">
        <f>'Estimación de la Incertidumbre'!S40</f>
        <v>2.3459923272814481E-5</v>
      </c>
      <c r="AL82" s="659">
        <f>X82-AJ82</f>
        <v>0</v>
      </c>
      <c r="AM82" s="557" t="str">
        <f>IF(ISBLANK(X82),"",IF($AL$76="simple",IF(AND(ABS(X82-AJ82)&lt;=$G$21,$H$95&lt;=$T$21),"Cumple","No Cumple"),IF($AL$76="Conservadora",IF(AND(ABS(X82-AJ82)+AK82&lt;=$G$21-AK82,$H$95&lt;=$T$21),"Cumple","No Cumple"),"N.A.")))</f>
        <v>N.A.</v>
      </c>
      <c r="AN82" s="422"/>
      <c r="AO82" s="425" t="s">
        <v>1140</v>
      </c>
      <c r="AP82" s="426" t="s">
        <v>1141</v>
      </c>
      <c r="AQ82" s="427"/>
      <c r="AR82" s="427"/>
      <c r="AS82" s="427"/>
      <c r="AT82" s="428"/>
      <c r="AU82" s="429">
        <v>0.1</v>
      </c>
      <c r="AV82" s="425">
        <f>Y20*0.2</f>
        <v>8</v>
      </c>
      <c r="AW82" s="19"/>
      <c r="AX82" s="19"/>
      <c r="AY82" s="19"/>
      <c r="BB82" s="451"/>
    </row>
    <row r="83" spans="1:54" ht="33.75" customHeight="1" thickBot="1">
      <c r="A83" s="952"/>
      <c r="B83" s="960" t="str">
        <f>CONCATENATE("Indicación promedio"," ","(",$I$20,")")</f>
        <v>Indicación promedio (g)</v>
      </c>
      <c r="C83" s="960"/>
      <c r="D83" s="960"/>
      <c r="E83" s="960"/>
      <c r="F83" s="960" t="str">
        <f>CONCATENATE("Retorno a Cero "," ","(",$I$20," )")</f>
        <v>Retorno a Cero  (g )</v>
      </c>
      <c r="G83" s="960"/>
      <c r="H83" s="960" t="str">
        <f>CONCATENATE("Indicación promedio"," ","(",$I$20,")")</f>
        <v>Indicación promedio (g)</v>
      </c>
      <c r="I83" s="960"/>
      <c r="J83" s="960"/>
      <c r="K83" s="960"/>
      <c r="L83" s="960" t="str">
        <f>CONCATENATE("Retorno a Cero "," ","(",$I$20," )")</f>
        <v>Retorno a Cero  (g )</v>
      </c>
      <c r="M83" s="960"/>
      <c r="P83" s="896" t="str">
        <f>IF(OR($H$36=V83,$H$37=V83,$H$38=V83,$H$39=V83,$H$40=V83),"ok","Revisar")</f>
        <v>ok</v>
      </c>
      <c r="Q83" s="961">
        <v>1</v>
      </c>
      <c r="R83" s="962"/>
      <c r="S83" s="834" t="s">
        <v>360</v>
      </c>
      <c r="T83" s="954">
        <v>0.01</v>
      </c>
      <c r="U83" s="955"/>
      <c r="V83" s="835" t="s">
        <v>390</v>
      </c>
      <c r="W83" s="608">
        <f>IF(ISBLANK(AE83),0,Calculos!E19)</f>
        <v>9.9997000000000003E-3</v>
      </c>
      <c r="X83" s="1245"/>
      <c r="Y83" s="1246"/>
      <c r="Z83" s="1246"/>
      <c r="AA83" s="1247"/>
      <c r="AB83" s="1296"/>
      <c r="AC83" s="1296"/>
      <c r="AD83" s="1297"/>
      <c r="AE83" s="836">
        <v>1</v>
      </c>
      <c r="AF83" s="467"/>
      <c r="AG83" s="470"/>
      <c r="AH83" s="464"/>
      <c r="AJ83" s="112"/>
      <c r="AK83" s="577"/>
      <c r="AL83" s="577"/>
      <c r="AM83" s="868"/>
      <c r="AN83" s="422"/>
      <c r="AO83" s="425" t="s">
        <v>1142</v>
      </c>
      <c r="AP83" s="426" t="s">
        <v>1143</v>
      </c>
      <c r="AQ83" s="427"/>
      <c r="AR83" s="427"/>
      <c r="AS83" s="427"/>
      <c r="AT83" s="428"/>
      <c r="AU83" s="430">
        <v>0.05</v>
      </c>
      <c r="AV83" s="425">
        <f>+Y20*0.08</f>
        <v>3.2</v>
      </c>
      <c r="AW83" s="19"/>
      <c r="AX83" s="19"/>
      <c r="AY83" s="19"/>
      <c r="BB83" s="451"/>
    </row>
    <row r="84" spans="1:54" ht="30" customHeight="1" thickBot="1">
      <c r="A84" s="220">
        <v>1</v>
      </c>
      <c r="B84" s="965">
        <v>20</v>
      </c>
      <c r="C84" s="966"/>
      <c r="D84" s="966"/>
      <c r="E84" s="967"/>
      <c r="F84" s="968">
        <v>0</v>
      </c>
      <c r="G84" s="969"/>
      <c r="H84" s="965">
        <v>30.00001</v>
      </c>
      <c r="I84" s="966"/>
      <c r="J84" s="966"/>
      <c r="K84" s="967"/>
      <c r="L84" s="1113">
        <v>0</v>
      </c>
      <c r="M84" s="1115"/>
      <c r="N84" s="166" t="str">
        <f>IF(ISBLANK($B$82),"",IF(ABS($B$82-B84)&lt;(3*AE$20),"","Revisar"))</f>
        <v/>
      </c>
      <c r="O84" s="164" t="str">
        <f>IF(ISBLANK($H$82),"",IF(ABS($H$82-H84)&lt;=(3*$AE$20),"","Revisar"))</f>
        <v/>
      </c>
      <c r="P84" s="896" t="str">
        <f t="shared" ref="P84:P86" si="0">IF(OR($H$36=V84,$H$37=V84,$H$38=V84,$H$39=V84,$H$40=V84),"ok","Revisar")</f>
        <v>ok</v>
      </c>
      <c r="Q84" s="961"/>
      <c r="R84" s="962"/>
      <c r="S84" s="179"/>
      <c r="T84" s="1107"/>
      <c r="U84" s="1108"/>
      <c r="V84" s="226"/>
      <c r="W84" s="608">
        <f>IF(ISBLANK(AE84),0,Calculos!E20)</f>
        <v>0</v>
      </c>
      <c r="X84" s="1245"/>
      <c r="Y84" s="1246"/>
      <c r="Z84" s="1246"/>
      <c r="AA84" s="1247"/>
      <c r="AB84" s="1298"/>
      <c r="AC84" s="1298"/>
      <c r="AD84" s="1299"/>
      <c r="AE84" s="458"/>
      <c r="AF84" s="468"/>
      <c r="AG84" s="471"/>
      <c r="AH84" s="465"/>
      <c r="AJ84" s="102"/>
      <c r="AM84" s="869"/>
      <c r="AN84" s="422"/>
      <c r="AO84" s="431" t="s">
        <v>1148</v>
      </c>
      <c r="AP84" s="432">
        <v>10</v>
      </c>
      <c r="AQ84" s="421"/>
      <c r="AR84" s="421"/>
      <c r="AS84" s="433" t="s">
        <v>1147</v>
      </c>
      <c r="AT84" s="1227" t="s">
        <v>1151</v>
      </c>
      <c r="AU84" s="1227" t="s">
        <v>1149</v>
      </c>
      <c r="AV84" s="981"/>
      <c r="AW84" s="412"/>
      <c r="AX84" s="412"/>
      <c r="AY84" s="412"/>
      <c r="BB84" s="451"/>
    </row>
    <row r="85" spans="1:54" ht="30" customHeight="1" thickBot="1">
      <c r="A85" s="220">
        <v>2</v>
      </c>
      <c r="B85" s="965">
        <v>20.00001</v>
      </c>
      <c r="C85" s="966"/>
      <c r="D85" s="966"/>
      <c r="E85" s="967"/>
      <c r="F85" s="968">
        <v>0</v>
      </c>
      <c r="G85" s="969"/>
      <c r="H85" s="1113">
        <v>30</v>
      </c>
      <c r="I85" s="1114"/>
      <c r="J85" s="1114"/>
      <c r="K85" s="1115"/>
      <c r="L85" s="1113">
        <v>0</v>
      </c>
      <c r="M85" s="1115"/>
      <c r="N85" s="166" t="str">
        <f t="shared" ref="N85:N93" si="1">IF(ISBLANK($B$82),"",IF(ABS($B$82-B85)&lt;(3*AE$20),"","Revisar"))</f>
        <v/>
      </c>
      <c r="O85" s="164" t="str">
        <f>IF(ISBLANK($H$82),"",IF(ABS($H$82-H85)&lt;=(3*$AE$20),"","Revisar"))</f>
        <v/>
      </c>
      <c r="P85" s="896" t="str">
        <f t="shared" si="0"/>
        <v>ok</v>
      </c>
      <c r="Q85" s="961"/>
      <c r="R85" s="962"/>
      <c r="S85" s="179"/>
      <c r="T85" s="1107"/>
      <c r="U85" s="1108"/>
      <c r="V85" s="226"/>
      <c r="W85" s="608">
        <f>IF(ISBLANK(AE85),0,Calculos!E21)</f>
        <v>0</v>
      </c>
      <c r="X85" s="1245"/>
      <c r="Y85" s="1246"/>
      <c r="Z85" s="1246"/>
      <c r="AA85" s="1247"/>
      <c r="AB85" s="1298"/>
      <c r="AC85" s="1298"/>
      <c r="AD85" s="1299"/>
      <c r="AE85" s="458"/>
      <c r="AF85" s="468"/>
      <c r="AG85" s="471"/>
      <c r="AH85" s="465"/>
      <c r="AJ85" s="102"/>
      <c r="AM85" s="869"/>
      <c r="AN85" s="422"/>
      <c r="AO85" s="434" t="s">
        <v>1144</v>
      </c>
      <c r="AP85" s="435">
        <v>0.05</v>
      </c>
      <c r="AQ85" s="436" t="s">
        <v>1145</v>
      </c>
      <c r="AR85" s="436" t="s">
        <v>1146</v>
      </c>
      <c r="AS85" s="437" t="s">
        <v>1150</v>
      </c>
      <c r="AT85" s="1228"/>
      <c r="AU85" s="1228"/>
      <c r="AV85" s="982"/>
      <c r="AW85" s="19"/>
      <c r="AX85" s="19"/>
      <c r="AY85" s="412"/>
      <c r="BB85" s="451"/>
    </row>
    <row r="86" spans="1:54" ht="30" customHeight="1" thickBot="1">
      <c r="A86" s="220">
        <v>3</v>
      </c>
      <c r="B86" s="965">
        <v>20</v>
      </c>
      <c r="C86" s="966"/>
      <c r="D86" s="966"/>
      <c r="E86" s="967"/>
      <c r="F86" s="968">
        <v>0</v>
      </c>
      <c r="G86" s="969"/>
      <c r="H86" s="1113">
        <v>29.99999</v>
      </c>
      <c r="I86" s="1114"/>
      <c r="J86" s="1114"/>
      <c r="K86" s="1115"/>
      <c r="L86" s="1113">
        <v>0</v>
      </c>
      <c r="M86" s="1115"/>
      <c r="N86" s="166" t="str">
        <f t="shared" si="1"/>
        <v/>
      </c>
      <c r="O86" s="164" t="str">
        <f>IF(ISBLANK($H$82),"",IF(ABS($H$82-H86)&lt;=(3*$AE$20),"","Revisar"))</f>
        <v/>
      </c>
      <c r="P86" s="896" t="str">
        <f t="shared" si="0"/>
        <v>ok</v>
      </c>
      <c r="Q86" s="961"/>
      <c r="R86" s="962"/>
      <c r="S86" s="179"/>
      <c r="T86" s="984"/>
      <c r="U86" s="985"/>
      <c r="V86" s="226"/>
      <c r="W86" s="608">
        <f>IF(ISBLANK(AE86),0,Calculos!E22)</f>
        <v>0</v>
      </c>
      <c r="X86" s="1245"/>
      <c r="Y86" s="1246"/>
      <c r="Z86" s="1246"/>
      <c r="AA86" s="1247"/>
      <c r="AB86" s="1300"/>
      <c r="AC86" s="1300"/>
      <c r="AD86" s="1301"/>
      <c r="AE86" s="458"/>
      <c r="AF86" s="468"/>
      <c r="AG86" s="471"/>
      <c r="AH86" s="465"/>
      <c r="AJ86" s="349"/>
      <c r="AK86" s="578"/>
      <c r="AL86" s="578"/>
      <c r="AM86" s="870"/>
      <c r="AN86" s="422"/>
      <c r="AO86" s="436" t="str">
        <f>I20</f>
        <v>g</v>
      </c>
      <c r="AP86" s="436" t="str">
        <f>AO86</f>
        <v>g</v>
      </c>
      <c r="AQ86" s="436" t="str">
        <f>AO86</f>
        <v>g</v>
      </c>
      <c r="AR86" s="436" t="str">
        <f>AO86</f>
        <v>g</v>
      </c>
      <c r="AS86" s="438" t="s">
        <v>1152</v>
      </c>
      <c r="AT86" s="1229"/>
      <c r="AU86" s="1229"/>
      <c r="AV86" s="983"/>
      <c r="AW86" s="412"/>
      <c r="AX86" s="412"/>
      <c r="AY86" s="412"/>
      <c r="BB86" s="451"/>
    </row>
    <row r="87" spans="1:54" ht="30" customHeight="1" thickBot="1">
      <c r="A87" s="220">
        <v>4</v>
      </c>
      <c r="B87" s="965">
        <v>20.00001</v>
      </c>
      <c r="C87" s="966"/>
      <c r="D87" s="966"/>
      <c r="E87" s="967"/>
      <c r="F87" s="968">
        <v>0</v>
      </c>
      <c r="G87" s="969"/>
      <c r="H87" s="1113">
        <v>30.00001</v>
      </c>
      <c r="I87" s="1114"/>
      <c r="J87" s="1114"/>
      <c r="K87" s="1115"/>
      <c r="L87" s="1113">
        <v>0</v>
      </c>
      <c r="M87" s="1115"/>
      <c r="N87" s="166" t="str">
        <f t="shared" si="1"/>
        <v/>
      </c>
      <c r="O87" s="164" t="str">
        <f>IF(ISBLANK($H$82),"",IF(ABS($H$82-H87)&lt;=(3*$AE$20),"","Revisar"))</f>
        <v/>
      </c>
      <c r="P87" s="896"/>
      <c r="Q87" s="963"/>
      <c r="R87" s="964"/>
      <c r="S87" s="223" t="s">
        <v>295</v>
      </c>
      <c r="T87" s="1233">
        <f>IF(COUNT(T83:U86)=0,"",T83*AE83+T84*AE84+T85*AE85+T86*AE86)</f>
        <v>0.01</v>
      </c>
      <c r="U87" s="1234"/>
      <c r="V87" s="224"/>
      <c r="W87" s="926">
        <f>IF(COUNT(W83:W86)=0,"",W83+W84+W85+W86)</f>
        <v>9.9997000000000003E-3</v>
      </c>
      <c r="X87" s="1015">
        <v>0.01</v>
      </c>
      <c r="Y87" s="1016"/>
      <c r="Z87" s="1016"/>
      <c r="AA87" s="1017"/>
      <c r="AB87" s="1015">
        <v>0</v>
      </c>
      <c r="AC87" s="1016"/>
      <c r="AD87" s="1017"/>
      <c r="AE87" s="459"/>
      <c r="AF87" s="831">
        <f>AQ87</f>
        <v>9.4999999999999998E-3</v>
      </c>
      <c r="AG87" s="584">
        <f>AS87</f>
        <v>0.01</v>
      </c>
      <c r="AH87" s="830">
        <f>AR87</f>
        <v>1.0500000000000001E-2</v>
      </c>
      <c r="AI87" s="558" t="str">
        <f>IF(AND(T87&gt;0,T87&lt;1500000000.1,$I$20="mg")," ",IF(AND(T87&gt;0,T87&lt;1500000.1,$I$20="g"),"",IF(AND(T87&gt;0,T87&lt;1500.1,$I$20="Kg"),"","***")))</f>
        <v/>
      </c>
      <c r="AJ87" s="662">
        <f>Calculos!H23</f>
        <v>9.9997010564837688E-3</v>
      </c>
      <c r="AK87" s="571">
        <f>'Estimación de la Incertidumbre'!H40</f>
        <v>2.4028590447104866E-5</v>
      </c>
      <c r="AL87" s="659">
        <f>X87-AJ87</f>
        <v>2.9894351623142856E-7</v>
      </c>
      <c r="AM87" s="557" t="str">
        <f>IF(ISBLANK(X87),"",IF($AL$76="simple",IF(AND(ABS(X87-AJ87)&lt;=$G$21,$H$95&lt;=$T$21),"Cumple","No Cumple"),IF($AL$76="Conservadora",IF(AND(ABS(X87-AJ87)+AK87&lt;=$G$21-AK87,$H$95&lt;=$T$21),"Cumple","No Cumple"),"N.A.")))</f>
        <v>N.A.</v>
      </c>
      <c r="AN87" s="439">
        <v>1</v>
      </c>
      <c r="AO87" s="829">
        <f>S20</f>
        <v>0.01</v>
      </c>
      <c r="AP87" s="443">
        <f t="shared" ref="AP87:AP97" si="2">(AO87*$AP$85)</f>
        <v>5.0000000000000001E-4</v>
      </c>
      <c r="AQ87" s="443">
        <f t="shared" ref="AQ87:AQ97" si="3">AO87-(AO87*$AP$85)</f>
        <v>9.4999999999999998E-3</v>
      </c>
      <c r="AR87" s="443">
        <f t="shared" ref="AR87:AR97" si="4">AO87+(AO87*$AP$85)</f>
        <v>1.0500000000000001E-2</v>
      </c>
      <c r="AS87" s="825">
        <f t="shared" ref="AS87:AS96" si="5">AQ87+((AR87-AQ87)/2)</f>
        <v>0.01</v>
      </c>
      <c r="AT87" s="433">
        <f>+AT88</f>
        <v>3.9990000000000006</v>
      </c>
      <c r="AU87" s="441">
        <f>(AO87/$Y$20)*100</f>
        <v>2.5000000000000001E-2</v>
      </c>
      <c r="AV87" s="442"/>
      <c r="AW87" s="19"/>
      <c r="AX87" s="19"/>
      <c r="AY87" s="412"/>
      <c r="BB87" s="451"/>
    </row>
    <row r="88" spans="1:54" ht="30" customHeight="1" thickBot="1">
      <c r="A88" s="220">
        <v>5</v>
      </c>
      <c r="B88" s="965">
        <v>20</v>
      </c>
      <c r="C88" s="966"/>
      <c r="D88" s="966"/>
      <c r="E88" s="967"/>
      <c r="F88" s="968">
        <v>0</v>
      </c>
      <c r="G88" s="969"/>
      <c r="H88" s="1113">
        <v>30</v>
      </c>
      <c r="I88" s="1114"/>
      <c r="J88" s="1114"/>
      <c r="K88" s="1115"/>
      <c r="L88" s="1113">
        <v>0</v>
      </c>
      <c r="M88" s="1115"/>
      <c r="N88" s="166" t="str">
        <f t="shared" si="1"/>
        <v/>
      </c>
      <c r="O88" s="164" t="str">
        <f>IF(ISBLANK($H$82),"",IF(ABS($H$82-H88)&lt;=(3*$AE$20),"","Revisar"))</f>
        <v/>
      </c>
      <c r="P88" s="896" t="str">
        <f>IF(OR($H$36=V88,$H$37=V88,$H$38=V88,$H$39=V88,$H$40=V88),"ok","Revisar")</f>
        <v>ok</v>
      </c>
      <c r="Q88" s="1000">
        <v>2</v>
      </c>
      <c r="R88" s="1001"/>
      <c r="S88" s="179" t="s">
        <v>152</v>
      </c>
      <c r="T88" s="984">
        <v>2</v>
      </c>
      <c r="U88" s="985"/>
      <c r="V88" s="226" t="s">
        <v>390</v>
      </c>
      <c r="W88" s="608">
        <f>IF(ISBLANK(AE88),0,Calculos!E24)</f>
        <v>1.9999899999999999</v>
      </c>
      <c r="X88" s="1036"/>
      <c r="Y88" s="1037"/>
      <c r="Z88" s="1037"/>
      <c r="AA88" s="1038"/>
      <c r="AB88" s="986"/>
      <c r="AC88" s="986"/>
      <c r="AD88" s="987"/>
      <c r="AE88" s="458">
        <v>1</v>
      </c>
      <c r="AF88" s="468"/>
      <c r="AG88" s="471"/>
      <c r="AH88" s="465"/>
      <c r="AJ88" s="765" t="s">
        <v>1455</v>
      </c>
      <c r="AK88" s="766">
        <f>(_xlfn.NORM.DIST($G$21,AL87,AK87/'Certificado de calibración'!R128,1)-_xlfn.NORM.DIST(-$G$21,AL87,AK87/'Certificado de calibración'!R128,1))</f>
        <v>0</v>
      </c>
      <c r="AL88" s="767" t="s">
        <v>1456</v>
      </c>
      <c r="AM88" s="768">
        <f>1-(_xlfn.NORM.DIST($G$21,AL87,AK87/'Certificado de calibración'!R128,1)-_xlfn.NORM.DIST(-$G$21,AL87,AK87/'Certificado de calibración'!R128,1))</f>
        <v>1</v>
      </c>
      <c r="AN88" s="439">
        <v>2</v>
      </c>
      <c r="AO88" s="440">
        <f>AO87+($Y$20-$S$20)/$AP$84</f>
        <v>4.0090000000000003</v>
      </c>
      <c r="AP88" s="433">
        <f t="shared" si="2"/>
        <v>0.20045000000000002</v>
      </c>
      <c r="AQ88" s="440">
        <f t="shared" si="3"/>
        <v>3.8085500000000003</v>
      </c>
      <c r="AR88" s="433">
        <f t="shared" si="4"/>
        <v>4.2094500000000004</v>
      </c>
      <c r="AS88" s="826">
        <f t="shared" si="5"/>
        <v>4.0090000000000003</v>
      </c>
      <c r="AT88" s="433">
        <f t="shared" ref="AT88:AT97" si="6">+AS88-AS87</f>
        <v>3.9990000000000006</v>
      </c>
      <c r="AU88" s="441">
        <f t="shared" ref="AU88:AU97" si="7">(AO88/$Y$20)*100</f>
        <v>10.022500000000001</v>
      </c>
      <c r="AV88" s="425" t="str">
        <f t="shared" ref="AV88:AV97" si="8">IF(AND(AU88-AU87&gt;8,AT88&gt;=$AV$83),"OK","Revisar")</f>
        <v>OK</v>
      </c>
      <c r="AW88" s="19"/>
      <c r="AX88" s="19"/>
      <c r="AY88" s="412"/>
      <c r="BB88" s="451"/>
    </row>
    <row r="89" spans="1:54" ht="30" customHeight="1" thickBot="1">
      <c r="A89" s="220">
        <v>6</v>
      </c>
      <c r="B89" s="997"/>
      <c r="C89" s="998"/>
      <c r="D89" s="998"/>
      <c r="E89" s="999"/>
      <c r="F89" s="995"/>
      <c r="G89" s="996"/>
      <c r="H89" s="997"/>
      <c r="I89" s="998"/>
      <c r="J89" s="998"/>
      <c r="K89" s="999"/>
      <c r="L89" s="1012"/>
      <c r="M89" s="1013"/>
      <c r="N89" s="21" t="str">
        <f t="shared" si="1"/>
        <v>Revisar</v>
      </c>
      <c r="O89" s="350"/>
      <c r="P89" s="896" t="str">
        <f>IF(OR($H$36=V89,$H$37=V89,$H$38=V89,$H$39=V89,$H$40=V89),"ok","Revisar")</f>
        <v>ok</v>
      </c>
      <c r="Q89" s="961"/>
      <c r="R89" s="962"/>
      <c r="S89" s="179" t="s">
        <v>153</v>
      </c>
      <c r="T89" s="984">
        <v>2</v>
      </c>
      <c r="U89" s="985"/>
      <c r="V89" s="226" t="s">
        <v>390</v>
      </c>
      <c r="W89" s="608">
        <f>IF(ISBLANK(AE89),0,Calculos!E25)</f>
        <v>2.0000040000000001</v>
      </c>
      <c r="X89" s="1036"/>
      <c r="Y89" s="1037"/>
      <c r="Z89" s="1037"/>
      <c r="AA89" s="1038"/>
      <c r="AB89" s="988"/>
      <c r="AC89" s="988"/>
      <c r="AD89" s="989"/>
      <c r="AE89" s="458">
        <v>1</v>
      </c>
      <c r="AF89" s="468"/>
      <c r="AG89" s="471"/>
      <c r="AH89" s="465"/>
      <c r="AJ89" s="769"/>
      <c r="AK89" s="770"/>
      <c r="AL89" s="771"/>
      <c r="AM89" s="772"/>
      <c r="AN89" s="439">
        <v>3</v>
      </c>
      <c r="AO89" s="440">
        <f t="shared" ref="AO89:AO97" si="9">AO88+($Y$20-$S$20)/$AP$84</f>
        <v>8.0080000000000009</v>
      </c>
      <c r="AP89" s="433">
        <f t="shared" si="2"/>
        <v>0.40040000000000009</v>
      </c>
      <c r="AQ89" s="440">
        <f t="shared" si="3"/>
        <v>7.6076000000000006</v>
      </c>
      <c r="AR89" s="433">
        <f t="shared" si="4"/>
        <v>8.4084000000000003</v>
      </c>
      <c r="AS89" s="826">
        <f t="shared" si="5"/>
        <v>8.0080000000000009</v>
      </c>
      <c r="AT89" s="433">
        <f t="shared" si="6"/>
        <v>3.9990000000000006</v>
      </c>
      <c r="AU89" s="441">
        <f t="shared" si="7"/>
        <v>20.020000000000003</v>
      </c>
      <c r="AV89" s="425" t="str">
        <f t="shared" si="8"/>
        <v>OK</v>
      </c>
      <c r="AW89" s="19"/>
      <c r="AX89" s="19"/>
      <c r="AY89" s="413"/>
      <c r="BB89" s="451"/>
    </row>
    <row r="90" spans="1:54" ht="30" customHeight="1" thickBot="1">
      <c r="A90" s="220">
        <v>7</v>
      </c>
      <c r="B90" s="997"/>
      <c r="C90" s="998"/>
      <c r="D90" s="998"/>
      <c r="E90" s="999"/>
      <c r="F90" s="995"/>
      <c r="G90" s="996"/>
      <c r="H90" s="997"/>
      <c r="I90" s="998"/>
      <c r="J90" s="998"/>
      <c r="K90" s="999"/>
      <c r="L90" s="1012"/>
      <c r="M90" s="1013"/>
      <c r="N90" s="21" t="str">
        <f t="shared" si="1"/>
        <v>Revisar</v>
      </c>
      <c r="O90" s="21"/>
      <c r="P90" s="896" t="str">
        <f>IF(OR($H$36=V90,$H$37=V90,$H$38=V90,$H$39=V90,$H$40=V90),"ok","Revisar")</f>
        <v>ok</v>
      </c>
      <c r="Q90" s="961"/>
      <c r="R90" s="962"/>
      <c r="S90" s="179"/>
      <c r="T90" s="1012"/>
      <c r="U90" s="1013"/>
      <c r="V90" s="226"/>
      <c r="W90" s="607">
        <f>IF(ISBLANK(AE90),0,Calculos!E26)</f>
        <v>0</v>
      </c>
      <c r="X90" s="1036"/>
      <c r="Y90" s="1037"/>
      <c r="Z90" s="1037"/>
      <c r="AA90" s="1038"/>
      <c r="AB90" s="988"/>
      <c r="AC90" s="988"/>
      <c r="AD90" s="989"/>
      <c r="AE90" s="458"/>
      <c r="AF90" s="468"/>
      <c r="AG90" s="471"/>
      <c r="AH90" s="465"/>
      <c r="AJ90" s="663"/>
      <c r="AL90" s="660"/>
      <c r="AM90" s="579"/>
      <c r="AN90" s="439">
        <v>4</v>
      </c>
      <c r="AO90" s="440">
        <f t="shared" si="9"/>
        <v>12.007000000000001</v>
      </c>
      <c r="AP90" s="433">
        <f t="shared" si="2"/>
        <v>0.60035000000000016</v>
      </c>
      <c r="AQ90" s="440">
        <f t="shared" si="3"/>
        <v>11.406650000000001</v>
      </c>
      <c r="AR90" s="433">
        <f t="shared" si="4"/>
        <v>12.607350000000002</v>
      </c>
      <c r="AS90" s="826">
        <f t="shared" si="5"/>
        <v>12.007000000000001</v>
      </c>
      <c r="AT90" s="433">
        <f t="shared" si="6"/>
        <v>3.9990000000000006</v>
      </c>
      <c r="AU90" s="441">
        <f t="shared" si="7"/>
        <v>30.017500000000002</v>
      </c>
      <c r="AV90" s="425" t="str">
        <f t="shared" si="8"/>
        <v>OK</v>
      </c>
      <c r="AW90" s="19"/>
      <c r="AX90" s="19"/>
      <c r="AY90" s="413"/>
      <c r="BB90" s="451"/>
    </row>
    <row r="91" spans="1:54" ht="30" customHeight="1" thickBot="1">
      <c r="A91" s="220">
        <v>8</v>
      </c>
      <c r="B91" s="997"/>
      <c r="C91" s="998"/>
      <c r="D91" s="998"/>
      <c r="E91" s="999"/>
      <c r="F91" s="995"/>
      <c r="G91" s="996"/>
      <c r="H91" s="997"/>
      <c r="I91" s="998"/>
      <c r="J91" s="998"/>
      <c r="K91" s="999"/>
      <c r="L91" s="1012"/>
      <c r="M91" s="1013"/>
      <c r="N91" s="21" t="str">
        <f t="shared" si="1"/>
        <v>Revisar</v>
      </c>
      <c r="O91" s="21"/>
      <c r="P91" s="896" t="str">
        <f>IF(OR($H$36=V91,$H$37=V91,$H$38=V91,$H$39=V91,$H$40=V91),"ok","Revisar")</f>
        <v>ok</v>
      </c>
      <c r="Q91" s="961"/>
      <c r="R91" s="962"/>
      <c r="S91" s="179"/>
      <c r="T91" s="1012"/>
      <c r="U91" s="1013"/>
      <c r="V91" s="226"/>
      <c r="W91" s="607">
        <f>IF(ISBLANK(AE91),0,Calculos!E27)</f>
        <v>0</v>
      </c>
      <c r="X91" s="1036"/>
      <c r="Y91" s="1037"/>
      <c r="Z91" s="1037"/>
      <c r="AA91" s="1038"/>
      <c r="AB91" s="990"/>
      <c r="AC91" s="990"/>
      <c r="AD91" s="991"/>
      <c r="AE91" s="458"/>
      <c r="AF91" s="468"/>
      <c r="AG91" s="471"/>
      <c r="AH91" s="465"/>
      <c r="AJ91" s="664"/>
      <c r="AK91" s="578"/>
      <c r="AL91" s="661"/>
      <c r="AM91" s="580"/>
      <c r="AN91" s="439">
        <v>5</v>
      </c>
      <c r="AO91" s="440">
        <f t="shared" si="9"/>
        <v>16.006</v>
      </c>
      <c r="AP91" s="433">
        <f t="shared" si="2"/>
        <v>0.80030000000000001</v>
      </c>
      <c r="AQ91" s="440">
        <f t="shared" si="3"/>
        <v>15.2057</v>
      </c>
      <c r="AR91" s="433">
        <f t="shared" si="4"/>
        <v>16.8063</v>
      </c>
      <c r="AS91" s="826">
        <f t="shared" si="5"/>
        <v>16.006</v>
      </c>
      <c r="AT91" s="433">
        <f t="shared" si="6"/>
        <v>3.9989999999999988</v>
      </c>
      <c r="AU91" s="441">
        <f t="shared" si="7"/>
        <v>40.015000000000001</v>
      </c>
      <c r="AV91" s="425" t="str">
        <f t="shared" si="8"/>
        <v>OK</v>
      </c>
      <c r="AW91" s="19"/>
      <c r="AX91" s="19"/>
      <c r="AY91" s="413"/>
      <c r="BB91" s="451"/>
    </row>
    <row r="92" spans="1:54" ht="30" customHeight="1" thickBot="1">
      <c r="A92" s="220">
        <v>9</v>
      </c>
      <c r="B92" s="997"/>
      <c r="C92" s="998"/>
      <c r="D92" s="998"/>
      <c r="E92" s="999"/>
      <c r="F92" s="995"/>
      <c r="G92" s="996"/>
      <c r="H92" s="997"/>
      <c r="I92" s="998"/>
      <c r="J92" s="998"/>
      <c r="K92" s="999"/>
      <c r="L92" s="1012"/>
      <c r="M92" s="1013"/>
      <c r="N92" s="21" t="str">
        <f t="shared" si="1"/>
        <v>Revisar</v>
      </c>
      <c r="O92" s="21"/>
      <c r="P92" s="896"/>
      <c r="Q92" s="963"/>
      <c r="R92" s="964"/>
      <c r="S92" s="223" t="s">
        <v>295</v>
      </c>
      <c r="T92" s="1156">
        <f>IF(COUNT(T88:U91)=0,"",T88*AE88+T89*AE89+T90*AE90+T91*AE91)</f>
        <v>4</v>
      </c>
      <c r="U92" s="1157"/>
      <c r="V92" s="224"/>
      <c r="W92" s="927">
        <f>IF(COUNT(W88:W91)=0,"",W88+W89+W90+W91)</f>
        <v>3.999994</v>
      </c>
      <c r="X92" s="1015">
        <v>4</v>
      </c>
      <c r="Y92" s="1016"/>
      <c r="Z92" s="1016"/>
      <c r="AA92" s="1017"/>
      <c r="AB92" s="1015">
        <v>0</v>
      </c>
      <c r="AC92" s="1016"/>
      <c r="AD92" s="1017"/>
      <c r="AE92" s="459"/>
      <c r="AF92" s="583">
        <f>AQ88</f>
        <v>3.8085500000000003</v>
      </c>
      <c r="AG92" s="586">
        <f>AS88</f>
        <v>4.0090000000000003</v>
      </c>
      <c r="AH92" s="585">
        <f>AR88</f>
        <v>4.2094500000000004</v>
      </c>
      <c r="AI92" s="558" t="str">
        <f>IF(AND(T92&gt;0,T92&lt;1500000000.1,$I$20="mg")," ",IF(AND(T92&gt;0,T92&lt;1500000.1,$I$20="g"),"",IF(AND(T92&gt;0,T92&lt;1500.1,$I$20="Kg"),"","***")))</f>
        <v/>
      </c>
      <c r="AJ92" s="662">
        <f>Calculos!H28</f>
        <v>3.9999944226055519</v>
      </c>
      <c r="AK92" s="569">
        <f>'Estimación de la Incertidumbre'!I40</f>
        <v>4.4398152426525772E-5</v>
      </c>
      <c r="AL92" s="659">
        <f>X92-AJ92</f>
        <v>5.5773944480641546E-6</v>
      </c>
      <c r="AM92" s="557" t="str">
        <f>IF(ISBLANK(X92),"",IF($AL$76="simple",IF(AND(ABS(X92-AJ92)&lt;=$G$21,$H$95&lt;=$T$21),"Cumple","No Cumple"),IF($AL$76="Conservadora",IF(AND(ABS(X92-AJ92)+AK92&lt;=$G$21-AK92,$H$95&lt;=$T$21),"Cumple","No Cumple"),"N.A.")))</f>
        <v>N.A.</v>
      </c>
      <c r="AN92" s="439">
        <v>6</v>
      </c>
      <c r="AO92" s="440">
        <f t="shared" si="9"/>
        <v>20.004999999999999</v>
      </c>
      <c r="AP92" s="433">
        <f t="shared" si="2"/>
        <v>1.0002500000000001</v>
      </c>
      <c r="AQ92" s="440">
        <f t="shared" si="3"/>
        <v>19.004749999999998</v>
      </c>
      <c r="AR92" s="433">
        <f t="shared" si="4"/>
        <v>21.00525</v>
      </c>
      <c r="AS92" s="826">
        <f t="shared" si="5"/>
        <v>20.004999999999999</v>
      </c>
      <c r="AT92" s="433">
        <f t="shared" si="6"/>
        <v>3.9989999999999988</v>
      </c>
      <c r="AU92" s="441">
        <f t="shared" si="7"/>
        <v>50.012499999999996</v>
      </c>
      <c r="AV92" s="425" t="str">
        <f t="shared" si="8"/>
        <v>OK</v>
      </c>
      <c r="AW92" s="19"/>
      <c r="AX92" s="19"/>
      <c r="AY92" s="413"/>
      <c r="BB92" s="451"/>
    </row>
    <row r="93" spans="1:54" ht="30" customHeight="1" thickBot="1">
      <c r="A93" s="220">
        <v>10</v>
      </c>
      <c r="B93" s="997"/>
      <c r="C93" s="998"/>
      <c r="D93" s="998"/>
      <c r="E93" s="999"/>
      <c r="F93" s="995"/>
      <c r="G93" s="996"/>
      <c r="H93" s="997"/>
      <c r="I93" s="998"/>
      <c r="J93" s="998"/>
      <c r="K93" s="999"/>
      <c r="L93" s="1012"/>
      <c r="M93" s="1013"/>
      <c r="N93" s="21" t="str">
        <f t="shared" si="1"/>
        <v>Revisar</v>
      </c>
      <c r="O93" s="21"/>
      <c r="P93" s="896" t="str">
        <f>IF(OR($H$36=V93,$H$37=V93,$H$38=V93,$H$39=V93,$H$40=V93),"ok","Revisar")</f>
        <v>ok</v>
      </c>
      <c r="Q93" s="1000">
        <v>3</v>
      </c>
      <c r="R93" s="1001"/>
      <c r="S93" s="179" t="s">
        <v>360</v>
      </c>
      <c r="T93" s="984">
        <v>5</v>
      </c>
      <c r="U93" s="985"/>
      <c r="V93" s="226" t="s">
        <v>390</v>
      </c>
      <c r="W93" s="607">
        <f>IF(ISBLANK(AE93),0,Calculos!E29)</f>
        <v>4.9999880000000001</v>
      </c>
      <c r="X93" s="1036"/>
      <c r="Y93" s="1037"/>
      <c r="Z93" s="1037"/>
      <c r="AA93" s="1038"/>
      <c r="AB93" s="986"/>
      <c r="AC93" s="986"/>
      <c r="AD93" s="987"/>
      <c r="AE93" s="458">
        <v>1</v>
      </c>
      <c r="AF93" s="468"/>
      <c r="AG93" s="471"/>
      <c r="AH93" s="465"/>
      <c r="AJ93" s="765" t="s">
        <v>1455</v>
      </c>
      <c r="AK93" s="773">
        <f>(_xlfn.NORM.DIST($G$21,AL92,AK92/'Certificado de calibración'!R129,1)-_xlfn.NORM.DIST(-$G$21,AL92,AK92/'Certificado de calibración'!R129,1))</f>
        <v>0</v>
      </c>
      <c r="AL93" s="767" t="s">
        <v>1456</v>
      </c>
      <c r="AM93" s="774">
        <f>1-(_xlfn.NORM.DIST($G$21,AL92,AK92/'Certificado de calibración'!R129,1)-_xlfn.NORM.DIST(-$G$21,AL92,AK92/'Certificado de calibración'!R129,1))</f>
        <v>1</v>
      </c>
      <c r="AN93" s="439">
        <v>7</v>
      </c>
      <c r="AO93" s="440">
        <f t="shared" si="9"/>
        <v>24.003999999999998</v>
      </c>
      <c r="AP93" s="433">
        <f t="shared" si="2"/>
        <v>1.2001999999999999</v>
      </c>
      <c r="AQ93" s="440">
        <f t="shared" si="3"/>
        <v>22.803799999999999</v>
      </c>
      <c r="AR93" s="433">
        <f t="shared" si="4"/>
        <v>25.204199999999997</v>
      </c>
      <c r="AS93" s="826">
        <f t="shared" si="5"/>
        <v>24.003999999999998</v>
      </c>
      <c r="AT93" s="433">
        <f t="shared" si="6"/>
        <v>3.9989999999999988</v>
      </c>
      <c r="AU93" s="441">
        <f t="shared" si="7"/>
        <v>60.01</v>
      </c>
      <c r="AV93" s="425" t="str">
        <f t="shared" si="8"/>
        <v>OK</v>
      </c>
      <c r="AW93" s="19"/>
      <c r="AX93" s="19"/>
      <c r="AY93" s="413"/>
      <c r="BB93" s="451"/>
    </row>
    <row r="94" spans="1:54" ht="30" customHeight="1" thickBot="1">
      <c r="A94" s="310" t="s">
        <v>355</v>
      </c>
      <c r="B94" s="1060">
        <f>IF(B82="","",STDEVA(B84:E93))</f>
        <v>5.477225574844306E-6</v>
      </c>
      <c r="C94" s="1061"/>
      <c r="D94" s="1061"/>
      <c r="E94" s="1062"/>
      <c r="F94" s="1042" t="s">
        <v>356</v>
      </c>
      <c r="G94" s="1042"/>
      <c r="H94" s="1060">
        <f>IF(H82="","",STDEVA(H84:K93))</f>
        <v>8.366600265024016E-6</v>
      </c>
      <c r="I94" s="1061"/>
      <c r="J94" s="1061"/>
      <c r="K94" s="1062"/>
      <c r="N94" s="21"/>
      <c r="O94" s="21"/>
      <c r="P94" s="896" t="str">
        <f>IF(OR($H$36=V94,$H$37=V94,$H$38=V94,$H$39=V94,$H$40=V94),"ok","Revisar")</f>
        <v>ok</v>
      </c>
      <c r="Q94" s="961"/>
      <c r="R94" s="962"/>
      <c r="S94" s="179" t="s">
        <v>152</v>
      </c>
      <c r="T94" s="984">
        <v>2</v>
      </c>
      <c r="U94" s="985"/>
      <c r="V94" s="226" t="s">
        <v>390</v>
      </c>
      <c r="W94" s="607">
        <f>IF(ISBLANK(AE94),0,Calculos!E30)</f>
        <v>1.9999899999999999</v>
      </c>
      <c r="X94" s="1036"/>
      <c r="Y94" s="1037"/>
      <c r="Z94" s="1037"/>
      <c r="AA94" s="1038"/>
      <c r="AB94" s="988"/>
      <c r="AC94" s="988"/>
      <c r="AD94" s="989"/>
      <c r="AE94" s="458">
        <v>1</v>
      </c>
      <c r="AF94" s="469"/>
      <c r="AG94" s="472"/>
      <c r="AH94" s="466"/>
      <c r="AJ94" s="769"/>
      <c r="AK94" s="775"/>
      <c r="AL94" s="771"/>
      <c r="AM94" s="776"/>
      <c r="AN94" s="439">
        <v>8</v>
      </c>
      <c r="AO94" s="440">
        <f t="shared" si="9"/>
        <v>28.002999999999997</v>
      </c>
      <c r="AP94" s="433">
        <f t="shared" si="2"/>
        <v>1.40015</v>
      </c>
      <c r="AQ94" s="440">
        <f t="shared" si="3"/>
        <v>26.602849999999997</v>
      </c>
      <c r="AR94" s="433">
        <f t="shared" si="4"/>
        <v>29.403149999999997</v>
      </c>
      <c r="AS94" s="826">
        <f t="shared" si="5"/>
        <v>28.002999999999997</v>
      </c>
      <c r="AT94" s="433">
        <f t="shared" si="6"/>
        <v>3.9989999999999988</v>
      </c>
      <c r="AU94" s="441">
        <f t="shared" si="7"/>
        <v>70.007499999999993</v>
      </c>
      <c r="AV94" s="425" t="str">
        <f t="shared" si="8"/>
        <v>OK</v>
      </c>
      <c r="AW94" s="19"/>
      <c r="AX94" s="19"/>
      <c r="AY94" s="413"/>
      <c r="BB94" s="451"/>
    </row>
    <row r="95" spans="1:54" ht="30" customHeight="1" thickBot="1">
      <c r="A95" s="1039" t="s">
        <v>1066</v>
      </c>
      <c r="B95" s="1040"/>
      <c r="C95" s="1040"/>
      <c r="D95" s="1040"/>
      <c r="E95" s="1040"/>
      <c r="F95" s="1040"/>
      <c r="G95" s="1041"/>
      <c r="H95" s="1293">
        <f>MAX(B94,H94)</f>
        <v>8.366600265024016E-6</v>
      </c>
      <c r="I95" s="1294"/>
      <c r="J95" s="1294"/>
      <c r="K95" s="1295"/>
      <c r="P95" s="896" t="str">
        <f>IF(OR($H$36=V95,$H$37=V95,$H$38=V95,$H$39=V95,$H$40=V95),"ok","Revisar")</f>
        <v>ok</v>
      </c>
      <c r="Q95" s="961"/>
      <c r="R95" s="962"/>
      <c r="S95" s="179" t="s">
        <v>360</v>
      </c>
      <c r="T95" s="984">
        <v>1</v>
      </c>
      <c r="U95" s="985"/>
      <c r="V95" s="226" t="s">
        <v>390</v>
      </c>
      <c r="W95" s="607">
        <f>IF(ISBLANK(AE95),0,Calculos!E31)</f>
        <v>1.0000089999999999</v>
      </c>
      <c r="X95" s="1036"/>
      <c r="Y95" s="1037"/>
      <c r="Z95" s="1037"/>
      <c r="AA95" s="1038"/>
      <c r="AB95" s="988"/>
      <c r="AC95" s="988"/>
      <c r="AD95" s="989"/>
      <c r="AE95" s="458">
        <v>1</v>
      </c>
      <c r="AF95" s="469"/>
      <c r="AG95" s="472"/>
      <c r="AH95" s="466"/>
      <c r="AJ95" s="663"/>
      <c r="AL95" s="660"/>
      <c r="AM95" s="579"/>
      <c r="AN95" s="439">
        <v>9</v>
      </c>
      <c r="AO95" s="440">
        <f t="shared" si="9"/>
        <v>32.001999999999995</v>
      </c>
      <c r="AP95" s="433">
        <f t="shared" si="2"/>
        <v>1.6000999999999999</v>
      </c>
      <c r="AQ95" s="440">
        <f t="shared" si="3"/>
        <v>30.401899999999994</v>
      </c>
      <c r="AR95" s="433">
        <f t="shared" si="4"/>
        <v>33.602099999999993</v>
      </c>
      <c r="AS95" s="826">
        <f t="shared" si="5"/>
        <v>32.001999999999995</v>
      </c>
      <c r="AT95" s="433">
        <f t="shared" si="6"/>
        <v>3.9989999999999988</v>
      </c>
      <c r="AU95" s="441">
        <f t="shared" si="7"/>
        <v>80.004999999999995</v>
      </c>
      <c r="AV95" s="425" t="str">
        <f t="shared" si="8"/>
        <v>OK</v>
      </c>
      <c r="AW95" s="19"/>
      <c r="AX95" s="19"/>
      <c r="AY95" s="413"/>
      <c r="BB95" s="451"/>
    </row>
    <row r="96" spans="1:54" ht="30" customHeight="1" thickBot="1">
      <c r="A96" s="1030" t="s">
        <v>1222</v>
      </c>
      <c r="B96" s="1030"/>
      <c r="C96" s="1030"/>
      <c r="D96" s="1030"/>
      <c r="E96" s="1030"/>
      <c r="F96" s="1030"/>
      <c r="G96" s="1031"/>
      <c r="H96" s="1027">
        <f>MAX(ABS(B82-MIN(B84:E88)),ABS(B82-MAX(B84:E88)),ABS(H82-MIN(H84:K88)),ABS(H82-MAX(H84:K88)))</f>
        <v>9.9999999996214228E-6</v>
      </c>
      <c r="I96" s="1028"/>
      <c r="J96" s="1028"/>
      <c r="K96" s="1029"/>
      <c r="L96" s="590">
        <f>ABS(B82-MIN(B84:E88))</f>
        <v>0</v>
      </c>
      <c r="M96" s="590">
        <f>ABS(B82-MAX(B84:E88))</f>
        <v>9.9999999996214228E-6</v>
      </c>
      <c r="N96" s="591">
        <f>ABS(H82-MIN(H84:K88))</f>
        <v>9.9999999996214228E-6</v>
      </c>
      <c r="O96" s="591">
        <f>ABS(H82-MAX(H84:K88))</f>
        <v>9.9999999996214228E-6</v>
      </c>
      <c r="P96" s="896" t="str">
        <f>IF(OR($H$36=V96,$H$37=V96,$H$38=V96,$H$39=V96,$H$40=V96),"ok","Revisar")</f>
        <v>ok</v>
      </c>
      <c r="Q96" s="961"/>
      <c r="R96" s="962"/>
      <c r="S96" s="179"/>
      <c r="T96" s="984"/>
      <c r="U96" s="985"/>
      <c r="V96" s="226"/>
      <c r="W96" s="607">
        <f>IF(ISBLANK(AE96),0,Calculos!E32)</f>
        <v>0</v>
      </c>
      <c r="X96" s="1036"/>
      <c r="Y96" s="1037"/>
      <c r="Z96" s="1037"/>
      <c r="AA96" s="1038"/>
      <c r="AB96" s="990"/>
      <c r="AC96" s="990"/>
      <c r="AD96" s="991"/>
      <c r="AE96" s="458"/>
      <c r="AF96" s="469"/>
      <c r="AG96" s="472"/>
      <c r="AH96" s="466"/>
      <c r="AJ96" s="664"/>
      <c r="AK96" s="578"/>
      <c r="AL96" s="661"/>
      <c r="AM96" s="580"/>
      <c r="AN96" s="439">
        <v>10</v>
      </c>
      <c r="AO96" s="440">
        <f t="shared" si="9"/>
        <v>36.000999999999998</v>
      </c>
      <c r="AP96" s="433">
        <f t="shared" si="2"/>
        <v>1.8000499999999999</v>
      </c>
      <c r="AQ96" s="440">
        <f t="shared" si="3"/>
        <v>34.200949999999999</v>
      </c>
      <c r="AR96" s="433">
        <f t="shared" si="4"/>
        <v>37.801049999999996</v>
      </c>
      <c r="AS96" s="826">
        <f t="shared" si="5"/>
        <v>36.000999999999998</v>
      </c>
      <c r="AT96" s="433">
        <f t="shared" si="6"/>
        <v>3.9990000000000023</v>
      </c>
      <c r="AU96" s="441">
        <f t="shared" si="7"/>
        <v>90.002499999999998</v>
      </c>
      <c r="AV96" s="425" t="str">
        <f t="shared" si="8"/>
        <v>OK</v>
      </c>
      <c r="AW96" s="19"/>
      <c r="AX96" s="19"/>
      <c r="AY96" s="413"/>
      <c r="BB96" s="451"/>
    </row>
    <row r="97" spans="1:54" ht="30" customHeight="1" thickBot="1">
      <c r="A97" s="1024" t="s">
        <v>1221</v>
      </c>
      <c r="B97" s="1025"/>
      <c r="C97" s="1025"/>
      <c r="D97" s="1025"/>
      <c r="E97" s="1025"/>
      <c r="F97" s="1025"/>
      <c r="G97" s="1026"/>
      <c r="H97" s="1033" t="str">
        <f>IF(OR(ISBLANK(AL76),ISBLANK(B82)),"",IF(OR(ABS(H95)&lt;T21,ABS(H95)=T21),"Cumple","No cumple"))</f>
        <v/>
      </c>
      <c r="I97" s="1034"/>
      <c r="J97" s="1034"/>
      <c r="K97" s="1035"/>
      <c r="P97" s="896"/>
      <c r="Q97" s="963"/>
      <c r="R97" s="964"/>
      <c r="S97" s="223" t="s">
        <v>295</v>
      </c>
      <c r="T97" s="1059">
        <f>IF(COUNT(T93:U96)=0,"",T93*AE93+T94*AE94+T95*AE95+T96*AE96)</f>
        <v>8</v>
      </c>
      <c r="U97" s="1059"/>
      <c r="V97" s="225"/>
      <c r="W97" s="927">
        <f>IF(COUNT(W93:W96)=0,"",W93+W94+W95+W96)</f>
        <v>7.9999870000000008</v>
      </c>
      <c r="X97" s="1015">
        <v>8</v>
      </c>
      <c r="Y97" s="1016"/>
      <c r="Z97" s="1016"/>
      <c r="AA97" s="1017"/>
      <c r="AB97" s="1015">
        <v>0</v>
      </c>
      <c r="AC97" s="1016"/>
      <c r="AD97" s="1017"/>
      <c r="AE97" s="459"/>
      <c r="AF97" s="587">
        <f>AQ89</f>
        <v>7.6076000000000006</v>
      </c>
      <c r="AG97" s="588">
        <f>AS89</f>
        <v>8.0080000000000009</v>
      </c>
      <c r="AH97" s="589">
        <f>AR89</f>
        <v>8.4084000000000003</v>
      </c>
      <c r="AI97" s="558" t="str">
        <f>IF(AND(T97&gt;0,T97&lt;1500000000.1,$I$20="mg")," ",IF(AND(T97&gt;0,T97&lt;1500000.1,$I$20="g"),"",IF(AND(T97&gt;0,T97&lt;1500.1,$I$20="Kg"),"","***")))</f>
        <v/>
      </c>
      <c r="AJ97" s="662">
        <f>Calculos!H33</f>
        <v>7.9999878452109989</v>
      </c>
      <c r="AK97" s="569">
        <f>'Estimación de la Incertidumbre'!J40</f>
        <v>6.4456647642294077E-5</v>
      </c>
      <c r="AL97" s="659">
        <f>X97-AJ97</f>
        <v>1.2154789001073141E-5</v>
      </c>
      <c r="AM97" s="557" t="str">
        <f>IF(ISBLANK(X97),"",IF($AL$76="simple",IF(AND(ABS(X97-AJ97)&lt;=$G$21,$H$95&lt;=$T$21),"Cumple","No Cumple"),IF($AL$76="Conservadora",IF(AND(ABS(X97-AJ97)+AK97&lt;=$G$21-AK97,$H$95&lt;=$T$21),"Cumple","No Cumple"),"N.A.")))</f>
        <v>N.A.</v>
      </c>
      <c r="AN97" s="439">
        <v>11</v>
      </c>
      <c r="AO97" s="440">
        <f t="shared" si="9"/>
        <v>40</v>
      </c>
      <c r="AP97" s="433">
        <f t="shared" si="2"/>
        <v>2</v>
      </c>
      <c r="AQ97" s="440">
        <f t="shared" si="3"/>
        <v>38</v>
      </c>
      <c r="AR97" s="433">
        <f t="shared" si="4"/>
        <v>42</v>
      </c>
      <c r="AS97" s="826">
        <f>AO97</f>
        <v>40</v>
      </c>
      <c r="AT97" s="433">
        <f t="shared" si="6"/>
        <v>3.9990000000000023</v>
      </c>
      <c r="AU97" s="441">
        <f t="shared" si="7"/>
        <v>100</v>
      </c>
      <c r="AV97" s="425" t="str">
        <f t="shared" si="8"/>
        <v>OK</v>
      </c>
      <c r="AW97" s="19"/>
      <c r="AX97" s="19"/>
      <c r="AY97" s="413"/>
      <c r="BB97" s="451"/>
    </row>
    <row r="98" spans="1:54" ht="30" customHeight="1" thickBot="1">
      <c r="A98" s="309"/>
      <c r="B98" s="992"/>
      <c r="C98" s="992"/>
      <c r="D98" s="956"/>
      <c r="E98" s="956"/>
      <c r="F98" s="1032"/>
      <c r="G98" s="1032"/>
      <c r="H98" s="122"/>
      <c r="I98" s="122"/>
      <c r="J98" s="122"/>
      <c r="K98" s="122"/>
      <c r="L98" s="167"/>
      <c r="M98" s="167"/>
      <c r="N98" s="21"/>
      <c r="O98" s="21"/>
      <c r="P98" s="896" t="str">
        <f>IF(OR($H$36=V98,$H$37=V98,$H$38=V98,$H$39=V98,$H$40=V98),"ok","Revisar")</f>
        <v>ok</v>
      </c>
      <c r="Q98" s="1000">
        <v>4</v>
      </c>
      <c r="R98" s="1001"/>
      <c r="S98" s="179" t="s">
        <v>360</v>
      </c>
      <c r="T98" s="984">
        <v>10</v>
      </c>
      <c r="U98" s="985"/>
      <c r="V98" s="226" t="s">
        <v>390</v>
      </c>
      <c r="W98" s="607">
        <f>IF(ISBLANK(AE98),0,Calculos!E34)</f>
        <v>10.000019999999999</v>
      </c>
      <c r="X98" s="1036"/>
      <c r="Y98" s="1037"/>
      <c r="Z98" s="1037"/>
      <c r="AA98" s="1038"/>
      <c r="AB98" s="986"/>
      <c r="AC98" s="986"/>
      <c r="AD98" s="986"/>
      <c r="AE98" s="460">
        <v>1</v>
      </c>
      <c r="AF98" s="468"/>
      <c r="AG98" s="471"/>
      <c r="AH98" s="465"/>
      <c r="AJ98" s="765" t="s">
        <v>1455</v>
      </c>
      <c r="AK98" s="773">
        <f>(_xlfn.NORM.DIST($G$21,AL97,AK97/'Certificado de calibración'!R130,1)-_xlfn.NORM.DIST(-$G$21,AL97,AK97/'Certificado de calibración'!R130,1))</f>
        <v>0</v>
      </c>
      <c r="AL98" s="767" t="s">
        <v>1456</v>
      </c>
      <c r="AM98" s="774">
        <f>1-(_xlfn.NORM.DIST($G$21,AL97,AK97/'Certificado de calibración'!R130,1)-_xlfn.NORM.DIST(-$G$21,AL97,AK97/'Certificado de calibración'!R130,1))</f>
        <v>1</v>
      </c>
      <c r="AR98" s="420"/>
      <c r="AU98" s="413"/>
    </row>
    <row r="99" spans="1:54" ht="30" customHeight="1" thickBot="1">
      <c r="A99" s="309"/>
      <c r="B99" s="992"/>
      <c r="C99" s="992"/>
      <c r="D99" s="956"/>
      <c r="E99" s="956"/>
      <c r="F99" s="1032"/>
      <c r="G99" s="1032"/>
      <c r="H99" s="122"/>
      <c r="I99" s="122"/>
      <c r="J99" s="122"/>
      <c r="K99" s="122"/>
      <c r="L99" s="167"/>
      <c r="M99" s="167"/>
      <c r="N99" s="21"/>
      <c r="O99" s="21"/>
      <c r="P99" s="896" t="str">
        <f>IF(OR($H$36=V99,$H$37=V99,$H$38=V99,$H$39=V99,$H$40=V99),"ok","Revisar")</f>
        <v>ok</v>
      </c>
      <c r="Q99" s="961"/>
      <c r="R99" s="962"/>
      <c r="S99" s="179" t="s">
        <v>152</v>
      </c>
      <c r="T99" s="984">
        <v>2</v>
      </c>
      <c r="U99" s="985"/>
      <c r="V99" s="226" t="s">
        <v>390</v>
      </c>
      <c r="W99" s="607">
        <f>IF(ISBLANK(AE99),0,Calculos!E35)</f>
        <v>1.9999899999999999</v>
      </c>
      <c r="X99" s="1036"/>
      <c r="Y99" s="1037"/>
      <c r="Z99" s="1037"/>
      <c r="AA99" s="1038"/>
      <c r="AB99" s="988"/>
      <c r="AC99" s="988"/>
      <c r="AD99" s="988"/>
      <c r="AE99" s="461">
        <v>1</v>
      </c>
      <c r="AF99" s="468"/>
      <c r="AG99" s="471"/>
      <c r="AH99" s="465"/>
      <c r="AJ99" s="769"/>
      <c r="AK99" s="775"/>
      <c r="AL99" s="771"/>
      <c r="AM99" s="776"/>
      <c r="AO99" s="827"/>
      <c r="AR99" s="420"/>
      <c r="AU99" s="413"/>
    </row>
    <row r="100" spans="1:54" ht="30" customHeight="1" thickBot="1">
      <c r="A100" s="309"/>
      <c r="B100" s="992"/>
      <c r="C100" s="992"/>
      <c r="D100" s="956"/>
      <c r="E100" s="956"/>
      <c r="F100" s="1032"/>
      <c r="G100" s="1032"/>
      <c r="H100" s="122"/>
      <c r="I100" s="122"/>
      <c r="J100" s="122"/>
      <c r="K100" s="122"/>
      <c r="L100" s="167"/>
      <c r="M100" s="167"/>
      <c r="N100" s="21"/>
      <c r="O100" s="21"/>
      <c r="P100" s="896" t="str">
        <f>IF(OR($H$36=V100,$H$37=V100,$H$38=V100,$H$39=V100,$H$40=V100),"ok","Revisar")</f>
        <v>ok</v>
      </c>
      <c r="Q100" s="961"/>
      <c r="R100" s="962"/>
      <c r="S100" s="179"/>
      <c r="T100" s="1012"/>
      <c r="U100" s="1013"/>
      <c r="V100" s="226"/>
      <c r="W100" s="607">
        <f>IF(ISBLANK(AE100),0,Calculos!E36)</f>
        <v>0</v>
      </c>
      <c r="X100" s="1036"/>
      <c r="Y100" s="1037"/>
      <c r="Z100" s="1037"/>
      <c r="AA100" s="1038"/>
      <c r="AB100" s="988"/>
      <c r="AC100" s="988"/>
      <c r="AD100" s="988"/>
      <c r="AE100" s="461"/>
      <c r="AF100" s="468"/>
      <c r="AG100" s="471"/>
      <c r="AH100" s="465"/>
      <c r="AJ100" s="663"/>
      <c r="AL100" s="660"/>
      <c r="AM100" s="581"/>
      <c r="AO100" s="828"/>
    </row>
    <row r="101" spans="1:54" ht="30" customHeight="1" thickBot="1">
      <c r="A101" s="309"/>
      <c r="B101" s="122"/>
      <c r="C101" s="122"/>
      <c r="D101" s="122"/>
      <c r="E101" s="122"/>
      <c r="F101" s="122"/>
      <c r="G101" s="122"/>
      <c r="H101" s="122"/>
      <c r="I101" s="122"/>
      <c r="J101" s="122"/>
      <c r="K101" s="122"/>
      <c r="L101" s="167"/>
      <c r="M101" s="167"/>
      <c r="N101" s="21"/>
      <c r="O101" s="21"/>
      <c r="P101" s="896" t="str">
        <f>IF(OR($H$36=V101,$H$37=V101,$H$38=V101,$H$39=V101,$H$40=V101),"ok","Revisar")</f>
        <v>ok</v>
      </c>
      <c r="Q101" s="961"/>
      <c r="R101" s="962"/>
      <c r="S101" s="179"/>
      <c r="T101" s="1012"/>
      <c r="U101" s="1013"/>
      <c r="V101" s="226"/>
      <c r="W101" s="607">
        <f>IF(ISBLANK(AE101),0,Calculos!E37)</f>
        <v>0</v>
      </c>
      <c r="X101" s="1171"/>
      <c r="Y101" s="1172"/>
      <c r="Z101" s="1172"/>
      <c r="AA101" s="1173"/>
      <c r="AB101" s="988"/>
      <c r="AC101" s="988"/>
      <c r="AD101" s="988"/>
      <c r="AE101" s="461"/>
      <c r="AF101" s="468"/>
      <c r="AG101" s="471"/>
      <c r="AH101" s="465"/>
      <c r="AJ101" s="664"/>
      <c r="AK101" s="578"/>
      <c r="AL101" s="661"/>
      <c r="AM101" s="582"/>
      <c r="AO101" s="828"/>
    </row>
    <row r="102" spans="1:54" ht="30" customHeight="1" thickBot="1">
      <c r="A102" s="309"/>
      <c r="B102" s="122"/>
      <c r="C102" s="122"/>
      <c r="D102" s="122"/>
      <c r="E102" s="122"/>
      <c r="F102" s="122"/>
      <c r="G102" s="122"/>
      <c r="H102" s="122"/>
      <c r="I102" s="122"/>
      <c r="J102" s="122"/>
      <c r="K102" s="122"/>
      <c r="L102" s="167"/>
      <c r="M102" s="167"/>
      <c r="N102" s="21"/>
      <c r="O102" s="21"/>
      <c r="P102" s="896"/>
      <c r="Q102" s="963"/>
      <c r="R102" s="964"/>
      <c r="S102" s="223" t="s">
        <v>295</v>
      </c>
      <c r="T102" s="1022">
        <f>IF(COUNT(T98:U101)=0,"",T98*AE98+T99*AE99+T100*AE100+T101*AE101)</f>
        <v>12</v>
      </c>
      <c r="U102" s="1023"/>
      <c r="V102" s="227"/>
      <c r="W102" s="927">
        <f>IF(COUNT(W98:W101)=0,"",W98+W99+W100+W101)</f>
        <v>12.00001</v>
      </c>
      <c r="X102" s="1015">
        <v>12</v>
      </c>
      <c r="Y102" s="1016"/>
      <c r="Z102" s="1016"/>
      <c r="AA102" s="1017"/>
      <c r="AB102" s="1015">
        <v>0</v>
      </c>
      <c r="AC102" s="1016"/>
      <c r="AD102" s="1017"/>
      <c r="AE102" s="462"/>
      <c r="AF102" s="583">
        <f>AQ90</f>
        <v>11.406650000000001</v>
      </c>
      <c r="AG102" s="586">
        <f>AS90</f>
        <v>12.007000000000001</v>
      </c>
      <c r="AH102" s="585">
        <f>AR90</f>
        <v>12.607350000000002</v>
      </c>
      <c r="AI102" s="558" t="str">
        <f>IF(AND(T102&gt;0,T102&lt;1500000000.1,$I$20="mg")," ",IF(AND(T102&gt;0,T102&lt;1500000.1,$I$20="g"),"",IF(AND(T102&gt;0,T102&lt;1500.1,$I$20="Kg"),"","***")))</f>
        <v/>
      </c>
      <c r="AJ102" s="662">
        <f>Calculos!H38</f>
        <v>12.000001267819615</v>
      </c>
      <c r="AK102" s="569">
        <f>'Estimación de la Incertidumbre'!K40</f>
        <v>5.5921728620574623E-5</v>
      </c>
      <c r="AL102" s="659">
        <f>X102-AJ102</f>
        <v>-1.2678196146254095E-6</v>
      </c>
      <c r="AM102" s="557" t="str">
        <f>IF(ISBLANK(X102),"",IF($AL$76="simple",IF(AND(ABS(X102-AJ102)&lt;=$G$21,$H$95&lt;=$T$21),"Cumple","No Cumple"),IF($AL$76="Conservadora",IF(AND(ABS(X102-AJ102)+AK102&lt;=$G$21-AK102,$H$95&lt;=$T$21),"Cumple","No Cumple"),"N.A.")))</f>
        <v>N.A.</v>
      </c>
      <c r="AO102" s="828"/>
    </row>
    <row r="103" spans="1:54" ht="30" customHeight="1" thickBot="1">
      <c r="A103" s="309"/>
      <c r="B103" s="1292"/>
      <c r="C103" s="1292"/>
      <c r="D103" s="1292"/>
      <c r="E103" s="1292"/>
      <c r="F103" s="1292"/>
      <c r="G103" s="1292"/>
      <c r="H103" s="122"/>
      <c r="I103" s="122"/>
      <c r="J103" s="122"/>
      <c r="K103" s="122"/>
      <c r="L103" s="167"/>
      <c r="M103" s="167"/>
      <c r="N103" s="21"/>
      <c r="O103" s="21"/>
      <c r="P103" s="896" t="str">
        <f>IF(OR($H$36=V103,$H$37=V103,$H$38=V103,$H$39=V103,$H$40=V103),"ok","Revisar")</f>
        <v>ok</v>
      </c>
      <c r="Q103" s="1000">
        <v>5</v>
      </c>
      <c r="R103" s="1001"/>
      <c r="S103" s="179" t="s">
        <v>360</v>
      </c>
      <c r="T103" s="984">
        <v>10</v>
      </c>
      <c r="U103" s="985"/>
      <c r="V103" s="226" t="s">
        <v>390</v>
      </c>
      <c r="W103" s="607">
        <f>IF(ISBLANK(AE103),0,Calculos!E39)</f>
        <v>10.000019999999999</v>
      </c>
      <c r="X103" s="1036"/>
      <c r="Y103" s="1037"/>
      <c r="Z103" s="1037"/>
      <c r="AA103" s="1038"/>
      <c r="AB103" s="1007"/>
      <c r="AC103" s="1008"/>
      <c r="AD103" s="1009"/>
      <c r="AE103" s="461">
        <v>1</v>
      </c>
      <c r="AF103" s="468"/>
      <c r="AG103" s="471"/>
      <c r="AH103" s="465"/>
      <c r="AJ103" s="765" t="s">
        <v>1455</v>
      </c>
      <c r="AK103" s="773">
        <f>(_xlfn.NORM.DIST($G$21,AL102,AK102/'Certificado de calibración'!R131,1)-_xlfn.NORM.DIST(-$G$21,AL102,AK102/'Certificado de calibración'!R131,1))</f>
        <v>0</v>
      </c>
      <c r="AL103" s="767" t="s">
        <v>1456</v>
      </c>
      <c r="AM103" s="774">
        <f>1-(_xlfn.NORM.DIST($G$21,AL102,AK102/'Certificado de calibración'!R131,1)-_xlfn.NORM.DIST(-$G$21,AL102,AK102/'Certificado de calibración'!R131,1))</f>
        <v>1</v>
      </c>
      <c r="AO103" s="828"/>
    </row>
    <row r="104" spans="1:54" ht="30" customHeight="1" thickBot="1">
      <c r="A104" s="309"/>
      <c r="B104" s="992"/>
      <c r="C104" s="992"/>
      <c r="D104" s="956"/>
      <c r="E104" s="956"/>
      <c r="F104" s="1032"/>
      <c r="G104" s="1032"/>
      <c r="H104" s="122"/>
      <c r="I104" s="122"/>
      <c r="J104" s="122"/>
      <c r="K104" s="122"/>
      <c r="L104" s="167"/>
      <c r="M104" s="167"/>
      <c r="N104" s="21"/>
      <c r="O104" s="21"/>
      <c r="P104" s="896" t="str">
        <f>IF(OR($H$36=V104,$H$37=V104,$H$38=V104,$H$39=V104,$H$40=V104),"ok","Revisar")</f>
        <v>ok</v>
      </c>
      <c r="Q104" s="961"/>
      <c r="R104" s="962"/>
      <c r="S104" s="179" t="s">
        <v>360</v>
      </c>
      <c r="T104" s="984">
        <v>5</v>
      </c>
      <c r="U104" s="985"/>
      <c r="V104" s="226" t="s">
        <v>390</v>
      </c>
      <c r="W104" s="607">
        <f>IF(ISBLANK(AE104),0,Calculos!E40)</f>
        <v>4.9999880000000001</v>
      </c>
      <c r="X104" s="1036"/>
      <c r="Y104" s="1037"/>
      <c r="Z104" s="1037"/>
      <c r="AA104" s="1038"/>
      <c r="AB104" s="1007"/>
      <c r="AC104" s="1008"/>
      <c r="AD104" s="1009"/>
      <c r="AE104" s="461">
        <v>1</v>
      </c>
      <c r="AF104" s="468"/>
      <c r="AG104" s="471"/>
      <c r="AH104" s="465"/>
      <c r="AJ104" s="769"/>
      <c r="AK104" s="775"/>
      <c r="AL104" s="771"/>
      <c r="AM104" s="776"/>
      <c r="AO104" s="828"/>
    </row>
    <row r="105" spans="1:54" ht="30" customHeight="1" thickBot="1">
      <c r="A105" s="309"/>
      <c r="B105" s="992"/>
      <c r="C105" s="992"/>
      <c r="D105" s="956"/>
      <c r="E105" s="956"/>
      <c r="F105" s="1032"/>
      <c r="G105" s="1032"/>
      <c r="H105" s="122"/>
      <c r="I105" s="122"/>
      <c r="J105" s="122"/>
      <c r="K105" s="122"/>
      <c r="L105" s="167"/>
      <c r="M105" s="167"/>
      <c r="N105" s="21"/>
      <c r="O105" s="21"/>
      <c r="P105" s="896" t="str">
        <f>IF(OR($H$36=V105,$H$37=V105,$H$38=V105,$H$39=V105,$H$40=V105),"ok","Revisar")</f>
        <v>ok</v>
      </c>
      <c r="Q105" s="961"/>
      <c r="R105" s="962"/>
      <c r="S105" s="179"/>
      <c r="T105" s="984"/>
      <c r="U105" s="985"/>
      <c r="V105" s="226"/>
      <c r="W105" s="607">
        <f>IF(ISBLANK(AE105),0,Calculos!E41)</f>
        <v>0</v>
      </c>
      <c r="X105" s="1036"/>
      <c r="Y105" s="1037"/>
      <c r="Z105" s="1037"/>
      <c r="AA105" s="1038"/>
      <c r="AB105" s="1007"/>
      <c r="AC105" s="1008"/>
      <c r="AD105" s="1009"/>
      <c r="AE105" s="461"/>
      <c r="AF105" s="469"/>
      <c r="AG105" s="472"/>
      <c r="AH105" s="466"/>
      <c r="AJ105" s="663"/>
      <c r="AL105" s="660"/>
      <c r="AM105" s="581"/>
      <c r="AO105" s="828"/>
    </row>
    <row r="106" spans="1:54" ht="30" customHeight="1" thickBot="1">
      <c r="A106" s="309"/>
      <c r="B106" s="992"/>
      <c r="C106" s="992"/>
      <c r="D106" s="956"/>
      <c r="E106" s="956"/>
      <c r="F106" s="1032"/>
      <c r="G106" s="1032"/>
      <c r="H106" s="122"/>
      <c r="I106" s="122"/>
      <c r="J106" s="122"/>
      <c r="K106" s="122"/>
      <c r="L106" s="167"/>
      <c r="M106" s="167"/>
      <c r="N106" s="21"/>
      <c r="O106" s="21"/>
      <c r="P106" s="896" t="str">
        <f>IF(OR($H$36=V106,$H$37=V106,$H$38=V106,$H$39=V106,$H$40=V106),"ok","Revisar")</f>
        <v>ok</v>
      </c>
      <c r="Q106" s="961"/>
      <c r="R106" s="962"/>
      <c r="S106" s="179"/>
      <c r="T106" s="984"/>
      <c r="U106" s="985"/>
      <c r="V106" s="226"/>
      <c r="W106" s="607">
        <f>IF(ISBLANK(AE106),0,Calculos!E42)</f>
        <v>0</v>
      </c>
      <c r="X106" s="1171"/>
      <c r="Y106" s="1172"/>
      <c r="Z106" s="1172"/>
      <c r="AA106" s="1173"/>
      <c r="AB106" s="987"/>
      <c r="AC106" s="1010"/>
      <c r="AD106" s="1011"/>
      <c r="AE106" s="461"/>
      <c r="AF106" s="469"/>
      <c r="AG106" s="472"/>
      <c r="AH106" s="466"/>
      <c r="AJ106" s="664"/>
      <c r="AK106" s="578"/>
      <c r="AL106" s="661"/>
      <c r="AM106" s="582"/>
      <c r="AO106" s="828"/>
    </row>
    <row r="107" spans="1:54" ht="30" customHeight="1" thickBot="1">
      <c r="A107" s="309"/>
      <c r="B107" s="992"/>
      <c r="C107" s="992"/>
      <c r="D107" s="956"/>
      <c r="E107" s="956"/>
      <c r="F107" s="1032"/>
      <c r="G107" s="1032"/>
      <c r="H107" s="122"/>
      <c r="I107" s="122"/>
      <c r="J107" s="122"/>
      <c r="K107" s="122"/>
      <c r="L107" s="167"/>
      <c r="M107" s="167"/>
      <c r="N107" s="21"/>
      <c r="O107" s="21"/>
      <c r="P107" s="896"/>
      <c r="Q107" s="963"/>
      <c r="R107" s="964"/>
      <c r="S107" s="223" t="s">
        <v>295</v>
      </c>
      <c r="T107" s="1022">
        <f>IF(COUNT(T103:U106)=0,"",T103*AE103+T104*AE104+T105*AE105+T106*AE106)</f>
        <v>15</v>
      </c>
      <c r="U107" s="1023"/>
      <c r="V107" s="227"/>
      <c r="W107" s="927">
        <f>IF(COUNT(W103:W106)=0,"",W103+W104+W105+W106)</f>
        <v>15.000007999999999</v>
      </c>
      <c r="X107" s="1015">
        <v>15.00001</v>
      </c>
      <c r="Y107" s="1016"/>
      <c r="Z107" s="1016"/>
      <c r="AA107" s="1017"/>
      <c r="AB107" s="1015">
        <v>0</v>
      </c>
      <c r="AC107" s="1016"/>
      <c r="AD107" s="1017"/>
      <c r="AE107" s="462"/>
      <c r="AF107" s="587">
        <f>AQ91</f>
        <v>15.2057</v>
      </c>
      <c r="AG107" s="588">
        <f>AS91</f>
        <v>16.006</v>
      </c>
      <c r="AH107" s="589">
        <f>AR91</f>
        <v>16.8063</v>
      </c>
      <c r="AI107" s="558" t="str">
        <f>IF(AND(T107&gt;0,T107&lt;1500000000.1,$I$20="mg")," ",IF(AND(T107&gt;0,T107&lt;1500000.1,$I$20="g"),"",IF(AND(T107&gt;0,T107&lt;1500.1,$I$20="Kg"),"","***")))</f>
        <v/>
      </c>
      <c r="AJ107" s="662">
        <f>Calculos!H43</f>
        <v>14.999999584774041</v>
      </c>
      <c r="AK107" s="569">
        <f>'Estimación de la Incertidumbre'!L40</f>
        <v>6.1885757897511143E-5</v>
      </c>
      <c r="AL107" s="659">
        <f>X107-AJ107</f>
        <v>1.0415225958126939E-5</v>
      </c>
      <c r="AM107" s="557" t="str">
        <f>IF(ISBLANK(X107),"",IF($AL$76="simple",IF(AND(ABS(X107-AJ107)&lt;=$G$21,$H$95&lt;=$T$21),"Cumple","No Cumple"),IF($AL$76="Conservadora",IF(AND(ABS(X107-AJ107)+AK107&lt;=$G$21-AK107,$H$95&lt;=$T$21),"Cumple","No Cumple"),"N.A.")))</f>
        <v>N.A.</v>
      </c>
      <c r="AO107" s="828"/>
    </row>
    <row r="108" spans="1:54" ht="30" customHeight="1" thickBot="1">
      <c r="A108" s="309"/>
      <c r="B108" s="122"/>
      <c r="C108" s="122"/>
      <c r="D108" s="122"/>
      <c r="E108" s="122"/>
      <c r="F108" s="122"/>
      <c r="G108" s="122"/>
      <c r="H108" s="122"/>
      <c r="I108" s="122"/>
      <c r="J108" s="122"/>
      <c r="K108" s="122"/>
      <c r="L108" s="167"/>
      <c r="M108" s="167"/>
      <c r="N108" s="21"/>
      <c r="O108" s="21"/>
      <c r="P108" s="896" t="str">
        <f>IF(OR($H$36=V108,$H$37=V108,$H$38=V108,$H$39=V108,$H$40=V108),"ok","Revisar")</f>
        <v>ok</v>
      </c>
      <c r="Q108" s="1000">
        <v>6</v>
      </c>
      <c r="R108" s="1001"/>
      <c r="S108" s="179" t="s">
        <v>152</v>
      </c>
      <c r="T108" s="984">
        <v>20</v>
      </c>
      <c r="U108" s="985"/>
      <c r="V108" s="226" t="s">
        <v>390</v>
      </c>
      <c r="W108" s="607">
        <f>IF(ISBLANK(AE108),0,Calculos!E44)</f>
        <v>20.000004000000001</v>
      </c>
      <c r="X108" s="1036"/>
      <c r="Y108" s="1037"/>
      <c r="Z108" s="1037"/>
      <c r="AA108" s="1038"/>
      <c r="AB108" s="1007"/>
      <c r="AC108" s="1008"/>
      <c r="AD108" s="1009"/>
      <c r="AE108" s="461">
        <v>1</v>
      </c>
      <c r="AF108" s="469"/>
      <c r="AG108" s="472"/>
      <c r="AH108" s="466"/>
      <c r="AJ108" s="765" t="s">
        <v>1455</v>
      </c>
      <c r="AK108" s="773">
        <f>(_xlfn.NORM.DIST($G$21,AL107,AK107/'Certificado de calibración'!R132,1)-_xlfn.NORM.DIST(-$G$21,AL107,AK107/'Certificado de calibración'!R132,1))</f>
        <v>0</v>
      </c>
      <c r="AL108" s="767" t="s">
        <v>1456</v>
      </c>
      <c r="AM108" s="774">
        <f>1-(_xlfn.NORM.DIST($G$21,AL107,AK107/'Certificado de calibración'!R132,1)-_xlfn.NORM.DIST(-$G$21,AL107,AK107/'Certificado de calibración'!R132,1))</f>
        <v>1</v>
      </c>
      <c r="AO108" s="828"/>
    </row>
    <row r="109" spans="1:54" ht="30" customHeight="1" thickBot="1">
      <c r="A109" s="309"/>
      <c r="B109" s="122"/>
      <c r="C109" s="122"/>
      <c r="D109" s="122"/>
      <c r="E109" s="122"/>
      <c r="F109" s="122"/>
      <c r="G109" s="122"/>
      <c r="H109" s="122"/>
      <c r="I109" s="122"/>
      <c r="J109" s="122"/>
      <c r="K109" s="122"/>
      <c r="L109" s="167"/>
      <c r="M109" s="167"/>
      <c r="N109" s="21"/>
      <c r="O109" s="21"/>
      <c r="P109" s="896" t="str">
        <f>IF(OR($H$36=V109,$H$37=V109,$H$38=V109,$H$39=V109,$H$40=V109),"ok","Revisar")</f>
        <v>ok</v>
      </c>
      <c r="Q109" s="961"/>
      <c r="R109" s="962"/>
      <c r="S109" s="179"/>
      <c r="T109" s="984"/>
      <c r="U109" s="985"/>
      <c r="V109" s="226"/>
      <c r="W109" s="607">
        <f>IF(ISBLANK(AE109),0,Calculos!E45)</f>
        <v>0</v>
      </c>
      <c r="X109" s="1036"/>
      <c r="Y109" s="1037"/>
      <c r="Z109" s="1037"/>
      <c r="AA109" s="1038"/>
      <c r="AB109" s="1007"/>
      <c r="AC109" s="1008"/>
      <c r="AD109" s="1009"/>
      <c r="AE109" s="461"/>
      <c r="AF109" s="468"/>
      <c r="AG109" s="471"/>
      <c r="AH109" s="465"/>
      <c r="AJ109" s="769"/>
      <c r="AK109" s="775"/>
      <c r="AL109" s="771"/>
      <c r="AM109" s="776"/>
      <c r="AO109" s="828"/>
    </row>
    <row r="110" spans="1:54" ht="30" customHeight="1" thickBot="1">
      <c r="A110" s="309"/>
      <c r="B110" s="122"/>
      <c r="C110" s="122"/>
      <c r="D110" s="122"/>
      <c r="E110" s="122"/>
      <c r="F110" s="122"/>
      <c r="G110" s="122"/>
      <c r="H110" s="122"/>
      <c r="I110" s="122"/>
      <c r="J110" s="122"/>
      <c r="K110" s="122"/>
      <c r="L110" s="167"/>
      <c r="M110" s="167"/>
      <c r="N110" s="21"/>
      <c r="O110" s="21"/>
      <c r="P110" s="896" t="str">
        <f>IF(OR($H$36=V110,$H$37=V110,$H$38=V110,$H$39=V110,$H$40=V110),"ok","Revisar")</f>
        <v>ok</v>
      </c>
      <c r="Q110" s="961"/>
      <c r="R110" s="962"/>
      <c r="S110" s="179"/>
      <c r="T110" s="984"/>
      <c r="U110" s="985"/>
      <c r="V110" s="226"/>
      <c r="W110" s="607">
        <f>IF(ISBLANK(AE110),0,Calculos!E46)</f>
        <v>0</v>
      </c>
      <c r="X110" s="1036"/>
      <c r="Y110" s="1037"/>
      <c r="Z110" s="1037"/>
      <c r="AA110" s="1038"/>
      <c r="AB110" s="1007"/>
      <c r="AC110" s="1008"/>
      <c r="AD110" s="1009"/>
      <c r="AE110" s="461"/>
      <c r="AF110" s="468"/>
      <c r="AG110" s="471"/>
      <c r="AH110" s="465"/>
      <c r="AJ110" s="663"/>
      <c r="AL110" s="660"/>
      <c r="AM110" s="581"/>
      <c r="AO110" s="828"/>
    </row>
    <row r="111" spans="1:54" ht="30" customHeight="1" thickBot="1">
      <c r="A111" s="309"/>
      <c r="B111" s="122"/>
      <c r="C111" s="122"/>
      <c r="D111" s="122"/>
      <c r="E111" s="122"/>
      <c r="F111" s="122"/>
      <c r="G111" s="122"/>
      <c r="H111" s="122"/>
      <c r="I111" s="122"/>
      <c r="J111" s="122"/>
      <c r="K111" s="122"/>
      <c r="L111" s="167"/>
      <c r="M111" s="167"/>
      <c r="N111" s="21"/>
      <c r="O111" s="21"/>
      <c r="P111" s="896" t="str">
        <f>IF(OR($H$36=V111,$H$37=V111,$H$38=V111,$H$39=V111,$H$40=V111),"ok","Revisar")</f>
        <v>ok</v>
      </c>
      <c r="Q111" s="961"/>
      <c r="R111" s="962"/>
      <c r="S111" s="179"/>
      <c r="T111" s="984"/>
      <c r="U111" s="985"/>
      <c r="V111" s="226"/>
      <c r="W111" s="607">
        <f>IF(ISBLANK(AE111),0,Calculos!E47)</f>
        <v>0</v>
      </c>
      <c r="X111" s="1171"/>
      <c r="Y111" s="1172"/>
      <c r="Z111" s="1172"/>
      <c r="AA111" s="1173"/>
      <c r="AB111" s="987"/>
      <c r="AC111" s="1010"/>
      <c r="AD111" s="1011"/>
      <c r="AE111" s="461"/>
      <c r="AF111" s="468"/>
      <c r="AG111" s="471"/>
      <c r="AH111" s="465"/>
      <c r="AJ111" s="664"/>
      <c r="AK111" s="578"/>
      <c r="AL111" s="661"/>
      <c r="AM111" s="582"/>
    </row>
    <row r="112" spans="1:54" ht="30" customHeight="1" thickBot="1">
      <c r="A112" s="309"/>
      <c r="B112" s="122"/>
      <c r="C112" s="122"/>
      <c r="D112" s="122"/>
      <c r="E112" s="122"/>
      <c r="F112" s="122"/>
      <c r="G112" s="122"/>
      <c r="H112" s="122"/>
      <c r="I112" s="122"/>
      <c r="J112" s="122"/>
      <c r="K112" s="122"/>
      <c r="L112" s="167"/>
      <c r="M112" s="167"/>
      <c r="N112" s="21"/>
      <c r="O112" s="21"/>
      <c r="P112" s="896"/>
      <c r="Q112" s="963"/>
      <c r="R112" s="964"/>
      <c r="S112" s="223" t="s">
        <v>295</v>
      </c>
      <c r="T112" s="1022">
        <f>IF(COUNT(T108:U111)=0,"",T108*AE108+T109*AE109+T110*AE110+T111*AE111)</f>
        <v>20</v>
      </c>
      <c r="U112" s="1023"/>
      <c r="V112" s="227"/>
      <c r="W112" s="927">
        <f>IF(COUNT(W108:W111)=0,"",W108+W109+W110+W111)</f>
        <v>20.000004000000001</v>
      </c>
      <c r="X112" s="1015">
        <v>20</v>
      </c>
      <c r="Y112" s="1016"/>
      <c r="Z112" s="1016"/>
      <c r="AA112" s="1017"/>
      <c r="AB112" s="1015">
        <v>0</v>
      </c>
      <c r="AC112" s="1016"/>
      <c r="AD112" s="1017"/>
      <c r="AE112" s="462"/>
      <c r="AF112" s="583">
        <f>AQ92</f>
        <v>19.004749999999998</v>
      </c>
      <c r="AG112" s="586">
        <f>AS92</f>
        <v>20.004999999999999</v>
      </c>
      <c r="AH112" s="585">
        <f>AR92</f>
        <v>21.00525</v>
      </c>
      <c r="AI112" s="558" t="str">
        <f>IF(AND(T112&gt;0,T112&lt;1500000000.1,$I$20="mg")," ",IF(AND(T112&gt;0,T112&lt;1500000.1,$I$20="g"),"",IF(AND(T112&gt;0,T112&lt;1500.1,$I$20="Kg"),"","***")))</f>
        <v/>
      </c>
      <c r="AJ112" s="662">
        <f>Calculos!H48</f>
        <v>19.999996113031351</v>
      </c>
      <c r="AK112" s="569">
        <f>'Estimación de la Incertidumbre'!M40</f>
        <v>4.9375364026449772E-5</v>
      </c>
      <c r="AL112" s="659">
        <f>X112-AJ112</f>
        <v>3.8869686491693756E-6</v>
      </c>
      <c r="AM112" s="557" t="str">
        <f>IF(ISBLANK(X112),"",IF($AL$76="simple",IF(AND(ABS(X112-AJ112)&lt;=$G$21,$H$95&lt;=$T$21),"Cumple","No Cumple"),IF($AL$76="Conservadora",IF(AND(ABS(X112-AJ112)+AK112&lt;=$G$21,$H$95&lt;=$T$21),"Cumple","No Cumple"),"N.A.")))</f>
        <v>N.A.</v>
      </c>
    </row>
    <row r="113" spans="1:39" ht="30" customHeight="1" thickBot="1">
      <c r="A113" s="309"/>
      <c r="B113" s="122"/>
      <c r="C113" s="122"/>
      <c r="D113" s="122"/>
      <c r="E113" s="122"/>
      <c r="F113" s="122"/>
      <c r="G113" s="122"/>
      <c r="H113" s="122"/>
      <c r="I113" s="122"/>
      <c r="J113" s="122"/>
      <c r="K113" s="122"/>
      <c r="L113" s="167"/>
      <c r="M113" s="167"/>
      <c r="N113" s="21"/>
      <c r="O113" s="21"/>
      <c r="P113" s="896" t="str">
        <f>IF(OR($H$36=V113,$H$37=V113,$H$38=V113,$H$39=V113,$H$40=V113),"ok","Revisar")</f>
        <v>ok</v>
      </c>
      <c r="Q113" s="1000">
        <v>7</v>
      </c>
      <c r="R113" s="1001"/>
      <c r="S113" s="179" t="s">
        <v>152</v>
      </c>
      <c r="T113" s="984">
        <v>20</v>
      </c>
      <c r="U113" s="985"/>
      <c r="V113" s="226" t="s">
        <v>390</v>
      </c>
      <c r="W113" s="607">
        <f>IF(ISBLANK(AE113),0,Calculos!E49)</f>
        <v>20.000004000000001</v>
      </c>
      <c r="X113" s="1036"/>
      <c r="Y113" s="1037"/>
      <c r="Z113" s="1037"/>
      <c r="AA113" s="1038"/>
      <c r="AB113" s="1007"/>
      <c r="AC113" s="1008"/>
      <c r="AD113" s="1009"/>
      <c r="AE113" s="461">
        <v>1</v>
      </c>
      <c r="AF113" s="468"/>
      <c r="AG113" s="471"/>
      <c r="AH113" s="465"/>
      <c r="AJ113" s="765" t="s">
        <v>1455</v>
      </c>
      <c r="AK113" s="773">
        <f>(_xlfn.NORM.DIST($G$21,AL112,AK112/'Certificado de calibración'!R133,1)-_xlfn.NORM.DIST(-$G$21,AL112,AK112/'Certificado de calibración'!R133,1))</f>
        <v>0</v>
      </c>
      <c r="AL113" s="767" t="s">
        <v>1456</v>
      </c>
      <c r="AM113" s="774">
        <f>1-(_xlfn.NORM.DIST($G$21,AL112,AK112/'Certificado de calibración'!R133,1)-_xlfn.NORM.DIST(-$G$21,AL112,AK112/'Certificado de calibración'!R133,1))</f>
        <v>1</v>
      </c>
    </row>
    <row r="114" spans="1:39" ht="30" customHeight="1" thickBot="1">
      <c r="A114" s="309"/>
      <c r="B114" s="122"/>
      <c r="C114" s="122"/>
      <c r="D114" s="122"/>
      <c r="E114" s="122"/>
      <c r="F114" s="122"/>
      <c r="G114" s="122"/>
      <c r="H114" s="122"/>
      <c r="I114" s="122"/>
      <c r="J114" s="122"/>
      <c r="K114" s="122"/>
      <c r="L114" s="167"/>
      <c r="M114" s="167"/>
      <c r="N114" s="21"/>
      <c r="O114" s="21"/>
      <c r="P114" s="896" t="str">
        <f>IF(OR($H$36=V114,$H$37=V114,$H$38=V114,$H$39=V114,$H$40=V114),"ok","Revisar")</f>
        <v>ok</v>
      </c>
      <c r="Q114" s="961"/>
      <c r="R114" s="962"/>
      <c r="S114" s="179" t="s">
        <v>360</v>
      </c>
      <c r="T114" s="984">
        <v>5</v>
      </c>
      <c r="U114" s="985"/>
      <c r="V114" s="226" t="s">
        <v>390</v>
      </c>
      <c r="W114" s="607">
        <f>IF(ISBLANK(AE114),0,Calculos!E50)</f>
        <v>4.9999880000000001</v>
      </c>
      <c r="X114" s="1036"/>
      <c r="Y114" s="1037"/>
      <c r="Z114" s="1037"/>
      <c r="AA114" s="1038"/>
      <c r="AB114" s="1007"/>
      <c r="AC114" s="1008"/>
      <c r="AD114" s="1009"/>
      <c r="AE114" s="461">
        <v>1</v>
      </c>
      <c r="AF114" s="468"/>
      <c r="AG114" s="471"/>
      <c r="AH114" s="465"/>
      <c r="AJ114" s="769"/>
      <c r="AK114" s="775"/>
      <c r="AL114" s="771"/>
      <c r="AM114" s="776"/>
    </row>
    <row r="115" spans="1:39" ht="30" customHeight="1" thickBot="1">
      <c r="A115" s="309"/>
      <c r="B115" s="122"/>
      <c r="C115" s="122"/>
      <c r="D115" s="122"/>
      <c r="E115" s="122"/>
      <c r="F115" s="122"/>
      <c r="G115" s="122"/>
      <c r="H115" s="122"/>
      <c r="I115" s="122"/>
      <c r="J115" s="122"/>
      <c r="K115" s="122"/>
      <c r="L115" s="167"/>
      <c r="M115" s="167"/>
      <c r="N115" s="21"/>
      <c r="O115" s="21"/>
      <c r="P115" s="896" t="str">
        <f>IF(OR($H$36=V115,$H$37=V115,$H$38=V115,$H$39=V115,$H$40=V115),"ok","Revisar")</f>
        <v>ok</v>
      </c>
      <c r="Q115" s="961"/>
      <c r="R115" s="962"/>
      <c r="S115" s="179"/>
      <c r="T115" s="1012"/>
      <c r="U115" s="1013"/>
      <c r="V115" s="226"/>
      <c r="W115" s="607">
        <f>IF(ISBLANK(AE115),0,Calculos!E51)</f>
        <v>0</v>
      </c>
      <c r="X115" s="1036"/>
      <c r="Y115" s="1037"/>
      <c r="Z115" s="1037"/>
      <c r="AA115" s="1038"/>
      <c r="AB115" s="1007"/>
      <c r="AC115" s="1008"/>
      <c r="AD115" s="1009"/>
      <c r="AE115" s="461"/>
      <c r="AF115" s="468"/>
      <c r="AG115" s="471"/>
      <c r="AH115" s="465"/>
      <c r="AJ115" s="663"/>
      <c r="AL115" s="660"/>
      <c r="AM115" s="581"/>
    </row>
    <row r="116" spans="1:39" ht="30" customHeight="1" thickBot="1">
      <c r="A116" s="309"/>
      <c r="B116" s="122"/>
      <c r="C116" s="122"/>
      <c r="D116" s="122"/>
      <c r="E116" s="122"/>
      <c r="F116" s="122"/>
      <c r="G116" s="122"/>
      <c r="H116" s="122"/>
      <c r="I116" s="122"/>
      <c r="J116" s="122"/>
      <c r="K116" s="122"/>
      <c r="L116" s="167"/>
      <c r="M116" s="167"/>
      <c r="N116" s="21"/>
      <c r="O116" s="21"/>
      <c r="P116" s="896" t="str">
        <f>IF(OR($H$36=V116,$H$37=V116,$H$38=V116,$H$39=V116,$H$40=V116),"ok","Revisar")</f>
        <v>ok</v>
      </c>
      <c r="Q116" s="961"/>
      <c r="R116" s="962"/>
      <c r="S116" s="179"/>
      <c r="T116" s="984"/>
      <c r="U116" s="985"/>
      <c r="V116" s="226"/>
      <c r="W116" s="607">
        <f>IF(ISBLANK(AE116),0,Calculos!E52)</f>
        <v>0</v>
      </c>
      <c r="X116" s="1171"/>
      <c r="Y116" s="1172"/>
      <c r="Z116" s="1172"/>
      <c r="AA116" s="1173"/>
      <c r="AB116" s="987"/>
      <c r="AC116" s="1010"/>
      <c r="AD116" s="1011"/>
      <c r="AE116" s="461"/>
      <c r="AF116" s="469"/>
      <c r="AG116" s="472"/>
      <c r="AH116" s="466"/>
      <c r="AJ116" s="664"/>
      <c r="AK116" s="578"/>
      <c r="AL116" s="661"/>
      <c r="AM116" s="582"/>
    </row>
    <row r="117" spans="1:39" ht="30" customHeight="1" thickBot="1">
      <c r="A117" s="309"/>
      <c r="B117" s="122"/>
      <c r="C117" s="122"/>
      <c r="D117" s="122"/>
      <c r="E117" s="122"/>
      <c r="F117" s="122"/>
      <c r="G117" s="122"/>
      <c r="H117" s="122"/>
      <c r="I117" s="122"/>
      <c r="J117" s="122"/>
      <c r="K117" s="122"/>
      <c r="L117" s="167"/>
      <c r="M117" s="167"/>
      <c r="N117" s="21"/>
      <c r="O117" s="21"/>
      <c r="P117" s="896"/>
      <c r="Q117" s="963"/>
      <c r="R117" s="964"/>
      <c r="S117" s="223" t="s">
        <v>295</v>
      </c>
      <c r="T117" s="1022">
        <f>IF(COUNT(T113:U116)=0,"",T113*AE113+T114*AE114+T115*AE115+T116*AE116)</f>
        <v>25</v>
      </c>
      <c r="U117" s="1023"/>
      <c r="V117" s="227"/>
      <c r="W117" s="927">
        <f>IF(COUNT(W113:W116)=0,"",W113+W114+W115+W116)</f>
        <v>24.999991999999999</v>
      </c>
      <c r="X117" s="1015">
        <v>25.00001</v>
      </c>
      <c r="Y117" s="1016"/>
      <c r="Z117" s="1016"/>
      <c r="AA117" s="1017"/>
      <c r="AB117" s="1015">
        <v>0</v>
      </c>
      <c r="AC117" s="1016"/>
      <c r="AD117" s="1017"/>
      <c r="AE117" s="462"/>
      <c r="AF117" s="587">
        <f>AQ93</f>
        <v>22.803799999999999</v>
      </c>
      <c r="AG117" s="588">
        <f>AS93</f>
        <v>24.003999999999998</v>
      </c>
      <c r="AH117" s="589">
        <f>AR93</f>
        <v>25.204199999999997</v>
      </c>
      <c r="AI117" s="558" t="str">
        <f>IF(AND(T117&gt;0,T117&lt;1500000000.1,$I$20="mg")," ",IF(AND(T117&gt;0,T117&lt;1500000.1,$I$20="g"),"",IF(AND(T117&gt;0,T117&lt;1500.1,$I$20="Kg"),"","***")))</f>
        <v/>
      </c>
      <c r="AJ117" s="662">
        <f>Calculos!H53</f>
        <v>24.999984641287814</v>
      </c>
      <c r="AK117" s="569">
        <f>'Estimación de la Incertidumbre'!N40</f>
        <v>7.3328671417515837E-5</v>
      </c>
      <c r="AL117" s="659">
        <f>X117-AJ117</f>
        <v>2.5358712186118737E-5</v>
      </c>
      <c r="AM117" s="557" t="str">
        <f>IF(ISBLANK(X117),"",IF($AL$76="simple",IF(AND(ABS(X117-AJ117)&lt;=$G$21,$H$95&lt;=$T$21),"Cumple","No Cumple"),IF($AL$76="Conservadora",IF(AND(ABS(X117-AJ117)+AK117&lt;=$G$21-AK117,$H$95&lt;=$T$21),"Cumple","No Cumple"),"N.A.")))</f>
        <v>N.A.</v>
      </c>
    </row>
    <row r="118" spans="1:39" ht="30" customHeight="1" thickBot="1">
      <c r="A118" s="309"/>
      <c r="B118" s="122"/>
      <c r="C118" s="122"/>
      <c r="D118" s="122"/>
      <c r="E118" s="122"/>
      <c r="F118" s="122"/>
      <c r="G118" s="122"/>
      <c r="H118" s="122"/>
      <c r="I118" s="122"/>
      <c r="J118" s="122"/>
      <c r="K118" s="122"/>
      <c r="L118" s="167"/>
      <c r="M118" s="167"/>
      <c r="N118" s="21"/>
      <c r="O118" s="21"/>
      <c r="P118" s="896" t="str">
        <f>IF(OR($H$36=V118,$H$37=V118,$H$38=V118,$H$39=V118,$H$40=V118),"ok","Revisar")</f>
        <v>ok</v>
      </c>
      <c r="Q118" s="1000">
        <v>8</v>
      </c>
      <c r="R118" s="1001"/>
      <c r="S118" s="179" t="s">
        <v>152</v>
      </c>
      <c r="T118" s="984">
        <v>20</v>
      </c>
      <c r="U118" s="985"/>
      <c r="V118" s="226" t="s">
        <v>390</v>
      </c>
      <c r="W118" s="607">
        <f>IF(ISBLANK(AE118),0,Calculos!E54)</f>
        <v>20.000004000000001</v>
      </c>
      <c r="X118" s="1036"/>
      <c r="Y118" s="1037"/>
      <c r="Z118" s="1037"/>
      <c r="AA118" s="1038"/>
      <c r="AB118" s="1007"/>
      <c r="AC118" s="1008"/>
      <c r="AD118" s="1009"/>
      <c r="AE118" s="461">
        <v>1</v>
      </c>
      <c r="AF118" s="469"/>
      <c r="AG118" s="472"/>
      <c r="AH118" s="466"/>
      <c r="AJ118" s="765" t="s">
        <v>1455</v>
      </c>
      <c r="AK118" s="773">
        <f>(_xlfn.NORM.DIST($G$21,AL117,AK117/'Certificado de calibración'!R134,1)-_xlfn.NORM.DIST(-$G$21,AL117,AK117/'Certificado de calibración'!R134,1))</f>
        <v>0</v>
      </c>
      <c r="AL118" s="767" t="s">
        <v>1456</v>
      </c>
      <c r="AM118" s="774">
        <f>1-(_xlfn.NORM.DIST($G$21,AL117,AK117/'Certificado de calibración'!R134,1)-_xlfn.NORM.DIST(-$G$21,AL117,AK117/'Certificado de calibración'!R134,1))</f>
        <v>1</v>
      </c>
    </row>
    <row r="119" spans="1:39" ht="30" customHeight="1" thickBot="1">
      <c r="A119" s="309"/>
      <c r="B119" s="122"/>
      <c r="C119" s="122"/>
      <c r="D119" s="122"/>
      <c r="E119" s="122"/>
      <c r="F119" s="122"/>
      <c r="G119" s="122"/>
      <c r="H119" s="122"/>
      <c r="I119" s="122"/>
      <c r="J119" s="122"/>
      <c r="K119" s="122"/>
      <c r="L119" s="167"/>
      <c r="M119" s="167"/>
      <c r="N119" s="21"/>
      <c r="O119" s="21"/>
      <c r="P119" s="896" t="str">
        <f>IF(OR($H$36=V119,$H$37=V119,$H$38=V119,$H$39=V119,$H$40=V119),"ok","Revisar")</f>
        <v>ok</v>
      </c>
      <c r="Q119" s="961"/>
      <c r="R119" s="962"/>
      <c r="S119" s="179" t="s">
        <v>360</v>
      </c>
      <c r="T119" s="984">
        <v>5</v>
      </c>
      <c r="U119" s="985"/>
      <c r="V119" s="226" t="s">
        <v>390</v>
      </c>
      <c r="W119" s="607">
        <f>IF(ISBLANK(AE119),0,Calculos!E55)</f>
        <v>4.9999880000000001</v>
      </c>
      <c r="X119" s="1036"/>
      <c r="Y119" s="1037"/>
      <c r="Z119" s="1037"/>
      <c r="AA119" s="1038"/>
      <c r="AB119" s="1007"/>
      <c r="AC119" s="1008"/>
      <c r="AD119" s="1009"/>
      <c r="AE119" s="461">
        <v>1</v>
      </c>
      <c r="AF119" s="469"/>
      <c r="AG119" s="472"/>
      <c r="AH119" s="466"/>
      <c r="AJ119" s="769"/>
      <c r="AK119" s="775"/>
      <c r="AL119" s="771"/>
      <c r="AM119" s="776"/>
    </row>
    <row r="120" spans="1:39" ht="30" customHeight="1" thickBot="1">
      <c r="A120" s="309"/>
      <c r="B120" s="122"/>
      <c r="C120" s="122"/>
      <c r="D120" s="122"/>
      <c r="E120" s="122"/>
      <c r="F120" s="122"/>
      <c r="G120" s="122"/>
      <c r="H120" s="122"/>
      <c r="I120" s="122"/>
      <c r="J120" s="122"/>
      <c r="K120" s="122"/>
      <c r="L120" s="167"/>
      <c r="M120" s="167"/>
      <c r="N120" s="21"/>
      <c r="O120" s="21"/>
      <c r="P120" s="896" t="str">
        <f>IF(OR($H$36=V120,$H$37=V120,$H$38=V120,$H$39=V120,$H$40=V120),"ok","Revisar")</f>
        <v>ok</v>
      </c>
      <c r="Q120" s="961"/>
      <c r="R120" s="962"/>
      <c r="S120" s="179" t="s">
        <v>152</v>
      </c>
      <c r="T120" s="984">
        <v>2</v>
      </c>
      <c r="U120" s="985"/>
      <c r="V120" s="226" t="s">
        <v>390</v>
      </c>
      <c r="W120" s="607">
        <f>IF(ISBLANK(AE120),0,Calculos!E56)</f>
        <v>1.9999899999999999</v>
      </c>
      <c r="X120" s="1036"/>
      <c r="Y120" s="1037"/>
      <c r="Z120" s="1037"/>
      <c r="AA120" s="1038"/>
      <c r="AB120" s="1007"/>
      <c r="AC120" s="1008"/>
      <c r="AD120" s="1009"/>
      <c r="AE120" s="461">
        <v>1</v>
      </c>
      <c r="AF120" s="468"/>
      <c r="AG120" s="471"/>
      <c r="AH120" s="465"/>
      <c r="AJ120" s="663"/>
      <c r="AL120" s="660"/>
      <c r="AM120" s="581"/>
    </row>
    <row r="121" spans="1:39" ht="30" customHeight="1" thickBot="1">
      <c r="A121" s="309"/>
      <c r="B121" s="122"/>
      <c r="C121" s="122"/>
      <c r="D121" s="122"/>
      <c r="E121" s="122"/>
      <c r="F121" s="122"/>
      <c r="G121" s="122"/>
      <c r="H121" s="122"/>
      <c r="I121" s="122"/>
      <c r="J121" s="122"/>
      <c r="K121" s="122"/>
      <c r="L121" s="167"/>
      <c r="M121" s="167"/>
      <c r="N121" s="21"/>
      <c r="O121" s="21"/>
      <c r="P121" s="896" t="str">
        <f>IF(OR($H$36=V121,$H$37=V121,$H$38=V121,$H$39=V121,$H$40=V121),"ok","Revisar")</f>
        <v>ok</v>
      </c>
      <c r="Q121" s="961"/>
      <c r="R121" s="962"/>
      <c r="S121" s="179"/>
      <c r="T121" s="984"/>
      <c r="U121" s="985"/>
      <c r="V121" s="226"/>
      <c r="W121" s="607">
        <f>IF(ISBLANK(AE121),0,Calculos!E57)</f>
        <v>0</v>
      </c>
      <c r="X121" s="1171"/>
      <c r="Y121" s="1172"/>
      <c r="Z121" s="1172"/>
      <c r="AA121" s="1173"/>
      <c r="AB121" s="987"/>
      <c r="AC121" s="1010"/>
      <c r="AD121" s="1011"/>
      <c r="AE121" s="461"/>
      <c r="AF121" s="468"/>
      <c r="AG121" s="471"/>
      <c r="AH121" s="465"/>
      <c r="AJ121" s="663"/>
      <c r="AL121" s="660"/>
      <c r="AM121" s="581"/>
    </row>
    <row r="122" spans="1:39" ht="30" customHeight="1" thickBot="1">
      <c r="A122" s="309"/>
      <c r="B122" s="122"/>
      <c r="C122" s="122"/>
      <c r="D122" s="122"/>
      <c r="E122" s="122"/>
      <c r="F122" s="122"/>
      <c r="G122" s="122"/>
      <c r="H122" s="122"/>
      <c r="I122" s="122"/>
      <c r="J122" s="122"/>
      <c r="K122" s="122"/>
      <c r="L122" s="167"/>
      <c r="M122" s="167"/>
      <c r="N122" s="21"/>
      <c r="O122" s="21"/>
      <c r="P122" s="896"/>
      <c r="Q122" s="963"/>
      <c r="R122" s="964"/>
      <c r="S122" s="223" t="s">
        <v>295</v>
      </c>
      <c r="T122" s="1156">
        <f>IF(COUNT(T118:U121)=0,"",T118*AE118+T119*AE119+T120*AE120+T121*AE121)</f>
        <v>27</v>
      </c>
      <c r="U122" s="1157"/>
      <c r="V122" s="224"/>
      <c r="W122" s="927">
        <f>IF(COUNT(W118:W121)=0,"",W118+W119+W120+W121)</f>
        <v>26.999981999999999</v>
      </c>
      <c r="X122" s="1015">
        <v>27.00001</v>
      </c>
      <c r="Y122" s="1016"/>
      <c r="Z122" s="1016"/>
      <c r="AA122" s="1017"/>
      <c r="AB122" s="1015">
        <v>0</v>
      </c>
      <c r="AC122" s="1016"/>
      <c r="AD122" s="1017"/>
      <c r="AE122" s="462"/>
      <c r="AF122" s="583">
        <f>AQ94</f>
        <v>26.602849999999997</v>
      </c>
      <c r="AG122" s="586">
        <f>AS94</f>
        <v>28.002999999999997</v>
      </c>
      <c r="AH122" s="585">
        <f>AR94</f>
        <v>29.403149999999997</v>
      </c>
      <c r="AI122" s="558" t="str">
        <f>IF(AND(T122&gt;0,T122&lt;1500000000.1,$I$20="mg")," ",IF(AND(T122&gt;0,T122&lt;1500000.1,$I$20="g"),"",IF(AND(T122&gt;0,T122&lt;1500.1,$I$20="Kg"),"","***")))</f>
        <v/>
      </c>
      <c r="AJ122" s="662">
        <f>Calculos!H58</f>
        <v>26.999974852589851</v>
      </c>
      <c r="AK122" s="569">
        <f>'Estimación de la Incertidumbre'!O40</f>
        <v>9.2338127556328709E-5</v>
      </c>
      <c r="AL122" s="659">
        <f>X122-AJ122</f>
        <v>3.5147410148539393E-5</v>
      </c>
      <c r="AM122" s="557" t="str">
        <f>IF(ISBLANK(X122),"",IF($AL$76="simple",IF(AND(ABS(X122-AJ122)&lt;=$G$21,$H$95&lt;=$T$21),"Cumple","No Cumple"),IF($AL$76="Conservadora",IF(AND(ABS(X122-AJ122)+AK122&lt;=$G$21-AK122,$H$95&lt;=$T$21),"Cumple","No Cumple"),"N.A.")))</f>
        <v>N.A.</v>
      </c>
    </row>
    <row r="123" spans="1:39" ht="30" customHeight="1" thickBot="1">
      <c r="A123" s="309"/>
      <c r="B123" s="122"/>
      <c r="C123" s="122"/>
      <c r="D123" s="122"/>
      <c r="E123" s="122"/>
      <c r="F123" s="122"/>
      <c r="G123" s="122"/>
      <c r="H123" s="122"/>
      <c r="I123" s="122"/>
      <c r="J123" s="122"/>
      <c r="K123" s="122"/>
      <c r="L123" s="167"/>
      <c r="M123" s="167"/>
      <c r="N123" s="21"/>
      <c r="O123" s="21"/>
      <c r="P123" s="896" t="str">
        <f>IF(OR($H$36=V123,$H$37=V123,$H$38=V123,$H$39=V123,$H$40=V123),"ok","Revisar")</f>
        <v>ok</v>
      </c>
      <c r="Q123" s="1000">
        <v>9</v>
      </c>
      <c r="R123" s="1001"/>
      <c r="S123" s="179" t="s">
        <v>152</v>
      </c>
      <c r="T123" s="984">
        <v>20</v>
      </c>
      <c r="U123" s="985"/>
      <c r="V123" s="226" t="s">
        <v>390</v>
      </c>
      <c r="W123" s="607">
        <f>IF(ISBLANK(AE123),0,Calculos!E59)</f>
        <v>20.000004000000001</v>
      </c>
      <c r="X123" s="1036"/>
      <c r="Y123" s="1037"/>
      <c r="Z123" s="1037"/>
      <c r="AA123" s="1038"/>
      <c r="AB123" s="1007"/>
      <c r="AC123" s="1008"/>
      <c r="AD123" s="1009"/>
      <c r="AE123" s="461">
        <v>1</v>
      </c>
      <c r="AF123" s="468"/>
      <c r="AG123" s="471"/>
      <c r="AH123" s="465"/>
      <c r="AJ123" s="765" t="s">
        <v>1455</v>
      </c>
      <c r="AK123" s="773">
        <f>(_xlfn.NORM.DIST($G$21,AL122,AK122/'Certificado de calibración'!R135,1)-_xlfn.NORM.DIST(-$G$21,AL122,AK122/'Certificado de calibración'!R135,1))</f>
        <v>0</v>
      </c>
      <c r="AL123" s="767" t="s">
        <v>1456</v>
      </c>
      <c r="AM123" s="774">
        <f>1-(_xlfn.NORM.DIST($G$21,AL122,AK122/'Certificado de calibración'!R135,1)-_xlfn.NORM.DIST(-$G$21,AL122,AK122/'Certificado de calibración'!R135,1))</f>
        <v>1</v>
      </c>
    </row>
    <row r="124" spans="1:39" ht="30" customHeight="1" thickBot="1">
      <c r="A124" s="309"/>
      <c r="B124" s="122"/>
      <c r="C124" s="122"/>
      <c r="D124" s="122"/>
      <c r="E124" s="122"/>
      <c r="F124" s="122"/>
      <c r="G124" s="122"/>
      <c r="H124" s="122"/>
      <c r="I124" s="122"/>
      <c r="J124" s="122"/>
      <c r="K124" s="122"/>
      <c r="L124" s="167"/>
      <c r="M124" s="167"/>
      <c r="N124" s="21"/>
      <c r="O124" s="21"/>
      <c r="P124" s="896" t="str">
        <f>IF(OR($H$36=V124,$H$37=V124,$H$38=V124,$H$39=V124,$H$40=V124),"ok","Revisar")</f>
        <v>ok</v>
      </c>
      <c r="Q124" s="961"/>
      <c r="R124" s="962"/>
      <c r="S124" s="179" t="s">
        <v>360</v>
      </c>
      <c r="T124" s="984">
        <v>10</v>
      </c>
      <c r="U124" s="985"/>
      <c r="V124" s="226" t="s">
        <v>390</v>
      </c>
      <c r="W124" s="607">
        <f>IF(ISBLANK(AE124),0,Calculos!E60)</f>
        <v>10.000019999999999</v>
      </c>
      <c r="X124" s="1036"/>
      <c r="Y124" s="1037"/>
      <c r="Z124" s="1037"/>
      <c r="AA124" s="1038"/>
      <c r="AB124" s="1007"/>
      <c r="AC124" s="1008"/>
      <c r="AD124" s="1009"/>
      <c r="AE124" s="461">
        <v>1</v>
      </c>
      <c r="AF124" s="468"/>
      <c r="AG124" s="471"/>
      <c r="AH124" s="465"/>
      <c r="AJ124" s="769"/>
      <c r="AK124" s="775"/>
      <c r="AL124" s="771"/>
      <c r="AM124" s="776"/>
    </row>
    <row r="125" spans="1:39" ht="30" customHeight="1" thickBot="1">
      <c r="A125" s="309"/>
      <c r="B125" s="122"/>
      <c r="C125" s="122"/>
      <c r="D125" s="122"/>
      <c r="E125" s="122"/>
      <c r="F125" s="122"/>
      <c r="G125" s="122"/>
      <c r="H125" s="122"/>
      <c r="I125" s="122"/>
      <c r="J125" s="122"/>
      <c r="K125" s="122"/>
      <c r="L125" s="167"/>
      <c r="M125" s="167"/>
      <c r="N125" s="21"/>
      <c r="O125" s="21"/>
      <c r="P125" s="896" t="str">
        <f>IF(OR($H$36=V125,$H$37=V125,$H$38=V125,$H$39=V125,$H$40=V125),"ok","Revisar")</f>
        <v>ok</v>
      </c>
      <c r="Q125" s="961"/>
      <c r="R125" s="962"/>
      <c r="S125" s="179"/>
      <c r="T125" s="984"/>
      <c r="U125" s="985"/>
      <c r="V125" s="226"/>
      <c r="W125" s="607">
        <f>IF(ISBLANK(AE125),0,Calculos!E61)</f>
        <v>0</v>
      </c>
      <c r="X125" s="1036"/>
      <c r="Y125" s="1037"/>
      <c r="Z125" s="1037"/>
      <c r="AA125" s="1038"/>
      <c r="AB125" s="1007"/>
      <c r="AC125" s="1008"/>
      <c r="AD125" s="1009"/>
      <c r="AE125" s="461"/>
      <c r="AF125" s="468"/>
      <c r="AG125" s="471"/>
      <c r="AH125" s="465"/>
      <c r="AJ125" s="663"/>
      <c r="AL125" s="660"/>
      <c r="AM125" s="581"/>
    </row>
    <row r="126" spans="1:39" ht="30" customHeight="1" thickBot="1">
      <c r="A126" s="309"/>
      <c r="B126" s="122"/>
      <c r="C126" s="122"/>
      <c r="D126" s="122"/>
      <c r="E126" s="122"/>
      <c r="F126" s="122"/>
      <c r="G126" s="122"/>
      <c r="H126" s="122"/>
      <c r="I126" s="122"/>
      <c r="J126" s="122"/>
      <c r="K126" s="122"/>
      <c r="L126" s="167"/>
      <c r="M126" s="167"/>
      <c r="N126" s="21"/>
      <c r="O126" s="21"/>
      <c r="P126" s="896" t="str">
        <f>IF(OR($H$36=V126,$H$37=V126,$H$38=V126,$H$39=V126,$H$40=V126),"ok","Revisar")</f>
        <v>ok</v>
      </c>
      <c r="Q126" s="961"/>
      <c r="R126" s="962"/>
      <c r="S126" s="179"/>
      <c r="T126" s="984"/>
      <c r="U126" s="985"/>
      <c r="V126" s="226"/>
      <c r="W126" s="607">
        <f>IF(ISBLANK(AE126),0,Calculos!E62)</f>
        <v>0</v>
      </c>
      <c r="X126" s="1036"/>
      <c r="Y126" s="1037"/>
      <c r="Z126" s="1037"/>
      <c r="AA126" s="1038"/>
      <c r="AB126" s="1007"/>
      <c r="AC126" s="1008"/>
      <c r="AD126" s="1009"/>
      <c r="AE126" s="461"/>
      <c r="AF126" s="468"/>
      <c r="AG126" s="471"/>
      <c r="AH126" s="465"/>
      <c r="AJ126" s="663"/>
      <c r="AL126" s="660"/>
      <c r="AM126" s="581"/>
    </row>
    <row r="127" spans="1:39" ht="30" customHeight="1" thickBot="1">
      <c r="A127" s="309"/>
      <c r="B127" s="122"/>
      <c r="C127" s="122"/>
      <c r="D127" s="122"/>
      <c r="E127" s="122"/>
      <c r="F127" s="122"/>
      <c r="G127" s="122"/>
      <c r="H127" s="122"/>
      <c r="I127" s="122"/>
      <c r="J127" s="122"/>
      <c r="K127" s="122"/>
      <c r="L127" s="167"/>
      <c r="M127" s="167"/>
      <c r="N127" s="21"/>
      <c r="O127" s="21"/>
      <c r="P127" s="896"/>
      <c r="Q127" s="963"/>
      <c r="R127" s="964"/>
      <c r="S127" s="223" t="s">
        <v>295</v>
      </c>
      <c r="T127" s="1156">
        <f>IF(COUNT(T123:U126)=0,"",T123*AE123+T124*AE124+T125*AE125+T126*AE126)</f>
        <v>30</v>
      </c>
      <c r="U127" s="1157"/>
      <c r="V127" s="224"/>
      <c r="W127" s="927">
        <f>IF(COUNT(W123:W126)=0,"",W123+W124+W125+W126)</f>
        <v>30.000024</v>
      </c>
      <c r="X127" s="1015">
        <v>30.00001</v>
      </c>
      <c r="Y127" s="1016"/>
      <c r="Z127" s="1016"/>
      <c r="AA127" s="1017"/>
      <c r="AB127" s="1015">
        <v>0</v>
      </c>
      <c r="AC127" s="1016"/>
      <c r="AD127" s="1017"/>
      <c r="AE127" s="462"/>
      <c r="AF127" s="587">
        <f>AQ95</f>
        <v>30.401899999999994</v>
      </c>
      <c r="AG127" s="588">
        <f>AS95</f>
        <v>32.001999999999995</v>
      </c>
      <c r="AH127" s="589">
        <f>AR95</f>
        <v>33.602099999999993</v>
      </c>
      <c r="AI127" s="558" t="str">
        <f>IF(AND(T127&gt;0,T127&lt;1500000000.1,$I$20="mg")," ",IF(AND(T127&gt;0,T127&lt;1500000.1,$I$20="g"),"",IF(AND(T127&gt;0,T127&lt;1500.1,$I$20="Kg"),"","***")))</f>
        <v/>
      </c>
      <c r="AJ127" s="662">
        <f>Calculos!H63</f>
        <v>30.00000716954893</v>
      </c>
      <c r="AK127" s="569">
        <f>'Estimación de la Incertidumbre'!P40</f>
        <v>8.1052707744965345E-5</v>
      </c>
      <c r="AL127" s="659">
        <f>X127-AJ127</f>
        <v>2.830451069968376E-6</v>
      </c>
      <c r="AM127" s="557" t="str">
        <f>IF(ISBLANK(X127),"",IF($AL$76="simple",IF(AND(ABS(X127-AJ127)&lt;=$G$21,$H$95&lt;=$T$21),"Cumple","No Cumple"),IF($AL$76="Conservadora",IF(AND(ABS(X127-AJ127)+AK127&lt;=$G$21-AK127,$H$95&lt;=$T$21),"Cumple","No Cumple"),"N.A.")))</f>
        <v>N.A.</v>
      </c>
    </row>
    <row r="128" spans="1:39" ht="30" customHeight="1" thickBot="1">
      <c r="A128" s="309"/>
      <c r="B128" s="122"/>
      <c r="C128" s="122"/>
      <c r="D128" s="122"/>
      <c r="E128" s="122"/>
      <c r="F128" s="122"/>
      <c r="G128" s="122"/>
      <c r="H128" s="122"/>
      <c r="I128" s="122"/>
      <c r="J128" s="122"/>
      <c r="K128" s="122"/>
      <c r="L128" s="167"/>
      <c r="M128" s="167"/>
      <c r="N128" s="21"/>
      <c r="O128" s="21"/>
      <c r="P128" s="896" t="str">
        <f>IF(OR($H$36=V128,$H$37=V128,$H$38=V128,$H$39=V128,$H$40=V128),"ok","Revisar")</f>
        <v>ok</v>
      </c>
      <c r="Q128" s="1000">
        <v>10</v>
      </c>
      <c r="R128" s="1001"/>
      <c r="S128" s="179" t="s">
        <v>152</v>
      </c>
      <c r="T128" s="984">
        <v>20</v>
      </c>
      <c r="U128" s="985"/>
      <c r="V128" s="226" t="s">
        <v>390</v>
      </c>
      <c r="W128" s="607">
        <f>IF(ISBLANK(AE128),0,Calculos!E64)</f>
        <v>20.000004000000001</v>
      </c>
      <c r="X128" s="1036"/>
      <c r="Y128" s="1037"/>
      <c r="Z128" s="1037"/>
      <c r="AA128" s="1038"/>
      <c r="AB128" s="1007"/>
      <c r="AC128" s="1008"/>
      <c r="AD128" s="1009"/>
      <c r="AE128" s="461">
        <v>1</v>
      </c>
      <c r="AF128" s="469"/>
      <c r="AG128" s="472"/>
      <c r="AH128" s="466"/>
      <c r="AJ128" s="765" t="s">
        <v>1455</v>
      </c>
      <c r="AK128" s="773">
        <f>(_xlfn.NORM.DIST($G$21,AL127,AK127/'Certificado de calibración'!R136,1)-_xlfn.NORM.DIST(-$G$21,AL127,AK127/'Certificado de calibración'!R136,1))</f>
        <v>0</v>
      </c>
      <c r="AL128" s="767" t="s">
        <v>1456</v>
      </c>
      <c r="AM128" s="774">
        <f>1-(_xlfn.NORM.DIST($G$21,AL127,AK127/'Certificado de calibración'!R136,1)-_xlfn.NORM.DIST(-$G$21,AL127,AK127/'Certificado de calibración'!R136,1))</f>
        <v>1</v>
      </c>
    </row>
    <row r="129" spans="1:39" ht="30" customHeight="1" thickBot="1">
      <c r="A129" s="309"/>
      <c r="B129" s="122"/>
      <c r="C129" s="122"/>
      <c r="D129" s="122"/>
      <c r="E129" s="122"/>
      <c r="F129" s="122"/>
      <c r="G129" s="122"/>
      <c r="H129" s="122"/>
      <c r="I129" s="122"/>
      <c r="J129" s="122"/>
      <c r="K129" s="122"/>
      <c r="L129" s="167"/>
      <c r="M129" s="167"/>
      <c r="N129" s="21"/>
      <c r="O129" s="21"/>
      <c r="P129" s="896" t="str">
        <f>IF(OR($H$36=V129,$H$37=V129,$H$38=V129,$H$39=V129,$H$40=V129),"ok","Revisar")</f>
        <v>ok</v>
      </c>
      <c r="Q129" s="961"/>
      <c r="R129" s="962"/>
      <c r="S129" s="179" t="s">
        <v>360</v>
      </c>
      <c r="T129" s="984">
        <v>10</v>
      </c>
      <c r="U129" s="985"/>
      <c r="V129" s="226" t="s">
        <v>390</v>
      </c>
      <c r="W129" s="607">
        <f>IF(ISBLANK(AE129),0,Calculos!E65)</f>
        <v>10.000019999999999</v>
      </c>
      <c r="X129" s="1036"/>
      <c r="Y129" s="1037"/>
      <c r="Z129" s="1037"/>
      <c r="AA129" s="1038"/>
      <c r="AB129" s="1007"/>
      <c r="AC129" s="1008"/>
      <c r="AD129" s="1009"/>
      <c r="AE129" s="461">
        <v>1</v>
      </c>
      <c r="AF129" s="469"/>
      <c r="AG129" s="472"/>
      <c r="AH129" s="466"/>
      <c r="AJ129" s="769"/>
      <c r="AK129" s="775"/>
      <c r="AL129" s="771"/>
      <c r="AM129" s="776"/>
    </row>
    <row r="130" spans="1:39" ht="30" customHeight="1" thickBot="1">
      <c r="A130" s="309"/>
      <c r="B130" s="122"/>
      <c r="C130" s="122"/>
      <c r="D130" s="122"/>
      <c r="E130" s="122"/>
      <c r="F130" s="122"/>
      <c r="G130" s="122"/>
      <c r="H130" s="122"/>
      <c r="I130" s="122"/>
      <c r="J130" s="122"/>
      <c r="K130" s="122"/>
      <c r="L130" s="167"/>
      <c r="M130" s="167"/>
      <c r="N130" s="21"/>
      <c r="O130" s="21"/>
      <c r="P130" s="896" t="str">
        <f>IF(OR($H$36=V130,$H$37=V130,$H$38=V130,$H$39=V130,$H$40=V130),"ok","Revisar")</f>
        <v>ok</v>
      </c>
      <c r="Q130" s="961"/>
      <c r="R130" s="962"/>
      <c r="S130" s="179" t="s">
        <v>360</v>
      </c>
      <c r="T130" s="984">
        <v>5</v>
      </c>
      <c r="U130" s="985"/>
      <c r="V130" s="226" t="s">
        <v>390</v>
      </c>
      <c r="W130" s="607">
        <f>IF(ISBLANK(AE130),0,Calculos!E66)</f>
        <v>4.9999880000000001</v>
      </c>
      <c r="X130" s="1036"/>
      <c r="Y130" s="1037"/>
      <c r="Z130" s="1037"/>
      <c r="AA130" s="1038"/>
      <c r="AB130" s="1007"/>
      <c r="AC130" s="1008"/>
      <c r="AD130" s="1009"/>
      <c r="AE130" s="461">
        <v>1</v>
      </c>
      <c r="AF130" s="469"/>
      <c r="AG130" s="472"/>
      <c r="AH130" s="466"/>
      <c r="AJ130" s="663"/>
      <c r="AL130" s="660"/>
      <c r="AM130" s="581"/>
    </row>
    <row r="131" spans="1:39" ht="30" customHeight="1" thickBot="1">
      <c r="A131" s="309"/>
      <c r="B131" s="122"/>
      <c r="C131" s="122"/>
      <c r="D131" s="122"/>
      <c r="E131" s="122"/>
      <c r="F131" s="122"/>
      <c r="G131" s="122"/>
      <c r="H131" s="122"/>
      <c r="I131" s="122"/>
      <c r="J131" s="122"/>
      <c r="K131" s="122"/>
      <c r="L131" s="167"/>
      <c r="M131" s="167"/>
      <c r="N131" s="21"/>
      <c r="O131" s="21"/>
      <c r="P131" s="896" t="str">
        <f>IF(OR($H$36=V131,$H$37=V131,$H$38=V131,$H$39=V131,$H$40=V131),"ok","Revisar")</f>
        <v>ok</v>
      </c>
      <c r="Q131" s="961"/>
      <c r="R131" s="962"/>
      <c r="S131" s="179"/>
      <c r="T131" s="984"/>
      <c r="U131" s="985"/>
      <c r="V131" s="226"/>
      <c r="W131" s="607">
        <f>IF(ISBLANK(AE131),0,Calculos!E67)</f>
        <v>0</v>
      </c>
      <c r="X131" s="1036"/>
      <c r="Y131" s="1037"/>
      <c r="Z131" s="1037"/>
      <c r="AA131" s="1038"/>
      <c r="AB131" s="1007"/>
      <c r="AC131" s="1008"/>
      <c r="AD131" s="1009"/>
      <c r="AE131" s="461"/>
      <c r="AF131" s="468"/>
      <c r="AG131" s="471"/>
      <c r="AH131" s="465"/>
      <c r="AJ131" s="663"/>
      <c r="AL131" s="660"/>
      <c r="AM131" s="581"/>
    </row>
    <row r="132" spans="1:39" ht="30" customHeight="1" thickBot="1">
      <c r="A132" s="309"/>
      <c r="B132" s="122"/>
      <c r="C132" s="122"/>
      <c r="D132" s="122"/>
      <c r="E132" s="122"/>
      <c r="F132" s="122"/>
      <c r="G132" s="122"/>
      <c r="H132" s="122"/>
      <c r="I132" s="122"/>
      <c r="J132" s="122"/>
      <c r="K132" s="122"/>
      <c r="L132" s="167"/>
      <c r="M132" s="167"/>
      <c r="N132" s="21"/>
      <c r="O132" s="21"/>
      <c r="P132" s="896" t="str">
        <f>IF(OR($H$36=V132,$H$37=V132,$H$38=V132,$H$39=V132,$H$40=V132),"ok","Revisar")</f>
        <v>ok</v>
      </c>
      <c r="Q132" s="961"/>
      <c r="R132" s="962"/>
      <c r="S132" s="179"/>
      <c r="T132" s="984"/>
      <c r="U132" s="985"/>
      <c r="V132" s="226"/>
      <c r="W132" s="607">
        <f>IF(ISBLANK(AE132),0,Calculos!E68)</f>
        <v>0</v>
      </c>
      <c r="X132" s="1036"/>
      <c r="Y132" s="1037"/>
      <c r="Z132" s="1037"/>
      <c r="AA132" s="1038"/>
      <c r="AB132" s="1007"/>
      <c r="AC132" s="1008"/>
      <c r="AD132" s="1009"/>
      <c r="AE132" s="463"/>
      <c r="AF132" s="468"/>
      <c r="AG132" s="471"/>
      <c r="AH132" s="465"/>
      <c r="AJ132" s="663"/>
      <c r="AL132" s="660"/>
      <c r="AM132" s="581"/>
    </row>
    <row r="133" spans="1:39" ht="30" customHeight="1" thickBot="1">
      <c r="A133" s="309"/>
      <c r="B133" s="122"/>
      <c r="C133" s="122"/>
      <c r="D133" s="122"/>
      <c r="E133" s="122"/>
      <c r="F133" s="122"/>
      <c r="G133" s="122"/>
      <c r="H133" s="122"/>
      <c r="I133" s="122"/>
      <c r="J133" s="122"/>
      <c r="K133" s="122"/>
      <c r="L133" s="167"/>
      <c r="M133" s="167"/>
      <c r="N133" s="21"/>
      <c r="O133" s="21"/>
      <c r="P133" s="896"/>
      <c r="Q133" s="963"/>
      <c r="R133" s="964"/>
      <c r="S133" s="228" t="s">
        <v>295</v>
      </c>
      <c r="T133" s="1174">
        <f>IF(COUNT(T128:U131)=0,"",T128*AE128+T129*AE129+T130*AE130+T131*AE131+T132*AE132)</f>
        <v>35</v>
      </c>
      <c r="U133" s="1175"/>
      <c r="V133" s="227"/>
      <c r="W133" s="927">
        <f>IF(COUNT(W128:W132)=0,"",W128+W129+W130+W131+W132)</f>
        <v>35.000011999999998</v>
      </c>
      <c r="X133" s="1015">
        <v>35.000019999999999</v>
      </c>
      <c r="Y133" s="1016"/>
      <c r="Z133" s="1016"/>
      <c r="AA133" s="1017"/>
      <c r="AB133" s="1015">
        <v>0</v>
      </c>
      <c r="AC133" s="1016"/>
      <c r="AD133" s="1017"/>
      <c r="AE133" s="462"/>
      <c r="AF133" s="583">
        <f>AQ96</f>
        <v>34.200949999999999</v>
      </c>
      <c r="AG133" s="586">
        <f>AS96</f>
        <v>36.000999999999998</v>
      </c>
      <c r="AH133" s="585">
        <f>AR96</f>
        <v>37.801049999999996</v>
      </c>
      <c r="AI133" s="558" t="str">
        <f>IF(AND(T133&gt;0,T133&lt;1500000000.1,$I$20="mg")," ",IF(AND(T133&gt;0,T133&lt;1500000.1,$I$20="g"),"",IF(AND(T133&gt;0,T133&lt;1500.1,$I$20="Kg"),"","***")))</f>
        <v/>
      </c>
      <c r="AJ133" s="662">
        <f>Calculos!H69</f>
        <v>34.999995697805389</v>
      </c>
      <c r="AK133" s="569">
        <f>'Estimación de la Incertidumbre'!Q40</f>
        <v>1.0577384405320574E-4</v>
      </c>
      <c r="AL133" s="659">
        <f>X133-AJ133</f>
        <v>2.4302194610470451E-5</v>
      </c>
      <c r="AM133" s="557" t="str">
        <f>IF(ISBLANK(X133),"",IF($AL$76="simple",IF(AND(ABS(X133-AJ133)&lt;=$G$21,$H$95&lt;=$T$21),"Cumple","No Cumple"),IF($AL$76="Conservadora",IF(AND(ABS(X133-AJ133)+AK133&lt;=$G$21-AK133,$H$95&lt;=$T$21),"Cumple","No Cumple"),"N.A.")))</f>
        <v>N.A.</v>
      </c>
    </row>
    <row r="134" spans="1:39" ht="30" customHeight="1" thickBot="1">
      <c r="A134" s="309"/>
      <c r="B134" s="122"/>
      <c r="C134" s="122"/>
      <c r="D134" s="122"/>
      <c r="E134" s="122"/>
      <c r="F134" s="122"/>
      <c r="G134" s="122"/>
      <c r="H134" s="122"/>
      <c r="I134" s="122"/>
      <c r="J134" s="122"/>
      <c r="K134" s="122"/>
      <c r="L134" s="167"/>
      <c r="M134" s="167"/>
      <c r="N134" s="21"/>
      <c r="O134" s="21"/>
      <c r="P134" s="896" t="str">
        <f>IF(OR($H$36=V134,$H$37=V134,$H$38=V134,$H$39=V134,$H$40=V134),"ok","Revisar")</f>
        <v>ok</v>
      </c>
      <c r="Q134" s="1000">
        <v>11</v>
      </c>
      <c r="R134" s="1001"/>
      <c r="S134" s="179" t="s">
        <v>152</v>
      </c>
      <c r="T134" s="984">
        <v>20</v>
      </c>
      <c r="U134" s="985"/>
      <c r="V134" s="226" t="s">
        <v>390</v>
      </c>
      <c r="W134" s="607">
        <f>IF(ISBLANK(AE134),0,Calculos!E70)</f>
        <v>20.000004000000001</v>
      </c>
      <c r="X134" s="1036"/>
      <c r="Y134" s="1037"/>
      <c r="Z134" s="1037"/>
      <c r="AA134" s="1038"/>
      <c r="AB134" s="1007"/>
      <c r="AC134" s="1008"/>
      <c r="AD134" s="1009"/>
      <c r="AE134" s="461">
        <v>1</v>
      </c>
      <c r="AF134" s="468"/>
      <c r="AG134" s="471"/>
      <c r="AH134" s="465"/>
      <c r="AJ134" s="765" t="s">
        <v>1455</v>
      </c>
      <c r="AK134" s="773">
        <f>(_xlfn.NORM.DIST($G$21,AL133,AK133/'Certificado de calibración'!R137,1)-_xlfn.NORM.DIST(-$G$21,AL133,AK133/'Certificado de calibración'!R137,1))</f>
        <v>0</v>
      </c>
      <c r="AL134" s="767" t="s">
        <v>1456</v>
      </c>
      <c r="AM134" s="774">
        <f>1-(_xlfn.NORM.DIST($G$21,AL133,AK133/'Certificado de calibración'!R137,1)-_xlfn.NORM.DIST(-$G$21,AL133,AK133/'Certificado de calibración'!R137,1))</f>
        <v>1</v>
      </c>
    </row>
    <row r="135" spans="1:39" ht="30" customHeight="1" thickBot="1">
      <c r="A135" s="309"/>
      <c r="B135" s="122"/>
      <c r="C135" s="122"/>
      <c r="D135" s="122"/>
      <c r="E135" s="122"/>
      <c r="F135" s="122"/>
      <c r="G135" s="122"/>
      <c r="H135" s="122"/>
      <c r="I135" s="122"/>
      <c r="J135" s="122"/>
      <c r="K135" s="122"/>
      <c r="L135" s="167"/>
      <c r="M135" s="167"/>
      <c r="N135" s="21"/>
      <c r="O135" s="21"/>
      <c r="P135" s="896" t="str">
        <f>IF(OR($H$36=V135,$H$37=V135,$H$38=V135,$H$39=V135,$H$40=V135),"ok","Revisar")</f>
        <v>ok</v>
      </c>
      <c r="Q135" s="961"/>
      <c r="R135" s="962"/>
      <c r="S135" s="179" t="s">
        <v>153</v>
      </c>
      <c r="T135" s="984">
        <v>20</v>
      </c>
      <c r="U135" s="985"/>
      <c r="V135" s="226" t="s">
        <v>390</v>
      </c>
      <c r="W135" s="607">
        <f>IF(ISBLANK(AE135),0,Calculos!E71)</f>
        <v>20.00001</v>
      </c>
      <c r="X135" s="1036"/>
      <c r="Y135" s="1037"/>
      <c r="Z135" s="1037"/>
      <c r="AA135" s="1038"/>
      <c r="AB135" s="1007"/>
      <c r="AC135" s="1008"/>
      <c r="AD135" s="1009"/>
      <c r="AE135" s="461">
        <v>1</v>
      </c>
      <c r="AF135" s="468"/>
      <c r="AG135" s="471"/>
      <c r="AH135" s="465"/>
      <c r="AJ135" s="769"/>
      <c r="AK135" s="775"/>
      <c r="AL135" s="771"/>
      <c r="AM135" s="776"/>
    </row>
    <row r="136" spans="1:39" ht="30" customHeight="1" thickBot="1">
      <c r="A136" s="309"/>
      <c r="B136" s="122"/>
      <c r="C136" s="122"/>
      <c r="D136" s="122"/>
      <c r="E136" s="122"/>
      <c r="F136" s="122"/>
      <c r="G136" s="122"/>
      <c r="H136" s="122"/>
      <c r="I136" s="122"/>
      <c r="J136" s="122"/>
      <c r="K136" s="122"/>
      <c r="L136" s="167"/>
      <c r="M136" s="167"/>
      <c r="N136" s="21"/>
      <c r="O136" s="21"/>
      <c r="P136" s="896" t="str">
        <f>IF(OR($H$36=V136,$H$37=V136,$H$38=V136,$H$39=V136,$H$40=V136),"ok","Revisar")</f>
        <v>ok</v>
      </c>
      <c r="Q136" s="961"/>
      <c r="R136" s="962"/>
      <c r="S136" s="179"/>
      <c r="T136" s="984"/>
      <c r="U136" s="985"/>
      <c r="V136" s="226"/>
      <c r="W136" s="607">
        <f>IF(ISBLANK(AE136),0,Calculos!E72)</f>
        <v>0</v>
      </c>
      <c r="X136" s="1036"/>
      <c r="Y136" s="1037"/>
      <c r="Z136" s="1037"/>
      <c r="AA136" s="1038"/>
      <c r="AB136" s="1007"/>
      <c r="AC136" s="1008"/>
      <c r="AD136" s="1009"/>
      <c r="AE136" s="461"/>
      <c r="AF136" s="468"/>
      <c r="AG136" s="471"/>
      <c r="AH136" s="465"/>
      <c r="AJ136" s="663"/>
      <c r="AL136" s="660"/>
      <c r="AM136" s="581"/>
    </row>
    <row r="137" spans="1:39" ht="30" customHeight="1" thickBot="1">
      <c r="A137" s="309"/>
      <c r="B137" s="122"/>
      <c r="C137" s="122"/>
      <c r="D137" s="122"/>
      <c r="E137" s="122"/>
      <c r="F137" s="122"/>
      <c r="G137" s="122"/>
      <c r="H137" s="122"/>
      <c r="I137" s="122"/>
      <c r="J137" s="122"/>
      <c r="K137" s="122"/>
      <c r="L137" s="167"/>
      <c r="M137" s="167"/>
      <c r="N137" s="21"/>
      <c r="O137" s="21"/>
      <c r="P137" s="896" t="str">
        <f>IF(OR($H$36=V137,$H$37=V137,$H$38=V137,$H$39=V137,$H$40=V137),"ok","Revisar")</f>
        <v>ok</v>
      </c>
      <c r="Q137" s="961"/>
      <c r="R137" s="962"/>
      <c r="S137" s="179"/>
      <c r="T137" s="984"/>
      <c r="U137" s="985"/>
      <c r="V137" s="226"/>
      <c r="W137" s="607">
        <f>IF(ISBLANK(AE137),0,Calculos!E73)</f>
        <v>0</v>
      </c>
      <c r="X137" s="1036"/>
      <c r="Y137" s="1037"/>
      <c r="Z137" s="1037"/>
      <c r="AA137" s="1038"/>
      <c r="AB137" s="1007"/>
      <c r="AC137" s="1008"/>
      <c r="AD137" s="1009"/>
      <c r="AE137" s="461"/>
      <c r="AF137" s="468"/>
      <c r="AG137" s="471"/>
      <c r="AH137" s="465"/>
      <c r="AJ137" s="663"/>
      <c r="AL137" s="660"/>
      <c r="AM137" s="581"/>
    </row>
    <row r="138" spans="1:39" ht="30" customHeight="1" thickBot="1">
      <c r="A138" s="309"/>
      <c r="B138" s="122"/>
      <c r="C138" s="122"/>
      <c r="D138" s="122"/>
      <c r="E138" s="122"/>
      <c r="F138" s="122"/>
      <c r="G138" s="122"/>
      <c r="H138" s="122"/>
      <c r="I138" s="122"/>
      <c r="J138" s="122"/>
      <c r="K138" s="122"/>
      <c r="L138" s="167"/>
      <c r="M138" s="167"/>
      <c r="N138" s="21"/>
      <c r="O138" s="21"/>
      <c r="P138" s="896" t="str">
        <f>IF(OR($H$36=V138,$H$37=V138,$H$38=V138,$H$39=V138,$H$40=V138),"ok","Revisar")</f>
        <v>ok</v>
      </c>
      <c r="Q138" s="961"/>
      <c r="R138" s="962"/>
      <c r="S138" s="179"/>
      <c r="T138" s="984"/>
      <c r="U138" s="985"/>
      <c r="V138" s="226"/>
      <c r="W138" s="607">
        <f>IF(ISBLANK(AE138),0,Calculos!E74)</f>
        <v>0</v>
      </c>
      <c r="X138" s="1036"/>
      <c r="Y138" s="1037"/>
      <c r="Z138" s="1037"/>
      <c r="AA138" s="1038"/>
      <c r="AB138" s="1007"/>
      <c r="AC138" s="1008"/>
      <c r="AD138" s="1009"/>
      <c r="AE138" s="463"/>
      <c r="AF138" s="469"/>
      <c r="AG138" s="472"/>
      <c r="AH138" s="466"/>
      <c r="AJ138" s="663"/>
      <c r="AL138" s="660"/>
      <c r="AM138" s="581"/>
    </row>
    <row r="139" spans="1:39" ht="30" customHeight="1" thickBot="1">
      <c r="A139" s="309"/>
      <c r="B139" s="122"/>
      <c r="C139" s="122"/>
      <c r="D139" s="122"/>
      <c r="E139" s="122"/>
      <c r="F139" s="122"/>
      <c r="G139" s="122"/>
      <c r="H139" s="122"/>
      <c r="I139" s="122"/>
      <c r="J139" s="122"/>
      <c r="K139" s="122"/>
      <c r="L139" s="167"/>
      <c r="M139" s="167"/>
      <c r="N139" s="21"/>
      <c r="O139" s="21"/>
      <c r="P139" s="896"/>
      <c r="Q139" s="963"/>
      <c r="R139" s="964"/>
      <c r="S139" s="228" t="s">
        <v>295</v>
      </c>
      <c r="T139" s="1022">
        <f>IF(COUNT(T134:U137)=0,"",T134*AE134+T135*AE135+T136*AE136+T137*AE137+T138*AE138)</f>
        <v>40</v>
      </c>
      <c r="U139" s="1023"/>
      <c r="V139" s="227"/>
      <c r="W139" s="927">
        <f>IF(COUNT(W134:W138)=0,"",W134+W135+W136+W137+W138)</f>
        <v>40.000014</v>
      </c>
      <c r="X139" s="1015">
        <v>40.000019999999999</v>
      </c>
      <c r="Y139" s="1016"/>
      <c r="Z139" s="1016"/>
      <c r="AA139" s="1017"/>
      <c r="AB139" s="1015">
        <v>0</v>
      </c>
      <c r="AC139" s="1016"/>
      <c r="AD139" s="1017"/>
      <c r="AE139" s="462"/>
      <c r="AF139" s="587">
        <f>AQ97</f>
        <v>38</v>
      </c>
      <c r="AG139" s="588">
        <f>AS97</f>
        <v>40</v>
      </c>
      <c r="AH139" s="589">
        <f>AR97</f>
        <v>42</v>
      </c>
      <c r="AI139" s="558" t="str">
        <f>IF(AND(T139&gt;0,T139&lt;1500000000.1,$I$20="mg")," ",IF(AND(T139&gt;0,T139&lt;1500000.1,$I$20="g"),"",IF(AND(T139&gt;0,T139&lt;1500.1,$I$20="Kg"),"","***")))</f>
        <v/>
      </c>
      <c r="AJ139" s="662">
        <f>Calculos!H75</f>
        <v>39.99999822606334</v>
      </c>
      <c r="AK139" s="569">
        <f>'Estimación de la Incertidumbre'!R40</f>
        <v>9.2762966952556278E-5</v>
      </c>
      <c r="AL139" s="659">
        <f>X139-AJ139</f>
        <v>2.1773936659030824E-5</v>
      </c>
      <c r="AM139" s="557" t="str">
        <f>IF(ISBLANK(X139),"",IF($AL$76="simple",IF(AND(ABS(X139-AJ139)&lt;=$G$21,$H$95&lt;=$T$21),"Cumple","No Cumple"),IF($AL$76="Conservadora",IF(AND(ABS(X139-AJ139)+AK139&lt;=$G$21-AK139,$H$95&lt;=$T$21),"Cumple","No Cumple"),"N.A.")))</f>
        <v>N.A.</v>
      </c>
    </row>
    <row r="140" spans="1:39" ht="13.5" customHeight="1">
      <c r="AJ140" s="777" t="s">
        <v>1455</v>
      </c>
      <c r="AK140" s="773">
        <f>(_xlfn.NORM.DIST($G$21,AL139,AK139/'Certificado de calibración'!R138,1)-_xlfn.NORM.DIST(-$G$21,AL139,AK139/'Certificado de calibración'!R138,1))</f>
        <v>0</v>
      </c>
      <c r="AL140" s="767" t="s">
        <v>1456</v>
      </c>
      <c r="AM140" s="774">
        <f>1-(_xlfn.NORM.DIST($G$21,AL139,AK139/'Certificado de calibración'!R138,1)-_xlfn.NORM.DIST(-$G$21,AL139,AK139/'Certificado de calibración'!R138,1))</f>
        <v>1</v>
      </c>
    </row>
    <row r="141" spans="1:39" ht="13.5" customHeight="1">
      <c r="A141" s="1164"/>
      <c r="B141" s="1164"/>
      <c r="C141" s="1164"/>
      <c r="D141" s="1164"/>
      <c r="E141" s="1164"/>
      <c r="F141" s="1164"/>
      <c r="G141" s="1164"/>
      <c r="H141" s="1164"/>
      <c r="I141" s="1164"/>
      <c r="J141" s="1164"/>
      <c r="K141" s="1164"/>
      <c r="L141" s="1164"/>
      <c r="M141" s="1164"/>
      <c r="N141" s="1164"/>
      <c r="O141" s="1164"/>
      <c r="P141" s="1164"/>
      <c r="Q141" s="1164"/>
      <c r="R141" s="1164"/>
      <c r="S141" s="1164"/>
      <c r="T141" s="1164"/>
      <c r="U141" s="1164"/>
      <c r="V141" s="1164"/>
      <c r="W141" s="1164"/>
      <c r="X141" s="1164"/>
      <c r="Y141" s="1164"/>
      <c r="Z141" s="1164"/>
      <c r="AA141" s="1164"/>
      <c r="AB141" s="1164"/>
      <c r="AC141" s="1164"/>
      <c r="AD141" s="1164"/>
      <c r="AE141" s="1164"/>
      <c r="AF141" s="1164"/>
      <c r="AG141" s="1164"/>
      <c r="AJ141" s="778"/>
      <c r="AK141" s="775"/>
      <c r="AL141" s="771"/>
      <c r="AM141" s="776"/>
    </row>
    <row r="142" spans="1:39" ht="6.75" customHeight="1"/>
    <row r="143" spans="1:39">
      <c r="A143" s="1021" t="s">
        <v>54</v>
      </c>
      <c r="B143" s="1021"/>
      <c r="C143" s="1021"/>
      <c r="D143" s="1021"/>
      <c r="E143" s="1021"/>
      <c r="F143" s="1021"/>
      <c r="G143" s="1021"/>
      <c r="H143" s="1021"/>
      <c r="I143" s="1021"/>
      <c r="J143" s="1021"/>
      <c r="K143" s="1021"/>
      <c r="L143" s="1021"/>
      <c r="M143" s="1021"/>
      <c r="N143" s="1021"/>
      <c r="O143" s="1021"/>
      <c r="P143" s="1021"/>
      <c r="Q143" s="1021"/>
      <c r="R143" s="1021"/>
      <c r="S143" s="1021"/>
      <c r="T143" s="1021"/>
      <c r="U143" s="1021"/>
      <c r="V143" s="1021"/>
      <c r="W143" s="1021"/>
      <c r="X143" s="1021"/>
      <c r="Y143" s="1021"/>
      <c r="Z143" s="1021"/>
      <c r="AA143" s="1021"/>
      <c r="AB143" s="1021"/>
      <c r="AC143" s="1021"/>
      <c r="AD143" s="1021"/>
      <c r="AE143" s="1021"/>
      <c r="AF143" s="1021"/>
      <c r="AG143" s="1021"/>
    </row>
    <row r="144" spans="1:39" ht="8.25" customHeight="1"/>
    <row r="145" spans="1:50" ht="16.5" thickBot="1">
      <c r="A145" s="123" t="s">
        <v>125</v>
      </c>
      <c r="B145" s="1178" t="s">
        <v>1032</v>
      </c>
      <c r="C145" s="1178"/>
      <c r="D145" s="1178"/>
      <c r="E145" s="1178"/>
      <c r="F145" s="1179"/>
      <c r="G145" s="1179"/>
      <c r="H145" s="1179"/>
      <c r="I145" s="1179"/>
      <c r="J145" s="1179"/>
      <c r="K145" s="1179"/>
      <c r="L145" s="1179"/>
      <c r="M145" s="1178"/>
      <c r="N145" s="1178"/>
      <c r="O145" s="1178"/>
      <c r="P145" s="1178"/>
      <c r="Q145" s="1178"/>
      <c r="R145" s="1178"/>
      <c r="S145" s="1178"/>
      <c r="T145" s="1178"/>
      <c r="U145" s="1178"/>
      <c r="V145" s="1178"/>
      <c r="W145" s="1179"/>
      <c r="X145" s="1178"/>
      <c r="Y145" s="1178"/>
      <c r="Z145" s="1178"/>
      <c r="AA145" s="1178"/>
      <c r="AB145" s="1179"/>
      <c r="AC145" s="1179"/>
      <c r="AD145" s="1179"/>
      <c r="AE145" s="1179"/>
      <c r="AF145" s="1179"/>
      <c r="AG145" s="123"/>
    </row>
    <row r="146" spans="1:50" s="28" customFormat="1" ht="24.75" customHeight="1" thickBot="1">
      <c r="B146" s="1127" t="s">
        <v>19</v>
      </c>
      <c r="C146" s="1128"/>
      <c r="D146" s="1128"/>
      <c r="E146" s="1128"/>
      <c r="F146" s="1199">
        <v>30.78274</v>
      </c>
      <c r="G146" s="1200"/>
      <c r="H146" s="1200"/>
      <c r="I146" s="1200"/>
      <c r="J146" s="1200"/>
      <c r="K146" s="1201"/>
      <c r="L146" s="230" t="str">
        <f>IF(F146="N.A","",IF(ISBLANK($I$20),"",$I$20))</f>
        <v>g</v>
      </c>
      <c r="M146" s="1154" t="s">
        <v>20</v>
      </c>
      <c r="N146" s="1154"/>
      <c r="O146" s="1154"/>
      <c r="P146" s="1154"/>
      <c r="Q146" s="1155"/>
      <c r="R146" s="1161">
        <v>30.78274</v>
      </c>
      <c r="S146" s="1162"/>
      <c r="T146" s="1162"/>
      <c r="U146" s="1162"/>
      <c r="V146" s="1163"/>
      <c r="W146" s="215" t="str">
        <f>IF(R146="N.A","",IF(ISBLANK($I$20),"",$I$20))</f>
        <v>g</v>
      </c>
      <c r="X146" s="1151" t="s">
        <v>21</v>
      </c>
      <c r="Y146" s="1152"/>
      <c r="Z146" s="1152"/>
      <c r="AA146" s="1153"/>
      <c r="AB146" s="1192">
        <f>IF(ISBLANK(F146),"",IF(AND(F146="N.A",R146="N.A"),"N.A",ABS(F146-R146)))</f>
        <v>0</v>
      </c>
      <c r="AC146" s="1193"/>
      <c r="AD146" s="1193"/>
      <c r="AE146" s="1194"/>
      <c r="AF146" s="215" t="str">
        <f>IF(AB146="N.A","",IF(ISBLANK($I$20),"",$I$20))</f>
        <v>g</v>
      </c>
      <c r="AK146" s="328"/>
      <c r="AL146" s="328"/>
      <c r="AM146" s="328"/>
      <c r="AN146" s="328"/>
      <c r="AO146" s="328"/>
      <c r="AP146" s="328"/>
      <c r="AQ146" s="328"/>
      <c r="AR146" s="328"/>
      <c r="AS146" s="328"/>
      <c r="AT146" s="328"/>
      <c r="AU146" s="328"/>
      <c r="AX146" s="453"/>
    </row>
    <row r="147" spans="1:50" s="28" customFormat="1" ht="24.75" customHeight="1" thickBot="1">
      <c r="B147" s="1153" t="s">
        <v>301</v>
      </c>
      <c r="C147" s="1169"/>
      <c r="D147" s="1169"/>
      <c r="E147" s="1169"/>
      <c r="F147" s="1170"/>
      <c r="G147" s="1170"/>
      <c r="H147" s="1165" t="str">
        <f>IF(ISBLANK(F146),"",IF(AND(F146="N.A",R146="N.A"),"N.A",IF(AB146&gt;0,"Existe interacción magnetica, informar al cliente","No existe interacción magnetica")))</f>
        <v>No existe interacción magnetica</v>
      </c>
      <c r="I147" s="1166"/>
      <c r="J147" s="1166"/>
      <c r="K147" s="1166"/>
      <c r="L147" s="1167"/>
      <c r="M147" s="1166"/>
      <c r="N147" s="1166"/>
      <c r="O147" s="1166"/>
      <c r="P147" s="1166"/>
      <c r="Q147" s="1166"/>
      <c r="R147" s="1166"/>
      <c r="S147" s="1166"/>
      <c r="T147" s="1166"/>
      <c r="U147" s="1166"/>
      <c r="V147" s="1168"/>
      <c r="W147" s="199"/>
      <c r="Y147" s="99"/>
      <c r="Z147" s="99"/>
      <c r="AA147" s="99"/>
      <c r="AB147" s="52"/>
      <c r="AC147" s="52"/>
      <c r="AD147" s="52"/>
      <c r="AE147" s="52"/>
      <c r="AF147" s="164"/>
      <c r="AK147" s="328"/>
      <c r="AL147" s="328"/>
      <c r="AM147" s="328"/>
      <c r="AN147" s="328"/>
      <c r="AO147" s="328"/>
      <c r="AP147" s="328"/>
      <c r="AQ147" s="328"/>
      <c r="AR147" s="328"/>
      <c r="AS147" s="328"/>
      <c r="AT147" s="328"/>
      <c r="AU147" s="328"/>
      <c r="AX147" s="453"/>
    </row>
    <row r="148" spans="1:50" s="28" customFormat="1" ht="9.75" customHeight="1">
      <c r="B148" s="167"/>
      <c r="C148" s="167"/>
      <c r="D148" s="167"/>
      <c r="E148" s="167"/>
      <c r="F148" s="1195">
        <f>IF(AND(F146="",L146="mg",AE20&lt;=1),1,0)</f>
        <v>0</v>
      </c>
      <c r="G148" s="1195"/>
      <c r="H148" s="1195"/>
      <c r="I148" s="1195"/>
      <c r="J148" s="1195"/>
      <c r="K148" s="1195"/>
      <c r="L148" s="605"/>
      <c r="M148" s="605"/>
      <c r="N148" s="605"/>
      <c r="O148" s="605"/>
      <c r="P148" s="605"/>
      <c r="Q148" s="605"/>
      <c r="R148" s="1144">
        <f>IF(AND(R146="",L146="mg",AE20&lt;=1),1,0)</f>
        <v>0</v>
      </c>
      <c r="S148" s="1144"/>
      <c r="T148" s="1144"/>
      <c r="U148" s="1144"/>
      <c r="V148" s="1144"/>
      <c r="W148" s="164"/>
      <c r="Y148" s="99"/>
      <c r="Z148" s="99"/>
      <c r="AA148" s="99"/>
      <c r="AB148" s="52"/>
      <c r="AC148" s="52"/>
      <c r="AD148" s="52"/>
      <c r="AE148" s="52"/>
      <c r="AF148" s="199"/>
      <c r="AK148" s="328"/>
      <c r="AL148" s="328"/>
      <c r="AM148" s="328"/>
      <c r="AN148" s="328"/>
      <c r="AO148" s="328"/>
      <c r="AP148" s="328"/>
      <c r="AQ148" s="328"/>
      <c r="AR148" s="328"/>
      <c r="AS148" s="328"/>
      <c r="AT148" s="328"/>
      <c r="AU148" s="328"/>
      <c r="AX148" s="453"/>
    </row>
    <row r="149" spans="1:50" ht="16.5" customHeight="1">
      <c r="A149" s="957" t="s">
        <v>110</v>
      </c>
      <c r="B149" s="957"/>
      <c r="C149" s="957"/>
      <c r="D149" s="957"/>
      <c r="E149" s="957"/>
      <c r="F149" s="957"/>
      <c r="G149" s="957"/>
      <c r="H149" s="957"/>
      <c r="I149" s="957"/>
      <c r="J149" s="957"/>
      <c r="K149" s="957"/>
      <c r="L149" s="957"/>
      <c r="M149" s="957"/>
      <c r="N149" s="957"/>
      <c r="O149" s="957"/>
      <c r="P149" s="957"/>
      <c r="Q149" s="957"/>
      <c r="R149" s="957"/>
      <c r="S149" s="957"/>
      <c r="T149" s="957"/>
      <c r="U149" s="957"/>
      <c r="V149" s="957"/>
      <c r="W149" s="957"/>
      <c r="X149" s="957"/>
      <c r="Y149" s="957"/>
      <c r="Z149" s="957"/>
      <c r="AA149" s="957"/>
      <c r="AB149" s="957"/>
      <c r="AC149" s="957"/>
      <c r="AD149" s="957"/>
      <c r="AE149" s="957"/>
      <c r="AF149" s="957"/>
      <c r="AG149" s="957"/>
    </row>
    <row r="150" spans="1:50" s="28" customFormat="1" ht="12" customHeight="1">
      <c r="B150" s="99"/>
      <c r="C150" s="99"/>
      <c r="D150" s="99"/>
      <c r="E150" s="99"/>
      <c r="F150" s="99"/>
      <c r="G150" s="99"/>
      <c r="H150" s="1"/>
      <c r="I150" s="1"/>
      <c r="J150" s="1"/>
      <c r="K150" s="1"/>
      <c r="L150" s="1"/>
      <c r="M150" s="1"/>
      <c r="N150" s="1"/>
      <c r="O150" s="1"/>
      <c r="P150" s="1"/>
      <c r="Q150" s="1"/>
      <c r="R150" s="1"/>
      <c r="S150" s="1"/>
      <c r="T150" s="1"/>
      <c r="U150" s="52"/>
      <c r="V150" s="52"/>
      <c r="W150" s="164"/>
      <c r="Y150" s="99"/>
      <c r="Z150" s="99"/>
      <c r="AA150" s="99"/>
      <c r="AB150" s="52"/>
      <c r="AC150" s="52"/>
      <c r="AD150" s="52"/>
      <c r="AE150" s="52"/>
      <c r="AF150" s="164"/>
      <c r="AK150" s="328"/>
      <c r="AL150" s="328"/>
      <c r="AM150" s="328"/>
      <c r="AN150" s="328"/>
      <c r="AO150" s="328"/>
      <c r="AP150" s="328"/>
      <c r="AQ150" s="328"/>
      <c r="AR150" s="328"/>
      <c r="AS150" s="328"/>
      <c r="AT150" s="328"/>
      <c r="AU150" s="328"/>
      <c r="AX150" s="453"/>
    </row>
    <row r="151" spans="1:50" s="28" customFormat="1" ht="12" customHeight="1" thickBot="1">
      <c r="B151" s="99"/>
      <c r="C151" s="99"/>
      <c r="D151" s="99"/>
      <c r="E151" s="99"/>
      <c r="F151" s="99"/>
      <c r="G151" s="99"/>
      <c r="H151" s="1"/>
      <c r="I151" s="1"/>
      <c r="J151" s="1"/>
      <c r="K151" s="1"/>
      <c r="L151" s="1"/>
      <c r="M151" s="1"/>
      <c r="N151" s="1"/>
      <c r="O151" s="1"/>
      <c r="P151" s="1"/>
      <c r="Q151" s="1"/>
      <c r="R151" s="1"/>
      <c r="S151" s="1"/>
      <c r="T151" s="1"/>
      <c r="U151" s="52"/>
      <c r="V151" s="52"/>
      <c r="W151" s="164"/>
      <c r="Y151" s="99"/>
      <c r="Z151" s="99"/>
      <c r="AA151" s="99"/>
      <c r="AB151" s="52"/>
      <c r="AC151" s="52"/>
      <c r="AD151" s="52"/>
      <c r="AE151" s="52"/>
      <c r="AF151" s="164"/>
      <c r="AK151" s="328"/>
      <c r="AL151" s="328"/>
      <c r="AM151" s="328"/>
      <c r="AN151" s="328"/>
      <c r="AO151" s="328"/>
      <c r="AP151" s="328"/>
      <c r="AQ151" s="328"/>
      <c r="AR151" s="328"/>
      <c r="AS151" s="328"/>
      <c r="AT151" s="328"/>
      <c r="AU151" s="328"/>
      <c r="AX151" s="453"/>
    </row>
    <row r="152" spans="1:50" s="28" customFormat="1" ht="24.75" customHeight="1" thickBot="1">
      <c r="B152" s="99"/>
      <c r="C152" s="99"/>
      <c r="D152" s="99"/>
      <c r="E152" s="99"/>
      <c r="F152" s="99"/>
      <c r="G152" s="99"/>
      <c r="H152" s="1"/>
      <c r="I152" s="1"/>
      <c r="J152" s="1"/>
      <c r="K152" s="1"/>
      <c r="L152" s="1"/>
      <c r="M152" s="1"/>
      <c r="N152" s="1"/>
      <c r="O152" s="1"/>
      <c r="P152" s="1"/>
      <c r="Q152" s="1"/>
      <c r="R152" s="1"/>
      <c r="S152" s="1"/>
      <c r="T152" s="1"/>
      <c r="U152" s="52"/>
      <c r="V152" s="52"/>
      <c r="W152" s="164"/>
      <c r="X152" s="1083" t="s">
        <v>36</v>
      </c>
      <c r="Y152" s="1083"/>
      <c r="Z152" s="1083"/>
      <c r="AA152" s="1083"/>
      <c r="AB152" s="1083"/>
      <c r="AC152" s="1100"/>
      <c r="AD152" s="1181">
        <v>0.62986111111111109</v>
      </c>
      <c r="AE152" s="1182"/>
      <c r="AF152" s="164"/>
      <c r="AG152" s="1180" t="str">
        <f>IF($Y$9&lt;$I$9+0.022,"Revisar Hora Final de Calibracion","")</f>
        <v/>
      </c>
      <c r="AH152" s="1180"/>
      <c r="AI152" s="1180"/>
      <c r="AJ152" s="1180"/>
      <c r="AK152" s="1180"/>
      <c r="AL152" s="1180"/>
      <c r="AM152" s="328"/>
      <c r="AN152" s="328"/>
      <c r="AO152" s="328"/>
      <c r="AP152" s="328"/>
      <c r="AQ152" s="328"/>
      <c r="AR152" s="328"/>
      <c r="AS152" s="328"/>
      <c r="AT152" s="328"/>
      <c r="AU152" s="328"/>
      <c r="AX152" s="453"/>
    </row>
    <row r="153" spans="1:50" s="28" customFormat="1" ht="24.75" customHeight="1">
      <c r="B153" s="99"/>
      <c r="C153" s="99"/>
      <c r="D153" s="99"/>
      <c r="E153" s="99"/>
      <c r="F153" s="99"/>
      <c r="G153" s="99"/>
      <c r="H153" s="166"/>
      <c r="I153" s="166"/>
      <c r="J153" s="166"/>
      <c r="K153" s="166"/>
      <c r="N153" s="99"/>
      <c r="O153" s="99"/>
      <c r="P153" s="99"/>
      <c r="Q153" s="99"/>
      <c r="R153" s="52"/>
      <c r="S153" s="52"/>
      <c r="T153" s="52"/>
      <c r="U153" s="52" t="s">
        <v>83</v>
      </c>
      <c r="V153" s="52"/>
      <c r="W153" s="164"/>
      <c r="Y153" s="99"/>
      <c r="Z153" s="99"/>
      <c r="AA153" s="99"/>
      <c r="AB153" s="52"/>
      <c r="AC153" s="52"/>
      <c r="AD153" s="52"/>
      <c r="AE153" s="52"/>
      <c r="AF153" s="199"/>
      <c r="AG153" s="1180"/>
      <c r="AH153" s="1180"/>
      <c r="AI153" s="1180"/>
      <c r="AJ153" s="1180"/>
      <c r="AK153" s="1180"/>
      <c r="AL153" s="1180"/>
      <c r="AM153" s="328"/>
      <c r="AN153" s="328"/>
      <c r="AO153" s="328"/>
      <c r="AP153" s="328"/>
      <c r="AQ153" s="328"/>
      <c r="AR153" s="328"/>
      <c r="AS153" s="328"/>
      <c r="AT153" s="328"/>
      <c r="AU153" s="328"/>
      <c r="AX153" s="453"/>
    </row>
    <row r="154" spans="1:50">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1180"/>
      <c r="AH154" s="1180"/>
      <c r="AI154" s="1180"/>
      <c r="AJ154" s="1180"/>
      <c r="AK154" s="1180"/>
      <c r="AL154" s="1180"/>
    </row>
    <row r="155" spans="1:50" ht="20.25" customHeight="1">
      <c r="A155" s="28"/>
      <c r="W155" s="28"/>
      <c r="X155" s="28"/>
      <c r="AF155" s="28"/>
      <c r="AG155" s="1180"/>
      <c r="AH155" s="1180"/>
      <c r="AI155" s="1180"/>
      <c r="AJ155" s="1180"/>
      <c r="AK155" s="1180"/>
      <c r="AL155" s="1180"/>
    </row>
    <row r="156" spans="1:50" ht="12" customHeight="1">
      <c r="A156" s="28"/>
      <c r="B156" s="28"/>
      <c r="C156" s="170"/>
      <c r="D156" s="170"/>
      <c r="E156" s="170"/>
      <c r="F156" s="170"/>
      <c r="G156" s="170"/>
      <c r="H156" s="170"/>
      <c r="I156" s="170"/>
      <c r="J156" s="170"/>
      <c r="K156" s="170"/>
      <c r="L156" s="170"/>
      <c r="M156" s="170"/>
      <c r="N156" s="170"/>
      <c r="O156" s="170"/>
      <c r="P156" s="170"/>
      <c r="Q156" s="170"/>
      <c r="R156" s="170"/>
      <c r="S156" s="170"/>
      <c r="T156" s="170"/>
      <c r="U156" s="170"/>
      <c r="V156" s="170"/>
      <c r="W156" s="28"/>
      <c r="X156" s="28"/>
      <c r="Y156" s="28"/>
      <c r="Z156" s="28"/>
      <c r="AA156" s="28"/>
      <c r="AB156" s="28"/>
      <c r="AC156" s="28"/>
      <c r="AD156" s="28"/>
      <c r="AE156" s="28"/>
      <c r="AF156" s="28"/>
      <c r="AG156" s="28"/>
    </row>
    <row r="158" spans="1:50">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c r="AC158" s="124"/>
      <c r="AD158" s="124"/>
      <c r="AE158" s="124"/>
      <c r="AF158" s="124"/>
      <c r="AG158" s="124"/>
    </row>
    <row r="159" spans="1:50" ht="9" customHeight="1"/>
    <row r="160" spans="1:50" ht="18.75" customHeight="1" thickBot="1">
      <c r="B160" s="16"/>
      <c r="C160" s="1148" t="s">
        <v>26</v>
      </c>
      <c r="D160" s="1149"/>
      <c r="E160" s="1149"/>
      <c r="F160" s="1149"/>
      <c r="G160" s="1149"/>
      <c r="H160" s="1149"/>
      <c r="I160" s="1149"/>
      <c r="J160" s="1149"/>
      <c r="K160" s="1149"/>
      <c r="L160" s="1149"/>
      <c r="M160" s="1149"/>
      <c r="N160" s="1149"/>
      <c r="O160" s="1149"/>
      <c r="P160" s="1149"/>
      <c r="Q160" s="1149"/>
      <c r="R160" s="1149"/>
      <c r="S160" s="1149"/>
      <c r="T160" s="1149"/>
      <c r="U160" s="1149"/>
      <c r="V160" s="1149"/>
      <c r="W160" s="1149"/>
      <c r="X160" s="1149"/>
      <c r="Y160" s="1149"/>
      <c r="Z160" s="1149"/>
      <c r="AA160" s="1149"/>
      <c r="AB160" s="1149"/>
      <c r="AC160" s="1149"/>
      <c r="AD160" s="1149"/>
      <c r="AE160" s="1150"/>
    </row>
    <row r="161" spans="3:50" ht="21.75" customHeight="1">
      <c r="C161" s="1145"/>
      <c r="D161" s="1146"/>
      <c r="E161" s="1146"/>
      <c r="F161" s="1146"/>
      <c r="G161" s="1146"/>
      <c r="H161" s="1146"/>
      <c r="I161" s="1146"/>
      <c r="J161" s="1146"/>
      <c r="K161" s="1146"/>
      <c r="L161" s="1146"/>
      <c r="M161" s="1146"/>
      <c r="N161" s="1146"/>
      <c r="O161" s="1146"/>
      <c r="P161" s="1146"/>
      <c r="Q161" s="1146"/>
      <c r="R161" s="1146"/>
      <c r="S161" s="1146"/>
      <c r="T161" s="1146"/>
      <c r="U161" s="1146"/>
      <c r="V161" s="1146"/>
      <c r="W161" s="1146"/>
      <c r="X161" s="1146"/>
      <c r="Y161" s="1146"/>
      <c r="Z161" s="1146"/>
      <c r="AA161" s="1146"/>
      <c r="AB161" s="1146"/>
      <c r="AC161" s="1146"/>
      <c r="AD161" s="1146"/>
      <c r="AE161" s="1147"/>
    </row>
    <row r="162" spans="3:50" ht="21.75" customHeight="1">
      <c r="C162" s="1189"/>
      <c r="D162" s="1190"/>
      <c r="E162" s="1190"/>
      <c r="F162" s="1190"/>
      <c r="G162" s="1190"/>
      <c r="H162" s="1190"/>
      <c r="I162" s="1190"/>
      <c r="J162" s="1190"/>
      <c r="K162" s="1190"/>
      <c r="L162" s="1190"/>
      <c r="M162" s="1190"/>
      <c r="N162" s="1190"/>
      <c r="O162" s="1190"/>
      <c r="P162" s="1190"/>
      <c r="Q162" s="1190"/>
      <c r="R162" s="1190"/>
      <c r="S162" s="1190"/>
      <c r="T162" s="1190"/>
      <c r="U162" s="1190"/>
      <c r="V162" s="1190"/>
      <c r="W162" s="1190"/>
      <c r="X162" s="1190"/>
      <c r="Y162" s="1190"/>
      <c r="Z162" s="1190"/>
      <c r="AA162" s="1190"/>
      <c r="AB162" s="1190"/>
      <c r="AC162" s="1190"/>
      <c r="AD162" s="1190"/>
      <c r="AE162" s="1191"/>
    </row>
    <row r="163" spans="3:50" ht="21.75" customHeight="1">
      <c r="C163" s="1189"/>
      <c r="D163" s="1190"/>
      <c r="E163" s="1190"/>
      <c r="F163" s="1190"/>
      <c r="G163" s="1190"/>
      <c r="H163" s="1190"/>
      <c r="I163" s="1190"/>
      <c r="J163" s="1190"/>
      <c r="K163" s="1190"/>
      <c r="L163" s="1190"/>
      <c r="M163" s="1190"/>
      <c r="N163" s="1190"/>
      <c r="O163" s="1190"/>
      <c r="P163" s="1190"/>
      <c r="Q163" s="1190"/>
      <c r="R163" s="1190"/>
      <c r="S163" s="1190"/>
      <c r="T163" s="1190"/>
      <c r="U163" s="1190"/>
      <c r="V163" s="1190"/>
      <c r="W163" s="1190"/>
      <c r="X163" s="1190"/>
      <c r="Y163" s="1190"/>
      <c r="Z163" s="1190"/>
      <c r="AA163" s="1190"/>
      <c r="AB163" s="1190"/>
      <c r="AC163" s="1190"/>
      <c r="AD163" s="1190"/>
      <c r="AE163" s="1191"/>
    </row>
    <row r="164" spans="3:50" ht="21.75" customHeight="1" thickBot="1">
      <c r="C164" s="1158"/>
      <c r="D164" s="1159"/>
      <c r="E164" s="1159"/>
      <c r="F164" s="1159"/>
      <c r="G164" s="1159"/>
      <c r="H164" s="1159"/>
      <c r="I164" s="1159"/>
      <c r="J164" s="1159"/>
      <c r="K164" s="1159"/>
      <c r="L164" s="1159"/>
      <c r="M164" s="1159"/>
      <c r="N164" s="1159"/>
      <c r="O164" s="1159"/>
      <c r="P164" s="1159"/>
      <c r="Q164" s="1159"/>
      <c r="R164" s="1159"/>
      <c r="S164" s="1159"/>
      <c r="T164" s="1159"/>
      <c r="U164" s="1159"/>
      <c r="V164" s="1159"/>
      <c r="W164" s="1159"/>
      <c r="X164" s="1159"/>
      <c r="Y164" s="1159"/>
      <c r="Z164" s="1159"/>
      <c r="AA164" s="1159"/>
      <c r="AB164" s="1159"/>
      <c r="AC164" s="1159"/>
      <c r="AD164" s="1159"/>
      <c r="AE164" s="1160"/>
    </row>
    <row r="166" spans="3:50">
      <c r="C166" s="4" t="s">
        <v>4</v>
      </c>
      <c r="L166" s="5"/>
      <c r="M166" s="5"/>
      <c r="S166" s="4" t="s">
        <v>1013</v>
      </c>
    </row>
    <row r="167" spans="3:50">
      <c r="C167" s="6" t="s">
        <v>6</v>
      </c>
      <c r="L167" s="5"/>
      <c r="M167" s="5"/>
      <c r="S167" s="6" t="s">
        <v>6</v>
      </c>
    </row>
    <row r="168" spans="3:50" ht="30" customHeight="1" thickBot="1">
      <c r="K168" s="5"/>
      <c r="L168" s="5"/>
      <c r="M168" s="5"/>
    </row>
    <row r="169" spans="3:50" s="16" customFormat="1" ht="22.5" customHeight="1" thickBot="1">
      <c r="C169" s="1196" t="s">
        <v>1064</v>
      </c>
      <c r="D169" s="1197"/>
      <c r="E169" s="1197"/>
      <c r="F169" s="1197"/>
      <c r="G169" s="1197"/>
      <c r="H169" s="1198"/>
      <c r="I169" s="176"/>
      <c r="J169" s="176"/>
      <c r="K169" s="5"/>
      <c r="L169" s="5"/>
      <c r="M169" s="5"/>
      <c r="S169" s="1196" t="s">
        <v>1206</v>
      </c>
      <c r="T169" s="1197"/>
      <c r="U169" s="1197"/>
      <c r="V169" s="1197"/>
      <c r="W169" s="1197"/>
      <c r="X169" s="1198"/>
      <c r="Y169" s="176"/>
      <c r="Z169" s="176"/>
      <c r="AK169" s="414"/>
      <c r="AL169" s="414"/>
      <c r="AM169" s="414"/>
      <c r="AN169" s="414"/>
      <c r="AO169" s="414"/>
      <c r="AP169" s="414"/>
      <c r="AQ169" s="414"/>
      <c r="AR169" s="414"/>
      <c r="AS169" s="414"/>
      <c r="AT169" s="414"/>
      <c r="AU169" s="414"/>
      <c r="AX169" s="456"/>
    </row>
    <row r="170" spans="3:50" s="16" customFormat="1" ht="21" customHeight="1" thickBot="1">
      <c r="C170" s="1186" t="s">
        <v>135</v>
      </c>
      <c r="D170" s="1187"/>
      <c r="E170" s="1187"/>
      <c r="F170" s="1187"/>
      <c r="G170" s="1187"/>
      <c r="H170" s="1187"/>
      <c r="I170" s="1187"/>
      <c r="J170" s="1188"/>
      <c r="K170" s="125"/>
      <c r="L170" s="125"/>
      <c r="M170" s="125"/>
      <c r="S170" s="1186" t="s">
        <v>84</v>
      </c>
      <c r="T170" s="1187"/>
      <c r="U170" s="1187"/>
      <c r="V170" s="1187"/>
      <c r="W170" s="1187"/>
      <c r="X170" s="1187"/>
      <c r="Y170" s="1187"/>
      <c r="Z170" s="1188"/>
      <c r="AK170" s="414"/>
      <c r="AL170" s="414"/>
      <c r="AM170" s="414"/>
      <c r="AN170" s="414"/>
      <c r="AO170" s="414"/>
      <c r="AP170" s="414"/>
      <c r="AQ170" s="414"/>
      <c r="AR170" s="414"/>
      <c r="AS170" s="414"/>
      <c r="AT170" s="414"/>
      <c r="AU170" s="414"/>
      <c r="AX170" s="456"/>
    </row>
    <row r="171" spans="3:50">
      <c r="C171" s="126"/>
      <c r="D171" s="126"/>
      <c r="E171" s="126"/>
      <c r="F171" s="126"/>
      <c r="G171" s="126"/>
      <c r="H171" s="126"/>
      <c r="I171" s="126"/>
      <c r="J171" s="5"/>
      <c r="K171" s="127"/>
      <c r="L171" s="127"/>
      <c r="M171" s="127"/>
      <c r="N171" s="126"/>
      <c r="O171" s="126"/>
      <c r="P171" s="126"/>
      <c r="Q171" s="126"/>
      <c r="R171" s="126"/>
      <c r="S171" s="126"/>
    </row>
    <row r="172" spans="3:50">
      <c r="C172" s="126"/>
      <c r="D172" s="126"/>
      <c r="E172" s="126"/>
      <c r="F172" s="126"/>
      <c r="G172" s="126"/>
      <c r="H172" s="126"/>
      <c r="I172" s="126"/>
      <c r="J172" s="5"/>
      <c r="K172" s="127"/>
      <c r="L172" s="127"/>
      <c r="M172" s="127"/>
      <c r="N172" s="126"/>
      <c r="O172" s="126"/>
      <c r="P172" s="126"/>
      <c r="Q172" s="126"/>
      <c r="R172" s="126"/>
      <c r="S172" s="126"/>
    </row>
    <row r="173" spans="3:50">
      <c r="C173" s="126"/>
      <c r="D173" s="126"/>
      <c r="E173" s="126"/>
      <c r="F173" s="126"/>
      <c r="G173" s="126"/>
      <c r="H173" s="126"/>
      <c r="I173" s="126"/>
      <c r="J173" s="5"/>
      <c r="K173" s="127"/>
      <c r="L173" s="127"/>
      <c r="M173" s="127"/>
      <c r="N173" s="126"/>
      <c r="O173" s="126"/>
      <c r="P173" s="126"/>
      <c r="Q173" s="126"/>
      <c r="R173" s="126"/>
      <c r="S173" s="126"/>
    </row>
    <row r="174" spans="3:50">
      <c r="C174" s="126"/>
      <c r="D174" s="126"/>
      <c r="E174" s="126"/>
      <c r="F174" s="126"/>
      <c r="G174" s="126"/>
      <c r="H174" s="126"/>
      <c r="I174" s="126"/>
      <c r="J174" s="5"/>
      <c r="K174" s="127"/>
      <c r="L174" s="127"/>
      <c r="M174" s="127"/>
      <c r="N174" s="126"/>
      <c r="O174" s="126"/>
      <c r="P174" s="126"/>
      <c r="Q174" s="126"/>
      <c r="R174" s="126"/>
      <c r="S174" s="126"/>
    </row>
    <row r="175" spans="3:50">
      <c r="C175" s="126"/>
      <c r="D175" s="126"/>
      <c r="E175" s="126"/>
      <c r="F175" s="126"/>
      <c r="G175" s="126"/>
      <c r="H175" s="126"/>
      <c r="I175" s="126"/>
      <c r="J175" s="5"/>
      <c r="K175" s="127"/>
      <c r="L175" s="127"/>
      <c r="M175" s="127"/>
      <c r="N175" s="126"/>
      <c r="O175" s="126"/>
      <c r="P175" s="126"/>
      <c r="Q175" s="126"/>
      <c r="R175" s="126"/>
      <c r="S175" s="126"/>
    </row>
    <row r="176" spans="3:50">
      <c r="C176" s="126"/>
      <c r="D176" s="126"/>
      <c r="E176" s="126"/>
      <c r="F176" s="126"/>
      <c r="G176" s="126"/>
      <c r="H176" s="126"/>
      <c r="I176" s="126"/>
      <c r="J176" s="5"/>
      <c r="K176" s="127"/>
      <c r="L176" s="127"/>
      <c r="M176" s="127"/>
      <c r="N176" s="126"/>
      <c r="O176" s="126"/>
      <c r="P176" s="126"/>
      <c r="Q176" s="126"/>
      <c r="R176" s="126"/>
      <c r="S176" s="126"/>
    </row>
    <row r="177" spans="1:45">
      <c r="C177" s="126"/>
      <c r="D177" s="126"/>
      <c r="E177" s="126"/>
      <c r="F177" s="126"/>
      <c r="G177" s="126"/>
      <c r="H177" s="126"/>
      <c r="I177" s="126"/>
      <c r="J177" s="5"/>
      <c r="K177" s="127"/>
      <c r="L177" s="127"/>
      <c r="M177" s="127"/>
      <c r="N177" s="126"/>
      <c r="O177" s="126"/>
      <c r="P177" s="126"/>
      <c r="Q177" s="126"/>
      <c r="R177" s="126"/>
      <c r="S177" s="126"/>
    </row>
    <row r="178" spans="1:45">
      <c r="C178" s="126"/>
      <c r="D178" s="126"/>
      <c r="E178" s="126"/>
      <c r="F178" s="126"/>
      <c r="G178" s="126"/>
      <c r="H178" s="126"/>
      <c r="I178" s="126"/>
      <c r="J178" s="5"/>
      <c r="K178" s="127"/>
      <c r="L178" s="127"/>
      <c r="M178" s="127"/>
      <c r="N178" s="126"/>
      <c r="O178" s="126"/>
      <c r="P178" s="126"/>
      <c r="Q178" s="126"/>
      <c r="R178" s="126"/>
      <c r="S178" s="126"/>
    </row>
    <row r="179" spans="1:45">
      <c r="C179" s="126"/>
      <c r="D179" s="126"/>
      <c r="E179" s="126"/>
      <c r="F179" s="126"/>
      <c r="G179" s="126"/>
      <c r="H179" s="126"/>
      <c r="I179" s="126"/>
      <c r="J179" s="5"/>
      <c r="K179" s="127"/>
      <c r="L179" s="127"/>
      <c r="M179" s="127"/>
      <c r="N179" s="126"/>
      <c r="O179" s="126"/>
      <c r="P179" s="126"/>
      <c r="Q179" s="126"/>
      <c r="R179" s="126"/>
      <c r="S179" s="126"/>
    </row>
    <row r="180" spans="1:45">
      <c r="C180" s="126"/>
      <c r="D180" s="126"/>
      <c r="E180" s="126"/>
      <c r="F180" s="126"/>
      <c r="G180" s="126"/>
      <c r="H180" s="126"/>
      <c r="I180" s="126"/>
      <c r="J180" s="5"/>
      <c r="K180" s="127"/>
      <c r="L180" s="127"/>
      <c r="M180" s="127"/>
      <c r="N180" s="126"/>
      <c r="O180" s="126"/>
      <c r="P180" s="126"/>
      <c r="Q180" s="126"/>
      <c r="R180" s="126"/>
      <c r="S180" s="126"/>
    </row>
    <row r="181" spans="1:45">
      <c r="C181" s="126"/>
      <c r="D181" s="126"/>
      <c r="E181" s="126"/>
      <c r="F181" s="126"/>
      <c r="G181" s="126"/>
      <c r="H181" s="126"/>
      <c r="I181" s="126"/>
      <c r="J181" s="5"/>
      <c r="K181" s="127"/>
      <c r="L181" s="127"/>
      <c r="M181" s="127"/>
      <c r="N181" s="126"/>
      <c r="O181" s="126"/>
      <c r="P181" s="126"/>
      <c r="Q181" s="126"/>
      <c r="R181" s="126"/>
      <c r="S181" s="126"/>
    </row>
    <row r="182" spans="1:45">
      <c r="C182" s="126"/>
      <c r="D182" s="126"/>
      <c r="E182" s="126"/>
      <c r="F182" s="126"/>
      <c r="G182" s="126"/>
      <c r="H182" s="126"/>
      <c r="I182" s="126"/>
      <c r="J182" s="5"/>
      <c r="K182" s="127"/>
      <c r="L182" s="127"/>
      <c r="M182" s="127"/>
      <c r="N182" s="126"/>
      <c r="O182" s="126"/>
      <c r="P182" s="126"/>
      <c r="Q182" s="126"/>
      <c r="R182" s="126"/>
      <c r="S182" s="126"/>
    </row>
    <row r="183" spans="1:45">
      <c r="C183" s="126"/>
      <c r="D183" s="126"/>
      <c r="E183" s="126"/>
      <c r="F183" s="126"/>
      <c r="G183" s="126"/>
      <c r="H183" s="126"/>
      <c r="I183" s="126"/>
      <c r="J183" s="5"/>
      <c r="K183" s="127"/>
      <c r="L183" s="127"/>
      <c r="M183" s="127"/>
      <c r="N183" s="126"/>
      <c r="O183" s="126"/>
      <c r="P183" s="126"/>
      <c r="Q183" s="126"/>
      <c r="R183" s="126"/>
      <c r="S183" s="126"/>
    </row>
    <row r="185" spans="1:45" ht="14.25" customHeight="1"/>
    <row r="189" spans="1:45" hidden="1">
      <c r="AG189" s="3" t="s">
        <v>379</v>
      </c>
      <c r="AH189" s="3" t="s">
        <v>380</v>
      </c>
    </row>
    <row r="190" spans="1:45" hidden="1">
      <c r="A190" s="1183" t="s">
        <v>44</v>
      </c>
      <c r="B190" s="1184"/>
      <c r="C190" s="1184"/>
      <c r="D190" s="1185"/>
      <c r="I190" s="1183" t="s">
        <v>85</v>
      </c>
      <c r="J190" s="1184"/>
      <c r="K190" s="1184"/>
      <c r="L190" s="128"/>
      <c r="M190" s="1143"/>
      <c r="N190" s="1143"/>
      <c r="O190" s="1143"/>
      <c r="P190" s="130"/>
      <c r="Q190" s="375" t="s">
        <v>86</v>
      </c>
      <c r="R190" s="128"/>
      <c r="S190" s="128"/>
      <c r="T190" s="128"/>
      <c r="U190" s="128"/>
      <c r="V190" s="130"/>
      <c r="W190" s="128"/>
      <c r="X190" s="128"/>
      <c r="Y190" s="129" t="s">
        <v>99</v>
      </c>
      <c r="Z190" s="128"/>
      <c r="AA190" s="128"/>
      <c r="AB190" s="128"/>
      <c r="AC190" s="128"/>
      <c r="AD190" s="128"/>
      <c r="AE190" s="130"/>
      <c r="AF190" s="128"/>
      <c r="AG190" s="373" t="s">
        <v>990</v>
      </c>
      <c r="AH190" s="128">
        <v>0</v>
      </c>
      <c r="AI190" s="128"/>
      <c r="AJ190" s="128"/>
      <c r="AK190" s="415"/>
      <c r="AL190" s="415"/>
      <c r="AM190" s="415"/>
      <c r="AN190" s="415"/>
      <c r="AO190" s="416" t="s">
        <v>1031</v>
      </c>
      <c r="AP190" s="415"/>
      <c r="AQ190" s="415"/>
      <c r="AR190" s="415"/>
      <c r="AS190" s="417" t="str">
        <f>MID(AG190,12,2)</f>
        <v>ce</v>
      </c>
    </row>
    <row r="191" spans="1:45" hidden="1">
      <c r="A191" s="133" t="s">
        <v>0</v>
      </c>
      <c r="D191" s="134"/>
      <c r="I191" s="133" t="s">
        <v>1064</v>
      </c>
      <c r="P191" s="134"/>
      <c r="Q191" s="3" t="s">
        <v>135</v>
      </c>
      <c r="V191" s="134"/>
      <c r="Y191" s="133" t="s">
        <v>359</v>
      </c>
      <c r="AE191" s="134"/>
      <c r="AG191" s="131" t="s">
        <v>230</v>
      </c>
      <c r="AH191" s="3" t="s">
        <v>1539</v>
      </c>
      <c r="AJ191" s="3">
        <v>615</v>
      </c>
      <c r="AK191" s="19" t="s">
        <v>11</v>
      </c>
      <c r="AO191" s="418" t="s">
        <v>414</v>
      </c>
      <c r="AS191" s="921" t="s">
        <v>414</v>
      </c>
    </row>
    <row r="192" spans="1:45" hidden="1">
      <c r="A192" s="133" t="s">
        <v>11</v>
      </c>
      <c r="D192" s="134"/>
      <c r="I192" s="133" t="s">
        <v>286</v>
      </c>
      <c r="P192" s="134"/>
      <c r="Q192" s="3" t="s">
        <v>1033</v>
      </c>
      <c r="V192" s="134"/>
      <c r="Y192" s="133" t="s">
        <v>101</v>
      </c>
      <c r="AE192" s="134"/>
      <c r="AG192" s="131" t="s">
        <v>1532</v>
      </c>
      <c r="AH192" s="3" t="s">
        <v>1539</v>
      </c>
      <c r="AJ192" s="3">
        <v>615</v>
      </c>
      <c r="AK192" s="19" t="s">
        <v>11</v>
      </c>
      <c r="AO192" s="418" t="s">
        <v>1541</v>
      </c>
      <c r="AS192" s="921" t="s">
        <v>1541</v>
      </c>
    </row>
    <row r="193" spans="1:50" ht="16.5" hidden="1" thickBot="1">
      <c r="A193" s="133" t="s">
        <v>25</v>
      </c>
      <c r="D193" s="134"/>
      <c r="I193" s="133" t="s">
        <v>1114</v>
      </c>
      <c r="M193" s="374"/>
      <c r="N193" s="16"/>
      <c r="O193" s="16"/>
      <c r="P193" s="134"/>
      <c r="Q193" s="136" t="s">
        <v>84</v>
      </c>
      <c r="R193" s="136"/>
      <c r="S193" s="136"/>
      <c r="T193" s="136"/>
      <c r="U193" s="136"/>
      <c r="V193" s="137"/>
      <c r="Y193" s="133" t="s">
        <v>364</v>
      </c>
      <c r="AE193" s="134"/>
      <c r="AG193" s="131" t="s">
        <v>1533</v>
      </c>
      <c r="AH193" s="3" t="s">
        <v>1539</v>
      </c>
      <c r="AJ193" s="3">
        <v>315</v>
      </c>
      <c r="AK193" s="19" t="s">
        <v>11</v>
      </c>
      <c r="AO193" s="418" t="s">
        <v>1238</v>
      </c>
      <c r="AS193" s="921" t="s">
        <v>1238</v>
      </c>
    </row>
    <row r="194" spans="1:50" ht="16.5" hidden="1" thickBot="1">
      <c r="A194" s="135" t="s">
        <v>194</v>
      </c>
      <c r="B194" s="136"/>
      <c r="C194" s="136"/>
      <c r="D194" s="137"/>
      <c r="I194" s="133" t="s">
        <v>1206</v>
      </c>
      <c r="P194" s="134"/>
      <c r="Y194" s="133" t="s">
        <v>365</v>
      </c>
      <c r="AE194" s="134"/>
      <c r="AG194" s="131" t="s">
        <v>229</v>
      </c>
      <c r="AH194" s="3" t="s">
        <v>381</v>
      </c>
      <c r="AO194" s="418" t="s">
        <v>390</v>
      </c>
      <c r="AS194" s="921" t="s">
        <v>390</v>
      </c>
    </row>
    <row r="195" spans="1:50" ht="16.5" hidden="1" thickBot="1">
      <c r="I195" s="133"/>
      <c r="M195" s="1032"/>
      <c r="N195" s="1032"/>
      <c r="O195" s="1032"/>
      <c r="P195" s="134"/>
      <c r="Y195" s="133" t="s">
        <v>396</v>
      </c>
      <c r="AE195" s="134"/>
      <c r="AG195" s="131" t="s">
        <v>228</v>
      </c>
      <c r="AH195" s="3" t="s">
        <v>991</v>
      </c>
      <c r="AO195" s="418" t="s">
        <v>415</v>
      </c>
      <c r="AS195" s="921" t="s">
        <v>415</v>
      </c>
    </row>
    <row r="196" spans="1:50" hidden="1">
      <c r="A196" s="570" t="s">
        <v>1225</v>
      </c>
      <c r="B196" s="128"/>
      <c r="C196" s="128"/>
      <c r="D196" s="130"/>
      <c r="I196" s="133"/>
      <c r="M196" s="374"/>
      <c r="N196" s="1142"/>
      <c r="O196" s="1142"/>
      <c r="P196" s="134"/>
      <c r="Y196" s="133" t="s">
        <v>1065</v>
      </c>
      <c r="AE196" s="134"/>
      <c r="AG196" s="131" t="s">
        <v>1016</v>
      </c>
      <c r="AH196" s="3" t="s">
        <v>1111</v>
      </c>
      <c r="AO196" s="418" t="s">
        <v>1017</v>
      </c>
      <c r="AS196" s="921" t="s">
        <v>1017</v>
      </c>
    </row>
    <row r="197" spans="1:50" hidden="1">
      <c r="A197" s="133" t="s">
        <v>1226</v>
      </c>
      <c r="D197" s="134"/>
      <c r="I197" s="133"/>
      <c r="P197" s="134"/>
      <c r="Q197" s="3" t="s">
        <v>1403</v>
      </c>
      <c r="T197" s="3">
        <f>IF(AND(AF20="g",AE20&lt;=0.00001),24,IF(AND(AF20="mg",AE20&lt;=0.01),24,3))</f>
        <v>24</v>
      </c>
      <c r="Y197" s="133"/>
      <c r="AE197" s="134"/>
      <c r="AG197" s="131" t="s">
        <v>992</v>
      </c>
      <c r="AH197" s="3" t="s">
        <v>1112</v>
      </c>
      <c r="AO197" s="418" t="s">
        <v>993</v>
      </c>
      <c r="AS197" s="921" t="s">
        <v>993</v>
      </c>
    </row>
    <row r="198" spans="1:50" hidden="1">
      <c r="A198" s="133" t="s">
        <v>1227</v>
      </c>
      <c r="D198" s="134"/>
      <c r="I198" s="133"/>
      <c r="P198" s="134"/>
      <c r="Q198" s="3" t="s">
        <v>321</v>
      </c>
      <c r="Y198" s="133"/>
      <c r="AE198" s="134"/>
      <c r="AG198" s="131" t="s">
        <v>1108</v>
      </c>
      <c r="AH198" s="3" t="s">
        <v>1110</v>
      </c>
      <c r="AO198" s="418" t="s">
        <v>1109</v>
      </c>
      <c r="AS198" s="921" t="s">
        <v>1109</v>
      </c>
    </row>
    <row r="199" spans="1:50" ht="16.5" hidden="1" thickBot="1">
      <c r="A199" s="135" t="s">
        <v>424</v>
      </c>
      <c r="B199" s="136"/>
      <c r="C199" s="136"/>
      <c r="D199" s="137"/>
      <c r="I199" s="133"/>
      <c r="P199" s="134"/>
      <c r="Y199" s="133"/>
      <c r="AE199" s="134"/>
      <c r="AG199" s="131" t="s">
        <v>1092</v>
      </c>
      <c r="AH199" s="3" t="s">
        <v>381</v>
      </c>
      <c r="AO199" s="418" t="s">
        <v>1542</v>
      </c>
      <c r="AS199" s="921" t="s">
        <v>1542</v>
      </c>
    </row>
    <row r="200" spans="1:50" ht="16.5" hidden="1" thickBot="1">
      <c r="A200" s="135"/>
      <c r="B200" s="136"/>
      <c r="C200" s="136"/>
      <c r="D200" s="137"/>
      <c r="I200" s="133"/>
      <c r="P200" s="134"/>
      <c r="Y200" s="135"/>
      <c r="Z200" s="136"/>
      <c r="AA200" s="136"/>
      <c r="AB200" s="136"/>
      <c r="AC200" s="136"/>
      <c r="AD200" s="136"/>
      <c r="AE200" s="137"/>
      <c r="AG200" s="131" t="s">
        <v>1091</v>
      </c>
      <c r="AH200" s="3" t="s">
        <v>991</v>
      </c>
      <c r="AO200" s="20">
        <v>20</v>
      </c>
      <c r="AS200" s="922" t="s">
        <v>1540</v>
      </c>
    </row>
    <row r="201" spans="1:50" hidden="1">
      <c r="I201" s="133"/>
      <c r="P201" s="134"/>
      <c r="AG201" s="131" t="s">
        <v>1207</v>
      </c>
      <c r="AH201" s="3" t="s">
        <v>991</v>
      </c>
      <c r="AO201" s="20">
        <v>21</v>
      </c>
      <c r="AS201" s="922" t="s">
        <v>1543</v>
      </c>
    </row>
    <row r="202" spans="1:50" ht="16.5" hidden="1" thickBot="1">
      <c r="I202" s="135"/>
      <c r="J202" s="136"/>
      <c r="K202" s="136"/>
      <c r="L202" s="136"/>
      <c r="M202" s="136"/>
      <c r="N202" s="136"/>
      <c r="O202" s="136"/>
      <c r="P202" s="137"/>
      <c r="Q202" s="136"/>
      <c r="R202" s="136"/>
      <c r="S202" s="136"/>
      <c r="T202" s="136"/>
      <c r="U202" s="136"/>
      <c r="V202" s="136"/>
      <c r="W202" s="136"/>
      <c r="X202" s="136"/>
      <c r="Y202" s="136"/>
      <c r="Z202" s="136"/>
      <c r="AA202" s="136"/>
      <c r="AB202" s="136"/>
      <c r="AC202" s="136"/>
      <c r="AD202" s="136"/>
      <c r="AE202" s="136"/>
      <c r="AF202" s="136"/>
      <c r="AG202" s="919" t="s">
        <v>1093</v>
      </c>
      <c r="AH202" s="136" t="s">
        <v>1244</v>
      </c>
      <c r="AI202" s="136"/>
      <c r="AJ202" s="136"/>
      <c r="AK202" s="419"/>
      <c r="AL202" s="419"/>
      <c r="AM202" s="419"/>
      <c r="AN202" s="419"/>
      <c r="AO202" s="920">
        <v>13</v>
      </c>
      <c r="AP202" s="419"/>
      <c r="AQ202" s="419"/>
      <c r="AR202" s="419"/>
      <c r="AS202" s="923" t="s">
        <v>1544</v>
      </c>
    </row>
    <row r="203" spans="1:50" hidden="1">
      <c r="I203" s="3" t="s">
        <v>33</v>
      </c>
    </row>
    <row r="204" spans="1:50" hidden="1">
      <c r="I204" s="19" t="str">
        <f>IF(OR('Certificado de calibración'!D127="**",'Certificado de calibración'!D128="**",'Certificado de calibración'!D129="**",'Certificado de calibración'!D130="**",'Certificado de calibración'!D131="**",'Certificado de calibración'!D132="**",'Certificado de calibración'!D133="**",'Certificado de calibración'!D134="**",'Certificado de calibración'!D135="**",'Certificado de calibración'!D136="**",'Certificado de calibración'!D137="**",'Certificado de calibración'!D138="**"),"**  El resultado reportado no se encuentra dentro del alcance acreditado ONAC.")</f>
        <v>**  El resultado reportado no se encuentra dentro del alcance acreditado ONAC.</v>
      </c>
    </row>
    <row r="205" spans="1:50" ht="23.25" hidden="1">
      <c r="A205" s="913"/>
      <c r="B205" s="913"/>
      <c r="C205" s="913"/>
      <c r="D205" s="913"/>
      <c r="E205" s="913"/>
      <c r="F205" s="913"/>
      <c r="G205" s="913"/>
      <c r="H205" s="913"/>
      <c r="I205" s="19" t="str">
        <f>IF(AND('Certificado de calibración'!D128="***",'Certificado de calibración'!E128&gt;0),"*** El resultado reportado, se realiza bajo trazabilidad y no se encuentra dentro del alcance acreditado por ONAC.",IF(AND('Certificado de calibración'!D129="***",'Certificado de calibración'!E129&gt;0),"*** El resultado reportado, se realiza bajo trazabilidad y no se encuentra dentro del alcance acreditado por ONAC.",IF(AND('Certificado de calibración'!D130="***",'Certificado de calibración'!E130&gt;0),"*** El resultado reportado, se realiza bajo trazabilidad y no se encuentra dentro del alcance acreditado por ONAC.",IF(AND('Certificado de calibración'!D1131="***",'Certificado de calibración'!E131&gt;0),"*** El resultado reportado, se realiza bajo trazabilidad y no se encuentra dentro del alcance acreditado por ONAC.",IF(AND('Certificado de calibración'!D132="***",'Certificado de calibración'!E132&gt;0),"*** El resultado reportado, se realiza bajo trazabilidad y no se encuentra dentro del alcance acreditado por ONAC.",IF(AND('Certificado de calibración'!D133="***",'Certificado de calibración'!E133&gt;0),"*** El resultado reportado, se realiza bajo trazabilidad y no se encuentra dentro del alcance acreditado por ONAC.",IF(AND('Certificado de calibración'!D134="***",'Certificado de calibración'!E134&gt;0),"*** El resultado reportado, se realiza bajo trazabilidad y no se encuentra dentro del alcance acreditado por ONAC.",IF(AND('Certificado de calibración'!D135="***",'Certificado de calibración'!E135&gt;0),"*** El resultado reportado, se realiza bajo trazabilidad y no se encuentra dentro del alcance acreditado por ONAC.",IF(AND('Certificado de calibración'!D136="***",'Certificado de calibración'!E136&gt;0),"*** El resultado reportado, se realiza bajo trazabilidad y no se encuentra dentro del alcance acreditado por ONAC.",IF(AND('Certificado de calibración'!D136="***",'Certificado de calibración'!E136&gt;0),"*** El resultado reportado, se realiza bajo trazabilidad y no se encuentra dentro del alcance acreditado por ONAC.",IF(AND('Certificado de calibración'!D137="***",'Certificado de calibración'!E137&gt;0),"*** El resultado reportado, se realiza bajo trazabilidad y no se encuentra dentro del alcance acreditado por ONAC.",IF(AND('Certificado de calibración'!D138="***",'Certificado de calibración'!E138&gt;0),"*** El resultado reportado, se realiza bajo trazabilidad y no se encuentra dentro del alcance acreditado por ONAC.",""))))))))))))</f>
        <v/>
      </c>
      <c r="J205" s="913"/>
      <c r="K205" s="913"/>
      <c r="L205" s="913"/>
      <c r="M205" s="913"/>
      <c r="N205" s="913"/>
      <c r="O205" s="913"/>
      <c r="P205" s="913"/>
      <c r="Q205" s="913"/>
      <c r="R205" s="913"/>
      <c r="S205" s="913"/>
      <c r="T205" s="913"/>
      <c r="U205" s="913"/>
      <c r="V205" s="913"/>
      <c r="W205" s="913"/>
      <c r="X205" s="913"/>
      <c r="Y205" s="913"/>
      <c r="Z205" s="913"/>
      <c r="AA205" s="913"/>
      <c r="AB205" s="913"/>
      <c r="AC205" s="913"/>
      <c r="AD205" s="913"/>
      <c r="AE205" s="913"/>
      <c r="AF205" s="913"/>
      <c r="AG205" s="913"/>
      <c r="AH205" s="913"/>
      <c r="AI205" s="913"/>
      <c r="AJ205" s="913"/>
      <c r="AK205" s="913"/>
      <c r="AL205" s="913"/>
      <c r="AM205" s="913"/>
      <c r="AN205" s="913"/>
      <c r="AO205" s="913"/>
      <c r="AP205" s="913"/>
      <c r="AQ205" s="913"/>
      <c r="AR205" s="913"/>
      <c r="AS205" s="913"/>
      <c r="AT205" s="913"/>
      <c r="AU205" s="913"/>
      <c r="AV205" s="913"/>
    </row>
    <row r="206" spans="1:50" ht="33" hidden="1" customHeight="1">
      <c r="A206" s="909"/>
      <c r="B206" s="909"/>
      <c r="C206" s="909"/>
      <c r="D206" s="909"/>
      <c r="E206" s="909"/>
      <c r="F206" s="909"/>
      <c r="G206" s="909"/>
      <c r="H206" s="909"/>
      <c r="I206" s="19">
        <f>IF(AND(I204&gt;0,I205&gt;0),1,2)</f>
        <v>1</v>
      </c>
      <c r="J206" s="909"/>
      <c r="K206" s="909"/>
      <c r="L206" s="909"/>
      <c r="M206" s="909"/>
      <c r="N206" s="909"/>
      <c r="O206" s="909"/>
      <c r="P206" s="909"/>
      <c r="Q206" s="909"/>
      <c r="R206" s="909"/>
      <c r="S206" s="909"/>
      <c r="T206" s="909"/>
      <c r="U206" s="909"/>
      <c r="V206" s="909"/>
      <c r="W206" s="909"/>
      <c r="X206" s="909"/>
      <c r="Y206" s="909"/>
      <c r="Z206" s="909"/>
      <c r="AA206" s="909"/>
      <c r="AB206" s="909"/>
      <c r="AC206" s="909"/>
      <c r="AD206" s="909"/>
      <c r="AE206" s="909"/>
      <c r="AF206" s="909"/>
      <c r="AG206" s="909"/>
      <c r="AH206" s="909"/>
      <c r="AI206" s="909"/>
      <c r="AJ206" s="909"/>
      <c r="AK206" s="909"/>
      <c r="AL206" s="909"/>
      <c r="AM206" s="909"/>
      <c r="AN206" s="909"/>
      <c r="AO206" s="909"/>
      <c r="AP206" s="909"/>
      <c r="AQ206" s="909"/>
      <c r="AR206" s="909"/>
      <c r="AS206" s="909"/>
      <c r="AT206" s="909"/>
      <c r="AU206" s="909"/>
      <c r="AV206" s="909"/>
    </row>
    <row r="207" spans="1:50" s="10" customFormat="1">
      <c r="A207" s="910"/>
      <c r="B207" s="910"/>
      <c r="C207" s="910"/>
      <c r="D207" s="911"/>
      <c r="E207" s="911"/>
      <c r="F207" s="911"/>
      <c r="G207" s="911"/>
      <c r="H207" s="911"/>
      <c r="I207" s="911"/>
      <c r="J207" s="911"/>
      <c r="K207" s="911"/>
      <c r="L207" s="911"/>
      <c r="M207" s="911"/>
      <c r="N207" s="911"/>
      <c r="O207" s="911"/>
      <c r="P207" s="911"/>
      <c r="Q207" s="911"/>
      <c r="R207" s="911"/>
      <c r="S207" s="911"/>
      <c r="T207" s="911"/>
      <c r="U207" s="911"/>
      <c r="V207" s="911"/>
      <c r="W207" s="911"/>
      <c r="X207" s="911"/>
      <c r="Y207" s="911"/>
      <c r="Z207" s="911"/>
      <c r="AA207" s="911"/>
      <c r="AB207" s="911"/>
      <c r="AC207" s="911"/>
      <c r="AD207" s="911"/>
      <c r="AE207" s="911"/>
      <c r="AF207" s="911"/>
      <c r="AG207" s="911"/>
      <c r="AH207" s="911"/>
      <c r="AI207" s="911"/>
      <c r="AJ207" s="911"/>
      <c r="AK207" s="911"/>
      <c r="AL207" s="911"/>
      <c r="AM207" s="911"/>
      <c r="AN207" s="912"/>
      <c r="AO207" s="912"/>
      <c r="AP207" s="912"/>
      <c r="AQ207" s="912"/>
      <c r="AR207" s="912"/>
      <c r="AS207" s="912"/>
      <c r="AT207" s="912"/>
      <c r="AU207" s="912"/>
      <c r="AV207" s="912"/>
      <c r="AX207" s="457"/>
    </row>
    <row r="208" spans="1:50" s="10" customFormat="1">
      <c r="A208" s="910"/>
      <c r="B208" s="910"/>
      <c r="C208" s="910"/>
      <c r="D208" s="911"/>
      <c r="E208" s="911"/>
      <c r="F208" s="911"/>
      <c r="G208" s="911"/>
      <c r="H208" s="911"/>
      <c r="I208" s="911"/>
      <c r="J208" s="911"/>
      <c r="K208" s="911"/>
      <c r="L208" s="911"/>
      <c r="M208" s="911"/>
      <c r="N208" s="911"/>
      <c r="O208" s="911"/>
      <c r="P208" s="911"/>
      <c r="Q208" s="911"/>
      <c r="R208" s="911"/>
      <c r="S208" s="911"/>
      <c r="T208" s="911"/>
      <c r="U208" s="911"/>
      <c r="V208" s="911"/>
      <c r="W208" s="911"/>
      <c r="X208" s="911"/>
      <c r="Y208" s="911"/>
      <c r="Z208" s="911"/>
      <c r="AA208" s="911"/>
      <c r="AB208" s="911"/>
      <c r="AC208" s="911"/>
      <c r="AD208" s="911"/>
      <c r="AE208" s="911"/>
      <c r="AF208" s="911"/>
      <c r="AG208" s="911"/>
      <c r="AH208" s="911"/>
      <c r="AI208" s="911"/>
      <c r="AJ208" s="911"/>
      <c r="AK208" s="911"/>
      <c r="AL208" s="911"/>
      <c r="AM208" s="911"/>
      <c r="AN208" s="912"/>
      <c r="AO208" s="912"/>
      <c r="AP208" s="912"/>
      <c r="AQ208" s="912"/>
      <c r="AR208" s="912"/>
      <c r="AS208" s="912"/>
      <c r="AT208" s="912"/>
      <c r="AU208" s="912"/>
      <c r="AV208" s="912"/>
      <c r="AX208" s="457"/>
    </row>
    <row r="209" spans="1:48">
      <c r="A209" s="910"/>
      <c r="B209" s="910"/>
      <c r="C209" s="910"/>
      <c r="D209" s="911"/>
      <c r="E209" s="911"/>
      <c r="F209" s="911"/>
      <c r="G209" s="911"/>
      <c r="H209" s="911"/>
      <c r="I209" s="911"/>
      <c r="J209" s="911"/>
      <c r="K209" s="911"/>
      <c r="L209" s="911"/>
      <c r="M209" s="911"/>
      <c r="N209" s="911"/>
      <c r="O209" s="911"/>
      <c r="P209" s="911"/>
      <c r="Q209" s="911"/>
      <c r="R209" s="911"/>
      <c r="S209" s="911"/>
      <c r="T209" s="911"/>
      <c r="U209" s="911"/>
      <c r="V209" s="911"/>
      <c r="W209" s="911"/>
      <c r="X209" s="911"/>
      <c r="Y209" s="911"/>
      <c r="Z209" s="911"/>
      <c r="AA209" s="911"/>
      <c r="AB209" s="911"/>
      <c r="AC209" s="911"/>
      <c r="AD209" s="911"/>
      <c r="AE209" s="911"/>
      <c r="AF209" s="911"/>
      <c r="AG209" s="911"/>
      <c r="AH209" s="911"/>
      <c r="AI209" s="911"/>
      <c r="AJ209" s="911"/>
      <c r="AK209" s="911"/>
      <c r="AL209" s="911"/>
      <c r="AM209" s="911"/>
      <c r="AN209" s="912"/>
      <c r="AO209" s="912"/>
      <c r="AP209" s="912"/>
      <c r="AQ209" s="912"/>
      <c r="AR209" s="912"/>
      <c r="AS209" s="912"/>
      <c r="AT209" s="912"/>
      <c r="AU209" s="912"/>
      <c r="AV209" s="912"/>
    </row>
    <row r="210" spans="1:48">
      <c r="A210" s="910"/>
      <c r="B210" s="910"/>
      <c r="C210" s="910"/>
      <c r="D210" s="911"/>
      <c r="E210" s="911"/>
      <c r="F210" s="911"/>
      <c r="G210" s="911"/>
      <c r="H210" s="911"/>
      <c r="I210" s="911"/>
      <c r="J210" s="911"/>
      <c r="K210" s="911"/>
      <c r="L210" s="911"/>
      <c r="M210" s="911"/>
      <c r="N210" s="911"/>
      <c r="O210" s="911"/>
      <c r="P210" s="911"/>
      <c r="Q210" s="911"/>
      <c r="R210" s="911"/>
      <c r="S210" s="911"/>
      <c r="T210" s="911"/>
      <c r="U210" s="911"/>
      <c r="V210" s="911"/>
      <c r="W210" s="911"/>
      <c r="X210" s="911"/>
      <c r="Y210" s="911"/>
      <c r="Z210" s="911"/>
      <c r="AA210" s="911"/>
      <c r="AB210" s="911"/>
      <c r="AC210" s="911"/>
      <c r="AD210" s="911"/>
      <c r="AE210" s="911"/>
      <c r="AF210" s="911"/>
      <c r="AG210" s="911"/>
      <c r="AH210" s="911"/>
      <c r="AI210" s="911"/>
      <c r="AJ210" s="911"/>
      <c r="AK210" s="911"/>
      <c r="AL210" s="911"/>
      <c r="AM210" s="911"/>
      <c r="AN210" s="912"/>
      <c r="AO210" s="912"/>
      <c r="AP210" s="912"/>
      <c r="AQ210" s="912"/>
      <c r="AR210" s="912"/>
      <c r="AS210" s="912"/>
      <c r="AT210" s="912"/>
      <c r="AU210" s="912"/>
      <c r="AV210" s="912"/>
    </row>
    <row r="211" spans="1:48">
      <c r="A211" s="910"/>
      <c r="B211" s="910"/>
      <c r="C211" s="910"/>
      <c r="D211" s="911"/>
      <c r="E211" s="911"/>
      <c r="F211" s="911"/>
      <c r="G211" s="911"/>
      <c r="H211" s="911"/>
      <c r="I211" s="911"/>
      <c r="J211" s="911"/>
      <c r="K211" s="911"/>
      <c r="L211" s="911"/>
      <c r="M211" s="911"/>
      <c r="N211" s="911"/>
      <c r="O211" s="911"/>
      <c r="P211" s="911"/>
      <c r="Q211" s="911"/>
      <c r="R211" s="911"/>
      <c r="S211" s="911"/>
      <c r="T211" s="911"/>
      <c r="U211" s="911"/>
      <c r="V211" s="911"/>
      <c r="W211" s="911"/>
      <c r="X211" s="911"/>
      <c r="Y211" s="911"/>
      <c r="Z211" s="911"/>
      <c r="AA211" s="911"/>
      <c r="AB211" s="911"/>
      <c r="AC211" s="911"/>
      <c r="AD211" s="911"/>
      <c r="AE211" s="911"/>
      <c r="AF211" s="911"/>
      <c r="AG211" s="911"/>
      <c r="AH211" s="911"/>
      <c r="AI211" s="911"/>
      <c r="AJ211" s="911"/>
      <c r="AK211" s="911"/>
      <c r="AL211" s="911"/>
      <c r="AM211" s="911"/>
      <c r="AN211" s="912"/>
      <c r="AO211" s="912"/>
      <c r="AP211" s="912"/>
      <c r="AQ211" s="912"/>
      <c r="AR211" s="912"/>
      <c r="AS211" s="912"/>
      <c r="AT211" s="912"/>
      <c r="AU211" s="912"/>
      <c r="AV211" s="912"/>
    </row>
    <row r="212" spans="1:48">
      <c r="A212" s="908"/>
      <c r="B212" s="908"/>
      <c r="C212" s="908"/>
      <c r="D212" s="908"/>
      <c r="E212" s="908"/>
      <c r="F212" s="908"/>
      <c r="G212" s="908"/>
      <c r="H212" s="908"/>
      <c r="I212" s="908"/>
      <c r="J212" s="908"/>
      <c r="K212" s="908"/>
      <c r="L212" s="908"/>
      <c r="M212" s="908"/>
      <c r="N212" s="908"/>
      <c r="O212" s="908"/>
      <c r="P212" s="908"/>
      <c r="Q212" s="908"/>
      <c r="R212" s="908"/>
      <c r="S212" s="908"/>
      <c r="T212" s="908"/>
      <c r="U212" s="908"/>
      <c r="V212" s="908"/>
      <c r="W212" s="908"/>
      <c r="X212" s="908"/>
      <c r="Y212" s="908"/>
      <c r="Z212" s="908"/>
      <c r="AA212" s="908"/>
      <c r="AB212" s="908"/>
      <c r="AC212" s="908"/>
      <c r="AD212" s="908"/>
      <c r="AE212" s="908"/>
      <c r="AF212" s="908"/>
      <c r="AG212" s="908"/>
      <c r="AH212" s="907"/>
      <c r="AI212" s="907"/>
      <c r="AJ212" s="907"/>
      <c r="AK212" s="908"/>
      <c r="AL212" s="908"/>
      <c r="AM212" s="908"/>
      <c r="AN212" s="908"/>
      <c r="AO212" s="908"/>
      <c r="AP212" s="908"/>
      <c r="AQ212" s="908"/>
      <c r="AR212" s="908"/>
      <c r="AS212" s="908"/>
      <c r="AT212" s="908"/>
      <c r="AU212" s="908"/>
      <c r="AV212" s="907"/>
    </row>
    <row r="213" spans="1:48">
      <c r="A213" s="1177"/>
      <c r="B213" s="1177"/>
      <c r="C213" s="1177"/>
      <c r="D213" s="1177"/>
      <c r="E213" s="1177"/>
      <c r="F213" s="1177"/>
      <c r="G213" s="1177"/>
      <c r="H213" s="1177"/>
      <c r="I213" s="1177"/>
      <c r="J213" s="1177"/>
      <c r="K213" s="1177"/>
      <c r="L213" s="1177"/>
      <c r="M213" s="1177"/>
      <c r="N213" s="1177"/>
      <c r="O213" s="1177"/>
      <c r="P213" s="1177"/>
      <c r="Q213" s="1177"/>
      <c r="R213" s="1177"/>
      <c r="S213" s="1177"/>
      <c r="T213" s="1177"/>
      <c r="U213" s="1177"/>
      <c r="V213" s="1177"/>
      <c r="W213" s="1177"/>
      <c r="X213" s="1177"/>
      <c r="Y213" s="1177"/>
      <c r="Z213" s="1177"/>
      <c r="AA213" s="1177"/>
      <c r="AB213" s="1177"/>
      <c r="AC213" s="1177"/>
      <c r="AD213" s="1177"/>
      <c r="AE213" s="1177"/>
      <c r="AF213" s="1177"/>
      <c r="AG213" s="1177"/>
      <c r="AH213" s="907"/>
      <c r="AI213" s="907"/>
      <c r="AJ213" s="907"/>
      <c r="AK213" s="908"/>
      <c r="AL213" s="908"/>
      <c r="AM213" s="908"/>
      <c r="AN213" s="908"/>
      <c r="AO213" s="908"/>
      <c r="AP213" s="908"/>
      <c r="AQ213" s="908"/>
      <c r="AR213" s="908"/>
      <c r="AS213" s="908"/>
      <c r="AT213" s="908"/>
      <c r="AU213" s="908"/>
      <c r="AV213" s="907"/>
    </row>
    <row r="214" spans="1:48">
      <c r="A214" s="1176"/>
      <c r="B214" s="1176"/>
      <c r="C214" s="1176"/>
      <c r="D214" s="1176"/>
      <c r="E214" s="1176"/>
      <c r="F214" s="1176"/>
      <c r="G214" s="1176"/>
      <c r="H214" s="1176"/>
      <c r="I214" s="1176"/>
      <c r="J214" s="1176"/>
      <c r="K214" s="1176"/>
      <c r="L214" s="1176"/>
      <c r="M214" s="1176"/>
      <c r="N214" s="1176"/>
      <c r="O214" s="1176"/>
      <c r="P214" s="1176"/>
      <c r="Q214" s="1176"/>
      <c r="R214" s="1176"/>
      <c r="S214" s="1176"/>
      <c r="T214" s="1176"/>
      <c r="U214" s="1176"/>
      <c r="V214" s="1176"/>
      <c r="W214" s="1176"/>
      <c r="X214" s="1176"/>
      <c r="Y214" s="1176"/>
      <c r="Z214" s="1176"/>
      <c r="AA214" s="1176"/>
      <c r="AB214" s="1176"/>
      <c r="AC214" s="1176"/>
      <c r="AD214" s="1176"/>
      <c r="AE214" s="1176"/>
      <c r="AF214" s="1176"/>
      <c r="AG214" s="1176"/>
    </row>
  </sheetData>
  <sheetProtection algorithmName="SHA-512" hashValue="JSyxAfn94uBRza4s/bnisFWTaPDchJL/APy2Is/X9NlYpFrVrrTH/7sakZ/WQHQ3zaC+QoesgS5pPpg3/foKtA==" saltValue="KtODyTg1UAGy4Rm85yzhyw==" spinCount="100000" sheet="1" formatCells="0"/>
  <dataConsolidate/>
  <mergeCells count="436">
    <mergeCell ref="A1:R2"/>
    <mergeCell ref="S1:AM1"/>
    <mergeCell ref="S2:AM2"/>
    <mergeCell ref="A4:AM4"/>
    <mergeCell ref="F104:G104"/>
    <mergeCell ref="A62:AH62"/>
    <mergeCell ref="D71:G71"/>
    <mergeCell ref="H70:L70"/>
    <mergeCell ref="A80:M80"/>
    <mergeCell ref="H82:M82"/>
    <mergeCell ref="D104:E104"/>
    <mergeCell ref="B104:C104"/>
    <mergeCell ref="B103:G103"/>
    <mergeCell ref="AB97:AD97"/>
    <mergeCell ref="AB87:AD87"/>
    <mergeCell ref="T99:U99"/>
    <mergeCell ref="A63:AG63"/>
    <mergeCell ref="D99:E99"/>
    <mergeCell ref="T92:U92"/>
    <mergeCell ref="H95:K95"/>
    <mergeCell ref="X87:AA87"/>
    <mergeCell ref="AB92:AD92"/>
    <mergeCell ref="X92:AA92"/>
    <mergeCell ref="AB83:AD86"/>
    <mergeCell ref="J20:K20"/>
    <mergeCell ref="AB20:AD20"/>
    <mergeCell ref="A19:AH19"/>
    <mergeCell ref="A20:D20"/>
    <mergeCell ref="T139:U139"/>
    <mergeCell ref="F99:G99"/>
    <mergeCell ref="F98:G98"/>
    <mergeCell ref="D65:J66"/>
    <mergeCell ref="K65:L66"/>
    <mergeCell ref="M65:N66"/>
    <mergeCell ref="D69:G69"/>
    <mergeCell ref="D72:G72"/>
    <mergeCell ref="M74:P74"/>
    <mergeCell ref="B93:E93"/>
    <mergeCell ref="B106:C106"/>
    <mergeCell ref="B100:C100"/>
    <mergeCell ref="B105:C105"/>
    <mergeCell ref="D98:E98"/>
    <mergeCell ref="F93:G93"/>
    <mergeCell ref="M70:P70"/>
    <mergeCell ref="B92:E92"/>
    <mergeCell ref="B90:E90"/>
    <mergeCell ref="F88:G88"/>
    <mergeCell ref="H89:K89"/>
    <mergeCell ref="A7:H7"/>
    <mergeCell ref="A8:H8"/>
    <mergeCell ref="A9:H9"/>
    <mergeCell ref="A11:AG11"/>
    <mergeCell ref="X15:Y15"/>
    <mergeCell ref="P12:W12"/>
    <mergeCell ref="AA12:AG12"/>
    <mergeCell ref="E20:H20"/>
    <mergeCell ref="L20:M20"/>
    <mergeCell ref="S20:U20"/>
    <mergeCell ref="Y20:Z20"/>
    <mergeCell ref="S7:X7"/>
    <mergeCell ref="I7:R7"/>
    <mergeCell ref="Y7:AF7"/>
    <mergeCell ref="D15:M15"/>
    <mergeCell ref="E16:M16"/>
    <mergeCell ref="Q15:W15"/>
    <mergeCell ref="Q16:W16"/>
    <mergeCell ref="Z15:AG15"/>
    <mergeCell ref="X16:Y16"/>
    <mergeCell ref="A17:D17"/>
    <mergeCell ref="O20:R20"/>
    <mergeCell ref="W20:X20"/>
    <mergeCell ref="E17:M17"/>
    <mergeCell ref="F90:G90"/>
    <mergeCell ref="L88:M88"/>
    <mergeCell ref="F89:G89"/>
    <mergeCell ref="F85:G85"/>
    <mergeCell ref="F84:G84"/>
    <mergeCell ref="H90:K90"/>
    <mergeCell ref="H92:K92"/>
    <mergeCell ref="B84:E84"/>
    <mergeCell ref="B85:E85"/>
    <mergeCell ref="B89:E89"/>
    <mergeCell ref="H88:K88"/>
    <mergeCell ref="AA39:AD39"/>
    <mergeCell ref="AA35:AD35"/>
    <mergeCell ref="AA36:AD36"/>
    <mergeCell ref="O38:Z38"/>
    <mergeCell ref="F92:G92"/>
    <mergeCell ref="L92:M92"/>
    <mergeCell ref="H86:K86"/>
    <mergeCell ref="H84:K84"/>
    <mergeCell ref="H85:K85"/>
    <mergeCell ref="I38:N38"/>
    <mergeCell ref="T52:V52"/>
    <mergeCell ref="H44:K44"/>
    <mergeCell ref="I39:N39"/>
    <mergeCell ref="L43:O43"/>
    <mergeCell ref="P43:T43"/>
    <mergeCell ref="AA40:AD40"/>
    <mergeCell ref="O40:Z40"/>
    <mergeCell ref="AA38:AD38"/>
    <mergeCell ref="M71:P71"/>
    <mergeCell ref="H71:L71"/>
    <mergeCell ref="D73:G73"/>
    <mergeCell ref="H75:L75"/>
    <mergeCell ref="B83:E83"/>
    <mergeCell ref="D75:G75"/>
    <mergeCell ref="AL76:AM76"/>
    <mergeCell ref="L90:M90"/>
    <mergeCell ref="AJ79:AM79"/>
    <mergeCell ref="AB81:AD81"/>
    <mergeCell ref="AF80:AH80"/>
    <mergeCell ref="T81:V81"/>
    <mergeCell ref="Q81:R81"/>
    <mergeCell ref="X81:AA81"/>
    <mergeCell ref="X83:AA86"/>
    <mergeCell ref="L85:M85"/>
    <mergeCell ref="X88:AA91"/>
    <mergeCell ref="T91:U91"/>
    <mergeCell ref="L89:M89"/>
    <mergeCell ref="T90:U90"/>
    <mergeCell ref="AT84:AT86"/>
    <mergeCell ref="AU84:AU86"/>
    <mergeCell ref="AJ78:AM78"/>
    <mergeCell ref="L83:M83"/>
    <mergeCell ref="T85:U85"/>
    <mergeCell ref="T86:U86"/>
    <mergeCell ref="T87:U87"/>
    <mergeCell ref="L84:M84"/>
    <mergeCell ref="L86:M86"/>
    <mergeCell ref="Q82:R82"/>
    <mergeCell ref="X82:AA82"/>
    <mergeCell ref="AB82:AD82"/>
    <mergeCell ref="AB134:AD138"/>
    <mergeCell ref="X133:AA133"/>
    <mergeCell ref="T105:U105"/>
    <mergeCell ref="T112:U112"/>
    <mergeCell ref="X98:AA101"/>
    <mergeCell ref="X103:AA106"/>
    <mergeCell ref="X108:AA111"/>
    <mergeCell ref="T98:U98"/>
    <mergeCell ref="X112:AA112"/>
    <mergeCell ref="AB118:AD121"/>
    <mergeCell ref="T114:U114"/>
    <mergeCell ref="T122:U122"/>
    <mergeCell ref="AB122:AD122"/>
    <mergeCell ref="AB113:AD116"/>
    <mergeCell ref="T113:U113"/>
    <mergeCell ref="X123:AA126"/>
    <mergeCell ref="X117:AA117"/>
    <mergeCell ref="AB128:AD132"/>
    <mergeCell ref="X107:AA107"/>
    <mergeCell ref="AB107:AD107"/>
    <mergeCell ref="T110:U110"/>
    <mergeCell ref="T111:U111"/>
    <mergeCell ref="T108:U108"/>
    <mergeCell ref="T109:U109"/>
    <mergeCell ref="Y8:AF8"/>
    <mergeCell ref="Y9:AF9"/>
    <mergeCell ref="S8:X8"/>
    <mergeCell ref="S9:X9"/>
    <mergeCell ref="N16:P16"/>
    <mergeCell ref="A12:C12"/>
    <mergeCell ref="A15:C15"/>
    <mergeCell ref="A14:AG14"/>
    <mergeCell ref="M12:O12"/>
    <mergeCell ref="X13:Z13"/>
    <mergeCell ref="AA13:AG13"/>
    <mergeCell ref="X12:Z12"/>
    <mergeCell ref="N15:P15"/>
    <mergeCell ref="I8:R8"/>
    <mergeCell ref="I9:R9"/>
    <mergeCell ref="D12:L12"/>
    <mergeCell ref="A16:D16"/>
    <mergeCell ref="A13:C13"/>
    <mergeCell ref="D13:L13"/>
    <mergeCell ref="M13:O13"/>
    <mergeCell ref="P13:W13"/>
    <mergeCell ref="Z16:AG16"/>
    <mergeCell ref="A214:C214"/>
    <mergeCell ref="D213:Q213"/>
    <mergeCell ref="R213:AC213"/>
    <mergeCell ref="AD213:AG213"/>
    <mergeCell ref="D214:Q214"/>
    <mergeCell ref="R214:AC214"/>
    <mergeCell ref="AD214:AG214"/>
    <mergeCell ref="A213:C213"/>
    <mergeCell ref="B145:AF145"/>
    <mergeCell ref="AG152:AL155"/>
    <mergeCell ref="AD152:AE152"/>
    <mergeCell ref="X152:AC152"/>
    <mergeCell ref="B146:E146"/>
    <mergeCell ref="A190:D190"/>
    <mergeCell ref="I190:K190"/>
    <mergeCell ref="C170:J170"/>
    <mergeCell ref="C162:AE162"/>
    <mergeCell ref="S170:Z170"/>
    <mergeCell ref="C163:AE163"/>
    <mergeCell ref="AB146:AE146"/>
    <mergeCell ref="F148:K148"/>
    <mergeCell ref="C169:H169"/>
    <mergeCell ref="S169:X169"/>
    <mergeCell ref="F146:K146"/>
    <mergeCell ref="R146:V146"/>
    <mergeCell ref="A149:AG149"/>
    <mergeCell ref="T131:U131"/>
    <mergeCell ref="X127:AA127"/>
    <mergeCell ref="T123:U123"/>
    <mergeCell ref="T116:U116"/>
    <mergeCell ref="A141:AG141"/>
    <mergeCell ref="T124:U124"/>
    <mergeCell ref="T125:U125"/>
    <mergeCell ref="H147:V147"/>
    <mergeCell ref="B147:G147"/>
    <mergeCell ref="X113:AA116"/>
    <mergeCell ref="T119:U119"/>
    <mergeCell ref="X118:AA121"/>
    <mergeCell ref="T129:U129"/>
    <mergeCell ref="Q113:R117"/>
    <mergeCell ref="T133:U133"/>
    <mergeCell ref="Q128:R133"/>
    <mergeCell ref="AB133:AD133"/>
    <mergeCell ref="AB123:AD126"/>
    <mergeCell ref="T132:U132"/>
    <mergeCell ref="T128:U128"/>
    <mergeCell ref="T126:U126"/>
    <mergeCell ref="Q118:R122"/>
    <mergeCell ref="N196:O196"/>
    <mergeCell ref="M195:O195"/>
    <mergeCell ref="M190:O190"/>
    <mergeCell ref="R148:V148"/>
    <mergeCell ref="A143:AG143"/>
    <mergeCell ref="Q123:R127"/>
    <mergeCell ref="Q134:R139"/>
    <mergeCell ref="AB139:AD139"/>
    <mergeCell ref="C161:AE161"/>
    <mergeCell ref="C160:AE160"/>
    <mergeCell ref="X146:AA146"/>
    <mergeCell ref="M146:Q146"/>
    <mergeCell ref="T127:U127"/>
    <mergeCell ref="X139:AA139"/>
    <mergeCell ref="T135:U135"/>
    <mergeCell ref="T136:U136"/>
    <mergeCell ref="T137:U137"/>
    <mergeCell ref="T138:U138"/>
    <mergeCell ref="T134:U134"/>
    <mergeCell ref="X134:AA138"/>
    <mergeCell ref="C164:AE164"/>
    <mergeCell ref="X128:AA132"/>
    <mergeCell ref="AB127:AD127"/>
    <mergeCell ref="T130:U130"/>
    <mergeCell ref="AB108:AD111"/>
    <mergeCell ref="AB112:AD112"/>
    <mergeCell ref="T115:U115"/>
    <mergeCell ref="I41:N41"/>
    <mergeCell ref="W41:Z41"/>
    <mergeCell ref="H42:W42"/>
    <mergeCell ref="T117:U117"/>
    <mergeCell ref="AB117:AD117"/>
    <mergeCell ref="X122:AA122"/>
    <mergeCell ref="H43:K43"/>
    <mergeCell ref="AA45:AB45"/>
    <mergeCell ref="L49:O49"/>
    <mergeCell ref="P49:T49"/>
    <mergeCell ref="U49:W49"/>
    <mergeCell ref="Z53:AA53"/>
    <mergeCell ref="M69:P69"/>
    <mergeCell ref="Y45:Z45"/>
    <mergeCell ref="T120:U120"/>
    <mergeCell ref="T121:U121"/>
    <mergeCell ref="T118:U118"/>
    <mergeCell ref="AA44:AB44"/>
    <mergeCell ref="G58:V58"/>
    <mergeCell ref="W58:AC60"/>
    <mergeCell ref="H47:V47"/>
    <mergeCell ref="AA21:AD21"/>
    <mergeCell ref="B94:E94"/>
    <mergeCell ref="T84:U84"/>
    <mergeCell ref="K51:N51"/>
    <mergeCell ref="K50:V50"/>
    <mergeCell ref="Z50:AE50"/>
    <mergeCell ref="H87:K87"/>
    <mergeCell ref="H91:K91"/>
    <mergeCell ref="L44:O44"/>
    <mergeCell ref="L45:O45"/>
    <mergeCell ref="P45:T45"/>
    <mergeCell ref="P44:T44"/>
    <mergeCell ref="U45:W45"/>
    <mergeCell ref="U44:W44"/>
    <mergeCell ref="Z54:AA54"/>
    <mergeCell ref="L87:M87"/>
    <mergeCell ref="L91:M91"/>
    <mergeCell ref="G21:M21"/>
    <mergeCell ref="X24:Y24"/>
    <mergeCell ref="A24:W25"/>
    <mergeCell ref="O41:V41"/>
    <mergeCell ref="N21:S21"/>
    <mergeCell ref="O39:Z39"/>
    <mergeCell ref="A21:F21"/>
    <mergeCell ref="Z31:AG31"/>
    <mergeCell ref="Z24:AG25"/>
    <mergeCell ref="A23:AG23"/>
    <mergeCell ref="AA37:AD37"/>
    <mergeCell ref="A31:W31"/>
    <mergeCell ref="Z26:AG26"/>
    <mergeCell ref="Z32:AG32"/>
    <mergeCell ref="A26:W26"/>
    <mergeCell ref="Z28:AG28"/>
    <mergeCell ref="A29:W29"/>
    <mergeCell ref="A28:W28"/>
    <mergeCell ref="Z30:AG30"/>
    <mergeCell ref="I37:N37"/>
    <mergeCell ref="O35:Z35"/>
    <mergeCell ref="Z29:AG29"/>
    <mergeCell ref="A27:W27"/>
    <mergeCell ref="I35:N35"/>
    <mergeCell ref="A30:W30"/>
    <mergeCell ref="I34:AD34"/>
    <mergeCell ref="Z27:AG27"/>
    <mergeCell ref="I36:N36"/>
    <mergeCell ref="A32:W32"/>
    <mergeCell ref="O37:Z37"/>
    <mergeCell ref="O36:Z36"/>
    <mergeCell ref="AE69:AG69"/>
    <mergeCell ref="M67:P68"/>
    <mergeCell ref="T64:AC67"/>
    <mergeCell ref="G59:M59"/>
    <mergeCell ref="N59:V59"/>
    <mergeCell ref="G60:M60"/>
    <mergeCell ref="N60:V60"/>
    <mergeCell ref="O65:P65"/>
    <mergeCell ref="H45:K45"/>
    <mergeCell ref="T51:V51"/>
    <mergeCell ref="H69:L69"/>
    <mergeCell ref="H67:L68"/>
    <mergeCell ref="AB52:AE52"/>
    <mergeCell ref="U48:V48"/>
    <mergeCell ref="H46:W46"/>
    <mergeCell ref="Q108:R112"/>
    <mergeCell ref="T95:U95"/>
    <mergeCell ref="T94:U94"/>
    <mergeCell ref="T93:U93"/>
    <mergeCell ref="Q93:R97"/>
    <mergeCell ref="T97:U97"/>
    <mergeCell ref="T104:U104"/>
    <mergeCell ref="T103:U103"/>
    <mergeCell ref="F106:G106"/>
    <mergeCell ref="T107:U107"/>
    <mergeCell ref="H94:K94"/>
    <mergeCell ref="H93:K93"/>
    <mergeCell ref="L93:M93"/>
    <mergeCell ref="Q103:R107"/>
    <mergeCell ref="T106:U106"/>
    <mergeCell ref="F107:G107"/>
    <mergeCell ref="F105:G105"/>
    <mergeCell ref="H72:L72"/>
    <mergeCell ref="H73:L73"/>
    <mergeCell ref="T82:U82"/>
    <mergeCell ref="Q79:AH79"/>
    <mergeCell ref="AF72:AI72"/>
    <mergeCell ref="N82:P82"/>
    <mergeCell ref="F83:G83"/>
    <mergeCell ref="B82:G82"/>
    <mergeCell ref="B81:M81"/>
    <mergeCell ref="T21:Z21"/>
    <mergeCell ref="I40:N40"/>
    <mergeCell ref="Z52:AA52"/>
    <mergeCell ref="Y44:Z44"/>
    <mergeCell ref="D64:P64"/>
    <mergeCell ref="AB102:AD102"/>
    <mergeCell ref="T96:U96"/>
    <mergeCell ref="X97:AA97"/>
    <mergeCell ref="X102:AA102"/>
    <mergeCell ref="T102:U102"/>
    <mergeCell ref="AB98:AD101"/>
    <mergeCell ref="A97:G97"/>
    <mergeCell ref="H96:K96"/>
    <mergeCell ref="A96:G96"/>
    <mergeCell ref="F100:G100"/>
    <mergeCell ref="H97:K97"/>
    <mergeCell ref="AB93:AD96"/>
    <mergeCell ref="X93:AA96"/>
    <mergeCell ref="A95:G95"/>
    <mergeCell ref="F94:G94"/>
    <mergeCell ref="D100:E100"/>
    <mergeCell ref="Q98:R102"/>
    <mergeCell ref="T100:U100"/>
    <mergeCell ref="T74:AI74"/>
    <mergeCell ref="D107:E107"/>
    <mergeCell ref="B107:C107"/>
    <mergeCell ref="B99:C99"/>
    <mergeCell ref="B98:C98"/>
    <mergeCell ref="AB54:AE54"/>
    <mergeCell ref="AE42:AH42"/>
    <mergeCell ref="Y42:AD42"/>
    <mergeCell ref="B86:E86"/>
    <mergeCell ref="F86:G86"/>
    <mergeCell ref="F91:G91"/>
    <mergeCell ref="B88:E88"/>
    <mergeCell ref="B91:E91"/>
    <mergeCell ref="T88:U88"/>
    <mergeCell ref="Q88:R92"/>
    <mergeCell ref="K52:N52"/>
    <mergeCell ref="O52:S52"/>
    <mergeCell ref="Z51:AA51"/>
    <mergeCell ref="AB51:AE51"/>
    <mergeCell ref="U43:W43"/>
    <mergeCell ref="H48:T48"/>
    <mergeCell ref="AB103:AD106"/>
    <mergeCell ref="T101:U101"/>
    <mergeCell ref="D105:E105"/>
    <mergeCell ref="D70:G70"/>
    <mergeCell ref="AV80:AV81"/>
    <mergeCell ref="O51:S51"/>
    <mergeCell ref="Z72:AA72"/>
    <mergeCell ref="M73:P73"/>
    <mergeCell ref="A79:M79"/>
    <mergeCell ref="H74:L74"/>
    <mergeCell ref="A81:A83"/>
    <mergeCell ref="T83:U83"/>
    <mergeCell ref="D106:E106"/>
    <mergeCell ref="E76:N77"/>
    <mergeCell ref="D74:G74"/>
    <mergeCell ref="M72:P72"/>
    <mergeCell ref="H83:K83"/>
    <mergeCell ref="Q83:R87"/>
    <mergeCell ref="B87:E87"/>
    <mergeCell ref="F87:G87"/>
    <mergeCell ref="K54:P54"/>
    <mergeCell ref="Q54:T54"/>
    <mergeCell ref="D67:G68"/>
    <mergeCell ref="AB53:AE53"/>
    <mergeCell ref="AV84:AV86"/>
    <mergeCell ref="T89:U89"/>
    <mergeCell ref="AU80:AU81"/>
    <mergeCell ref="AB88:AD91"/>
  </mergeCells>
  <phoneticPr fontId="50" type="noConversion"/>
  <conditionalFormatting sqref="B84:E88">
    <cfRule type="expression" dxfId="139" priority="26">
      <formula>$B$94&gt;$AE$20</formula>
    </cfRule>
  </conditionalFormatting>
  <conditionalFormatting sqref="B82:G82">
    <cfRule type="cellIs" dxfId="138" priority="38" operator="greaterThanOrEqual">
      <formula>$Y$20</formula>
    </cfRule>
    <cfRule type="cellIs" dxfId="137" priority="65" operator="lessThan">
      <formula>$Y$20/2</formula>
    </cfRule>
  </conditionalFormatting>
  <conditionalFormatting sqref="B82:M82 F84:G93 L84:M93">
    <cfRule type="containsBlanks" dxfId="136" priority="99">
      <formula>LEN(TRIM(B82))=0</formula>
    </cfRule>
  </conditionalFormatting>
  <conditionalFormatting sqref="C169:H169 C170:J170">
    <cfRule type="containsBlanks" dxfId="135" priority="93">
      <formula>LEN(TRIM(C169))=0</formula>
    </cfRule>
  </conditionalFormatting>
  <conditionalFormatting sqref="C161:AE164">
    <cfRule type="containsBlanks" dxfId="134" priority="95">
      <formula>LEN(TRIM(C161))=0</formula>
    </cfRule>
  </conditionalFormatting>
  <conditionalFormatting sqref="D12:L12 P12:W12 AA12:AG13">
    <cfRule type="containsBlanks" dxfId="133" priority="110">
      <formula>LEN(TRIM(D12))=0</formula>
    </cfRule>
  </conditionalFormatting>
  <conditionalFormatting sqref="D13:L13 P13:W13">
    <cfRule type="containsBlanks" dxfId="132" priority="11">
      <formula>LEN(TRIM(D13))=0</formula>
    </cfRule>
  </conditionalFormatting>
  <conditionalFormatting sqref="D15:M15 Q15:W16 Z15:AG16 E16:M17">
    <cfRule type="containsBlanks" dxfId="131" priority="109">
      <formula>LEN(TRIM(D15))=0</formula>
    </cfRule>
  </conditionalFormatting>
  <conditionalFormatting sqref="E20:I20 L20:N20 S20:V20 Y20:AA20 AE20:AF21 G21:M21 T21:Z21">
    <cfRule type="containsBlanks" dxfId="130" priority="108">
      <formula>LEN(TRIM(E20))=0</formula>
    </cfRule>
  </conditionalFormatting>
  <conditionalFormatting sqref="F146:K146">
    <cfRule type="expression" dxfId="129" priority="18">
      <formula>$F$148=1</formula>
    </cfRule>
  </conditionalFormatting>
  <conditionalFormatting sqref="F146:L146 R146:W146 AB146:AF146 H147:V147">
    <cfRule type="containsBlanks" dxfId="128" priority="94">
      <formula>LEN(TRIM(F146))=0</formula>
    </cfRule>
  </conditionalFormatting>
  <conditionalFormatting sqref="G21:M21">
    <cfRule type="cellIs" dxfId="127" priority="30" operator="lessThan">
      <formula>$AE$20</formula>
    </cfRule>
  </conditionalFormatting>
  <conditionalFormatting sqref="H84:K88">
    <cfRule type="expression" dxfId="126" priority="25">
      <formula>$H$94&gt;$AE$20*2</formula>
    </cfRule>
  </conditionalFormatting>
  <conditionalFormatting sqref="H84:K94">
    <cfRule type="containsBlanks" dxfId="125" priority="73">
      <formula>LEN(TRIM(H84))=0</formula>
    </cfRule>
  </conditionalFormatting>
  <conditionalFormatting sqref="H69:L74">
    <cfRule type="expression" dxfId="124" priority="27">
      <formula>$H$75&gt;$AE$20*$T$197</formula>
    </cfRule>
  </conditionalFormatting>
  <conditionalFormatting sqref="H69:L75">
    <cfRule type="containsBlanks" dxfId="123" priority="36">
      <formula>LEN(TRIM(H69))=0</formula>
    </cfRule>
  </conditionalFormatting>
  <conditionalFormatting sqref="H82:M82">
    <cfRule type="cellIs" dxfId="122" priority="114" operator="lessThan">
      <formula>$Y$20/2</formula>
    </cfRule>
    <cfRule type="cellIs" dxfId="121" priority="115" operator="greaterThan">
      <formula>$Y$20</formula>
    </cfRule>
  </conditionalFormatting>
  <conditionalFormatting sqref="I7:I9 Y7:Y9 X87:AD87 X92:AD92 X97:AD97 X102:AD102 X107:AD107 X112:AD112 X117:AD117 X122:AD122 X127:AD127 X133:AD133 X139:AD139">
    <cfRule type="containsBlanks" dxfId="120" priority="111">
      <formula>LEN(TRIM(I7))=0</formula>
    </cfRule>
  </conditionalFormatting>
  <conditionalFormatting sqref="I7:R8">
    <cfRule type="containsBlanks" dxfId="119" priority="14">
      <formula>LEN(TRIM(I7))=0</formula>
    </cfRule>
  </conditionalFormatting>
  <conditionalFormatting sqref="I9:R9">
    <cfRule type="expression" dxfId="118" priority="35">
      <formula>$I$9&lt;$I$8+0.022</formula>
    </cfRule>
  </conditionalFormatting>
  <conditionalFormatting sqref="I36:AD40">
    <cfRule type="containsBlanks" dxfId="117" priority="52">
      <formula>LEN(TRIM(I36))=0</formula>
    </cfRule>
  </conditionalFormatting>
  <conditionalFormatting sqref="K65 M65">
    <cfRule type="containsBlanks" dxfId="116" priority="102">
      <formula>LEN(TRIM(K65))=0</formula>
    </cfRule>
  </conditionalFormatting>
  <conditionalFormatting sqref="K65">
    <cfRule type="containsBlanks" dxfId="115" priority="159" stopIfTrue="1">
      <formula>LEN(TRIM(K65))=0</formula>
    </cfRule>
    <cfRule type="cellIs" dxfId="114" priority="155" stopIfTrue="1" operator="greaterThan">
      <formula>$Y$20/2</formula>
    </cfRule>
    <cfRule type="cellIs" dxfId="113" priority="157" operator="lessThan">
      <formula>$E$20+($Y$20-$E$20)/3</formula>
    </cfRule>
    <cfRule type="cellIs" dxfId="112" priority="158" stopIfTrue="1" operator="lessThanOrEqual">
      <formula>-$Y$20/3</formula>
    </cfRule>
  </conditionalFormatting>
  <conditionalFormatting sqref="K52:V52">
    <cfRule type="containsBlanks" dxfId="111" priority="29">
      <formula>LEN(TRIM(K52))=0</formula>
    </cfRule>
    <cfRule type="containsBlanks" dxfId="110" priority="104">
      <formula>LEN(TRIM(K52))=0</formula>
    </cfRule>
  </conditionalFormatting>
  <conditionalFormatting sqref="L44:O44">
    <cfRule type="cellIs" dxfId="109" priority="6" operator="greaterThan">
      <formula>$L$45</formula>
    </cfRule>
  </conditionalFormatting>
  <conditionalFormatting sqref="L44:O45">
    <cfRule type="expression" dxfId="108" priority="22">
      <formula>MAX($L$44:$O$45)-MIN($L$44:$O$45)&gt;$Y$45</formula>
    </cfRule>
    <cfRule type="cellIs" dxfId="107" priority="80" operator="greaterThan">
      <formula>40</formula>
    </cfRule>
    <cfRule type="cellIs" dxfId="106" priority="81" operator="lessThan">
      <formula>10</formula>
    </cfRule>
  </conditionalFormatting>
  <conditionalFormatting sqref="L44:T44">
    <cfRule type="containsBlanks" dxfId="105" priority="86">
      <formula>LEN(TRIM(L44))=0</formula>
    </cfRule>
  </conditionalFormatting>
  <conditionalFormatting sqref="M69:P74">
    <cfRule type="containsBlanks" dxfId="104" priority="101">
      <formula>LEN(TRIM(M69))=0</formula>
    </cfRule>
  </conditionalFormatting>
  <conditionalFormatting sqref="O52:S52">
    <cfRule type="cellIs" dxfId="103" priority="19" operator="notBetween">
      <formula>$L$44</formula>
      <formula>$L$45</formula>
    </cfRule>
  </conditionalFormatting>
  <conditionalFormatting sqref="P83:P139">
    <cfRule type="cellIs" dxfId="102" priority="1" operator="equal">
      <formula>"Revisar"</formula>
    </cfRule>
  </conditionalFormatting>
  <conditionalFormatting sqref="P44:T44">
    <cfRule type="cellIs" dxfId="101" priority="5" operator="greaterThan">
      <formula>$P$45</formula>
    </cfRule>
  </conditionalFormatting>
  <conditionalFormatting sqref="P44:T45">
    <cfRule type="cellIs" dxfId="100" priority="79" operator="lessThan">
      <formula>30</formula>
    </cfRule>
    <cfRule type="expression" dxfId="99" priority="21">
      <formula>$P$49&gt;$AA$45</formula>
    </cfRule>
    <cfRule type="cellIs" dxfId="98" priority="78" operator="greaterThan">
      <formula>80</formula>
    </cfRule>
  </conditionalFormatting>
  <conditionalFormatting sqref="R146:V146">
    <cfRule type="expression" dxfId="97" priority="17">
      <formula>$R$148=1</formula>
    </cfRule>
  </conditionalFormatting>
  <conditionalFormatting sqref="S82:T82 V82">
    <cfRule type="containsBlanks" dxfId="96" priority="10">
      <formula>LEN(TRIM(S82))=0</formula>
    </cfRule>
  </conditionalFormatting>
  <conditionalFormatting sqref="S83:V86 AE83:AE139 T87:U87 S88:V91 T92:U92 S93:V96 T97:U97 S98:V101 T102:U102 S103:V106 T107:U107 S108:V111 T112:U112 S113:V116 T117:U117 S118:V121 T122:U122 S123:V126 T127:U127 S128:V132 T133:U133 S134:V138 T139:U139">
    <cfRule type="containsBlanks" dxfId="95" priority="97">
      <formula>LEN(TRIM(S83))=0</formula>
    </cfRule>
  </conditionalFormatting>
  <conditionalFormatting sqref="S169:X169 S170:Z170">
    <cfRule type="containsBlanks" dxfId="94" priority="92">
      <formula>LEN(TRIM(S169))=0</formula>
    </cfRule>
  </conditionalFormatting>
  <conditionalFormatting sqref="U44:W44">
    <cfRule type="cellIs" dxfId="93" priority="2" operator="greaterThan">
      <formula>$U$45</formula>
    </cfRule>
  </conditionalFormatting>
  <conditionalFormatting sqref="U44:W45">
    <cfRule type="expression" dxfId="92" priority="20">
      <formula>$U$49&gt;$AC$45</formula>
    </cfRule>
    <cfRule type="containsBlanks" dxfId="91" priority="105">
      <formula>LEN(TRIM(U44))=0</formula>
    </cfRule>
  </conditionalFormatting>
  <conditionalFormatting sqref="V72 Z72:AA72">
    <cfRule type="containsBlanks" dxfId="90" priority="100">
      <formula>LEN(TRIM(V72))=0</formula>
    </cfRule>
  </conditionalFormatting>
  <conditionalFormatting sqref="W47 U48:V48">
    <cfRule type="containsBlanks" dxfId="89" priority="87">
      <formula>LEN(TRIM(U47))=0</formula>
    </cfRule>
  </conditionalFormatting>
  <conditionalFormatting sqref="X82 AB82">
    <cfRule type="containsBlanks" dxfId="88" priority="9">
      <formula>LEN(TRIM(X82))=0</formula>
    </cfRule>
  </conditionalFormatting>
  <conditionalFormatting sqref="X26:AG32">
    <cfRule type="containsBlanks" dxfId="87" priority="107">
      <formula>LEN(TRIM(X26))=0</formula>
    </cfRule>
  </conditionalFormatting>
  <conditionalFormatting sqref="Y20:Z20">
    <cfRule type="cellIs" dxfId="86" priority="31" operator="greaterThan">
      <formula>$L$20</formula>
    </cfRule>
  </conditionalFormatting>
  <conditionalFormatting sqref="Y7:AF9">
    <cfRule type="containsBlanks" dxfId="85" priority="15">
      <formula>LEN(TRIM(Y7))=0</formula>
    </cfRule>
  </conditionalFormatting>
  <conditionalFormatting sqref="Y8:AF8">
    <cfRule type="expression" dxfId="84" priority="32">
      <formula>$Y$8&lt;$I$8+0.021</formula>
    </cfRule>
  </conditionalFormatting>
  <conditionalFormatting sqref="Y9:AF9">
    <cfRule type="expression" dxfId="83" priority="33">
      <formula>$Y$9&lt;$I$9+0.022</formula>
    </cfRule>
  </conditionalFormatting>
  <conditionalFormatting sqref="AA36:AD40">
    <cfRule type="cellIs" dxfId="82" priority="160" stopIfTrue="1" operator="greaterThan">
      <formula>$AX$36+30</formula>
    </cfRule>
    <cfRule type="cellIs" dxfId="81" priority="161" stopIfTrue="1" operator="greaterThan">
      <formula>$AX$36+7</formula>
    </cfRule>
    <cfRule type="cellIs" dxfId="80" priority="162" stopIfTrue="1" operator="between">
      <formula>1</formula>
      <formula>$AX$36+7</formula>
    </cfRule>
  </conditionalFormatting>
  <conditionalFormatting sqref="AB52:AE54">
    <cfRule type="containsBlanks" dxfId="79" priority="28">
      <formula>LEN(TRIM(AB52))=0</formula>
    </cfRule>
    <cfRule type="containsBlanks" dxfId="78" priority="77">
      <formula>LEN(TRIM(AB52))=0</formula>
    </cfRule>
  </conditionalFormatting>
  <conditionalFormatting sqref="AD152:AE152">
    <cfRule type="containsBlanks" dxfId="77" priority="96">
      <formula>LEN(TRIM(AD152))=0</formula>
    </cfRule>
  </conditionalFormatting>
  <conditionalFormatting sqref="AE72">
    <cfRule type="containsBlanks" dxfId="76" priority="66">
      <formula>LEN(TRIM(AE72))=0</formula>
    </cfRule>
  </conditionalFormatting>
  <conditionalFormatting sqref="AG152:AL155">
    <cfRule type="expression" dxfId="75" priority="12">
      <formula>($Y$9&lt;($I$9+0.022))</formula>
    </cfRule>
  </conditionalFormatting>
  <conditionalFormatting sqref="AJ79:AJ80 B84:E94">
    <cfRule type="containsBlanks" dxfId="74" priority="74">
      <formula>LEN(TRIM(B79))=0</formula>
    </cfRule>
  </conditionalFormatting>
  <conditionalFormatting sqref="AJ78:AM78">
    <cfRule type="containsBlanks" dxfId="73" priority="13">
      <formula>LEN(TRIM(AJ78))=0</formula>
    </cfRule>
  </conditionalFormatting>
  <conditionalFormatting sqref="AL76:AM76 H97:K97">
    <cfRule type="containsBlanks" dxfId="72" priority="16">
      <formula>LEN(TRIM(H76))=0</formula>
    </cfRule>
  </conditionalFormatting>
  <dataValidations xWindow="790" yWindow="649" count="18">
    <dataValidation type="list" allowBlank="1" showInputMessage="1" showErrorMessage="1" sqref="I20" xr:uid="{00000000-0002-0000-0100-000000000000}">
      <formula1>$A$191:$A$194</formula1>
    </dataValidation>
    <dataValidation type="list" allowBlank="1" showInputMessage="1" showErrorMessage="1" sqref="D15" xr:uid="{00000000-0002-0000-0100-000001000000}">
      <formula1>$Y$191:$Y$200</formula1>
    </dataValidation>
    <dataValidation operator="notBetween" allowBlank="1" showInputMessage="1" showErrorMessage="1" promptTitle="Numero de Decimales" prompt="Tener en cuenta que coincidan el numero de  decimales  con los de la  resolucion_x000a_" sqref="H69:L74" xr:uid="{00000000-0002-0000-0100-000002000000}"/>
    <dataValidation allowBlank="1" showInputMessage="1" showErrorMessage="1" promptTitle="Numero de  decimales" prompt="Tener en cuenta que coincidan el numero de  decimales  con los de la  resolucion" sqref="X97:X98 X139 X102:X103 X127:X128 Y97:AA97 X92:X93 X87:X88 X107:X108 X112:X113 X117:X118 H82 B82 B94 G85:G91 F84:F94 B108:F139 G105:G139 H84:K92 G93:K93 G98:G102 B101:F102 B84:E93 X122:X123 X133:X134 N84:N94 O90:O94 H94:H96 L84:L93 L96:O96 H98:O139 H97:K97 X82:X83" xr:uid="{00000000-0002-0000-0100-000003000000}"/>
    <dataValidation allowBlank="1" showInputMessage="1" showErrorMessage="1" promptTitle="DOCUMENTE" prompt="Si no cumple, debe redactar una observación" sqref="Y26:Y32" xr:uid="{00000000-0002-0000-0100-000004000000}"/>
    <dataValidation type="list" allowBlank="1" showInputMessage="1" showErrorMessage="1" sqref="C170:J170" xr:uid="{00000000-0002-0000-0100-000005000000}">
      <formula1>$Q$191:$Q$194</formula1>
    </dataValidation>
    <dataValidation type="list" allowBlank="1" showInputMessage="1" showErrorMessage="1" sqref="S170:Z170" xr:uid="{00000000-0002-0000-0100-000006000000}">
      <formula1>$Q$191:$Q$193</formula1>
    </dataValidation>
    <dataValidation type="list" allowBlank="1" showInputMessage="1" showErrorMessage="1" sqref="V84:V86" xr:uid="{00000000-0002-0000-0100-000007000000}">
      <formula1>$AS$190:$AS$199</formula1>
    </dataValidation>
    <dataValidation type="list" allowBlank="1" showInputMessage="1" showErrorMessage="1" sqref="S169:X169" xr:uid="{00000000-0002-0000-0100-000009000000}">
      <formula1>$I$191:$I$194</formula1>
    </dataValidation>
    <dataValidation type="list" allowBlank="1" showInputMessage="1" showErrorMessage="1" sqref="C169:H169" xr:uid="{00000000-0002-0000-0100-00000A000000}">
      <formula1>$I$191:$I$192</formula1>
    </dataValidation>
    <dataValidation type="list" allowBlank="1" showInputMessage="1" showErrorMessage="1" sqref="W51:W53" xr:uid="{00000000-0002-0000-0100-00000B000000}">
      <formula1>$AX$5:$AX$6</formula1>
    </dataValidation>
    <dataValidation type="list" allowBlank="1" showInputMessage="1" showErrorMessage="1" sqref="W48" xr:uid="{00000000-0002-0000-0100-00000C000000}">
      <formula1>$AX$9:$AX$10</formula1>
    </dataValidation>
    <dataValidation type="list" allowBlank="1" showInputMessage="1" showErrorMessage="1" sqref="W47" xr:uid="{00000000-0002-0000-0100-00000D000000}">
      <formula1>$AX$5:$AX$7</formula1>
    </dataValidation>
    <dataValidation type="list" allowBlank="1" showInputMessage="1" showErrorMessage="1" sqref="E17:M17" xr:uid="{00000000-0002-0000-0100-00000E000000}">
      <formula1>$AZ$5:$AZ$7</formula1>
    </dataValidation>
    <dataValidation type="list" allowBlank="1" showInputMessage="1" showErrorMessage="1" sqref="V88:V91 V128:V132 V123:V126 V118:V121 V113:V116 V108:V111 V103:V106 V98:V101 V93:V96 V134:V138" xr:uid="{19E99FA1-8FC1-4A75-B188-297AC6AB7988}">
      <formula1>$AS$190:$AS$202</formula1>
    </dataValidation>
    <dataValidation type="list" allowBlank="1" showInputMessage="1" showErrorMessage="1" sqref="AL76:AM76" xr:uid="{282A894A-31CC-4926-B9DF-F7283F36CCC4}">
      <formula1>$A$197:$A$200</formula1>
    </dataValidation>
    <dataValidation type="list" allowBlank="1" showInputMessage="1" showErrorMessage="1" sqref="V82" xr:uid="{9633F3B2-B262-45F2-AD5A-F12805F3A4DB}">
      <formula1>$AS$190</formula1>
    </dataValidation>
    <dataValidation type="list" allowBlank="1" showInputMessage="1" showErrorMessage="1" sqref="V83" xr:uid="{36FF8F6D-FF37-4035-812E-E7477258E54B}">
      <formula1>$AS$190:$AS$205</formula1>
    </dataValidation>
  </dataValidations>
  <printOptions horizontalCentered="1" verticalCentered="1"/>
  <pageMargins left="0.8999606299212598" right="0.31496062992125984" top="0.15748031496062992" bottom="0.74803149606299213" header="0.31496062992125984" footer="0.31496062992125984"/>
  <pageSetup paperSize="9" scale="29" fitToHeight="3" orientation="landscape" r:id="rId1"/>
  <rowBreaks count="1" manualBreakCount="1">
    <brk id="56" max="38" man="1"/>
  </rowBreaks>
  <drawing r:id="rId2"/>
  <legacyDrawing r:id="rId3"/>
  <oleObjects>
    <mc:AlternateContent xmlns:mc="http://schemas.openxmlformats.org/markup-compatibility/2006">
      <mc:Choice Requires="x14">
        <oleObject progId="PBrush" shapeId="5034204" r:id="rId4">
          <objectPr defaultSize="0" autoPict="0" r:id="rId5">
            <anchor moveWithCells="1" sizeWithCells="1">
              <from>
                <xdr:col>0</xdr:col>
                <xdr:colOff>228600</xdr:colOff>
                <xdr:row>0</xdr:row>
                <xdr:rowOff>57150</xdr:rowOff>
              </from>
              <to>
                <xdr:col>14</xdr:col>
                <xdr:colOff>133350</xdr:colOff>
                <xdr:row>1</xdr:row>
                <xdr:rowOff>381000</xdr:rowOff>
              </to>
            </anchor>
          </objectPr>
        </oleObject>
      </mc:Choice>
      <mc:Fallback>
        <oleObject progId="PBrush" shapeId="5034204" r:id="rId4"/>
      </mc:Fallback>
    </mc:AlternateContent>
  </oleObjects>
  <extLst>
    <ext xmlns:x14="http://schemas.microsoft.com/office/spreadsheetml/2009/9/main" uri="{CCE6A557-97BC-4b89-ADB6-D9C93CAAB3DF}">
      <x14:dataValidations xmlns:xm="http://schemas.microsoft.com/office/excel/2006/main" xWindow="790" yWindow="649" count="4">
        <x14:dataValidation type="list" allowBlank="1" showInputMessage="1" showErrorMessage="1" xr:uid="{00000000-0002-0000-0100-000010000000}">
          <x14:formula1>
            <xm:f>'Incertidumbre  Empuje'!$B$20:$B$23</xm:f>
          </x14:formula1>
          <xm:sqref>AE42:AH42</xm:sqref>
        </x14:dataValidation>
        <x14:dataValidation type="list" allowBlank="1" showInputMessage="1" showErrorMessage="1" xr:uid="{00000000-0002-0000-0100-000011000000}">
          <x14:formula1>
            <xm:f>'Errores  Patrones'!$AB$4:$AB$18</xm:f>
          </x14:formula1>
          <xm:sqref>I36:N40</xm:sqref>
        </x14:dataValidation>
        <x14:dataValidation type="list" allowBlank="1" showInputMessage="1" showErrorMessage="1" xr:uid="{207A5CAC-C4FA-4770-AF5C-1E91E8888444}">
          <x14:formula1>
            <xm:f>'Errores  Patrones'!$AO$4:$AO$94</xm:f>
          </x14:formula1>
          <xm:sqref>S83:S86 S88:S91 S93:S96 S98:S101 S103:S106 S108:S111 S113:S116 S118:S121 S123:S126 S128:S132 S134:S138</xm:sqref>
        </x14:dataValidation>
        <x14:dataValidation type="list" allowBlank="1" showInputMessage="1" showErrorMessage="1" xr:uid="{DF3550C2-0525-4264-BD0F-72D7A1C8510C}">
          <x14:formula1>
            <xm:f>'Errores  Patrones'!$AO$6</xm:f>
          </x14:formula1>
          <xm:sqref>S82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5">
    <tabColor theme="7" tint="0.59999389629810485"/>
  </sheetPr>
  <dimension ref="A1:AT225"/>
  <sheetViews>
    <sheetView showGridLines="0" view="pageBreakPreview" topLeftCell="A49" zoomScale="70" zoomScaleNormal="100" zoomScaleSheetLayoutView="70" workbookViewId="0">
      <selection activeCell="P66" sqref="P66"/>
    </sheetView>
  </sheetViews>
  <sheetFormatPr baseColWidth="10" defaultColWidth="11.42578125" defaultRowHeight="15.75"/>
  <cols>
    <col min="1" max="1" width="9" style="10" customWidth="1"/>
    <col min="2" max="3" width="3.140625" style="10" customWidth="1"/>
    <col min="4" max="4" width="7.7109375" style="10" customWidth="1"/>
    <col min="5" max="5" width="6.28515625" style="10" customWidth="1"/>
    <col min="6" max="6" width="5.7109375" style="10" customWidth="1"/>
    <col min="7" max="7" width="5.140625" style="10" customWidth="1"/>
    <col min="8" max="8" width="6" style="11" customWidth="1"/>
    <col min="9" max="9" width="4.5703125" style="10" customWidth="1"/>
    <col min="10" max="11" width="4.28515625" style="10" customWidth="1"/>
    <col min="12" max="12" width="7" style="10" customWidth="1"/>
    <col min="13" max="13" width="4.7109375" style="10" customWidth="1"/>
    <col min="14" max="15" width="7.42578125" style="10" customWidth="1"/>
    <col min="16" max="17" width="9.140625" style="10" customWidth="1"/>
    <col min="18" max="18" width="11.28515625" style="10" customWidth="1"/>
    <col min="19" max="19" width="7.5703125" style="10" customWidth="1"/>
    <col min="20" max="20" width="10.85546875" style="10" customWidth="1"/>
    <col min="21" max="21" width="3" style="10" customWidth="1"/>
    <col min="22" max="22" width="7.28515625" style="10" customWidth="1"/>
    <col min="23" max="23" width="8.42578125" style="10" customWidth="1"/>
    <col min="24" max="24" width="1.85546875" style="10" customWidth="1"/>
    <col min="25" max="25" width="7.5703125" style="10" customWidth="1"/>
    <col min="26" max="26" width="12.85546875" style="10" customWidth="1"/>
    <col min="27" max="27" width="15.28515625" style="51" customWidth="1"/>
    <col min="28" max="29" width="11.85546875" style="51" hidden="1" customWidth="1"/>
    <col min="30" max="30" width="10.7109375" style="51" customWidth="1"/>
    <col min="31" max="31" width="13.5703125" style="10" customWidth="1"/>
    <col min="32" max="32" width="8.42578125" style="10" customWidth="1"/>
    <col min="33" max="33" width="4.7109375" style="10" customWidth="1"/>
    <col min="34" max="34" width="11.140625" style="10" customWidth="1"/>
    <col min="35" max="35" width="11.28515625" style="10" customWidth="1"/>
    <col min="36" max="36" width="12.140625" style="10" customWidth="1"/>
    <col min="37" max="37" width="9.85546875" style="10" bestFit="1" customWidth="1"/>
    <col min="38" max="38" width="13.7109375" style="10" customWidth="1"/>
    <col min="39" max="39" width="12.140625" style="10" customWidth="1"/>
    <col min="40" max="40" width="8.42578125" style="10" customWidth="1"/>
    <col min="41" max="41" width="10.85546875" style="10" customWidth="1"/>
    <col min="42" max="43" width="10" style="521" customWidth="1"/>
    <col min="44" max="44" width="10.42578125" style="10" customWidth="1"/>
    <col min="45" max="45" width="10.7109375" style="10" customWidth="1"/>
    <col min="46" max="46" width="12.85546875" style="10" bestFit="1" customWidth="1"/>
    <col min="47" max="68" width="4.7109375" style="10" customWidth="1"/>
    <col min="69" max="16384" width="11.42578125" style="10"/>
  </cols>
  <sheetData>
    <row r="1" spans="1:43" ht="36.75" customHeight="1">
      <c r="A1" s="904"/>
      <c r="B1" s="904"/>
      <c r="C1" s="904"/>
      <c r="D1" s="904"/>
      <c r="E1" s="904"/>
      <c r="F1" s="904"/>
      <c r="G1" s="904"/>
      <c r="H1" s="1491" t="str">
        <f>Formato!S1</f>
        <v>CALIBRACIÓN INSTRUMENTOS DE PESAJE DE FUNCIONAMIENTO NO AUTOMATICO, LC-FR-20 V12</v>
      </c>
      <c r="I1" s="1491"/>
      <c r="J1" s="1491"/>
      <c r="K1" s="1491"/>
      <c r="L1" s="1491"/>
      <c r="M1" s="1491"/>
      <c r="N1" s="1491"/>
      <c r="O1" s="1491"/>
      <c r="P1" s="1491"/>
      <c r="Q1" s="1491"/>
      <c r="R1" s="1491"/>
      <c r="S1" s="1491"/>
      <c r="T1" s="1491"/>
      <c r="U1" s="1491"/>
      <c r="V1" s="1491"/>
      <c r="W1" s="1491"/>
      <c r="X1" s="1491"/>
      <c r="Y1" s="1491"/>
    </row>
    <row r="2" spans="1:43" ht="15.75" customHeight="1">
      <c r="A2" s="905"/>
      <c r="B2" s="905"/>
      <c r="C2" s="905"/>
      <c r="D2" s="905"/>
      <c r="E2" s="905"/>
      <c r="F2" s="905"/>
      <c r="G2" s="905"/>
      <c r="H2" s="905"/>
      <c r="I2" s="905"/>
      <c r="J2" s="905"/>
      <c r="K2" s="905"/>
      <c r="L2" s="905"/>
      <c r="M2" s="905"/>
      <c r="N2" s="905"/>
      <c r="O2" s="905"/>
      <c r="P2" s="905"/>
      <c r="Q2" s="901"/>
      <c r="R2" s="901"/>
      <c r="S2" s="901"/>
      <c r="T2" s="901"/>
      <c r="U2" s="901"/>
      <c r="V2" s="901"/>
      <c r="W2" s="1492" t="str">
        <f>Formato!S2</f>
        <v>CD-372-24</v>
      </c>
      <c r="X2" s="1493"/>
      <c r="Y2" s="1493"/>
    </row>
    <row r="3" spans="1:43" ht="10.15" customHeight="1">
      <c r="A3" s="906"/>
      <c r="B3" s="906"/>
      <c r="C3" s="906"/>
      <c r="D3" s="906"/>
      <c r="E3" s="906"/>
      <c r="F3" s="906"/>
      <c r="G3" s="906"/>
      <c r="H3" s="906"/>
      <c r="I3" s="906"/>
      <c r="J3" s="906"/>
      <c r="K3" s="906"/>
      <c r="L3" s="906"/>
      <c r="M3" s="906"/>
      <c r="N3" s="906"/>
      <c r="O3" s="906"/>
      <c r="P3" s="906"/>
      <c r="Q3" s="903"/>
      <c r="R3" s="903"/>
      <c r="S3" s="903"/>
      <c r="T3" s="903"/>
      <c r="U3" s="903"/>
      <c r="V3" s="903"/>
      <c r="W3" s="903"/>
      <c r="X3" s="903"/>
      <c r="Y3" s="903"/>
    </row>
    <row r="4" spans="1:43" ht="15.75" customHeight="1">
      <c r="A4" s="1494" t="str">
        <f>Formato!A4</f>
        <v>Revisado Director Técnico, 2024-12-17 - Aprobado Gerente General, 2024-12-18</v>
      </c>
      <c r="B4" s="1494"/>
      <c r="C4" s="1494"/>
      <c r="D4" s="1494"/>
      <c r="E4" s="1494"/>
      <c r="F4" s="1494"/>
      <c r="G4" s="1494"/>
      <c r="H4" s="1494"/>
      <c r="I4" s="1494"/>
      <c r="J4" s="1494"/>
      <c r="K4" s="1494"/>
      <c r="L4" s="1494"/>
      <c r="M4" s="1494"/>
      <c r="N4" s="1494"/>
      <c r="O4" s="1494"/>
      <c r="P4" s="1494"/>
      <c r="Q4" s="1494"/>
      <c r="R4" s="1494"/>
      <c r="S4" s="1494"/>
      <c r="T4" s="1494"/>
      <c r="U4" s="1494"/>
      <c r="V4" s="1494"/>
      <c r="W4" s="1494"/>
      <c r="X4" s="1494"/>
      <c r="Y4" s="1494"/>
    </row>
    <row r="5" spans="1:43" ht="9.75" customHeight="1">
      <c r="A5" s="595"/>
      <c r="B5" s="595"/>
      <c r="C5" s="595"/>
      <c r="D5" s="595"/>
      <c r="E5" s="595"/>
      <c r="F5" s="595"/>
      <c r="G5" s="595"/>
      <c r="H5" s="595"/>
      <c r="I5" s="595"/>
      <c r="J5" s="595"/>
      <c r="K5" s="595"/>
      <c r="L5" s="595"/>
      <c r="M5" s="595"/>
      <c r="N5" s="595"/>
      <c r="O5" s="595"/>
      <c r="P5" s="595"/>
      <c r="Q5" s="559"/>
      <c r="R5" s="559"/>
      <c r="S5" s="559"/>
      <c r="T5" s="559"/>
      <c r="U5" s="559"/>
      <c r="V5" s="559"/>
      <c r="W5" s="559"/>
      <c r="X5" s="559"/>
      <c r="Y5" s="559"/>
    </row>
    <row r="6" spans="1:43" ht="23.25" customHeight="1">
      <c r="A6" s="241"/>
      <c r="B6" s="241"/>
      <c r="C6" s="241"/>
      <c r="D6" s="241"/>
      <c r="E6" s="241"/>
      <c r="F6" s="241"/>
      <c r="G6" s="241"/>
      <c r="H6" s="242"/>
      <c r="I6" s="241"/>
      <c r="J6" s="241"/>
      <c r="K6" s="241"/>
      <c r="L6" s="241"/>
      <c r="M6" s="241"/>
      <c r="N6" s="241"/>
      <c r="O6" s="241"/>
      <c r="P6" s="241"/>
      <c r="Q6" s="241"/>
      <c r="R6" s="241"/>
      <c r="S6" s="241"/>
      <c r="T6" s="241"/>
      <c r="U6" s="241"/>
      <c r="V6" s="241"/>
      <c r="W6" s="241"/>
      <c r="X6" s="241"/>
      <c r="Y6" s="241"/>
    </row>
    <row r="7" spans="1:43" s="521" customFormat="1" ht="15.75" customHeight="1">
      <c r="A7" s="1303" t="s">
        <v>46</v>
      </c>
      <c r="B7" s="1303"/>
      <c r="C7" s="1303"/>
      <c r="D7" s="1303"/>
      <c r="E7" s="1303"/>
      <c r="F7" s="1303"/>
      <c r="G7" s="1303"/>
      <c r="H7" s="1303"/>
      <c r="I7" s="1303"/>
      <c r="J7" s="1303"/>
      <c r="K7" s="1303"/>
      <c r="L7" s="1303"/>
      <c r="M7" s="1303"/>
      <c r="N7" s="1303"/>
      <c r="O7" s="1303"/>
      <c r="P7" s="1303"/>
      <c r="Q7" s="1303"/>
      <c r="R7" s="1303"/>
      <c r="S7" s="1303"/>
      <c r="T7" s="1303"/>
      <c r="U7" s="1303"/>
      <c r="V7" s="1303"/>
      <c r="W7" s="1303"/>
      <c r="X7" s="1303"/>
      <c r="Y7" s="1303"/>
      <c r="AA7" s="522"/>
      <c r="AB7" s="522"/>
      <c r="AC7" s="522"/>
      <c r="AD7" s="522"/>
    </row>
    <row r="8" spans="1:43" s="521" customFormat="1" ht="14.1" customHeight="1">
      <c r="A8" s="1305" t="s">
        <v>1104</v>
      </c>
      <c r="B8" s="1305"/>
      <c r="C8" s="1305"/>
      <c r="D8" s="1305"/>
      <c r="E8" s="1305"/>
      <c r="F8" s="1305"/>
      <c r="G8" s="1305"/>
      <c r="H8" s="1305"/>
      <c r="I8" s="1305"/>
      <c r="J8" s="1305"/>
      <c r="K8" s="1305"/>
      <c r="L8" s="1305"/>
      <c r="M8" s="1305"/>
      <c r="N8" s="1305"/>
      <c r="O8" s="1305"/>
      <c r="P8" s="1305"/>
      <c r="Q8" s="1305"/>
      <c r="R8" s="1305"/>
      <c r="S8" s="1305"/>
      <c r="T8" s="1305"/>
      <c r="U8" s="1305"/>
      <c r="V8" s="1305"/>
      <c r="W8" s="1305"/>
      <c r="X8" s="1305"/>
      <c r="Y8" s="1305"/>
      <c r="AA8" s="592"/>
      <c r="AB8" s="592"/>
      <c r="AC8" s="592"/>
      <c r="AD8" s="592"/>
    </row>
    <row r="9" spans="1:43" ht="6.75" customHeight="1">
      <c r="A9" s="241"/>
      <c r="B9" s="241"/>
      <c r="C9" s="241"/>
      <c r="D9" s="241"/>
      <c r="E9" s="241"/>
      <c r="F9" s="241"/>
      <c r="G9" s="241"/>
      <c r="H9" s="242"/>
      <c r="I9" s="241"/>
      <c r="J9" s="241"/>
      <c r="K9" s="241"/>
      <c r="L9" s="241"/>
      <c r="M9" s="241"/>
      <c r="N9" s="241"/>
      <c r="O9" s="241"/>
      <c r="P9" s="241"/>
      <c r="Q9" s="241"/>
      <c r="R9" s="241"/>
      <c r="S9" s="241"/>
      <c r="T9" s="241"/>
      <c r="U9" s="241"/>
      <c r="V9" s="241"/>
      <c r="W9" s="241"/>
      <c r="X9" s="241"/>
      <c r="Y9" s="241"/>
      <c r="AA9" s="101"/>
      <c r="AB9" s="101"/>
      <c r="AC9" s="101"/>
      <c r="AD9" s="101"/>
    </row>
    <row r="10" spans="1:43" ht="6.75" customHeight="1">
      <c r="A10" s="241"/>
      <c r="B10" s="241"/>
      <c r="C10" s="241"/>
      <c r="D10" s="241"/>
      <c r="E10" s="241"/>
      <c r="F10" s="241"/>
      <c r="G10" s="241"/>
      <c r="H10" s="242"/>
      <c r="I10" s="241"/>
      <c r="J10" s="241"/>
      <c r="K10" s="241"/>
      <c r="L10" s="241"/>
      <c r="M10" s="241"/>
      <c r="N10" s="241"/>
      <c r="O10" s="241"/>
      <c r="P10" s="241"/>
      <c r="Q10" s="241"/>
      <c r="R10" s="241"/>
      <c r="S10" s="241"/>
      <c r="T10" s="241"/>
      <c r="U10" s="241"/>
      <c r="V10" s="241"/>
      <c r="W10" s="241"/>
      <c r="X10" s="241"/>
      <c r="Y10" s="241"/>
      <c r="AA10" s="101"/>
      <c r="AB10" s="101"/>
      <c r="AC10" s="101"/>
      <c r="AD10" s="101"/>
    </row>
    <row r="11" spans="1:43" ht="13.5" customHeight="1">
      <c r="A11" s="12"/>
      <c r="O11" s="12"/>
      <c r="P11" s="12"/>
      <c r="S11" s="1311" t="s">
        <v>1</v>
      </c>
      <c r="T11" s="1311"/>
      <c r="U11" s="1176" t="str">
        <f>IF(ISBLANK(Formato!I7),"",Formato!I7)</f>
        <v>TM028-25A</v>
      </c>
      <c r="V11" s="1176"/>
      <c r="W11" s="1176"/>
      <c r="X11" s="1176"/>
      <c r="AA11" s="593"/>
      <c r="AB11" s="101"/>
      <c r="AC11" s="101"/>
      <c r="AD11" s="101"/>
    </row>
    <row r="12" spans="1:43" ht="14.1" customHeight="1">
      <c r="A12" s="13"/>
      <c r="O12" s="13"/>
      <c r="P12" s="13"/>
      <c r="S12" s="1312" t="s">
        <v>1105</v>
      </c>
      <c r="T12" s="1312"/>
      <c r="U12" s="523"/>
      <c r="AA12" s="101"/>
      <c r="AB12" s="101"/>
      <c r="AC12" s="101"/>
      <c r="AD12" s="101"/>
    </row>
    <row r="13" spans="1:43" ht="23.25" customHeight="1">
      <c r="A13" s="272" t="s">
        <v>367</v>
      </c>
      <c r="B13" s="241"/>
      <c r="C13" s="241"/>
      <c r="D13" s="526" t="s">
        <v>1038</v>
      </c>
      <c r="G13" s="241"/>
      <c r="H13" s="242"/>
      <c r="I13" s="241"/>
      <c r="J13" s="241"/>
      <c r="K13" s="241"/>
      <c r="L13" s="241"/>
      <c r="M13" s="241"/>
      <c r="N13" s="241"/>
      <c r="O13" s="241"/>
      <c r="P13" s="241"/>
      <c r="Q13" s="241"/>
      <c r="R13" s="241"/>
      <c r="S13" s="241"/>
      <c r="T13" s="241"/>
      <c r="U13" s="241"/>
      <c r="V13" s="241"/>
      <c r="W13" s="241"/>
      <c r="X13" s="241"/>
      <c r="Y13" s="241"/>
      <c r="AA13" s="101"/>
      <c r="AB13" s="101"/>
      <c r="AC13" s="101"/>
      <c r="AD13" s="101"/>
    </row>
    <row r="14" spans="1:43" s="527" customFormat="1" ht="6" customHeight="1" thickBot="1">
      <c r="B14" s="272"/>
      <c r="C14" s="272"/>
      <c r="D14" s="272"/>
      <c r="E14" s="528"/>
      <c r="G14" s="526"/>
      <c r="H14" s="526"/>
      <c r="I14" s="526"/>
      <c r="J14" s="526"/>
      <c r="K14" s="526"/>
      <c r="L14" s="526"/>
      <c r="M14" s="526"/>
      <c r="O14" s="500"/>
      <c r="P14" s="500"/>
      <c r="R14" s="267"/>
      <c r="S14" s="267"/>
      <c r="T14" s="267"/>
      <c r="U14" s="267"/>
      <c r="V14" s="267"/>
      <c r="W14" s="267"/>
      <c r="X14" s="267"/>
      <c r="Y14" s="267"/>
      <c r="AA14" s="594"/>
      <c r="AB14" s="594"/>
      <c r="AC14" s="594"/>
      <c r="AD14" s="594"/>
      <c r="AP14" s="565"/>
      <c r="AQ14" s="565"/>
    </row>
    <row r="15" spans="1:43" s="527" customFormat="1" ht="18" customHeight="1">
      <c r="A15" s="552" t="s">
        <v>1215</v>
      </c>
      <c r="B15" s="552"/>
      <c r="C15" s="552"/>
      <c r="D15" s="552"/>
      <c r="E15" s="553"/>
      <c r="F15" s="554"/>
      <c r="G15" s="554"/>
      <c r="H15" s="554"/>
      <c r="I15" s="554"/>
      <c r="J15" s="554"/>
      <c r="K15" s="554"/>
      <c r="L15" s="554"/>
      <c r="M15" s="554"/>
      <c r="N15" s="550"/>
      <c r="O15" s="555"/>
      <c r="P15" s="555"/>
      <c r="Q15" s="550"/>
      <c r="R15" s="556"/>
      <c r="S15" s="556"/>
      <c r="T15" s="556"/>
      <c r="U15" s="556"/>
      <c r="V15" s="556"/>
      <c r="W15" s="556"/>
      <c r="X15" s="556"/>
      <c r="Y15" s="556"/>
      <c r="AA15" s="594"/>
      <c r="AB15" s="594"/>
      <c r="AC15" s="594"/>
      <c r="AD15" s="594"/>
      <c r="AP15" s="565"/>
      <c r="AQ15" s="565"/>
    </row>
    <row r="16" spans="1:43" ht="21.75" customHeight="1">
      <c r="A16" s="528" t="s">
        <v>16</v>
      </c>
      <c r="B16" s="241"/>
      <c r="C16" s="241"/>
      <c r="D16" s="1302" t="str">
        <f>IF(ISBLANK(Formato!D12),"",CONCATENATE(Formato!D12,"   ",Formato!A13,": "," ",Formato!D13, ", ",Formato!M13,": ",Formato!P13))</f>
        <v>TECSERVICE S.A.S.   Contacto:  Jhon Jairo Carabali, Telefono: 315 866 50 13</v>
      </c>
      <c r="E16" s="1302"/>
      <c r="F16" s="1302"/>
      <c r="G16" s="1302"/>
      <c r="H16" s="1302"/>
      <c r="I16" s="1302"/>
      <c r="J16" s="1302"/>
      <c r="K16" s="1302"/>
      <c r="L16" s="1302"/>
      <c r="M16" s="1302"/>
      <c r="N16" s="1302"/>
      <c r="O16" s="1302"/>
      <c r="P16" s="1302"/>
      <c r="Q16" s="1302"/>
      <c r="R16" s="1302"/>
      <c r="S16" s="1302"/>
      <c r="T16" s="1302"/>
      <c r="U16" s="1302"/>
      <c r="V16" s="1302"/>
      <c r="W16" s="1302"/>
      <c r="X16" s="1302"/>
      <c r="AA16" s="101"/>
      <c r="AB16" s="101"/>
      <c r="AC16" s="101"/>
      <c r="AD16" s="101" t="s">
        <v>124</v>
      </c>
    </row>
    <row r="17" spans="1:43" ht="21.75" customHeight="1" thickBot="1">
      <c r="A17" s="528" t="s">
        <v>1096</v>
      </c>
      <c r="B17" s="531"/>
      <c r="C17" s="531"/>
      <c r="D17" s="1302" t="str">
        <f>CONCATENATE(Formato!$P$12,","," ",Formato!$AA$12," ",Formato!AA13)</f>
        <v>Avenida 4 A Norte No. 45 - 56 B / La Flora, Cali Colombia</v>
      </c>
      <c r="E17" s="1302"/>
      <c r="F17" s="1302"/>
      <c r="G17" s="1302"/>
      <c r="H17" s="1302"/>
      <c r="I17" s="1302"/>
      <c r="J17" s="1302"/>
      <c r="K17" s="1302"/>
      <c r="L17" s="1302"/>
      <c r="M17" s="1302"/>
      <c r="N17" s="1302"/>
      <c r="O17" s="1302"/>
      <c r="P17" s="1302"/>
      <c r="Q17" s="1302"/>
      <c r="R17" s="1302"/>
      <c r="S17" s="1302"/>
      <c r="T17" s="1302"/>
      <c r="U17" s="1302"/>
      <c r="V17" s="1302"/>
      <c r="W17" s="1302"/>
      <c r="X17" s="1302"/>
      <c r="Y17" s="241"/>
      <c r="AA17" s="101"/>
      <c r="AB17" s="101"/>
      <c r="AC17" s="101"/>
      <c r="AD17" s="101"/>
    </row>
    <row r="18" spans="1:43" s="527" customFormat="1" ht="20.25" customHeight="1">
      <c r="A18" s="549" t="s">
        <v>1216</v>
      </c>
      <c r="B18" s="550"/>
      <c r="C18" s="550"/>
      <c r="D18" s="550"/>
      <c r="E18" s="550"/>
      <c r="F18" s="550"/>
      <c r="G18" s="551"/>
      <c r="H18" s="551"/>
      <c r="I18" s="551"/>
      <c r="J18" s="551"/>
      <c r="K18" s="551"/>
      <c r="L18" s="551"/>
      <c r="M18" s="551"/>
      <c r="N18" s="550"/>
      <c r="O18" s="550"/>
      <c r="P18" s="550"/>
      <c r="Q18" s="550"/>
      <c r="R18" s="550"/>
      <c r="S18" s="550"/>
      <c r="T18" s="550"/>
      <c r="U18" s="550"/>
      <c r="V18" s="550"/>
      <c r="W18" s="550"/>
      <c r="X18" s="550"/>
      <c r="Y18" s="550"/>
      <c r="AA18" s="594"/>
      <c r="AB18" s="594"/>
      <c r="AC18" s="594"/>
      <c r="AD18" s="594"/>
      <c r="AP18" s="565"/>
      <c r="AQ18" s="565"/>
    </row>
    <row r="19" spans="1:43" s="527" customFormat="1" ht="18.75" customHeight="1">
      <c r="A19" s="528" t="s">
        <v>74</v>
      </c>
      <c r="B19" s="241"/>
      <c r="C19" s="241"/>
      <c r="E19" s="267" t="str">
        <f>IF(ISBLANK(Formato!$D$15),"","Equipo de Pesaje")</f>
        <v>Equipo de Pesaje</v>
      </c>
      <c r="F19" s="241"/>
      <c r="G19" s="532"/>
      <c r="H19" s="532"/>
      <c r="I19" s="532"/>
      <c r="J19" s="532"/>
      <c r="K19" s="532"/>
      <c r="L19" s="532"/>
      <c r="M19" s="532"/>
      <c r="AA19" s="594"/>
      <c r="AB19" s="594"/>
      <c r="AC19" s="594"/>
      <c r="AD19" s="594"/>
      <c r="AP19" s="565"/>
      <c r="AQ19" s="565"/>
    </row>
    <row r="20" spans="1:43" s="527" customFormat="1" ht="18.75" customHeight="1">
      <c r="A20" s="528" t="s">
        <v>1097</v>
      </c>
      <c r="E20" s="267" t="str">
        <f>IF(ISBLANK(Formato!Q15),"",Formato!Q15)</f>
        <v>Mettler</v>
      </c>
      <c r="F20" s="530"/>
      <c r="G20" s="530"/>
      <c r="H20" s="530"/>
      <c r="I20" s="530"/>
      <c r="J20" s="530"/>
      <c r="K20" s="530"/>
      <c r="L20" s="530"/>
      <c r="M20" s="530"/>
      <c r="N20" s="528" t="s">
        <v>1099</v>
      </c>
      <c r="O20" s="500"/>
      <c r="P20" s="500"/>
      <c r="Q20" s="1309" t="str">
        <f>IF(ISBLANK(Formato!Q16),"",Formato!Q16)</f>
        <v>TEC-MTT-BA-03</v>
      </c>
      <c r="R20" s="1309"/>
      <c r="S20" s="1309"/>
      <c r="T20" s="1309"/>
      <c r="U20" s="1309"/>
      <c r="V20" s="1309"/>
      <c r="W20" s="1309"/>
      <c r="X20" s="1309"/>
      <c r="AA20" s="594" t="str">
        <f>PROPER(H23)</f>
        <v/>
      </c>
      <c r="AB20" s="594"/>
      <c r="AC20" s="594"/>
      <c r="AD20" s="594"/>
      <c r="AP20" s="565"/>
      <c r="AQ20" s="565"/>
    </row>
    <row r="21" spans="1:43" ht="18.75" customHeight="1">
      <c r="A21" s="528" t="s">
        <v>1098</v>
      </c>
      <c r="B21" s="528"/>
      <c r="C21" s="528"/>
      <c r="E21" s="267" t="str">
        <f>IF(ISBLANK(Formato!$Z$15),"",Formato!$Z$15)</f>
        <v>AE240</v>
      </c>
      <c r="F21" s="241"/>
      <c r="G21" s="241"/>
      <c r="H21" s="242"/>
      <c r="I21" s="241"/>
      <c r="J21" s="241"/>
      <c r="K21" s="247"/>
      <c r="L21" s="247"/>
      <c r="M21" s="247"/>
      <c r="N21" s="528" t="s">
        <v>75</v>
      </c>
      <c r="O21" s="500"/>
      <c r="P21" s="500"/>
      <c r="Q21" s="1468">
        <f>IF(ISBLANK(Formato!$Y$7),"",Formato!$Y$7)</f>
        <v>45678</v>
      </c>
      <c r="R21" s="1468"/>
      <c r="S21" s="247"/>
      <c r="T21" s="247"/>
      <c r="U21" s="247"/>
      <c r="V21" s="241"/>
      <c r="W21" s="241"/>
      <c r="X21" s="241"/>
      <c r="Y21" s="241"/>
    </row>
    <row r="22" spans="1:43" ht="21" customHeight="1">
      <c r="A22" s="528" t="s">
        <v>1100</v>
      </c>
      <c r="B22" s="528"/>
      <c r="C22" s="528"/>
      <c r="E22" s="274" t="str">
        <f>IF(ISBLANK(Formato!$E$16),"",Formato!$E$16)</f>
        <v>J75412</v>
      </c>
      <c r="F22" s="267"/>
      <c r="G22" s="267"/>
      <c r="H22" s="267"/>
      <c r="I22" s="267"/>
      <c r="J22" s="267"/>
      <c r="K22" s="267"/>
      <c r="L22" s="267"/>
      <c r="M22" s="267"/>
      <c r="N22" s="528" t="s">
        <v>76</v>
      </c>
      <c r="O22" s="267"/>
      <c r="P22" s="267"/>
      <c r="Q22" s="1486">
        <f>IF(ISBLANK(Formato!$Y$7),"",Formato!$Y$7)</f>
        <v>45678</v>
      </c>
      <c r="R22" s="1486"/>
      <c r="S22" s="267"/>
      <c r="T22" s="267"/>
      <c r="U22" s="267"/>
      <c r="V22" s="267"/>
      <c r="W22" s="267"/>
      <c r="X22" s="267"/>
      <c r="Y22" s="241"/>
    </row>
    <row r="23" spans="1:43" s="527" customFormat="1" ht="17.25" customHeight="1">
      <c r="A23" s="916" t="s">
        <v>1529</v>
      </c>
      <c r="B23" s="500"/>
      <c r="C23" s="500"/>
      <c r="D23" s="500"/>
      <c r="E23" s="1395" t="str">
        <f>IF(ISBLANK(Formato!Z16),"",CONCATENATE(PROPER(Formato!Z16)," ",))</f>
        <v xml:space="preserve">Mantenimiento </v>
      </c>
      <c r="F23" s="1395"/>
      <c r="G23" s="1395"/>
      <c r="H23" s="1395"/>
      <c r="I23" s="1395"/>
      <c r="J23" s="1395"/>
      <c r="K23" s="1395"/>
      <c r="L23" s="1395"/>
      <c r="M23" s="1395"/>
      <c r="N23" s="1395"/>
      <c r="O23" s="1395"/>
      <c r="P23" s="1395"/>
      <c r="Q23" s="1395"/>
      <c r="R23" s="1395"/>
      <c r="S23" s="1395"/>
      <c r="T23" s="1395"/>
      <c r="U23" s="1395"/>
      <c r="V23" s="1395"/>
      <c r="W23" s="1395"/>
      <c r="X23" s="1395"/>
      <c r="Y23" s="1395"/>
      <c r="AA23" s="529"/>
      <c r="AB23" s="529"/>
      <c r="AC23" s="529"/>
      <c r="AD23" s="529"/>
      <c r="AP23" s="565"/>
      <c r="AQ23" s="565"/>
    </row>
    <row r="24" spans="1:43" ht="3" customHeight="1" thickBot="1">
      <c r="A24" s="245"/>
      <c r="B24" s="245"/>
      <c r="C24" s="245"/>
      <c r="D24" s="245"/>
      <c r="E24" s="245"/>
      <c r="F24" s="245"/>
      <c r="G24" s="245"/>
      <c r="H24" s="246"/>
      <c r="I24" s="245"/>
      <c r="J24" s="245"/>
      <c r="K24" s="245"/>
      <c r="L24" s="245"/>
      <c r="M24" s="533"/>
      <c r="N24" s="245"/>
      <c r="O24" s="245"/>
      <c r="P24" s="245"/>
      <c r="Q24" s="245"/>
      <c r="R24" s="245"/>
      <c r="S24" s="245"/>
      <c r="T24" s="245"/>
      <c r="U24" s="245"/>
      <c r="V24" s="245"/>
      <c r="W24" s="245"/>
      <c r="X24" s="245"/>
      <c r="Y24" s="245"/>
    </row>
    <row r="25" spans="1:43" ht="4.5" customHeight="1">
      <c r="A25" s="241"/>
      <c r="B25" s="241"/>
      <c r="C25" s="241"/>
      <c r="D25" s="241"/>
      <c r="E25" s="241"/>
      <c r="F25" s="241"/>
      <c r="G25" s="241"/>
      <c r="H25" s="242"/>
      <c r="I25" s="241"/>
      <c r="J25" s="241"/>
      <c r="K25" s="241"/>
      <c r="L25" s="241"/>
      <c r="M25" s="534"/>
      <c r="N25" s="241"/>
      <c r="O25" s="241"/>
      <c r="P25" s="241"/>
      <c r="Q25" s="241"/>
      <c r="R25" s="241"/>
      <c r="S25" s="241"/>
      <c r="T25" s="241"/>
      <c r="U25" s="241"/>
      <c r="V25" s="241"/>
      <c r="W25" s="241"/>
      <c r="X25" s="241"/>
      <c r="Y25" s="241"/>
    </row>
    <row r="26" spans="1:43" ht="14.25" customHeight="1">
      <c r="A26" s="1316" t="s">
        <v>368</v>
      </c>
      <c r="B26" s="1316"/>
      <c r="C26" s="1316"/>
      <c r="D26" s="1316"/>
      <c r="E26" s="1316"/>
      <c r="F26" s="1316"/>
      <c r="G26" s="1316"/>
      <c r="H26" s="1316"/>
      <c r="I26" s="1316"/>
      <c r="J26" s="1316"/>
      <c r="K26" s="1316"/>
      <c r="L26" s="1316"/>
      <c r="M26" s="534"/>
      <c r="N26" s="243"/>
      <c r="O26" s="241"/>
      <c r="P26" s="241"/>
      <c r="Q26" s="241"/>
      <c r="R26" s="241"/>
      <c r="S26" s="241"/>
      <c r="T26" s="241"/>
      <c r="U26" s="241"/>
      <c r="V26" s="241"/>
      <c r="W26" s="241"/>
      <c r="X26" s="241"/>
      <c r="Y26" s="241"/>
    </row>
    <row r="27" spans="1:43" ht="6" customHeight="1">
      <c r="A27" s="247"/>
      <c r="B27" s="247"/>
      <c r="C27" s="247"/>
      <c r="D27" s="247"/>
      <c r="E27" s="247"/>
      <c r="F27" s="247"/>
      <c r="G27" s="247"/>
      <c r="H27" s="247"/>
      <c r="I27" s="247"/>
      <c r="J27" s="247"/>
      <c r="K27" s="247"/>
      <c r="L27" s="247"/>
      <c r="M27" s="535"/>
      <c r="N27" s="241"/>
      <c r="O27" s="241"/>
      <c r="P27" s="241"/>
      <c r="Q27" s="241"/>
      <c r="R27" s="241"/>
      <c r="S27" s="241"/>
      <c r="T27" s="241"/>
      <c r="U27" s="241"/>
      <c r="V27" s="241"/>
      <c r="W27" s="241"/>
      <c r="X27" s="241"/>
      <c r="Y27" s="241"/>
    </row>
    <row r="28" spans="1:43" ht="19.5" customHeight="1">
      <c r="A28" s="291" t="s">
        <v>1042</v>
      </c>
      <c r="B28" s="240"/>
      <c r="C28" s="240"/>
      <c r="D28" s="240"/>
      <c r="E28" s="1319">
        <f>IF(ISBLANK(Formato!E20),"",Formato!E20)</f>
        <v>0</v>
      </c>
      <c r="F28" s="1319"/>
      <c r="G28" s="536" t="str">
        <f>IF(ISBLANK(Formato!I20),"",Formato!I20)</f>
        <v>g</v>
      </c>
      <c r="H28" s="536" t="s">
        <v>372</v>
      </c>
      <c r="I28" s="1471">
        <f>IF(ISBLANK(Formato!L20),"",Formato!L20)</f>
        <v>200</v>
      </c>
      <c r="J28" s="1471"/>
      <c r="K28" s="537" t="str">
        <f>G28</f>
        <v>g</v>
      </c>
      <c r="L28" s="241"/>
      <c r="M28" s="241"/>
      <c r="N28" s="291" t="s">
        <v>1043</v>
      </c>
      <c r="O28" s="240"/>
      <c r="P28" s="240"/>
      <c r="Q28" s="538" t="str">
        <f>IF(OR(Formato!S20&gt;0,Formato!S20=0,),FIXED(Formato!S20,Formato!$AF$22,TRUE))</f>
        <v>0,01000</v>
      </c>
      <c r="R28" s="538" t="str">
        <f>IF(ISBLANK(Formato!V20),"OJO",Formato!V20)</f>
        <v>g</v>
      </c>
      <c r="S28" s="538" t="s">
        <v>372</v>
      </c>
      <c r="T28" s="875" t="str">
        <f>IF(OR(Formato!Y20&gt;0,Formato!Y20=0,),FIXED(Formato!Y20,Formato!$AF$22,TRUE))</f>
        <v>40,00000</v>
      </c>
      <c r="U28" s="536" t="str">
        <f>R28</f>
        <v>g</v>
      </c>
      <c r="V28" s="241"/>
      <c r="W28" s="242"/>
      <c r="X28" s="242"/>
      <c r="Y28" s="241"/>
    </row>
    <row r="29" spans="1:43" ht="19.5" customHeight="1">
      <c r="A29" s="291" t="s">
        <v>392</v>
      </c>
      <c r="B29" s="240"/>
      <c r="C29" s="240"/>
      <c r="D29" s="240"/>
      <c r="E29" s="1319" t="str">
        <f>IF(ISBLANK(Formato!AE21),"",IF(Formato!AE21&gt;0,FIXED(Formato!AE21,Formato!$AF$22,TRUE)))</f>
        <v/>
      </c>
      <c r="F29" s="1319"/>
      <c r="G29" s="536" t="str">
        <f>IF(ISBLANK(Formato!AE21),"N.A.",Formato!AF21)</f>
        <v>N.A.</v>
      </c>
      <c r="H29" s="539"/>
      <c r="I29" s="539"/>
      <c r="J29" s="539"/>
      <c r="K29" s="539"/>
      <c r="L29" s="241"/>
      <c r="M29" s="241"/>
      <c r="N29" s="291" t="s">
        <v>1217</v>
      </c>
      <c r="O29" s="240"/>
      <c r="P29" s="240"/>
      <c r="Q29" s="240"/>
      <c r="T29" s="538" t="str">
        <f>IF(ISBLANK(Formato!G21),"N.I.",Formato!G21)</f>
        <v>N.I.</v>
      </c>
      <c r="U29" s="540" t="str">
        <f>IF(ISBLANK(Formato!G21),"",Formato!I20)</f>
        <v/>
      </c>
      <c r="V29" s="241"/>
      <c r="W29" s="241"/>
      <c r="X29" s="241"/>
      <c r="Y29" s="241"/>
    </row>
    <row r="30" spans="1:43" ht="19.5" customHeight="1">
      <c r="A30" s="548" t="s">
        <v>137</v>
      </c>
      <c r="B30" s="536"/>
      <c r="C30" s="536"/>
      <c r="D30" s="536"/>
      <c r="E30" s="1474" t="str">
        <f>IF(ISBLANK(Formato!AE20),"",IF(Formato!AE20&gt;0,FIXED(Formato!AE20,Formato!$AF$22,TRUE)))</f>
        <v>0,00001</v>
      </c>
      <c r="F30" s="1474"/>
      <c r="G30" s="536" t="str">
        <f>G28</f>
        <v>g</v>
      </c>
      <c r="H30" s="242"/>
      <c r="I30" s="242"/>
      <c r="J30" s="242"/>
      <c r="K30" s="242"/>
      <c r="L30" s="241"/>
      <c r="M30" s="241"/>
      <c r="N30" s="548" t="s">
        <v>1218</v>
      </c>
      <c r="O30" s="536"/>
      <c r="P30" s="536"/>
      <c r="Q30" s="536"/>
      <c r="R30" s="536"/>
      <c r="T30" s="538" t="str">
        <f>IF(ISBLANK(Formato!T21),"N.I.",Formato!T21)</f>
        <v>N.I.</v>
      </c>
      <c r="U30" s="540" t="str">
        <f>IF(ISBLANK(Formato!T21),"",Formato!I20)</f>
        <v/>
      </c>
      <c r="V30" s="241"/>
      <c r="W30" s="241"/>
      <c r="X30" s="241"/>
      <c r="Y30" s="241"/>
    </row>
    <row r="31" spans="1:43" ht="5.25" customHeight="1">
      <c r="A31" s="536"/>
      <c r="B31" s="536"/>
      <c r="C31" s="536"/>
      <c r="D31" s="536"/>
      <c r="E31" s="536"/>
      <c r="F31" s="541"/>
      <c r="G31" s="536"/>
      <c r="H31" s="242"/>
      <c r="I31" s="241"/>
      <c r="J31" s="534"/>
      <c r="K31" s="534"/>
      <c r="L31" s="241"/>
      <c r="M31" s="241"/>
      <c r="N31" s="536"/>
      <c r="O31" s="536"/>
      <c r="P31" s="536"/>
      <c r="Q31" s="536"/>
      <c r="R31" s="536"/>
      <c r="S31" s="541"/>
      <c r="T31" s="536"/>
      <c r="U31" s="242"/>
      <c r="V31" s="242"/>
      <c r="W31" s="242"/>
      <c r="X31" s="242"/>
      <c r="Y31" s="241"/>
    </row>
    <row r="32" spans="1:43" ht="3.75" customHeight="1" thickBot="1">
      <c r="A32" s="245"/>
      <c r="B32" s="245"/>
      <c r="C32" s="245"/>
      <c r="D32" s="245"/>
      <c r="E32" s="245"/>
      <c r="F32" s="1397"/>
      <c r="G32" s="1397"/>
      <c r="H32" s="1397"/>
      <c r="I32" s="1397"/>
      <c r="J32" s="1397"/>
      <c r="K32" s="1397"/>
      <c r="L32" s="1397"/>
      <c r="M32" s="246"/>
      <c r="N32" s="246"/>
      <c r="O32" s="246"/>
      <c r="P32" s="246"/>
      <c r="Q32" s="246"/>
      <c r="R32" s="246"/>
      <c r="S32" s="246"/>
      <c r="T32" s="246"/>
      <c r="U32" s="246"/>
      <c r="V32" s="246"/>
      <c r="W32" s="246"/>
      <c r="X32" s="246"/>
      <c r="Y32" s="245"/>
    </row>
    <row r="33" spans="1:25" ht="6" customHeight="1">
      <c r="A33" s="241"/>
      <c r="B33" s="241"/>
      <c r="C33" s="241"/>
      <c r="D33" s="241"/>
      <c r="E33" s="241"/>
      <c r="F33" s="241"/>
      <c r="G33" s="241"/>
      <c r="H33" s="241"/>
      <c r="I33" s="241"/>
      <c r="J33" s="241"/>
      <c r="K33" s="241"/>
      <c r="L33" s="241"/>
      <c r="M33" s="242"/>
      <c r="N33" s="242"/>
      <c r="O33" s="242"/>
      <c r="P33" s="242"/>
      <c r="Q33" s="242"/>
      <c r="R33" s="242"/>
      <c r="S33" s="242"/>
      <c r="T33" s="242"/>
      <c r="U33" s="242"/>
      <c r="V33" s="242"/>
      <c r="W33" s="242"/>
      <c r="X33" s="242"/>
      <c r="Y33" s="241"/>
    </row>
    <row r="34" spans="1:25" ht="12" customHeight="1">
      <c r="A34" s="1302" t="s">
        <v>1115</v>
      </c>
      <c r="B34" s="1302"/>
      <c r="C34" s="1302"/>
      <c r="D34" s="1302"/>
      <c r="E34" s="1302"/>
      <c r="F34" s="1302"/>
      <c r="G34" s="1302"/>
      <c r="H34" s="1302"/>
      <c r="I34" s="1302"/>
      <c r="J34" s="1302"/>
      <c r="K34" s="1302"/>
      <c r="L34" s="1302"/>
      <c r="M34" s="1302"/>
      <c r="N34" s="1302"/>
      <c r="O34" s="1302"/>
      <c r="P34" s="1302"/>
      <c r="Q34" s="1302"/>
      <c r="R34" s="1302"/>
      <c r="S34" s="1302"/>
      <c r="T34" s="1302"/>
      <c r="U34" s="1302"/>
      <c r="V34" s="1302"/>
      <c r="W34" s="1302"/>
      <c r="X34" s="1302"/>
      <c r="Y34" s="1302"/>
    </row>
    <row r="35" spans="1:25" ht="19.5" customHeight="1">
      <c r="A35" s="1302"/>
      <c r="B35" s="1302"/>
      <c r="C35" s="1302"/>
      <c r="D35" s="1302"/>
      <c r="E35" s="1302"/>
      <c r="F35" s="1302"/>
      <c r="G35" s="1302"/>
      <c r="H35" s="1302"/>
      <c r="I35" s="1302"/>
      <c r="J35" s="1302"/>
      <c r="K35" s="1302"/>
      <c r="L35" s="1302"/>
      <c r="M35" s="1302"/>
      <c r="N35" s="1302"/>
      <c r="O35" s="1302"/>
      <c r="P35" s="1302"/>
      <c r="Q35" s="1302"/>
      <c r="R35" s="1302"/>
      <c r="S35" s="1302"/>
      <c r="T35" s="1302"/>
      <c r="U35" s="1302"/>
      <c r="V35" s="1302"/>
      <c r="W35" s="1302"/>
      <c r="X35" s="1302"/>
      <c r="Y35" s="1302"/>
    </row>
    <row r="36" spans="1:25" ht="2.25" customHeight="1">
      <c r="A36" s="241"/>
      <c r="B36" s="249"/>
      <c r="C36" s="249"/>
      <c r="D36" s="249"/>
      <c r="E36" s="249"/>
      <c r="F36" s="249"/>
      <c r="G36" s="242"/>
      <c r="H36" s="242"/>
      <c r="I36" s="242"/>
      <c r="J36" s="242"/>
      <c r="K36" s="242"/>
      <c r="L36" s="241"/>
      <c r="M36" s="242"/>
      <c r="N36" s="242"/>
      <c r="O36" s="242"/>
      <c r="P36" s="242"/>
      <c r="Q36" s="242"/>
      <c r="R36" s="242"/>
      <c r="S36" s="242"/>
      <c r="T36" s="242"/>
      <c r="U36" s="242"/>
      <c r="V36" s="242"/>
      <c r="W36" s="242"/>
      <c r="X36" s="242"/>
      <c r="Y36" s="241"/>
    </row>
    <row r="37" spans="1:25" ht="2.25" customHeight="1">
      <c r="A37" s="1396"/>
      <c r="B37" s="1396"/>
      <c r="C37" s="1396"/>
      <c r="D37" s="1396"/>
      <c r="E37" s="1396"/>
      <c r="F37" s="1396"/>
      <c r="G37" s="1396"/>
      <c r="H37" s="1396"/>
      <c r="I37" s="1396"/>
      <c r="J37" s="1396"/>
      <c r="K37" s="1396"/>
      <c r="L37" s="1396"/>
      <c r="M37" s="1396"/>
      <c r="N37" s="1396"/>
      <c r="O37" s="1396"/>
      <c r="P37" s="1396"/>
      <c r="Q37" s="1396"/>
      <c r="R37" s="1396"/>
      <c r="S37" s="1396"/>
      <c r="T37" s="1396"/>
      <c r="U37" s="1396"/>
      <c r="V37" s="1396"/>
      <c r="W37" s="1396"/>
      <c r="X37" s="1396"/>
      <c r="Y37" s="1396"/>
    </row>
    <row r="38" spans="1:25" ht="2.25" customHeight="1">
      <c r="A38" s="241"/>
      <c r="B38" s="243"/>
      <c r="C38" s="243"/>
      <c r="D38" s="243"/>
      <c r="E38" s="243"/>
      <c r="F38" s="1394"/>
      <c r="G38" s="1394"/>
      <c r="H38" s="1394"/>
      <c r="I38" s="1394"/>
      <c r="J38" s="1394"/>
      <c r="K38" s="1394"/>
      <c r="L38" s="1394"/>
      <c r="M38" s="242"/>
      <c r="N38" s="242"/>
      <c r="O38" s="242"/>
      <c r="P38" s="242"/>
      <c r="Q38" s="242"/>
      <c r="R38" s="242"/>
      <c r="S38" s="242"/>
      <c r="T38" s="242"/>
      <c r="U38" s="242"/>
      <c r="V38" s="242"/>
      <c r="W38" s="242"/>
      <c r="X38" s="242"/>
      <c r="Y38" s="241"/>
    </row>
    <row r="39" spans="1:25" ht="33.75" customHeight="1">
      <c r="A39" s="1395" t="s">
        <v>1154</v>
      </c>
      <c r="B39" s="1395"/>
      <c r="C39" s="1395"/>
      <c r="D39" s="1395"/>
      <c r="E39" s="1395"/>
      <c r="F39" s="1395"/>
      <c r="G39" s="1395"/>
      <c r="H39" s="1395"/>
      <c r="I39" s="1395"/>
      <c r="J39" s="1395"/>
      <c r="K39" s="1395"/>
      <c r="L39" s="1395"/>
      <c r="M39" s="1395"/>
      <c r="N39" s="1395"/>
      <c r="O39" s="1395"/>
      <c r="P39" s="1395"/>
      <c r="Q39" s="1395"/>
      <c r="R39" s="1395"/>
      <c r="S39" s="1395"/>
      <c r="T39" s="1395"/>
      <c r="U39" s="1395"/>
      <c r="V39" s="1395"/>
      <c r="W39" s="1395"/>
      <c r="X39" s="1395"/>
      <c r="Y39" s="1395"/>
    </row>
    <row r="40" spans="1:25" ht="2.25" customHeight="1">
      <c r="A40" s="253"/>
      <c r="B40" s="253"/>
      <c r="C40" s="253"/>
      <c r="D40" s="253"/>
      <c r="E40" s="253"/>
      <c r="F40" s="253"/>
      <c r="G40" s="253"/>
      <c r="H40" s="253"/>
      <c r="I40" s="253"/>
      <c r="J40" s="253"/>
      <c r="K40" s="253"/>
      <c r="L40" s="253"/>
      <c r="M40" s="253"/>
      <c r="N40" s="253"/>
      <c r="O40" s="253"/>
      <c r="P40" s="253"/>
      <c r="Q40" s="253"/>
      <c r="R40" s="253"/>
      <c r="S40" s="253"/>
      <c r="T40" s="253"/>
      <c r="U40" s="253"/>
      <c r="V40" s="253"/>
      <c r="W40" s="253"/>
      <c r="X40" s="253"/>
      <c r="Y40" s="253"/>
    </row>
    <row r="41" spans="1:25" ht="15" customHeight="1">
      <c r="A41" s="1472" t="s">
        <v>1493</v>
      </c>
      <c r="B41" s="1473"/>
      <c r="C41" s="1473"/>
      <c r="D41" s="1473"/>
      <c r="E41" s="1473"/>
      <c r="F41" s="1473"/>
      <c r="G41" s="524"/>
      <c r="H41" s="524"/>
      <c r="I41" s="524"/>
      <c r="J41" s="524"/>
      <c r="K41" s="524"/>
      <c r="L41" s="524"/>
      <c r="M41" s="524"/>
      <c r="N41" s="524"/>
      <c r="O41" s="524"/>
      <c r="P41" s="524"/>
      <c r="Q41" s="524"/>
      <c r="R41" s="524"/>
      <c r="S41" s="524"/>
      <c r="T41" s="524"/>
      <c r="U41" s="524"/>
      <c r="V41" s="524"/>
      <c r="W41" s="524"/>
      <c r="X41" s="524"/>
      <c r="Y41" s="525"/>
    </row>
    <row r="42" spans="1:25" ht="16.5" customHeight="1">
      <c r="A42" s="1495" t="s">
        <v>1527</v>
      </c>
      <c r="B42" s="1495"/>
      <c r="C42" s="1495"/>
      <c r="D42" s="1495"/>
      <c r="E42" s="1495"/>
      <c r="F42" s="1495"/>
      <c r="G42" s="1495"/>
      <c r="H42" s="1495"/>
      <c r="I42" s="1495"/>
      <c r="J42" s="1495"/>
      <c r="K42" s="1495"/>
      <c r="L42" s="1495"/>
      <c r="M42" s="1495"/>
      <c r="N42" s="1495"/>
      <c r="O42" s="1495"/>
      <c r="P42" s="1495"/>
      <c r="Q42" s="1495"/>
      <c r="R42" s="1495"/>
      <c r="S42" s="1495"/>
      <c r="T42" s="1495"/>
      <c r="U42" s="1495"/>
      <c r="V42" s="1495"/>
      <c r="W42" s="1495"/>
      <c r="X42" s="1495"/>
      <c r="Y42" s="1495"/>
    </row>
    <row r="43" spans="1:25" ht="5.25" hidden="1" customHeight="1">
      <c r="A43" s="241"/>
      <c r="B43" s="241"/>
      <c r="C43" s="241"/>
      <c r="D43" s="241"/>
      <c r="E43" s="241"/>
      <c r="F43" s="241"/>
      <c r="G43" s="241"/>
      <c r="H43" s="241"/>
      <c r="I43" s="251"/>
      <c r="J43" s="251"/>
      <c r="K43" s="251"/>
      <c r="L43" s="251"/>
      <c r="M43" s="251"/>
      <c r="N43" s="241"/>
      <c r="O43" s="241"/>
      <c r="P43" s="241"/>
      <c r="Q43" s="241"/>
      <c r="R43" s="241"/>
      <c r="S43" s="241"/>
      <c r="T43" s="241"/>
      <c r="U43" s="241"/>
      <c r="V43" s="241"/>
      <c r="W43" s="241"/>
      <c r="X43" s="241"/>
      <c r="Y43" s="241"/>
    </row>
    <row r="44" spans="1:25" ht="2.25" customHeight="1">
      <c r="A44" s="250"/>
      <c r="B44" s="250"/>
      <c r="C44" s="250"/>
      <c r="D44" s="250"/>
      <c r="E44" s="250"/>
      <c r="F44" s="250"/>
      <c r="G44" s="250"/>
      <c r="H44" s="250"/>
      <c r="I44" s="251"/>
      <c r="J44" s="251"/>
      <c r="K44" s="251"/>
      <c r="L44" s="251"/>
      <c r="M44" s="251"/>
      <c r="N44" s="241"/>
      <c r="O44" s="241"/>
      <c r="P44" s="241"/>
      <c r="Q44" s="241"/>
      <c r="R44" s="241"/>
      <c r="S44" s="241"/>
      <c r="T44" s="241"/>
      <c r="U44" s="241"/>
      <c r="V44" s="241"/>
      <c r="W44" s="241"/>
      <c r="X44" s="241"/>
      <c r="Y44" s="241"/>
    </row>
    <row r="45" spans="1:25" ht="15.75" customHeight="1">
      <c r="A45" s="1314" t="s">
        <v>1494</v>
      </c>
      <c r="B45" s="1315"/>
      <c r="C45" s="1315"/>
      <c r="D45" s="1315"/>
      <c r="E45" s="1315"/>
      <c r="F45" s="1315"/>
      <c r="G45" s="1315"/>
      <c r="H45" s="1315"/>
      <c r="I45" s="1315"/>
      <c r="J45" s="1315"/>
      <c r="K45" s="1315"/>
      <c r="L45" s="1315"/>
      <c r="M45" s="1315"/>
      <c r="N45" s="1315"/>
      <c r="O45" s="1315"/>
      <c r="P45" s="1315"/>
      <c r="Q45" s="1315"/>
      <c r="R45" s="1315"/>
      <c r="S45" s="1315"/>
      <c r="T45" s="1315"/>
      <c r="U45" s="1315"/>
      <c r="V45" s="1315"/>
      <c r="W45" s="1315"/>
      <c r="X45" s="1315"/>
      <c r="Y45" s="1315"/>
    </row>
    <row r="46" spans="1:25" ht="6" customHeight="1">
      <c r="A46" s="242"/>
      <c r="B46" s="242"/>
      <c r="C46" s="242"/>
      <c r="D46" s="242"/>
      <c r="E46" s="242"/>
      <c r="F46" s="242"/>
      <c r="G46" s="242"/>
      <c r="H46" s="242"/>
      <c r="I46" s="242"/>
      <c r="J46" s="242"/>
      <c r="K46" s="242"/>
      <c r="L46" s="242"/>
      <c r="M46" s="242"/>
      <c r="N46" s="242"/>
      <c r="O46" s="242"/>
      <c r="P46" s="242"/>
      <c r="Q46" s="242"/>
      <c r="R46" s="242"/>
      <c r="S46" s="242"/>
      <c r="T46" s="242"/>
      <c r="U46" s="242"/>
      <c r="V46" s="242"/>
      <c r="W46" s="242"/>
      <c r="X46" s="242"/>
      <c r="Y46" s="242"/>
    </row>
    <row r="47" spans="1:25" ht="15.75" customHeight="1">
      <c r="A47" s="1316" t="s">
        <v>114</v>
      </c>
      <c r="B47" s="1316"/>
      <c r="C47" s="1316"/>
      <c r="D47" s="1316"/>
      <c r="E47" s="1316"/>
      <c r="F47" s="1316"/>
      <c r="G47" s="1316"/>
      <c r="H47" s="1316"/>
      <c r="I47" s="1316"/>
      <c r="J47" s="1316"/>
      <c r="K47" s="241"/>
      <c r="L47" s="241"/>
      <c r="M47" s="241"/>
      <c r="N47" s="241"/>
      <c r="O47" s="241"/>
      <c r="P47" s="241"/>
      <c r="Q47" s="241"/>
      <c r="R47" s="241"/>
      <c r="S47" s="241"/>
      <c r="T47" s="241"/>
      <c r="U47" s="241"/>
      <c r="V47" s="241"/>
      <c r="W47" s="241"/>
      <c r="X47" s="241"/>
      <c r="Y47" s="241"/>
    </row>
    <row r="48" spans="1:25" ht="19.5" customHeight="1">
      <c r="A48" s="1302" t="s">
        <v>1528</v>
      </c>
      <c r="B48" s="1302"/>
      <c r="C48" s="1302"/>
      <c r="D48" s="1302"/>
      <c r="E48" s="1302"/>
      <c r="F48" s="1302"/>
      <c r="G48" s="1302"/>
      <c r="H48" s="1302"/>
      <c r="I48" s="1302"/>
      <c r="J48" s="1302"/>
      <c r="K48" s="1302"/>
      <c r="L48" s="1302"/>
      <c r="M48" s="1302"/>
      <c r="N48" s="1302"/>
      <c r="O48" s="1302"/>
      <c r="P48" s="1302"/>
      <c r="Q48" s="1302"/>
      <c r="R48" s="1302"/>
      <c r="S48" s="1302"/>
      <c r="T48" s="1302"/>
      <c r="U48" s="1302"/>
      <c r="V48" s="1302"/>
      <c r="W48" s="1302"/>
      <c r="X48" s="1302"/>
      <c r="Y48" s="1302"/>
    </row>
    <row r="49" spans="1:43" ht="15" customHeight="1">
      <c r="A49" s="1302"/>
      <c r="B49" s="1302"/>
      <c r="C49" s="1302"/>
      <c r="D49" s="1302"/>
      <c r="E49" s="1302"/>
      <c r="F49" s="1302"/>
      <c r="G49" s="1302"/>
      <c r="H49" s="1302"/>
      <c r="I49" s="1302"/>
      <c r="J49" s="1302"/>
      <c r="K49" s="1302"/>
      <c r="L49" s="1302"/>
      <c r="M49" s="1302"/>
      <c r="N49" s="1302"/>
      <c r="O49" s="1302"/>
      <c r="P49" s="1302"/>
      <c r="Q49" s="1302"/>
      <c r="R49" s="1302"/>
      <c r="S49" s="1302"/>
      <c r="T49" s="1302"/>
      <c r="U49" s="1302"/>
      <c r="V49" s="1302"/>
      <c r="W49" s="1302"/>
      <c r="X49" s="1302"/>
      <c r="Y49" s="1302"/>
    </row>
    <row r="50" spans="1:43" ht="52.5" customHeight="1" thickBot="1">
      <c r="A50" s="1321" t="s">
        <v>1496</v>
      </c>
      <c r="B50" s="1321"/>
      <c r="C50" s="1321"/>
      <c r="D50" s="1321"/>
      <c r="E50" s="1321"/>
      <c r="F50" s="1321"/>
      <c r="G50" s="1321"/>
      <c r="H50" s="1321"/>
      <c r="I50" s="1321"/>
      <c r="J50" s="1321"/>
      <c r="K50" s="1321"/>
      <c r="L50" s="1321"/>
      <c r="M50" s="1321"/>
      <c r="N50" s="1321"/>
      <c r="O50" s="1321"/>
      <c r="P50" s="1321"/>
      <c r="Q50" s="1321"/>
      <c r="R50" s="1321"/>
      <c r="S50" s="1321"/>
      <c r="T50" s="1321"/>
      <c r="U50" s="1321"/>
      <c r="V50" s="1321"/>
      <c r="W50" s="1321"/>
      <c r="X50" s="1321"/>
      <c r="Y50" s="1321"/>
    </row>
    <row r="51" spans="1:43" ht="18.75" customHeight="1">
      <c r="A51" s="243" t="s">
        <v>1491</v>
      </c>
      <c r="B51" s="241"/>
      <c r="C51" s="241"/>
      <c r="D51" s="241"/>
      <c r="E51" s="876"/>
      <c r="F51" s="876"/>
      <c r="G51" s="876"/>
      <c r="H51" s="876"/>
      <c r="I51" s="876"/>
      <c r="J51" s="876"/>
      <c r="K51" s="876"/>
      <c r="L51" s="876"/>
      <c r="M51" s="876"/>
      <c r="N51" s="876"/>
      <c r="O51" s="876"/>
      <c r="P51" s="876"/>
      <c r="Q51" s="876"/>
      <c r="R51" s="876"/>
      <c r="S51" s="876"/>
      <c r="T51" s="876"/>
      <c r="U51" s="876"/>
      <c r="V51" s="876"/>
      <c r="W51" s="876"/>
      <c r="X51" s="876"/>
      <c r="Y51" s="876"/>
    </row>
    <row r="52" spans="1:43" ht="18" customHeight="1">
      <c r="A52" s="1302" t="str">
        <f>CONCATENATE("Instalaciones de"," ",Formato!D12," ",Formato!Z16)</f>
        <v>Instalaciones de TECSERVICE S.A.S. Mantenimiento</v>
      </c>
      <c r="B52" s="1302"/>
      <c r="C52" s="1302"/>
      <c r="D52" s="1302"/>
      <c r="E52" s="1302"/>
      <c r="F52" s="1302"/>
      <c r="G52" s="1302"/>
      <c r="H52" s="1302"/>
      <c r="I52" s="1302"/>
      <c r="J52" s="1302"/>
      <c r="K52" s="1302"/>
      <c r="L52" s="1302"/>
      <c r="M52" s="1302"/>
      <c r="N52" s="1302"/>
      <c r="O52" s="1302"/>
      <c r="P52" s="1302"/>
      <c r="Q52" s="1302"/>
      <c r="R52" s="1302"/>
      <c r="S52" s="1302"/>
      <c r="T52" s="1302"/>
      <c r="U52" s="1302"/>
      <c r="V52" s="1302"/>
      <c r="W52" s="1302"/>
      <c r="X52" s="1302"/>
      <c r="Y52" s="1302"/>
    </row>
    <row r="53" spans="1:43" ht="18.75" customHeight="1">
      <c r="A53" s="272" t="s">
        <v>1492</v>
      </c>
      <c r="B53" s="243"/>
      <c r="C53" s="243"/>
      <c r="D53" s="243"/>
      <c r="E53" s="243"/>
      <c r="F53" s="243"/>
      <c r="G53" s="243"/>
      <c r="H53" s="243"/>
      <c r="I53" s="243"/>
      <c r="J53" s="241"/>
      <c r="K53" s="241"/>
      <c r="L53" s="241"/>
      <c r="M53" s="241"/>
      <c r="N53" s="241"/>
      <c r="O53" s="241"/>
      <c r="P53" s="241"/>
      <c r="Q53" s="241"/>
      <c r="R53" s="241"/>
      <c r="S53" s="241"/>
      <c r="T53" s="241"/>
      <c r="U53" s="241"/>
      <c r="V53" s="241"/>
      <c r="W53" s="241"/>
      <c r="X53" s="241"/>
      <c r="Y53" s="241"/>
    </row>
    <row r="54" spans="1:43" ht="30.75" customHeight="1">
      <c r="A54" s="1302" t="s">
        <v>98</v>
      </c>
      <c r="B54" s="1302"/>
      <c r="C54" s="1302"/>
      <c r="D54" s="1302"/>
      <c r="E54" s="1302"/>
      <c r="F54" s="1302"/>
      <c r="G54" s="1302"/>
      <c r="H54" s="1302"/>
      <c r="I54" s="1302"/>
      <c r="J54" s="1302"/>
      <c r="K54" s="1302"/>
      <c r="L54" s="1302"/>
      <c r="M54" s="1302"/>
      <c r="N54" s="1302"/>
      <c r="O54" s="1302"/>
      <c r="P54" s="1302"/>
      <c r="Q54" s="1302"/>
      <c r="R54" s="1302"/>
      <c r="S54" s="1302"/>
      <c r="T54" s="1302"/>
      <c r="U54" s="1302"/>
      <c r="V54" s="1302"/>
      <c r="W54" s="1302"/>
      <c r="X54" s="1302"/>
      <c r="Y54" s="1302"/>
    </row>
    <row r="55" spans="1:43" ht="4.5" customHeight="1">
      <c r="A55" s="1313"/>
      <c r="B55" s="1313"/>
      <c r="C55" s="1313"/>
      <c r="D55" s="1313"/>
      <c r="E55" s="1313"/>
      <c r="F55" s="1313"/>
      <c r="G55" s="1313"/>
      <c r="H55" s="1313"/>
      <c r="I55" s="1313"/>
      <c r="J55" s="1313"/>
      <c r="K55" s="1313"/>
      <c r="L55" s="1313"/>
      <c r="M55" s="1313"/>
      <c r="N55" s="1313"/>
      <c r="O55" s="1313"/>
      <c r="P55" s="1313"/>
      <c r="Q55" s="1313"/>
      <c r="R55" s="1313"/>
      <c r="S55" s="1313"/>
      <c r="T55" s="1313"/>
      <c r="U55" s="1313"/>
      <c r="V55" s="1313"/>
      <c r="W55" s="1313"/>
      <c r="X55" s="1313"/>
      <c r="Y55" s="1313"/>
    </row>
    <row r="56" spans="1:43" ht="24.75" customHeight="1">
      <c r="A56" s="1318" t="s">
        <v>15</v>
      </c>
      <c r="B56" s="1318"/>
      <c r="C56" s="1318"/>
      <c r="D56" s="1318" t="s">
        <v>8</v>
      </c>
      <c r="E56" s="1318"/>
      <c r="F56" s="1318"/>
      <c r="G56" s="1318"/>
      <c r="H56" s="1318"/>
      <c r="I56" s="1318"/>
      <c r="J56" s="1318" t="s">
        <v>10</v>
      </c>
      <c r="K56" s="1318"/>
      <c r="L56" s="1318"/>
      <c r="M56" s="1318" t="s">
        <v>34</v>
      </c>
      <c r="N56" s="1318"/>
      <c r="O56" s="1318"/>
      <c r="P56" s="1318"/>
      <c r="Q56" s="1318" t="s">
        <v>9</v>
      </c>
      <c r="R56" s="1318"/>
      <c r="S56" s="1318"/>
      <c r="T56" s="1318" t="s">
        <v>1454</v>
      </c>
      <c r="U56" s="1318"/>
      <c r="V56" s="1318"/>
      <c r="W56" s="1318"/>
      <c r="X56" s="1318"/>
      <c r="Y56" s="1318"/>
    </row>
    <row r="57" spans="1:43" ht="24.75" customHeight="1">
      <c r="A57" s="1308" t="str">
        <f>IF(ISBLANK(Formato!I36),"",Formato!I36)</f>
        <v>TEC-LAB-MP-04</v>
      </c>
      <c r="B57" s="1308"/>
      <c r="C57" s="1308"/>
      <c r="D57" s="1308" t="str">
        <f>IF(ISBLANK(Formato!O36),"",Formato!O36)</f>
        <v>KIT DE MASAS PATRON E2</v>
      </c>
      <c r="E57" s="1308"/>
      <c r="F57" s="1308"/>
      <c r="G57" s="1308"/>
      <c r="H57" s="1308"/>
      <c r="I57" s="1308"/>
      <c r="J57" s="1308" t="str">
        <f>VLOOKUP(A57,'Errores  Patrones'!$AB$4:$AH$25,7,0)</f>
        <v>E2</v>
      </c>
      <c r="K57" s="1308"/>
      <c r="L57" s="1308"/>
      <c r="M57" s="1308" t="str">
        <f>+IF(ISERROR(VLOOKUP(A57,'Errores  Patrones'!$AB$4:$AF$25,2,0)),"",VLOOKUP(A57,'Errores  Patrones'!$AB$4:$AF$25,2,0))</f>
        <v>Detecto</v>
      </c>
      <c r="N57" s="1308"/>
      <c r="O57" s="1308"/>
      <c r="P57" s="1308"/>
      <c r="Q57" s="1308" t="str">
        <f>+IF(ISERROR(VLOOKUP(A57,'Errores  Patrones'!$AB$4:$AF$25,3,0)),"",VLOOKUP(A57,'Errores  Patrones'!$AB$4:$AF$25,3,0))</f>
        <v>58446 C</v>
      </c>
      <c r="R57" s="1308"/>
      <c r="S57" s="1308"/>
      <c r="T57" s="1489">
        <f>IF(ISERROR(VLOOKUP(A57,'Errores  Patrones'!$AB$4:$AF$25,5,0)),"",VLOOKUP(A57,'Errores  Patrones'!$AB$4:$AF$25,5,0))</f>
        <v>45696</v>
      </c>
      <c r="U57" s="1489"/>
      <c r="V57" s="1489"/>
      <c r="W57" s="1489"/>
      <c r="X57" s="1489"/>
      <c r="Y57" s="1489"/>
    </row>
    <row r="58" spans="1:43" ht="24.75" customHeight="1">
      <c r="A58" s="1308" t="str">
        <f>IF(ISBLANK(Formato!I37),"",Formato!I37)</f>
        <v/>
      </c>
      <c r="B58" s="1308"/>
      <c r="C58" s="1308"/>
      <c r="D58" s="1308" t="str">
        <f>IF(ISBLANK(Formato!O37),"",Formato!O37)</f>
        <v/>
      </c>
      <c r="E58" s="1308"/>
      <c r="F58" s="1308"/>
      <c r="G58" s="1308"/>
      <c r="H58" s="1308"/>
      <c r="I58" s="1308"/>
      <c r="J58" s="1308" t="e">
        <f>VLOOKUP(A58,'Errores  Patrones'!$AB$4:$AH$25,7,0)</f>
        <v>#N/A</v>
      </c>
      <c r="K58" s="1308"/>
      <c r="L58" s="1308"/>
      <c r="M58" s="1308" t="str">
        <f>+IF(ISERROR(VLOOKUP(A58,'Errores  Patrones'!$AB$4:$AF$25,2,0)),"",VLOOKUP(A58,'Errores  Patrones'!$AB$4:$AF$25,2,0))</f>
        <v/>
      </c>
      <c r="N58" s="1308"/>
      <c r="O58" s="1308"/>
      <c r="P58" s="1308"/>
      <c r="Q58" s="1308" t="str">
        <f>+IF(ISERROR(VLOOKUP(A58,'Errores  Patrones'!$AB$4:$AF$25,3,0)),"",VLOOKUP(A58,'Errores  Patrones'!$AB$4:$AF$25,3,0))</f>
        <v/>
      </c>
      <c r="R58" s="1308"/>
      <c r="S58" s="1308"/>
      <c r="T58" s="1374" t="str">
        <f>IF(ISERROR(VLOOKUP(A58,'Errores  Patrones'!$AB$4:$AF$25,5,0)),"",VLOOKUP(A58,'Errores  Patrones'!$AB$4:$AF$25,5,0))</f>
        <v/>
      </c>
      <c r="U58" s="1375"/>
      <c r="V58" s="1375"/>
      <c r="W58" s="1375"/>
      <c r="X58" s="1375"/>
      <c r="Y58" s="1376"/>
    </row>
    <row r="59" spans="1:43" ht="24.75" customHeight="1">
      <c r="A59" s="1475" t="str">
        <f>IF(ISBLANK(Formato!I38),"",Formato!I38)</f>
        <v/>
      </c>
      <c r="B59" s="1476"/>
      <c r="C59" s="1477"/>
      <c r="D59" s="1308" t="str">
        <f>IF(ISBLANK(Formato!O38),"",Formato!O38)</f>
        <v/>
      </c>
      <c r="E59" s="1308"/>
      <c r="F59" s="1308"/>
      <c r="G59" s="1308"/>
      <c r="H59" s="1308"/>
      <c r="I59" s="1308"/>
      <c r="J59" s="1308" t="e">
        <f>VLOOKUP(A59,'Errores  Patrones'!$AB$4:$AH$25,7,0)</f>
        <v>#N/A</v>
      </c>
      <c r="K59" s="1308"/>
      <c r="L59" s="1308"/>
      <c r="M59" s="1308" t="str">
        <f>+IF(ISERROR(VLOOKUP(A59,'Errores  Patrones'!$AB$4:$AF$25,2,0)),"",VLOOKUP(A59,'Errores  Patrones'!$AB$4:$AF$25,2,0))</f>
        <v/>
      </c>
      <c r="N59" s="1308"/>
      <c r="O59" s="1308"/>
      <c r="P59" s="1308"/>
      <c r="Q59" s="1308" t="str">
        <f>+IF(ISERROR(VLOOKUP(A59,'Errores  Patrones'!$AB$4:$AF$25,3,0)),"",VLOOKUP(A59,'Errores  Patrones'!$AB$4:$AF$25,3,0))</f>
        <v/>
      </c>
      <c r="R59" s="1308"/>
      <c r="S59" s="1308"/>
      <c r="T59" s="1374" t="str">
        <f>IF(ISERROR(VLOOKUP(A59,'Errores  Patrones'!$AB$4:$AF$25,5,0)),"",VLOOKUP(A59,'Errores  Patrones'!$AB$4:$AF$25,5,0))</f>
        <v/>
      </c>
      <c r="U59" s="1375"/>
      <c r="V59" s="1375"/>
      <c r="W59" s="1375"/>
      <c r="X59" s="1375"/>
      <c r="Y59" s="1376"/>
      <c r="AE59" s="10" t="str">
        <f>IF(AND(Formato!L49&gt;Formato!Y45,Formato!P49&gt;Formato!AA45,Formato!U49&gt;Formato!AC45,Formato!F148=1,Formato!R148=1),"No Se Puede Emitir Certificado. ¡ SE DEBE REVISAR LOS DATOS ! ","")</f>
        <v/>
      </c>
    </row>
    <row r="60" spans="1:43" ht="24.75" customHeight="1">
      <c r="A60" s="1475" t="str">
        <f>IF(ISBLANK(Formato!I39),"",Formato!I39)</f>
        <v/>
      </c>
      <c r="B60" s="1476"/>
      <c r="C60" s="1477"/>
      <c r="D60" s="1475" t="str">
        <f>IF(ISBLANK(Formato!O39),"",Formato!O39)</f>
        <v/>
      </c>
      <c r="E60" s="1476"/>
      <c r="F60" s="1476"/>
      <c r="G60" s="1476"/>
      <c r="H60" s="1476"/>
      <c r="I60" s="1477"/>
      <c r="J60" s="1308" t="e">
        <f>VLOOKUP(A60,'Errores  Patrones'!$AB$4:$AH$25,7,0)</f>
        <v>#N/A</v>
      </c>
      <c r="K60" s="1308"/>
      <c r="L60" s="1308"/>
      <c r="M60" s="1308" t="str">
        <f>+IF(ISERROR(VLOOKUP(A60,'Errores  Patrones'!$AB$4:$AF$25,2,0)),"",VLOOKUP(A60,'Errores  Patrones'!$AB$4:$AF$25,2,0))</f>
        <v/>
      </c>
      <c r="N60" s="1308"/>
      <c r="O60" s="1308"/>
      <c r="P60" s="1308"/>
      <c r="Q60" s="1308" t="str">
        <f>+IF(ISERROR(VLOOKUP(A60,'Errores  Patrones'!$AB$4:$AF$25,3,0)),"",VLOOKUP(A60,'Errores  Patrones'!$AB$4:$AF$25,3,0))</f>
        <v/>
      </c>
      <c r="R60" s="1308"/>
      <c r="S60" s="1308"/>
      <c r="T60" s="1374" t="str">
        <f>IF(ISERROR(VLOOKUP(A60,'Errores  Patrones'!$AB$4:$AF$25,5,0)),"",VLOOKUP(A60,'Errores  Patrones'!$AB$4:$AF$25,5,0))</f>
        <v/>
      </c>
      <c r="U60" s="1375"/>
      <c r="V60" s="1375"/>
      <c r="W60" s="1375"/>
      <c r="X60" s="1375"/>
      <c r="Y60" s="1376"/>
      <c r="AE60" s="10" t="str">
        <f>IF(AND(Formato!F148=1,Formato!R148=1),"No Se Puede Emitir Certificado. ¡ SE DEBE REVISAR LOS DATOS ! ","")</f>
        <v/>
      </c>
    </row>
    <row r="61" spans="1:43" ht="24.75" customHeight="1">
      <c r="A61" s="1475" t="str">
        <f>IF(ISBLANK(Formato!I40),"",Formato!I40)</f>
        <v/>
      </c>
      <c r="B61" s="1476"/>
      <c r="C61" s="1477"/>
      <c r="D61" s="1308" t="str">
        <f>IF(ISBLANK(Formato!O40),"",Formato!O40)</f>
        <v/>
      </c>
      <c r="E61" s="1308"/>
      <c r="F61" s="1308"/>
      <c r="G61" s="1308"/>
      <c r="H61" s="1308"/>
      <c r="I61" s="1308"/>
      <c r="J61" s="1308" t="e">
        <f>VLOOKUP(A61,'Errores  Patrones'!$AB$4:$AH$25,7,0)</f>
        <v>#N/A</v>
      </c>
      <c r="K61" s="1308"/>
      <c r="L61" s="1308"/>
      <c r="M61" s="1308" t="str">
        <f>+IF(ISERROR(VLOOKUP(A61,'Errores  Patrones'!$AB$4:$AF$25,2,0)),"",VLOOKUP(A61,'Errores  Patrones'!$AB$4:$AF$25,2,0))</f>
        <v/>
      </c>
      <c r="N61" s="1308"/>
      <c r="O61" s="1308"/>
      <c r="P61" s="1308"/>
      <c r="Q61" s="1308" t="str">
        <f>+IF(ISERROR(VLOOKUP(A61,'Errores  Patrones'!$AB$4:$AF$25,3,0)),"",VLOOKUP(A61,'Errores  Patrones'!$AB$4:$AF$25,3,0))</f>
        <v/>
      </c>
      <c r="R61" s="1308"/>
      <c r="S61" s="1308"/>
      <c r="T61" s="1374" t="str">
        <f>IF(ISERROR(VLOOKUP(A61,'Errores  Patrones'!$AB$4:$AF$25,5,0)),"",VLOOKUP(A61,'Errores  Patrones'!$AB$4:$AF$25,5,0))</f>
        <v/>
      </c>
      <c r="U61" s="1375"/>
      <c r="V61" s="1375"/>
      <c r="W61" s="1375"/>
      <c r="X61" s="1375"/>
      <c r="Y61" s="1376"/>
    </row>
    <row r="62" spans="1:43" ht="12.75" customHeight="1">
      <c r="A62" s="1372"/>
      <c r="B62" s="1372"/>
      <c r="C62" s="1372"/>
      <c r="D62" s="1372"/>
      <c r="E62" s="1372"/>
      <c r="F62" s="1372"/>
      <c r="G62" s="1372"/>
      <c r="H62" s="253"/>
      <c r="I62" s="253"/>
      <c r="J62" s="253"/>
      <c r="K62" s="253"/>
      <c r="L62" s="253"/>
      <c r="M62" s="253"/>
      <c r="N62" s="253"/>
      <c r="O62" s="253"/>
      <c r="P62" s="253"/>
      <c r="Q62" s="253"/>
      <c r="R62" s="253"/>
      <c r="S62" s="253"/>
      <c r="T62" s="253"/>
      <c r="U62" s="253"/>
      <c r="V62" s="253"/>
      <c r="W62" s="253"/>
      <c r="X62" s="253"/>
      <c r="Y62" s="253"/>
    </row>
    <row r="63" spans="1:43" s="18" customFormat="1" ht="10.5" customHeight="1">
      <c r="A63" s="272" t="s">
        <v>27</v>
      </c>
      <c r="B63" s="542"/>
      <c r="C63" s="542"/>
      <c r="D63" s="542"/>
      <c r="E63" s="542"/>
      <c r="F63" s="542"/>
      <c r="G63" s="542"/>
      <c r="H63" s="542"/>
      <c r="I63" s="542"/>
      <c r="J63" s="1320" t="str">
        <f ca="1">IF(OR(Formato!AE36="Ojo EQ Vencido",Formato!AE37="Ojo EQ Vencido",Formato!AE38="Ojo EQ Vencido",Formato!AE39="Ojo EQ Vencido",Formato!AE40="Ojo EQ Vencido"),"No Se Puede Emitir Certificado. ¡ SE VERIFIQUE VIGENCIA DEL EQUIPO PATRON !","")</f>
        <v/>
      </c>
      <c r="K63" s="1320"/>
      <c r="L63" s="1320"/>
      <c r="M63" s="1320"/>
      <c r="N63" s="1320"/>
      <c r="O63" s="1320"/>
      <c r="P63" s="1320"/>
      <c r="Q63" s="1320"/>
      <c r="R63" s="1320"/>
      <c r="S63" s="1320"/>
      <c r="T63" s="1320"/>
      <c r="U63" s="1320"/>
      <c r="V63" s="1320"/>
      <c r="W63" s="1320"/>
      <c r="X63" s="542"/>
      <c r="Y63" s="542"/>
      <c r="AA63" s="306"/>
      <c r="AB63" s="306"/>
      <c r="AC63" s="306"/>
      <c r="AD63" s="306"/>
      <c r="AP63" s="565"/>
      <c r="AQ63" s="565"/>
    </row>
    <row r="64" spans="1:43" s="18" customFormat="1" ht="13.5" customHeight="1">
      <c r="A64" s="1377" t="s">
        <v>28</v>
      </c>
      <c r="B64" s="1377"/>
      <c r="C64" s="1377"/>
      <c r="D64" s="1377"/>
      <c r="E64" s="1377"/>
      <c r="F64" s="1377"/>
      <c r="G64" s="1377"/>
      <c r="H64" s="1377"/>
      <c r="I64" s="1377"/>
      <c r="J64" s="1377"/>
      <c r="K64" s="1377"/>
      <c r="L64" s="1377"/>
      <c r="M64" s="1377"/>
      <c r="N64" s="1377"/>
      <c r="O64" s="1377"/>
      <c r="P64" s="1377"/>
      <c r="Q64" s="1377"/>
      <c r="R64" s="1377"/>
      <c r="S64" s="1377"/>
      <c r="T64" s="1377"/>
      <c r="U64" s="1377"/>
      <c r="V64" s="1377"/>
      <c r="W64" s="1377"/>
      <c r="X64" s="1377"/>
      <c r="Y64" s="1377"/>
      <c r="AA64" s="306"/>
      <c r="AB64" s="306"/>
      <c r="AC64" s="306"/>
      <c r="AD64" s="306"/>
      <c r="AP64" s="565"/>
      <c r="AQ64" s="565"/>
    </row>
    <row r="65" spans="1:26" ht="7.5" customHeight="1">
      <c r="A65" s="253"/>
      <c r="B65" s="253"/>
      <c r="C65" s="253"/>
      <c r="D65" s="253"/>
      <c r="E65" s="253"/>
      <c r="F65" s="253"/>
      <c r="G65" s="253"/>
      <c r="H65" s="253"/>
      <c r="I65" s="253"/>
      <c r="J65" s="253"/>
      <c r="K65" s="253"/>
      <c r="L65" s="253"/>
      <c r="M65" s="253"/>
      <c r="N65" s="253"/>
      <c r="O65" s="253"/>
      <c r="P65" s="253"/>
      <c r="Q65" s="253"/>
      <c r="R65" s="253"/>
      <c r="S65" s="253"/>
      <c r="T65" s="253"/>
      <c r="U65" s="253"/>
      <c r="V65" s="253"/>
      <c r="W65" s="253"/>
      <c r="X65" s="253"/>
      <c r="Y65" s="253"/>
    </row>
    <row r="66" spans="1:26" ht="10.5" customHeight="1">
      <c r="A66" s="253"/>
      <c r="B66" s="253"/>
      <c r="C66" s="253"/>
      <c r="D66" s="253"/>
      <c r="E66" s="253"/>
      <c r="F66" s="253"/>
      <c r="G66" s="253"/>
      <c r="H66" s="253"/>
      <c r="I66" s="253"/>
      <c r="J66" s="253"/>
      <c r="K66" s="253"/>
      <c r="L66" s="253"/>
      <c r="M66" s="253"/>
      <c r="N66" s="253"/>
      <c r="O66" s="253"/>
      <c r="P66" s="253"/>
      <c r="Q66" s="253"/>
      <c r="R66" s="253"/>
      <c r="S66" s="253"/>
      <c r="T66" s="253"/>
      <c r="U66" s="253"/>
      <c r="V66" s="253"/>
      <c r="W66" s="253"/>
      <c r="X66" s="253"/>
      <c r="Y66" s="253"/>
    </row>
    <row r="67" spans="1:26" ht="27.75" customHeight="1">
      <c r="A67" s="1487" t="str">
        <f>IF(OR(Formato!L49&gt;Formato!Y45,Formato!P49&gt;Formato!AA45,Formato!U49&gt;Formato!AC45,Formato!F148=1,Formato!R148=1,Formato!S169="",Formato!I7="",Formato!I8="",Formato!I9="",Formato!Y7="",Formato!Y8="",Formato!Y9="",Formato!C169=""),"No Se Puede Emitir Certificado. ¡ SE DEBE REVISAR LOS DATOS ! ","")</f>
        <v/>
      </c>
      <c r="B67" s="1487"/>
      <c r="C67" s="1487"/>
      <c r="D67" s="1487"/>
      <c r="E67" s="1487"/>
      <c r="F67" s="1487"/>
      <c r="G67" s="1487"/>
      <c r="H67" s="1487"/>
      <c r="I67" s="1487"/>
      <c r="J67" s="1487"/>
      <c r="K67" s="1487"/>
      <c r="L67" s="1487"/>
      <c r="M67" s="1487"/>
      <c r="N67" s="1487"/>
      <c r="O67" s="1487"/>
      <c r="P67" s="1487"/>
      <c r="Q67" s="1487"/>
      <c r="R67" s="1487"/>
      <c r="S67" s="1487"/>
      <c r="T67" s="1487"/>
      <c r="U67" s="1487"/>
      <c r="V67" s="1487"/>
      <c r="W67" s="1487"/>
      <c r="X67" s="604"/>
      <c r="Y67" s="253"/>
    </row>
    <row r="68" spans="1:26" ht="18" customHeight="1" thickBot="1">
      <c r="A68" s="1488" t="str">
        <f>IF(ISBLANK(Formato!C169),"",Formato!C169)</f>
        <v>Diego Vera</v>
      </c>
      <c r="B68" s="1488"/>
      <c r="C68" s="1488"/>
      <c r="D68" s="1488"/>
      <c r="E68" s="1488"/>
      <c r="F68" s="241"/>
      <c r="G68" s="253"/>
      <c r="H68" s="242"/>
      <c r="I68" s="241"/>
      <c r="J68" s="241"/>
      <c r="K68" s="241"/>
      <c r="L68" s="241"/>
      <c r="M68" s="254"/>
      <c r="N68" s="253"/>
      <c r="O68" s="1373" t="str">
        <f>IF(OR(O69&lt;Formato!Y7, O69&gt;Formato!Y7+30,O69=""),"OJO REVISAR FECHA","")</f>
        <v/>
      </c>
      <c r="P68" s="1373"/>
      <c r="Q68" s="1373"/>
      <c r="R68" s="1373"/>
      <c r="S68" s="253"/>
      <c r="T68" s="253"/>
      <c r="U68" s="253"/>
      <c r="V68" s="253"/>
      <c r="W68" s="253"/>
      <c r="X68" s="253"/>
      <c r="Y68" s="253"/>
    </row>
    <row r="69" spans="1:26" ht="12.75" customHeight="1">
      <c r="A69" s="1431" t="s">
        <v>1095</v>
      </c>
      <c r="B69" s="1431"/>
      <c r="C69" s="1431"/>
      <c r="D69" s="1431"/>
      <c r="E69" s="1431"/>
      <c r="F69" s="241"/>
      <c r="G69" s="253"/>
      <c r="H69" s="242"/>
      <c r="I69" s="241"/>
      <c r="J69" s="241"/>
      <c r="K69" s="241"/>
      <c r="L69" s="241"/>
      <c r="M69" s="254"/>
      <c r="N69" s="253"/>
      <c r="O69" s="1415">
        <v>45681</v>
      </c>
      <c r="P69" s="1415"/>
      <c r="Q69" s="1415"/>
      <c r="R69" s="1415"/>
      <c r="S69" s="253"/>
      <c r="T69" s="253"/>
      <c r="U69" s="253"/>
      <c r="V69" s="253"/>
      <c r="W69" s="253"/>
      <c r="X69" s="253"/>
      <c r="Y69" s="253"/>
    </row>
    <row r="70" spans="1:26" ht="14.1" customHeight="1">
      <c r="A70" s="1317" t="str">
        <f>IF(ISBLANK(Formato!C170),"",Formato!C170)</f>
        <v>Director  Técnico</v>
      </c>
      <c r="B70" s="1317"/>
      <c r="C70" s="1317"/>
      <c r="D70" s="1317"/>
      <c r="E70" s="1317"/>
      <c r="F70" s="241"/>
      <c r="G70" s="243"/>
      <c r="H70" s="242"/>
      <c r="I70" s="241"/>
      <c r="J70" s="241"/>
      <c r="K70" s="241"/>
      <c r="L70" s="241"/>
      <c r="M70" s="255"/>
      <c r="N70" s="241"/>
      <c r="O70" s="1316" t="s">
        <v>122</v>
      </c>
      <c r="P70" s="1316"/>
      <c r="Q70" s="1316"/>
      <c r="R70" s="1316"/>
      <c r="S70" s="1316"/>
      <c r="T70" s="241"/>
      <c r="U70" s="241"/>
      <c r="V70" s="241"/>
      <c r="W70" s="241"/>
      <c r="X70" s="241"/>
      <c r="Y70" s="241"/>
    </row>
    <row r="71" spans="1:26" ht="14.1" customHeight="1">
      <c r="A71" s="1316" t="s">
        <v>121</v>
      </c>
      <c r="B71" s="1316"/>
      <c r="C71" s="1316"/>
      <c r="D71" s="241"/>
      <c r="E71" s="241"/>
      <c r="F71" s="241"/>
      <c r="G71" s="241"/>
      <c r="H71" s="242"/>
      <c r="I71" s="241"/>
      <c r="J71" s="241"/>
      <c r="K71" s="241"/>
      <c r="L71" s="241"/>
      <c r="M71" s="241"/>
      <c r="N71" s="241"/>
      <c r="O71" s="655" t="s">
        <v>7</v>
      </c>
      <c r="T71" s="243"/>
      <c r="U71" s="241"/>
      <c r="V71" s="1490" t="s">
        <v>142</v>
      </c>
      <c r="W71" s="1490"/>
      <c r="X71" s="1490"/>
      <c r="Y71" s="1490"/>
    </row>
    <row r="72" spans="1:26" ht="14.1" customHeight="1">
      <c r="A72" s="256" t="s">
        <v>6</v>
      </c>
      <c r="B72" s="241"/>
      <c r="C72" s="241"/>
      <c r="D72" s="241"/>
      <c r="E72" s="241"/>
      <c r="F72" s="241"/>
      <c r="G72" s="241"/>
      <c r="H72" s="242"/>
      <c r="I72" s="241"/>
      <c r="J72" s="241"/>
      <c r="K72" s="241"/>
      <c r="L72" s="241"/>
      <c r="M72" s="241"/>
      <c r="N72" s="241"/>
      <c r="O72" s="3" t="str">
        <f>CONCATENATE("Calibrado por: ",Formato!S169)</f>
        <v>Calibrado por: Julian Andres Valencia</v>
      </c>
      <c r="P72" s="241"/>
      <c r="Q72" s="822"/>
      <c r="R72" s="241"/>
      <c r="S72" s="241"/>
      <c r="T72" s="251"/>
      <c r="U72" s="241"/>
      <c r="W72" s="1330" t="str">
        <f>MID(H1,69,75)</f>
        <v>LC-FR-20 V12</v>
      </c>
      <c r="X72" s="1330"/>
      <c r="Y72" s="1330"/>
    </row>
    <row r="73" spans="1:26" ht="20.100000000000001" customHeight="1">
      <c r="A73" s="1311"/>
      <c r="B73" s="1311"/>
      <c r="C73" s="1311"/>
      <c r="H73" s="1470"/>
      <c r="I73" s="1470"/>
      <c r="J73" s="1470"/>
      <c r="N73" s="1469"/>
      <c r="O73" s="1469"/>
      <c r="P73" s="1469"/>
      <c r="Q73" s="1469"/>
      <c r="R73" s="1469"/>
    </row>
    <row r="74" spans="1:26" ht="14.1" customHeight="1">
      <c r="H74" s="10"/>
    </row>
    <row r="75" spans="1:26" ht="15.75" customHeight="1">
      <c r="A75" s="1439" t="s">
        <v>46</v>
      </c>
      <c r="B75" s="1439"/>
      <c r="C75" s="1439"/>
      <c r="D75" s="1439"/>
      <c r="E75" s="1439"/>
      <c r="F75" s="1439"/>
      <c r="G75" s="1439"/>
      <c r="H75" s="1439"/>
      <c r="I75" s="1439"/>
      <c r="J75" s="1439"/>
      <c r="K75" s="1439"/>
      <c r="L75" s="1439"/>
      <c r="M75" s="1439"/>
      <c r="N75" s="1439"/>
      <c r="O75" s="1439"/>
      <c r="P75" s="1439"/>
      <c r="Q75" s="1439"/>
      <c r="R75" s="1439"/>
      <c r="S75" s="1439"/>
      <c r="T75" s="1439"/>
      <c r="U75" s="1439"/>
      <c r="V75" s="1439"/>
      <c r="W75" s="1439"/>
      <c r="X75" s="1439"/>
      <c r="Y75" s="1439"/>
    </row>
    <row r="76" spans="1:26" ht="9.75" customHeight="1">
      <c r="A76" s="1307" t="s">
        <v>1480</v>
      </c>
      <c r="B76" s="1307"/>
      <c r="C76" s="1307"/>
      <c r="D76" s="1307"/>
      <c r="E76" s="1307"/>
      <c r="F76" s="1307"/>
      <c r="G76" s="1307"/>
      <c r="H76" s="1307"/>
      <c r="I76" s="1307"/>
      <c r="J76" s="1307"/>
      <c r="K76" s="1307"/>
      <c r="L76" s="1307"/>
      <c r="M76" s="1307"/>
      <c r="N76" s="1307"/>
      <c r="O76" s="1307"/>
      <c r="P76" s="1307"/>
      <c r="Q76" s="1307"/>
      <c r="R76" s="1307"/>
      <c r="S76" s="1307"/>
      <c r="T76" s="1307"/>
      <c r="U76" s="1307"/>
      <c r="V76" s="1307"/>
      <c r="W76" s="1307"/>
      <c r="X76" s="1307"/>
      <c r="Y76" s="1307"/>
    </row>
    <row r="77" spans="1:26" ht="9.9499999999999993" customHeight="1">
      <c r="A77" s="1310"/>
      <c r="B77" s="1310"/>
      <c r="C77" s="1310"/>
      <c r="D77" s="1310"/>
      <c r="E77" s="1310"/>
      <c r="F77" s="1310"/>
      <c r="G77" s="1310"/>
      <c r="H77" s="1310"/>
      <c r="I77" s="1310"/>
      <c r="J77" s="1310"/>
      <c r="K77" s="1310"/>
      <c r="L77" s="1310"/>
      <c r="M77" s="1310"/>
      <c r="N77" s="1310"/>
      <c r="O77" s="1310"/>
      <c r="P77" s="1310"/>
      <c r="Q77" s="1310"/>
      <c r="R77" s="1310"/>
      <c r="S77" s="1310"/>
      <c r="T77" s="1310"/>
      <c r="U77" s="1310"/>
      <c r="V77" s="1310"/>
      <c r="W77" s="1310"/>
      <c r="X77" s="1310"/>
      <c r="Y77" s="1310"/>
    </row>
    <row r="78" spans="1:26" ht="14.1" customHeight="1">
      <c r="A78" s="241"/>
      <c r="B78" s="241"/>
      <c r="C78" s="241"/>
      <c r="D78" s="241"/>
      <c r="E78" s="241"/>
      <c r="F78" s="241"/>
      <c r="G78" s="241"/>
      <c r="H78" s="242"/>
      <c r="I78" s="241"/>
      <c r="J78" s="241"/>
      <c r="K78" s="241"/>
      <c r="L78" s="241"/>
      <c r="M78" s="241"/>
      <c r="N78" s="241"/>
      <c r="O78" s="241"/>
      <c r="P78" s="241"/>
      <c r="Q78" s="241"/>
      <c r="R78" s="1316" t="s">
        <v>1</v>
      </c>
      <c r="S78" s="1316"/>
      <c r="T78" s="1316"/>
      <c r="U78" s="241" t="str">
        <f>IF(ISBLANK(U11),"",U11)</f>
        <v>TM028-25A</v>
      </c>
      <c r="V78" s="241"/>
      <c r="W78" s="241"/>
      <c r="X78" s="241"/>
      <c r="Y78" s="241"/>
    </row>
    <row r="79" spans="1:26" ht="14.1" customHeight="1">
      <c r="A79" s="241"/>
      <c r="B79" s="243"/>
      <c r="C79" s="243"/>
      <c r="D79" s="243"/>
      <c r="E79" s="243"/>
      <c r="F79" s="243"/>
      <c r="G79" s="243"/>
      <c r="H79" s="247"/>
      <c r="I79" s="243"/>
      <c r="J79" s="243"/>
      <c r="K79" s="241"/>
      <c r="L79" s="241"/>
      <c r="M79" s="241"/>
      <c r="N79" s="241"/>
      <c r="O79" s="241"/>
      <c r="P79" s="241"/>
      <c r="Q79" s="241"/>
      <c r="R79" s="1306" t="s">
        <v>1105</v>
      </c>
      <c r="S79" s="1306"/>
      <c r="T79" s="1306"/>
      <c r="U79" s="1306"/>
      <c r="V79" s="241"/>
      <c r="W79" s="241"/>
      <c r="X79" s="241"/>
      <c r="Y79" s="241"/>
    </row>
    <row r="80" spans="1:26" ht="5.25" customHeight="1">
      <c r="A80" s="241"/>
      <c r="B80" s="243"/>
      <c r="C80" s="243"/>
      <c r="D80" s="243"/>
      <c r="E80" s="243"/>
      <c r="F80" s="243"/>
      <c r="G80" s="243"/>
      <c r="H80" s="247"/>
      <c r="I80" s="243"/>
      <c r="J80" s="243"/>
      <c r="K80" s="241"/>
      <c r="L80" s="241"/>
      <c r="M80" s="241"/>
      <c r="N80" s="241"/>
      <c r="O80" s="241"/>
      <c r="P80" s="241"/>
      <c r="Q80" s="241"/>
      <c r="R80" s="250"/>
      <c r="S80" s="250"/>
      <c r="T80" s="250"/>
      <c r="U80" s="250"/>
      <c r="V80" s="241"/>
      <c r="W80" s="241"/>
      <c r="X80" s="241"/>
      <c r="Y80" s="241"/>
    </row>
    <row r="81" spans="1:43" ht="12.75" customHeight="1">
      <c r="A81" s="1316" t="s">
        <v>131</v>
      </c>
      <c r="B81" s="1316"/>
      <c r="C81" s="1316"/>
      <c r="D81" s="1316"/>
      <c r="E81" s="1316"/>
      <c r="F81" s="1316"/>
      <c r="G81" s="1316"/>
      <c r="H81" s="1316"/>
      <c r="I81" s="1316"/>
      <c r="J81" s="1316"/>
      <c r="K81" s="1316"/>
      <c r="L81" s="1316"/>
      <c r="M81" s="241"/>
      <c r="N81" s="241"/>
      <c r="O81" s="241"/>
      <c r="P81" s="241"/>
      <c r="Q81" s="250"/>
      <c r="R81" s="1316"/>
      <c r="S81" s="1316"/>
      <c r="T81" s="1316"/>
      <c r="U81" s="1316"/>
      <c r="V81" s="1316"/>
      <c r="W81" s="1316"/>
      <c r="X81" s="1316"/>
      <c r="Y81" s="241"/>
    </row>
    <row r="82" spans="1:43" ht="10.5" customHeight="1">
      <c r="A82" s="241"/>
      <c r="B82" s="241"/>
      <c r="C82" s="241"/>
      <c r="D82" s="241"/>
      <c r="E82" s="241"/>
      <c r="F82" s="241"/>
      <c r="G82" s="241"/>
      <c r="H82" s="242"/>
      <c r="I82" s="241"/>
      <c r="J82" s="241"/>
      <c r="K82" s="241"/>
      <c r="L82" s="241"/>
      <c r="M82" s="241"/>
      <c r="N82" s="241"/>
      <c r="O82" s="241"/>
      <c r="P82" s="241"/>
      <c r="Q82" s="241"/>
      <c r="R82" s="243"/>
      <c r="S82" s="241"/>
      <c r="T82" s="241"/>
      <c r="U82" s="241"/>
      <c r="V82" s="241"/>
      <c r="W82" s="241"/>
      <c r="X82" s="241"/>
      <c r="Y82" s="241"/>
    </row>
    <row r="83" spans="1:43" ht="18.75" customHeight="1">
      <c r="A83" s="257" t="s">
        <v>140</v>
      </c>
      <c r="B83" s="257"/>
      <c r="C83" s="257"/>
      <c r="D83" s="257"/>
      <c r="E83" s="257"/>
      <c r="F83" s="1422" t="s">
        <v>1039</v>
      </c>
      <c r="G83" s="1422"/>
      <c r="H83" s="258">
        <f>Formato!L44</f>
        <v>24</v>
      </c>
      <c r="I83" s="259" t="s">
        <v>1005</v>
      </c>
      <c r="J83" s="1422" t="s">
        <v>1040</v>
      </c>
      <c r="K83" s="1422"/>
      <c r="L83" s="258">
        <f>Formato!L45</f>
        <v>24.4</v>
      </c>
      <c r="M83" s="260" t="s">
        <v>161</v>
      </c>
      <c r="N83" s="241"/>
      <c r="O83" s="241"/>
      <c r="P83" s="241"/>
      <c r="Q83" s="261"/>
      <c r="R83" s="1315"/>
      <c r="S83" s="1315"/>
      <c r="T83" s="1315"/>
      <c r="U83" s="1315"/>
      <c r="V83" s="1315"/>
      <c r="W83" s="1315"/>
      <c r="X83" s="1315"/>
      <c r="Y83" s="1315"/>
    </row>
    <row r="84" spans="1:43" ht="18.75" customHeight="1">
      <c r="A84" s="241" t="s">
        <v>141</v>
      </c>
      <c r="B84" s="241"/>
      <c r="C84" s="241"/>
      <c r="D84" s="241"/>
      <c r="E84" s="241"/>
      <c r="F84" s="1339" t="s">
        <v>1039</v>
      </c>
      <c r="G84" s="1339"/>
      <c r="H84" s="606">
        <f>Formato!P44</f>
        <v>54</v>
      </c>
      <c r="I84" s="262" t="s">
        <v>102</v>
      </c>
      <c r="J84" s="1339" t="s">
        <v>1040</v>
      </c>
      <c r="K84" s="1339"/>
      <c r="L84" s="606">
        <f>Formato!P45</f>
        <v>56</v>
      </c>
      <c r="M84" s="262" t="s">
        <v>102</v>
      </c>
      <c r="N84" s="241"/>
      <c r="O84" s="241"/>
      <c r="P84" s="241"/>
      <c r="Q84" s="261"/>
      <c r="R84" s="261"/>
      <c r="S84" s="261"/>
      <c r="T84" s="261"/>
      <c r="U84" s="261"/>
      <c r="V84" s="261"/>
      <c r="W84" s="261"/>
      <c r="X84" s="261"/>
      <c r="Y84" s="241"/>
    </row>
    <row r="85" spans="1:43" ht="7.5" customHeight="1">
      <c r="A85" s="241"/>
      <c r="B85" s="241"/>
      <c r="C85" s="241"/>
      <c r="D85" s="241"/>
      <c r="E85" s="241"/>
      <c r="F85" s="241"/>
      <c r="G85" s="241"/>
      <c r="H85" s="242"/>
      <c r="I85" s="241"/>
      <c r="J85" s="241"/>
      <c r="K85" s="241"/>
      <c r="L85" s="241"/>
      <c r="M85" s="241"/>
      <c r="N85" s="241"/>
      <c r="O85" s="241"/>
      <c r="P85" s="241"/>
      <c r="Q85" s="261"/>
      <c r="R85" s="261"/>
      <c r="S85" s="261"/>
      <c r="T85" s="261"/>
      <c r="U85" s="261"/>
      <c r="V85" s="261"/>
      <c r="W85" s="261"/>
      <c r="X85" s="261"/>
      <c r="Y85" s="241"/>
    </row>
    <row r="86" spans="1:43" ht="3" customHeight="1">
      <c r="A86" s="263"/>
      <c r="B86" s="263"/>
      <c r="C86" s="242"/>
      <c r="D86" s="241"/>
      <c r="E86" s="241"/>
      <c r="F86" s="263"/>
      <c r="G86" s="263"/>
      <c r="H86" s="242"/>
      <c r="I86" s="241"/>
      <c r="J86" s="241"/>
      <c r="K86" s="241"/>
      <c r="L86" s="241"/>
      <c r="M86" s="241"/>
      <c r="N86" s="241"/>
      <c r="O86" s="263"/>
      <c r="P86" s="263"/>
      <c r="Q86" s="241"/>
      <c r="R86" s="241"/>
      <c r="S86" s="241"/>
      <c r="T86" s="241"/>
      <c r="U86" s="241"/>
      <c r="V86" s="241"/>
      <c r="W86" s="241"/>
      <c r="X86" s="241"/>
      <c r="Y86" s="241"/>
      <c r="AE86" s="17"/>
      <c r="AF86" s="17"/>
      <c r="AG86" s="17"/>
      <c r="AH86" s="17"/>
      <c r="AI86" s="17"/>
      <c r="AJ86" s="17"/>
      <c r="AK86" s="17"/>
      <c r="AL86" s="17"/>
    </row>
    <row r="87" spans="1:43" ht="14.1" customHeight="1">
      <c r="A87" s="1316" t="s">
        <v>115</v>
      </c>
      <c r="B87" s="1316"/>
      <c r="C87" s="1316"/>
      <c r="D87" s="1316"/>
      <c r="E87" s="1316"/>
      <c r="F87" s="1316"/>
      <c r="G87" s="1316"/>
      <c r="H87" s="1316"/>
      <c r="I87" s="1316"/>
      <c r="J87" s="264"/>
      <c r="K87" s="264"/>
      <c r="L87" s="264"/>
      <c r="M87" s="264"/>
      <c r="N87" s="264"/>
      <c r="O87" s="264"/>
      <c r="P87" s="264"/>
      <c r="Q87" s="264"/>
      <c r="R87" s="264"/>
      <c r="S87" s="264"/>
      <c r="T87" s="264"/>
      <c r="U87" s="264"/>
      <c r="V87" s="264"/>
      <c r="W87" s="264"/>
      <c r="X87" s="241"/>
      <c r="Y87" s="241"/>
      <c r="AE87" s="17"/>
      <c r="AF87" s="17"/>
      <c r="AG87" s="17"/>
      <c r="AH87" s="17"/>
      <c r="AI87" s="17"/>
      <c r="AJ87" s="17"/>
      <c r="AK87" s="17"/>
      <c r="AL87" s="17"/>
    </row>
    <row r="88" spans="1:43" ht="17.25" customHeight="1">
      <c r="A88" s="1496" t="str">
        <f>IF(AND(Formato!AE72="x",P92="----"),"Ver Observacion # 7",CONCATENATE("La prueba se realizó con una carga de"," ",Formato!K65," ",Formato!M65," ","de conformidad con la Guía SIM MWG7/"," ","cg-01/v.00:2009, numeral 5.3"))</f>
        <v>La prueba se realizó con una carga de 20 g de conformidad con la Guía SIM MWG7/ cg-01/v.00:2009, numeral 5.3</v>
      </c>
      <c r="B88" s="1496"/>
      <c r="C88" s="1496"/>
      <c r="D88" s="1496"/>
      <c r="E88" s="1496"/>
      <c r="F88" s="1496"/>
      <c r="G88" s="1496"/>
      <c r="H88" s="1496"/>
      <c r="I88" s="1496"/>
      <c r="J88" s="1496"/>
      <c r="K88" s="1496"/>
      <c r="L88" s="1496"/>
      <c r="M88" s="1496"/>
      <c r="N88" s="1496"/>
      <c r="O88" s="1496"/>
      <c r="P88" s="1496"/>
      <c r="Q88" s="1496"/>
      <c r="R88" s="1496"/>
      <c r="S88" s="1496"/>
      <c r="T88" s="1496"/>
      <c r="U88" s="1496"/>
      <c r="V88" s="1496"/>
      <c r="W88" s="1496"/>
      <c r="X88" s="1496"/>
      <c r="Y88" s="1496"/>
    </row>
    <row r="89" spans="1:43" ht="6.75" customHeight="1">
      <c r="A89" s="265"/>
      <c r="B89" s="265"/>
      <c r="C89" s="265"/>
      <c r="D89" s="265"/>
      <c r="E89" s="265"/>
      <c r="F89" s="265"/>
      <c r="G89" s="265"/>
      <c r="H89" s="265"/>
      <c r="I89" s="265"/>
      <c r="J89" s="265"/>
      <c r="K89" s="265"/>
      <c r="L89" s="265"/>
      <c r="M89" s="265"/>
      <c r="N89" s="265"/>
      <c r="O89" s="265"/>
      <c r="P89" s="265"/>
      <c r="Q89" s="265"/>
      <c r="R89" s="265"/>
      <c r="S89" s="265"/>
      <c r="T89" s="241"/>
      <c r="U89" s="241"/>
      <c r="V89" s="264"/>
      <c r="W89" s="264"/>
      <c r="X89" s="241"/>
      <c r="Y89" s="241"/>
    </row>
    <row r="90" spans="1:43" ht="14.1" customHeight="1">
      <c r="A90" s="265"/>
      <c r="B90" s="492"/>
      <c r="C90" s="493"/>
      <c r="D90" s="493"/>
      <c r="E90" s="493"/>
      <c r="F90" s="493"/>
      <c r="G90" s="493"/>
      <c r="H90" s="493"/>
      <c r="I90" s="494"/>
      <c r="J90" s="495"/>
      <c r="K90" s="241"/>
      <c r="L90" s="1318" t="s">
        <v>48</v>
      </c>
      <c r="M90" s="1318"/>
      <c r="N90" s="1318"/>
      <c r="O90" s="1318"/>
      <c r="P90" s="1416" t="str">
        <f>IF(ISBLANK(Formato!H67),"",Formato!H67)</f>
        <v xml:space="preserve">Indicación del instrumento  (g)  </v>
      </c>
      <c r="Q90" s="1417"/>
      <c r="R90" s="1417"/>
      <c r="S90" s="666"/>
      <c r="T90" s="241"/>
      <c r="U90" s="241"/>
      <c r="V90" s="264"/>
      <c r="W90" s="264"/>
      <c r="X90" s="241"/>
      <c r="Y90" s="241"/>
    </row>
    <row r="91" spans="1:43" ht="18" customHeight="1">
      <c r="A91" s="265"/>
      <c r="B91" s="496"/>
      <c r="C91" s="497"/>
      <c r="D91" s="497"/>
      <c r="E91" s="497"/>
      <c r="F91" s="497"/>
      <c r="G91" s="241"/>
      <c r="H91" s="242"/>
      <c r="I91" s="241"/>
      <c r="J91" s="498"/>
      <c r="K91" s="241"/>
      <c r="L91" s="1318"/>
      <c r="M91" s="1318"/>
      <c r="N91" s="1318"/>
      <c r="O91" s="1318"/>
      <c r="P91" s="1429" t="str">
        <f>CONCATENATE("(",Formato!$I$20, ")")</f>
        <v>(g)</v>
      </c>
      <c r="Q91" s="1458"/>
      <c r="R91" s="1458"/>
      <c r="S91" s="666"/>
      <c r="T91" s="241"/>
      <c r="U91" s="241"/>
      <c r="V91" s="264"/>
      <c r="W91" s="264"/>
      <c r="X91" s="241"/>
      <c r="Y91" s="241"/>
    </row>
    <row r="92" spans="1:43" s="18" customFormat="1" ht="20.25" customHeight="1">
      <c r="A92" s="266"/>
      <c r="B92" s="499"/>
      <c r="C92" s="267"/>
      <c r="D92" s="267"/>
      <c r="E92" s="267"/>
      <c r="F92" s="267"/>
      <c r="G92" s="267"/>
      <c r="H92" s="500"/>
      <c r="I92" s="267"/>
      <c r="J92" s="501"/>
      <c r="K92" s="267"/>
      <c r="L92" s="1304">
        <v>1</v>
      </c>
      <c r="M92" s="1304"/>
      <c r="N92" s="1304"/>
      <c r="O92" s="1304"/>
      <c r="P92" s="1322" t="str">
        <f>IF(ISBLANK(Formato!H69),"----",IF(Formato!H69&gt;0,FIXED(Formato!H69,Formato!$AF$22,TRUE)))</f>
        <v>20,00000</v>
      </c>
      <c r="Q92" s="1323"/>
      <c r="R92" s="1323"/>
      <c r="S92" s="667"/>
      <c r="T92" s="241"/>
      <c r="U92" s="241"/>
      <c r="V92" s="264"/>
      <c r="W92" s="264"/>
      <c r="X92" s="241"/>
      <c r="Y92" s="241"/>
      <c r="AA92" s="306"/>
      <c r="AB92" s="306"/>
      <c r="AC92" s="306"/>
      <c r="AD92" s="306"/>
      <c r="AP92" s="565"/>
      <c r="AQ92" s="565"/>
    </row>
    <row r="93" spans="1:43" s="18" customFormat="1" ht="20.25" customHeight="1">
      <c r="A93" s="266"/>
      <c r="B93" s="499"/>
      <c r="C93" s="267"/>
      <c r="D93" s="267"/>
      <c r="E93" s="267"/>
      <c r="F93" s="500"/>
      <c r="G93" s="267"/>
      <c r="H93" s="500"/>
      <c r="I93" s="267"/>
      <c r="J93" s="501"/>
      <c r="K93" s="267"/>
      <c r="L93" s="1304">
        <v>2</v>
      </c>
      <c r="M93" s="1304"/>
      <c r="N93" s="1304"/>
      <c r="O93" s="1304"/>
      <c r="P93" s="1322" t="str">
        <f>IF(ISBLANK(Formato!H70),"----",IF(Formato!H70&gt;0,FIXED(Formato!H70,Formato!$AF$22,TRUE)))</f>
        <v>20,00001</v>
      </c>
      <c r="Q93" s="1323"/>
      <c r="R93" s="1323"/>
      <c r="S93" s="667"/>
      <c r="T93" s="241"/>
      <c r="U93" s="241"/>
      <c r="V93" s="264"/>
      <c r="W93" s="264"/>
      <c r="X93" s="241"/>
      <c r="Y93" s="241"/>
      <c r="AA93" s="306"/>
      <c r="AB93" s="306"/>
      <c r="AC93" s="306"/>
      <c r="AD93" s="306"/>
      <c r="AP93" s="565"/>
      <c r="AQ93" s="565"/>
    </row>
    <row r="94" spans="1:43" s="18" customFormat="1" ht="20.25" customHeight="1">
      <c r="A94" s="266"/>
      <c r="B94" s="499"/>
      <c r="C94" s="267"/>
      <c r="D94" s="267"/>
      <c r="E94" s="267"/>
      <c r="F94" s="500"/>
      <c r="G94" s="267"/>
      <c r="H94" s="500"/>
      <c r="I94" s="267"/>
      <c r="J94" s="501"/>
      <c r="K94" s="267"/>
      <c r="L94" s="1304">
        <v>3</v>
      </c>
      <c r="M94" s="1304"/>
      <c r="N94" s="1304"/>
      <c r="O94" s="1304"/>
      <c r="P94" s="1322" t="str">
        <f>+IF(ISBLANK(Formato!H71),"----",IF(Formato!H71&gt;0,FIXED(Formato!H71,Formato!$AF$22,TRUE)))</f>
        <v>20,00002</v>
      </c>
      <c r="Q94" s="1323"/>
      <c r="R94" s="1323"/>
      <c r="S94" s="667"/>
      <c r="T94" s="241"/>
      <c r="U94" s="241"/>
      <c r="V94" s="264"/>
      <c r="W94" s="264"/>
      <c r="X94" s="241"/>
      <c r="Y94" s="241"/>
      <c r="AA94" s="306"/>
      <c r="AB94" s="306"/>
      <c r="AC94" s="306"/>
      <c r="AD94" s="306"/>
      <c r="AP94" s="565"/>
      <c r="AQ94" s="565"/>
    </row>
    <row r="95" spans="1:43" s="18" customFormat="1" ht="20.25" customHeight="1" thickBot="1">
      <c r="A95" s="266"/>
      <c r="B95" s="499"/>
      <c r="C95" s="267"/>
      <c r="D95" s="267"/>
      <c r="E95" s="267"/>
      <c r="F95" s="267"/>
      <c r="G95" s="267"/>
      <c r="H95" s="500"/>
      <c r="I95" s="267"/>
      <c r="J95" s="501"/>
      <c r="K95" s="267"/>
      <c r="L95" s="1304">
        <v>4</v>
      </c>
      <c r="M95" s="1304"/>
      <c r="N95" s="1304"/>
      <c r="O95" s="1304"/>
      <c r="P95" s="1322" t="str">
        <f>+IF(ISBLANK(Formato!H72),"----",IF(Formato!H72&gt;0,FIXED(Formato!H72,Formato!$AF$22,TRUE)))</f>
        <v>20,00002</v>
      </c>
      <c r="Q95" s="1323"/>
      <c r="R95" s="1323"/>
      <c r="S95" s="667"/>
      <c r="T95" s="241"/>
      <c r="U95" s="241"/>
      <c r="V95" s="264"/>
      <c r="W95" s="264"/>
      <c r="X95" s="241"/>
      <c r="Y95" s="241"/>
      <c r="AA95" s="306"/>
      <c r="AB95" s="306"/>
      <c r="AC95" s="306"/>
      <c r="AD95" s="306"/>
      <c r="AP95" s="565"/>
      <c r="AQ95" s="565"/>
    </row>
    <row r="96" spans="1:43" s="18" customFormat="1" ht="20.25" customHeight="1" thickBot="1">
      <c r="A96" s="266"/>
      <c r="B96" s="499"/>
      <c r="C96" s="267"/>
      <c r="D96" s="268" t="str">
        <f>+IF(Formato!V72="","",Formato!V72)</f>
        <v/>
      </c>
      <c r="E96" s="1400" t="str">
        <f>IF(Formato!AE72="x","No Aplica",IF(OR(AND(D96="",H96=""),AND(D96="X",H96="X")),"Error",""))</f>
        <v/>
      </c>
      <c r="F96" s="1401"/>
      <c r="G96" s="1402"/>
      <c r="H96" s="268" t="str">
        <f>+IF(Formato!Z72="","",Formato!Z72)</f>
        <v>X</v>
      </c>
      <c r="I96" s="267"/>
      <c r="J96" s="501"/>
      <c r="K96" s="267"/>
      <c r="L96" s="1304">
        <v>5</v>
      </c>
      <c r="M96" s="1304"/>
      <c r="N96" s="1304"/>
      <c r="O96" s="1304"/>
      <c r="P96" s="1322" t="str">
        <f>+IF(ISBLANK(Formato!H73),"----",IF(Formato!H73&gt;0,FIXED(Formato!H73,Formato!$AF$22,TRUE)))</f>
        <v>20,00001</v>
      </c>
      <c r="Q96" s="1323"/>
      <c r="R96" s="1323"/>
      <c r="S96" s="667"/>
      <c r="T96" s="241"/>
      <c r="U96" s="241"/>
      <c r="V96" s="264"/>
      <c r="W96" s="264"/>
      <c r="X96" s="241"/>
      <c r="Y96" s="241"/>
      <c r="AA96" s="306"/>
      <c r="AB96" s="306"/>
      <c r="AC96" s="306"/>
      <c r="AD96" s="306"/>
      <c r="AP96" s="565"/>
      <c r="AQ96" s="565"/>
    </row>
    <row r="97" spans="1:43" s="18" customFormat="1" ht="20.25" customHeight="1">
      <c r="A97" s="266"/>
      <c r="B97" s="502"/>
      <c r="C97" s="503"/>
      <c r="D97" s="503"/>
      <c r="E97" s="503"/>
      <c r="F97" s="504"/>
      <c r="G97" s="503"/>
      <c r="H97" s="505"/>
      <c r="I97" s="503"/>
      <c r="J97" s="506"/>
      <c r="K97" s="267"/>
      <c r="L97" s="1404">
        <v>1</v>
      </c>
      <c r="M97" s="1404"/>
      <c r="N97" s="1404"/>
      <c r="O97" s="1404"/>
      <c r="P97" s="1322" t="str">
        <f>+IF(ISBLANK(Formato!H74),"----",IF(Formato!H74&gt;0,FIXED(Formato!H74,Formato!$AF$22,TRUE)))</f>
        <v>20,00000</v>
      </c>
      <c r="Q97" s="1323"/>
      <c r="R97" s="1323"/>
      <c r="S97" s="667"/>
      <c r="T97" s="241"/>
      <c r="U97" s="241"/>
      <c r="V97" s="264"/>
      <c r="W97" s="264"/>
      <c r="X97" s="241"/>
      <c r="Y97" s="241"/>
      <c r="AA97" s="306"/>
      <c r="AB97" s="306"/>
      <c r="AC97" s="306"/>
      <c r="AD97" s="306"/>
      <c r="AP97" s="565"/>
      <c r="AQ97" s="565"/>
    </row>
    <row r="98" spans="1:43" ht="24" customHeight="1">
      <c r="A98" s="264"/>
      <c r="B98" s="264"/>
      <c r="C98" s="241"/>
      <c r="D98" s="241"/>
      <c r="E98" s="241"/>
      <c r="F98" s="269"/>
      <c r="G98" s="241"/>
      <c r="H98" s="242"/>
      <c r="I98" s="241"/>
      <c r="J98" s="241"/>
      <c r="K98" s="241"/>
      <c r="L98" s="1403" t="str">
        <f>CONCATENATE("Dif. Máxima "," ","(",Formato!$I$20, ")")</f>
        <v>Dif. Máxima  (g)</v>
      </c>
      <c r="M98" s="1403"/>
      <c r="N98" s="1403"/>
      <c r="O98" s="1403"/>
      <c r="P98" s="1322" t="str">
        <f>IF(ISBLANK(Formato!H75),"----",IF(P92="----","---",IF(Formato!H75&gt;=0,FIXED(Formato!H75,Formato!$AF$22,TRUE))))</f>
        <v>0,00002</v>
      </c>
      <c r="Q98" s="1323"/>
      <c r="R98" s="1323"/>
      <c r="S98" s="667"/>
      <c r="T98" s="241"/>
      <c r="U98" s="241"/>
      <c r="V98" s="264"/>
      <c r="W98" s="264"/>
      <c r="X98" s="241"/>
      <c r="Y98" s="241"/>
    </row>
    <row r="99" spans="1:43" ht="5.25" customHeight="1">
      <c r="A99" s="264"/>
      <c r="B99" s="264"/>
      <c r="C99" s="241"/>
      <c r="D99" s="241"/>
      <c r="E99" s="241"/>
      <c r="F99" s="269"/>
      <c r="G99" s="241"/>
      <c r="H99" s="242"/>
      <c r="I99" s="241"/>
      <c r="J99" s="241"/>
      <c r="K99" s="241"/>
      <c r="L99" s="270"/>
      <c r="M99" s="270"/>
      <c r="N99" s="270"/>
      <c r="O99" s="270"/>
      <c r="P99" s="271"/>
      <c r="Q99" s="271"/>
      <c r="R99" s="271"/>
      <c r="S99" s="271"/>
      <c r="T99" s="241"/>
      <c r="U99" s="241"/>
      <c r="V99" s="264"/>
      <c r="W99" s="264"/>
      <c r="X99" s="241"/>
      <c r="Y99" s="241"/>
    </row>
    <row r="100" spans="1:43" ht="14.1" customHeight="1">
      <c r="A100" s="1316" t="s">
        <v>1220</v>
      </c>
      <c r="B100" s="1316"/>
      <c r="C100" s="1316"/>
      <c r="D100" s="1316"/>
      <c r="E100" s="1316"/>
      <c r="F100" s="1316"/>
      <c r="G100" s="1316"/>
      <c r="H100" s="242"/>
      <c r="I100" s="241"/>
      <c r="J100" s="241"/>
      <c r="K100" s="241"/>
      <c r="L100" s="241"/>
      <c r="M100" s="241"/>
      <c r="N100" s="241"/>
      <c r="O100" s="241"/>
      <c r="P100" s="241"/>
      <c r="Q100" s="241"/>
      <c r="R100" s="241"/>
      <c r="S100" s="241"/>
      <c r="T100" s="241"/>
      <c r="U100" s="241"/>
      <c r="V100" s="241"/>
      <c r="W100" s="241"/>
      <c r="X100" s="241"/>
      <c r="Y100" s="241"/>
    </row>
    <row r="101" spans="1:43" ht="9" customHeight="1">
      <c r="A101" s="247"/>
      <c r="B101" s="247"/>
      <c r="C101" s="247"/>
      <c r="D101" s="247"/>
      <c r="E101" s="247"/>
      <c r="F101" s="247"/>
      <c r="G101" s="247"/>
      <c r="H101" s="242"/>
      <c r="I101" s="241"/>
      <c r="J101" s="241"/>
      <c r="K101" s="241"/>
      <c r="L101" s="241"/>
      <c r="M101" s="241"/>
      <c r="N101" s="241"/>
      <c r="O101" s="241"/>
      <c r="P101" s="241"/>
      <c r="Q101" s="241"/>
      <c r="R101" s="241"/>
      <c r="S101" s="241"/>
      <c r="T101" s="241"/>
      <c r="U101" s="241"/>
      <c r="V101" s="241"/>
      <c r="W101" s="241"/>
      <c r="X101" s="241"/>
      <c r="Y101" s="241"/>
    </row>
    <row r="102" spans="1:43" ht="14.1" customHeight="1">
      <c r="A102" s="1398" t="s">
        <v>104</v>
      </c>
      <c r="B102" s="1398"/>
      <c r="C102" s="1398"/>
      <c r="D102" s="1398"/>
      <c r="E102" s="1398"/>
      <c r="F102" s="1398"/>
      <c r="G102" s="1398"/>
      <c r="H102" s="1398"/>
      <c r="I102" s="1398"/>
      <c r="J102" s="1398"/>
      <c r="K102" s="1398"/>
      <c r="L102" s="1398"/>
      <c r="M102" s="1398"/>
      <c r="N102" s="1398"/>
      <c r="O102" s="1398"/>
      <c r="P102" s="1398"/>
      <c r="Q102" s="1398"/>
      <c r="R102" s="1398"/>
      <c r="S102" s="1398"/>
      <c r="T102" s="1398"/>
      <c r="U102" s="1398"/>
      <c r="V102" s="1398"/>
      <c r="W102" s="1398"/>
      <c r="X102" s="1398"/>
      <c r="Y102" s="1398"/>
    </row>
    <row r="103" spans="1:43" ht="13.5" customHeight="1">
      <c r="A103" s="242" t="s">
        <v>1219</v>
      </c>
      <c r="B103" s="241"/>
      <c r="C103" s="241"/>
      <c r="D103" s="241"/>
      <c r="E103" s="242" t="str">
        <f>CONCATENATE("de "," ",IF(ISBLANK(Formato!$B$87),3,5)," ","mediciones. ")</f>
        <v xml:space="preserve">de  5 mediciones. </v>
      </c>
      <c r="F103" s="241"/>
      <c r="H103" s="242"/>
      <c r="I103" s="241"/>
      <c r="J103" s="241"/>
      <c r="K103" s="241"/>
      <c r="L103" s="241"/>
      <c r="M103" s="241"/>
      <c r="N103" s="241"/>
      <c r="O103" s="241"/>
      <c r="P103" s="241"/>
      <c r="Q103" s="241"/>
      <c r="R103" s="241"/>
      <c r="S103" s="241"/>
      <c r="T103" s="241"/>
      <c r="U103" s="241"/>
      <c r="V103" s="241"/>
      <c r="W103" s="241"/>
      <c r="X103" s="241"/>
      <c r="Y103" s="241"/>
    </row>
    <row r="104" spans="1:43" ht="13.5" customHeight="1">
      <c r="A104" s="242"/>
      <c r="B104" s="241"/>
      <c r="C104" s="241"/>
      <c r="D104" s="241"/>
      <c r="E104" s="241"/>
      <c r="F104" s="241"/>
      <c r="H104" s="242"/>
      <c r="I104" s="241"/>
      <c r="J104" s="241"/>
      <c r="K104" s="241"/>
      <c r="L104" s="241"/>
      <c r="M104" s="241"/>
      <c r="N104" s="241"/>
      <c r="O104" s="241"/>
      <c r="P104" s="241"/>
      <c r="Q104" s="241"/>
      <c r="R104" s="241"/>
      <c r="S104" s="241"/>
      <c r="T104" s="241"/>
      <c r="U104" s="241"/>
      <c r="V104" s="241"/>
      <c r="W104" s="241"/>
      <c r="X104" s="241"/>
      <c r="Y104" s="241"/>
    </row>
    <row r="105" spans="1:43" ht="28.5" customHeight="1">
      <c r="A105" s="241"/>
      <c r="B105" s="241"/>
      <c r="C105" s="241"/>
      <c r="D105" s="241"/>
      <c r="E105" s="241"/>
      <c r="F105" s="241"/>
      <c r="G105" s="267"/>
      <c r="H105" s="1318" t="s">
        <v>18</v>
      </c>
      <c r="I105" s="1318"/>
      <c r="J105" s="1318"/>
      <c r="K105" s="1318"/>
      <c r="L105" s="1403" t="str">
        <f>CONCATENATE("Cargas aplicadas"," (",Formato!$I$20, ")")</f>
        <v>Cargas aplicadas (g)</v>
      </c>
      <c r="M105" s="1403"/>
      <c r="N105" s="1403"/>
      <c r="O105" s="1403"/>
      <c r="P105" s="1403"/>
      <c r="Q105" s="1403"/>
      <c r="R105" s="1403"/>
      <c r="S105" s="1454" t="s">
        <v>1221</v>
      </c>
      <c r="T105" s="1455"/>
      <c r="U105" s="272"/>
      <c r="V105" s="241"/>
      <c r="W105" s="241"/>
      <c r="X105" s="241"/>
      <c r="Y105" s="241"/>
    </row>
    <row r="106" spans="1:43" ht="19.5" customHeight="1">
      <c r="A106" s="241"/>
      <c r="B106" s="241"/>
      <c r="C106" s="241"/>
      <c r="D106" s="241"/>
      <c r="E106" s="241"/>
      <c r="F106" s="241"/>
      <c r="G106" s="267"/>
      <c r="H106" s="1318"/>
      <c r="I106" s="1318"/>
      <c r="J106" s="1318"/>
      <c r="K106" s="1318"/>
      <c r="L106" s="1403">
        <f>IF(ISBLANK(Formato!$B$82),"",Formato!$B$82)</f>
        <v>20</v>
      </c>
      <c r="M106" s="1403"/>
      <c r="N106" s="1403"/>
      <c r="O106" s="1403"/>
      <c r="P106" s="1403">
        <f>IF(ISBLANK(Formato!H82),"",Formato!H82)</f>
        <v>30</v>
      </c>
      <c r="Q106" s="1403"/>
      <c r="R106" s="1403"/>
      <c r="S106" s="1462" t="str">
        <f>IF(OR(Formato!AL76="N.A.",Formato!AL76=""),"N.A.",Formato!H97)</f>
        <v>N.A.</v>
      </c>
      <c r="T106" s="1463"/>
      <c r="U106" s="272"/>
      <c r="V106" s="241"/>
      <c r="W106" s="241"/>
      <c r="X106" s="241"/>
      <c r="Y106" s="241"/>
    </row>
    <row r="107" spans="1:43" ht="14.1" customHeight="1">
      <c r="A107" s="241"/>
      <c r="B107" s="241"/>
      <c r="C107" s="241"/>
      <c r="D107" s="241"/>
      <c r="E107" s="241"/>
      <c r="F107" s="241"/>
      <c r="G107" s="267"/>
      <c r="H107" s="1318"/>
      <c r="I107" s="1318"/>
      <c r="J107" s="1318"/>
      <c r="K107" s="1318"/>
      <c r="L107" s="1403" t="str">
        <f>IF(ISBLANK(Formato!H67),"",Formato!H67)</f>
        <v xml:space="preserve">Indicación del instrumento  (g)  </v>
      </c>
      <c r="M107" s="1403"/>
      <c r="N107" s="1403"/>
      <c r="O107" s="1403"/>
      <c r="P107" s="1403"/>
      <c r="Q107" s="1403"/>
      <c r="R107" s="1403"/>
      <c r="S107" s="1464"/>
      <c r="T107" s="1465"/>
      <c r="U107" s="272"/>
      <c r="V107" s="241"/>
      <c r="W107" s="241"/>
      <c r="X107" s="241"/>
      <c r="Y107" s="241"/>
    </row>
    <row r="108" spans="1:43" s="18" customFormat="1" ht="18" customHeight="1">
      <c r="A108" s="267"/>
      <c r="B108" s="267"/>
      <c r="C108" s="267"/>
      <c r="D108" s="267"/>
      <c r="E108" s="267"/>
      <c r="F108" s="267"/>
      <c r="G108" s="267"/>
      <c r="H108" s="1318">
        <v>1</v>
      </c>
      <c r="I108" s="1318"/>
      <c r="J108" s="1318"/>
      <c r="K108" s="1318"/>
      <c r="L108" s="1497" t="str">
        <f>IF(ISBLANK(Formato!B84),"N/A",IF(Formato!B84&gt;0,FIXED(Formato!B84,Formato!$AF$22,TRUE)))</f>
        <v>20,00000</v>
      </c>
      <c r="M108" s="1497"/>
      <c r="N108" s="1497"/>
      <c r="O108" s="1497"/>
      <c r="P108" s="1399" t="str">
        <f>IF(ISBLANK(Formato!H84),"N/A",IF(Formato!H84&gt;0,FIXED(Formato!H84,Formato!$AF$22,TRUE)))</f>
        <v>30,00001</v>
      </c>
      <c r="Q108" s="1399"/>
      <c r="R108" s="1399"/>
      <c r="S108" s="1464"/>
      <c r="T108" s="1465"/>
      <c r="U108" s="273"/>
      <c r="V108" s="267"/>
      <c r="W108" s="267"/>
      <c r="X108" s="267"/>
      <c r="Y108" s="267"/>
      <c r="AA108" s="306"/>
      <c r="AB108" s="306"/>
      <c r="AC108" s="306"/>
      <c r="AD108" s="306"/>
      <c r="AP108" s="565"/>
      <c r="AQ108" s="565"/>
    </row>
    <row r="109" spans="1:43" s="18" customFormat="1" ht="18" customHeight="1">
      <c r="A109" s="267"/>
      <c r="B109" s="267"/>
      <c r="C109" s="267"/>
      <c r="D109" s="267"/>
      <c r="E109" s="267"/>
      <c r="F109" s="267"/>
      <c r="G109" s="267"/>
      <c r="H109" s="1318">
        <v>2</v>
      </c>
      <c r="I109" s="1318"/>
      <c r="J109" s="1318"/>
      <c r="K109" s="1318"/>
      <c r="L109" s="1497" t="str">
        <f>IF(ISBLANK(Formato!B85),"N/A",IF(Formato!B85&gt;0,FIXED(Formato!B85,Formato!$AF$22,TRUE)))</f>
        <v>20,00001</v>
      </c>
      <c r="M109" s="1497"/>
      <c r="N109" s="1497"/>
      <c r="O109" s="1497"/>
      <c r="P109" s="1399" t="str">
        <f>IF(ISBLANK(Formato!H85),"N/A",IF(Formato!H85&gt;0,FIXED(Formato!H85,Formato!$AF$22,TRUE)))</f>
        <v>30,00000</v>
      </c>
      <c r="Q109" s="1399"/>
      <c r="R109" s="1399"/>
      <c r="S109" s="1464"/>
      <c r="T109" s="1465"/>
      <c r="U109" s="273"/>
      <c r="V109" s="267"/>
      <c r="W109" s="267"/>
      <c r="X109" s="267"/>
      <c r="Y109" s="267"/>
      <c r="AA109" s="306"/>
      <c r="AB109" s="306"/>
      <c r="AC109" s="306"/>
      <c r="AD109" s="306"/>
      <c r="AP109" s="565"/>
      <c r="AQ109" s="565"/>
    </row>
    <row r="110" spans="1:43" s="18" customFormat="1" ht="18" customHeight="1">
      <c r="A110" s="267"/>
      <c r="B110" s="267"/>
      <c r="C110" s="267"/>
      <c r="D110" s="267"/>
      <c r="E110" s="267"/>
      <c r="F110" s="267"/>
      <c r="G110" s="267"/>
      <c r="H110" s="1318">
        <v>3</v>
      </c>
      <c r="I110" s="1318"/>
      <c r="J110" s="1318"/>
      <c r="K110" s="1318"/>
      <c r="L110" s="1497" t="str">
        <f>IF(ISBLANK(Formato!B86),"N/A",IF(Formato!B86&gt;0,FIXED(Formato!B86,Formato!$AF$22,TRUE)))</f>
        <v>20,00000</v>
      </c>
      <c r="M110" s="1497"/>
      <c r="N110" s="1497"/>
      <c r="O110" s="1497"/>
      <c r="P110" s="1399" t="str">
        <f>IF(ISBLANK(Formato!H86),"N/A",IF(Formato!H86&gt;0,FIXED(Formato!H86,Formato!$AF$22,TRUE)))</f>
        <v>29,99999</v>
      </c>
      <c r="Q110" s="1399"/>
      <c r="R110" s="1399"/>
      <c r="S110" s="1464"/>
      <c r="T110" s="1465"/>
      <c r="U110" s="273"/>
      <c r="V110" s="267"/>
      <c r="W110" s="267"/>
      <c r="X110" s="267"/>
      <c r="Y110" s="267"/>
      <c r="AA110" s="306"/>
      <c r="AB110" s="306"/>
      <c r="AC110" s="306"/>
      <c r="AD110" s="306"/>
      <c r="AP110" s="565"/>
      <c r="AQ110" s="565"/>
    </row>
    <row r="111" spans="1:43" s="18" customFormat="1" ht="18" customHeight="1">
      <c r="A111" s="267"/>
      <c r="B111" s="267"/>
      <c r="C111" s="267"/>
      <c r="D111" s="267"/>
      <c r="E111" s="267"/>
      <c r="F111" s="267"/>
      <c r="G111" s="267"/>
      <c r="H111" s="1318">
        <v>4</v>
      </c>
      <c r="I111" s="1318"/>
      <c r="J111" s="1318"/>
      <c r="K111" s="1318"/>
      <c r="L111" s="1497" t="str">
        <f>IF(ISBLANK(Formato!B87),"N/A",IF(Formato!B87&gt;0,FIXED(Formato!B87,Formato!$AF$22,TRUE)))</f>
        <v>20,00001</v>
      </c>
      <c r="M111" s="1497"/>
      <c r="N111" s="1497"/>
      <c r="O111" s="1497"/>
      <c r="P111" s="1399" t="str">
        <f>IF(ISBLANK(Formato!H87),"N/A",IF(Formato!H87&gt;0,FIXED(Formato!H87,Formato!$AF$22,TRUE)))</f>
        <v>30,00001</v>
      </c>
      <c r="Q111" s="1399"/>
      <c r="R111" s="1399"/>
      <c r="S111" s="1464"/>
      <c r="T111" s="1465"/>
      <c r="U111" s="274"/>
      <c r="V111" s="267"/>
      <c r="W111" s="267"/>
      <c r="X111" s="267"/>
      <c r="Y111" s="267"/>
      <c r="AA111" s="306"/>
      <c r="AB111" s="306"/>
      <c r="AC111" s="306"/>
      <c r="AD111" s="306"/>
      <c r="AP111" s="565"/>
      <c r="AQ111" s="565"/>
    </row>
    <row r="112" spans="1:43" s="18" customFormat="1" ht="18" customHeight="1">
      <c r="A112" s="267"/>
      <c r="B112" s="267"/>
      <c r="C112" s="267"/>
      <c r="D112" s="267"/>
      <c r="E112" s="267"/>
      <c r="F112" s="267"/>
      <c r="G112" s="267"/>
      <c r="H112" s="1318">
        <v>5</v>
      </c>
      <c r="I112" s="1318"/>
      <c r="J112" s="1318"/>
      <c r="K112" s="1318"/>
      <c r="L112" s="1497" t="str">
        <f>IF(ISBLANK(Formato!B88),"N/A",IF(Formato!B88&gt;0,FIXED(Formato!B88,Formato!$AF$22,TRUE)))</f>
        <v>20,00000</v>
      </c>
      <c r="M112" s="1497"/>
      <c r="N112" s="1497"/>
      <c r="O112" s="1497"/>
      <c r="P112" s="1399" t="str">
        <f>IF(ISBLANK(Formato!H88),"N/A",IF(Formato!H88&gt;0,FIXED(Formato!H88,Formato!$AF$22,TRUE)))</f>
        <v>30,00000</v>
      </c>
      <c r="Q112" s="1399"/>
      <c r="R112" s="1399"/>
      <c r="S112" s="1464"/>
      <c r="T112" s="1465"/>
      <c r="U112" s="273"/>
      <c r="V112" s="267"/>
      <c r="W112" s="267"/>
      <c r="X112" s="267"/>
      <c r="Y112" s="267"/>
      <c r="AA112" s="306"/>
      <c r="AB112" s="306"/>
      <c r="AC112" s="306"/>
      <c r="AD112" s="306"/>
      <c r="AP112" s="565"/>
      <c r="AQ112" s="565"/>
    </row>
    <row r="113" spans="1:46" s="18" customFormat="1" ht="18" hidden="1" customHeight="1">
      <c r="A113" s="267"/>
      <c r="B113" s="267"/>
      <c r="C113" s="267"/>
      <c r="D113" s="267"/>
      <c r="E113" s="267"/>
      <c r="F113" s="267"/>
      <c r="G113" s="267"/>
      <c r="H113" s="1318">
        <v>6</v>
      </c>
      <c r="I113" s="1318"/>
      <c r="J113" s="1318"/>
      <c r="K113" s="1318"/>
      <c r="L113" s="1399" t="str">
        <f>IF(ISBLANK(Formato!B89),"N/A",IF(Formato!B89&gt;0,FIXED(Formato!B89,Formato!$AF$22,TRUE)))</f>
        <v>N/A</v>
      </c>
      <c r="M113" s="1399"/>
      <c r="N113" s="1399"/>
      <c r="O113" s="1399"/>
      <c r="P113" s="1399" t="str">
        <f>IF(ISBLANK(Formato!H89),"N/A",IF(Formato!H89&gt;0,FIXED(Formato!H89,Formato!$AF$22,TRUE)))</f>
        <v>N/A</v>
      </c>
      <c r="Q113" s="1399"/>
      <c r="R113" s="1399"/>
      <c r="S113" s="1464"/>
      <c r="T113" s="1465"/>
      <c r="U113" s="273"/>
      <c r="V113" s="267"/>
      <c r="W113" s="267"/>
      <c r="X113" s="267"/>
      <c r="Y113" s="267"/>
      <c r="AA113" s="306"/>
      <c r="AB113" s="306"/>
      <c r="AC113" s="306"/>
      <c r="AD113" s="306"/>
      <c r="AP113" s="565"/>
      <c r="AQ113" s="565"/>
    </row>
    <row r="114" spans="1:46" s="18" customFormat="1" ht="18" hidden="1" customHeight="1">
      <c r="A114" s="267"/>
      <c r="B114" s="267"/>
      <c r="C114" s="267"/>
      <c r="D114" s="267"/>
      <c r="E114" s="267"/>
      <c r="F114" s="267"/>
      <c r="G114" s="267"/>
      <c r="H114" s="1318">
        <v>7</v>
      </c>
      <c r="I114" s="1318"/>
      <c r="J114" s="1318"/>
      <c r="K114" s="1318"/>
      <c r="L114" s="1399" t="str">
        <f>IF(ISBLANK(Formato!B90),"N/A",IF(Formato!B90&gt;0,FIXED(Formato!B90,Formato!$AF$22,TRUE)))</f>
        <v>N/A</v>
      </c>
      <c r="M114" s="1399"/>
      <c r="N114" s="1399"/>
      <c r="O114" s="1399"/>
      <c r="P114" s="1399" t="str">
        <f>IF(ISBLANK(Formato!H90),"N/A",IF(Formato!H90&gt;0,FIXED(Formato!H90,Formato!$AF$22,TRUE)))</f>
        <v>N/A</v>
      </c>
      <c r="Q114" s="1399"/>
      <c r="R114" s="1399"/>
      <c r="S114" s="1464"/>
      <c r="T114" s="1465"/>
      <c r="U114" s="273"/>
      <c r="V114" s="267"/>
      <c r="W114" s="267"/>
      <c r="X114" s="267"/>
      <c r="Y114" s="267"/>
      <c r="AA114" s="306"/>
      <c r="AB114" s="306"/>
      <c r="AC114" s="306"/>
      <c r="AD114" s="306"/>
      <c r="AP114" s="565"/>
      <c r="AQ114" s="565"/>
    </row>
    <row r="115" spans="1:46" s="18" customFormat="1" ht="18" hidden="1" customHeight="1">
      <c r="A115" s="267"/>
      <c r="B115" s="267"/>
      <c r="C115" s="267"/>
      <c r="D115" s="267"/>
      <c r="E115" s="267"/>
      <c r="F115" s="267"/>
      <c r="G115" s="267"/>
      <c r="H115" s="1318">
        <v>8</v>
      </c>
      <c r="I115" s="1318"/>
      <c r="J115" s="1318"/>
      <c r="K115" s="1318"/>
      <c r="L115" s="1399" t="str">
        <f>IF(ISBLANK(Formato!B91),"N/A",IF(Formato!B91&gt;0,FIXED(Formato!B91,Formato!$AF$22,TRUE)))</f>
        <v>N/A</v>
      </c>
      <c r="M115" s="1399"/>
      <c r="N115" s="1399"/>
      <c r="O115" s="1399"/>
      <c r="P115" s="1399" t="str">
        <f>IF(ISBLANK(Formato!H91),"N/A",IF(Formato!H91&gt;0,FIXED(Formato!H91,Formato!$AF$22,TRUE)))</f>
        <v>N/A</v>
      </c>
      <c r="Q115" s="1399"/>
      <c r="R115" s="1399"/>
      <c r="S115" s="1464"/>
      <c r="T115" s="1465"/>
      <c r="U115" s="273"/>
      <c r="V115" s="267"/>
      <c r="W115" s="267"/>
      <c r="X115" s="267"/>
      <c r="Y115" s="267"/>
      <c r="AA115" s="306"/>
      <c r="AB115" s="306"/>
      <c r="AC115" s="306"/>
      <c r="AD115" s="306"/>
      <c r="AP115" s="565"/>
      <c r="AQ115" s="565"/>
    </row>
    <row r="116" spans="1:46" s="18" customFormat="1" ht="18" hidden="1" customHeight="1">
      <c r="A116" s="267"/>
      <c r="B116" s="267"/>
      <c r="C116" s="267"/>
      <c r="D116" s="267"/>
      <c r="E116" s="267"/>
      <c r="F116" s="267"/>
      <c r="G116" s="267"/>
      <c r="H116" s="1318">
        <v>9</v>
      </c>
      <c r="I116" s="1318"/>
      <c r="J116" s="1318"/>
      <c r="K116" s="1318"/>
      <c r="L116" s="1399" t="str">
        <f>IF(ISBLANK(Formato!B92),"N/A",IF(Formato!B92&gt;0,FIXED(Formato!B92,Formato!$AF$22,TRUE)))</f>
        <v>N/A</v>
      </c>
      <c r="M116" s="1399"/>
      <c r="N116" s="1399"/>
      <c r="O116" s="1399"/>
      <c r="P116" s="1399" t="str">
        <f>IF(ISBLANK(Formato!H92),"N/A",IF(Formato!H92&gt;0,FIXED(Formato!H92,Formato!$AF$22,TRUE)))</f>
        <v>N/A</v>
      </c>
      <c r="Q116" s="1399"/>
      <c r="R116" s="1399"/>
      <c r="S116" s="1464"/>
      <c r="T116" s="1465"/>
      <c r="U116" s="273"/>
      <c r="V116" s="267"/>
      <c r="W116" s="267"/>
      <c r="X116" s="267"/>
      <c r="Y116" s="267"/>
      <c r="AA116" s="306"/>
      <c r="AB116" s="306"/>
      <c r="AC116" s="306"/>
      <c r="AD116" s="306"/>
      <c r="AP116" s="565"/>
      <c r="AQ116" s="565"/>
    </row>
    <row r="117" spans="1:46" s="18" customFormat="1" ht="18" hidden="1" customHeight="1">
      <c r="A117" s="267"/>
      <c r="B117" s="267"/>
      <c r="C117" s="267"/>
      <c r="D117" s="267"/>
      <c r="E117" s="267"/>
      <c r="F117" s="267"/>
      <c r="G117" s="267"/>
      <c r="H117" s="1318">
        <v>10</v>
      </c>
      <c r="I117" s="1318"/>
      <c r="J117" s="1318"/>
      <c r="K117" s="1318"/>
      <c r="L117" s="1399" t="str">
        <f>IF(ISBLANK(Formato!B93),"N/A",IF(Formato!B93&gt;0,FIXED(Formato!B93,Formato!$AF$22,TRUE)))</f>
        <v>N/A</v>
      </c>
      <c r="M117" s="1399"/>
      <c r="N117" s="1399"/>
      <c r="O117" s="1399"/>
      <c r="P117" s="1399" t="str">
        <f>IF(ISBLANK(Formato!H93),"N/A",IF(Formato!H93&gt;0,FIXED(Formato!H84,Formato!$AF$22,TRUE)))</f>
        <v>N/A</v>
      </c>
      <c r="Q117" s="1399"/>
      <c r="R117" s="1399"/>
      <c r="S117" s="1464"/>
      <c r="T117" s="1465"/>
      <c r="U117" s="273"/>
      <c r="V117" s="267"/>
      <c r="W117" s="267"/>
      <c r="X117" s="267"/>
      <c r="Y117" s="267"/>
      <c r="AA117" s="306"/>
      <c r="AB117" s="306"/>
      <c r="AC117" s="306"/>
      <c r="AD117" s="306"/>
      <c r="AP117" s="565"/>
      <c r="AQ117" s="565"/>
    </row>
    <row r="118" spans="1:46" ht="30.75" customHeight="1">
      <c r="A118" s="241"/>
      <c r="B118" s="241"/>
      <c r="C118" s="241"/>
      <c r="D118" s="241"/>
      <c r="E118" s="241"/>
      <c r="F118" s="241"/>
      <c r="G118" s="241"/>
      <c r="H118" s="1461" t="str">
        <f>CONCATENATE("Desviación Est.","  ","(",Formato!$I$20,")  ")</f>
        <v xml:space="preserve">Desviación Est.  (g)  </v>
      </c>
      <c r="I118" s="1461"/>
      <c r="J118" s="1461"/>
      <c r="K118" s="1461"/>
      <c r="L118" s="1433" t="str">
        <f>IF(ISBLANK(Formato!B94),"-----",IF(Formato!B94&gt;=0,FIXED(Formato!B94,Formato!$AF$22+2,TRUE)))</f>
        <v>0,0000055</v>
      </c>
      <c r="M118" s="1433"/>
      <c r="N118" s="1433"/>
      <c r="O118" s="1433"/>
      <c r="P118" s="1433" t="str">
        <f>IF(ISBLANK(Formato!H94),"---",IF(Formato!H94&gt;=0,FIXED(Formato!H94,Formato!$AF$22+2,TRUE)))</f>
        <v>0,0000084</v>
      </c>
      <c r="Q118" s="1433"/>
      <c r="R118" s="1433"/>
      <c r="S118" s="1466"/>
      <c r="T118" s="1467"/>
      <c r="U118" s="275"/>
      <c r="V118" s="241"/>
      <c r="W118" s="241"/>
      <c r="X118" s="241"/>
      <c r="Y118" s="241"/>
    </row>
    <row r="119" spans="1:46" ht="14.25" customHeight="1">
      <c r="A119" s="241"/>
      <c r="B119" s="241"/>
      <c r="C119" s="241"/>
      <c r="D119" s="241"/>
      <c r="E119" s="241"/>
      <c r="F119" s="241"/>
      <c r="G119" s="241"/>
      <c r="H119" s="242"/>
      <c r="I119" s="241"/>
      <c r="J119" s="241"/>
      <c r="K119" s="241"/>
      <c r="L119" s="276"/>
      <c r="M119" s="241"/>
      <c r="N119" s="241"/>
      <c r="O119" s="241"/>
      <c r="P119" s="241"/>
      <c r="Q119" s="241"/>
      <c r="R119" s="241"/>
      <c r="S119" s="241"/>
      <c r="T119" s="241"/>
      <c r="U119" s="241"/>
      <c r="V119" s="241"/>
      <c r="W119" s="241"/>
      <c r="X119" s="241"/>
      <c r="Y119" s="241"/>
    </row>
    <row r="120" spans="1:46" ht="14.1" customHeight="1">
      <c r="A120" s="1316" t="s">
        <v>1495</v>
      </c>
      <c r="B120" s="1316"/>
      <c r="C120" s="1316"/>
      <c r="D120" s="1316"/>
      <c r="E120" s="1316"/>
      <c r="F120" s="1316"/>
      <c r="G120" s="1316"/>
      <c r="H120" s="1316"/>
      <c r="I120" s="1316"/>
      <c r="J120" s="1316"/>
      <c r="K120" s="1316"/>
      <c r="L120" s="1316"/>
      <c r="M120" s="1316"/>
      <c r="N120" s="1316"/>
      <c r="O120" s="1316"/>
      <c r="P120" s="1316"/>
      <c r="Q120" s="1316"/>
      <c r="R120" s="1316"/>
      <c r="S120" s="1316"/>
      <c r="T120" s="1316"/>
      <c r="U120" s="1316"/>
      <c r="V120" s="1316"/>
      <c r="W120" s="1316"/>
      <c r="X120" s="1316"/>
      <c r="Y120" s="1316"/>
      <c r="AB120" s="101" t="s">
        <v>1367</v>
      </c>
    </row>
    <row r="121" spans="1:46" ht="4.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row>
    <row r="122" spans="1:46" ht="15" customHeight="1">
      <c r="A122" s="1398" t="s">
        <v>105</v>
      </c>
      <c r="B122" s="1398"/>
      <c r="C122" s="1398"/>
      <c r="D122" s="1398"/>
      <c r="E122" s="1398"/>
      <c r="F122" s="1398"/>
      <c r="G122" s="1398"/>
      <c r="H122" s="1398"/>
      <c r="I122" s="1398"/>
      <c r="J122" s="1398"/>
      <c r="K122" s="1398"/>
      <c r="L122" s="1398"/>
      <c r="M122" s="1398"/>
      <c r="N122" s="1398"/>
      <c r="O122" s="1398"/>
      <c r="P122" s="1398"/>
      <c r="Q122" s="1398"/>
      <c r="R122" s="1398"/>
      <c r="S122" s="1398"/>
      <c r="T122" s="1398"/>
      <c r="U122" s="1398"/>
      <c r="V122" s="1398"/>
      <c r="W122" s="1398"/>
      <c r="X122" s="1398"/>
      <c r="Y122" s="1398"/>
      <c r="AB122" s="101" t="s">
        <v>1088</v>
      </c>
      <c r="AC122" s="101">
        <f>IF(AB128=0,MIN(AC129:AC138),MIN(AC128:AC138))</f>
        <v>2.3190741738139069E-6</v>
      </c>
      <c r="AD122" s="101"/>
    </row>
    <row r="123" spans="1:46" ht="14.1" customHeight="1">
      <c r="A123" s="1398"/>
      <c r="B123" s="1398"/>
      <c r="C123" s="1398"/>
      <c r="D123" s="1398"/>
      <c r="E123" s="1398"/>
      <c r="F123" s="1398"/>
      <c r="G123" s="1398"/>
      <c r="H123" s="1398"/>
      <c r="I123" s="1398"/>
      <c r="J123" s="1398"/>
      <c r="K123" s="1398"/>
      <c r="L123" s="1398"/>
      <c r="M123" s="1398"/>
      <c r="N123" s="1398"/>
      <c r="O123" s="1398"/>
      <c r="P123" s="1398"/>
      <c r="Q123" s="1398"/>
      <c r="R123" s="1398"/>
      <c r="S123" s="1398"/>
      <c r="T123" s="1398"/>
      <c r="U123" s="1398"/>
      <c r="V123" s="1398"/>
      <c r="W123" s="1398"/>
      <c r="X123" s="1398"/>
      <c r="Y123" s="1398"/>
      <c r="AA123" s="665"/>
      <c r="AB123" s="101" t="s">
        <v>1089</v>
      </c>
      <c r="AC123" s="101">
        <f>IF(AB128=0,MAX(AC129:AC138),MAX(AC128:AC138))</f>
        <v>2.4000000000000002E-3</v>
      </c>
      <c r="AD123" s="101"/>
      <c r="AE123" s="101"/>
    </row>
    <row r="124" spans="1:46" ht="12" customHeight="1">
      <c r="A124" s="1313"/>
      <c r="B124" s="1313"/>
      <c r="C124" s="1313"/>
      <c r="D124" s="1313"/>
      <c r="E124" s="1313"/>
      <c r="F124" s="1313"/>
      <c r="G124" s="1313"/>
      <c r="H124" s="1313"/>
      <c r="I124" s="1313"/>
      <c r="J124" s="1313"/>
      <c r="K124" s="1313"/>
      <c r="L124" s="1313"/>
      <c r="M124" s="1313"/>
      <c r="N124" s="1313"/>
      <c r="O124" s="1313"/>
      <c r="P124" s="1313"/>
      <c r="Q124" s="1313"/>
      <c r="R124" s="1313"/>
      <c r="S124" s="1313"/>
      <c r="T124" s="1313"/>
      <c r="U124" s="1313"/>
      <c r="V124" s="1313"/>
      <c r="W124" s="1313"/>
      <c r="X124" s="1313"/>
      <c r="Y124" s="241"/>
    </row>
    <row r="125" spans="1:46" ht="14.1" customHeight="1">
      <c r="A125" s="241"/>
      <c r="B125" s="241"/>
      <c r="C125" s="668"/>
      <c r="D125" s="669"/>
      <c r="E125" s="1416" t="str">
        <f>IF(OR(E19="Balanza analítica",E19="Balanza semianalítica",E19="Balanza"),CONCATENATE("Valor convencional"," ","(",Formato!I20,")"),CONCATENATE("Carga "," ","( ",Formato!I20," )",))</f>
        <v>Carga  ( g )</v>
      </c>
      <c r="F125" s="1417"/>
      <c r="G125" s="1418"/>
      <c r="H125" s="1434" t="str">
        <f>"Valor de la  " &amp;+Formato!X81</f>
        <v>Valor de la  Indicacion del Instrumento  ( g )</v>
      </c>
      <c r="I125" s="1434"/>
      <c r="J125" s="1434"/>
      <c r="K125" s="1434"/>
      <c r="L125" s="1318" t="str">
        <f>"Error ( "&amp;Formato!I20&amp;" )"</f>
        <v>Error ( g )</v>
      </c>
      <c r="M125" s="1318"/>
      <c r="N125" s="1318"/>
      <c r="O125" s="1318"/>
      <c r="P125" s="1416" t="str">
        <f>CONCATENATE(" Incertidumbre expandida"," ","( ",Formato!$I$20," )")</f>
        <v xml:space="preserve"> Incertidumbre expandida ( g )</v>
      </c>
      <c r="Q125" s="1417"/>
      <c r="R125" s="1318" t="s">
        <v>1408</v>
      </c>
      <c r="S125" s="1416" t="s">
        <v>1221</v>
      </c>
      <c r="T125" s="1418"/>
      <c r="U125" s="543"/>
      <c r="V125" s="277"/>
      <c r="W125" s="750" t="s">
        <v>1459</v>
      </c>
      <c r="X125" s="241"/>
      <c r="Y125" s="241"/>
    </row>
    <row r="126" spans="1:46" ht="33.75" customHeight="1" thickBot="1">
      <c r="A126" s="751"/>
      <c r="B126" s="751"/>
      <c r="C126" s="751"/>
      <c r="D126" s="669"/>
      <c r="E126" s="1419"/>
      <c r="F126" s="1420"/>
      <c r="G126" s="1421"/>
      <c r="H126" s="1435"/>
      <c r="I126" s="1435"/>
      <c r="J126" s="1435"/>
      <c r="K126" s="1435"/>
      <c r="L126" s="1432"/>
      <c r="M126" s="1432"/>
      <c r="N126" s="1432"/>
      <c r="O126" s="1432"/>
      <c r="P126" s="1429"/>
      <c r="Q126" s="1458"/>
      <c r="R126" s="1318"/>
      <c r="S126" s="1429"/>
      <c r="T126" s="1430"/>
      <c r="U126" s="543"/>
      <c r="V126" s="749"/>
      <c r="W126" s="750" t="s">
        <v>1453</v>
      </c>
      <c r="X126" s="750" t="s">
        <v>1452</v>
      </c>
      <c r="Y126" s="751"/>
      <c r="Z126" s="17" t="s">
        <v>1037</v>
      </c>
      <c r="AA126" s="19" t="s">
        <v>1107</v>
      </c>
      <c r="AB126" s="614" t="s">
        <v>326</v>
      </c>
      <c r="AC126" s="614" t="s">
        <v>1106</v>
      </c>
      <c r="AE126" s="624" t="s">
        <v>1481</v>
      </c>
      <c r="AF126" s="625"/>
      <c r="AG126" s="626"/>
      <c r="AH126" s="616"/>
      <c r="AI126" s="622" t="s">
        <v>1361</v>
      </c>
      <c r="AJ126" s="623" t="s">
        <v>1364</v>
      </c>
      <c r="AK126" s="628" t="s">
        <v>1362</v>
      </c>
      <c r="AL126" s="628" t="s">
        <v>1363</v>
      </c>
      <c r="AM126" s="628" t="s">
        <v>1482</v>
      </c>
      <c r="AN126" s="628" t="s">
        <v>1368</v>
      </c>
      <c r="AO126" s="628" t="s">
        <v>1369</v>
      </c>
      <c r="AP126" s="628" t="s">
        <v>1360</v>
      </c>
      <c r="AQ126" s="628" t="s">
        <v>1365</v>
      </c>
    </row>
    <row r="127" spans="1:46" ht="14.25" customHeight="1" thickBot="1">
      <c r="A127" s="753">
        <f>W127-U127</f>
        <v>-2.3459923272814481E-5</v>
      </c>
      <c r="B127" s="753">
        <f>X127+U127</f>
        <v>2.3459923272814481E-5</v>
      </c>
      <c r="C127" s="824">
        <f>Calculos!H22</f>
        <v>0</v>
      </c>
      <c r="D127" s="842" t="str">
        <f>Formato!AI82</f>
        <v>**</v>
      </c>
      <c r="E127" s="1423" t="str">
        <f>IF(Formato!T82="","",FIXED(Formato!T82,Z127,TRUE))</f>
        <v>0,000000</v>
      </c>
      <c r="F127" s="1424"/>
      <c r="G127" s="1425"/>
      <c r="H127" s="1426" t="str">
        <f>IF(ISBLANK(Formato!X82),"",IF(Formato!X82&gt;=0,FIXED(Formato!X82,Formato!$AF$22,TRUE)))</f>
        <v>0,00000</v>
      </c>
      <c r="I127" s="1426"/>
      <c r="J127" s="1426"/>
      <c r="K127" s="1426"/>
      <c r="L127" s="1427" t="str">
        <f>FIXED(V127,Z127)</f>
        <v>0,000000</v>
      </c>
      <c r="M127" s="1428"/>
      <c r="N127" s="1428"/>
      <c r="O127" s="1428"/>
      <c r="P127" s="1456" t="str">
        <f>FIXED(IF(ISERROR(U127),"",('Estimación de la Incertidumbre'!S40)),Z127)</f>
        <v>0,000023</v>
      </c>
      <c r="Q127" s="1457"/>
      <c r="R127" s="900">
        <f>'Estimación de la Incertidumbre'!S$39</f>
        <v>2.52</v>
      </c>
      <c r="S127" s="1459" t="str">
        <f>Formato!AM82</f>
        <v>N.A.</v>
      </c>
      <c r="T127" s="1460"/>
      <c r="U127" s="545">
        <f>'Estimación de la Incertidumbre'!S40</f>
        <v>2.3459923272814481E-5</v>
      </c>
      <c r="V127" s="545">
        <f>IF(E127="","",IF(E127&gt;0,H127-Calculos!H22,Z127))</f>
        <v>0</v>
      </c>
      <c r="W127" s="752">
        <f>Formato!$G$21</f>
        <v>0</v>
      </c>
      <c r="X127" s="897">
        <f>-W127</f>
        <v>0</v>
      </c>
      <c r="Y127" s="898"/>
      <c r="Z127" s="363">
        <v>6</v>
      </c>
      <c r="AA127" s="362">
        <v>0</v>
      </c>
      <c r="AB127" s="614"/>
      <c r="AC127" s="614"/>
      <c r="AE127" s="624"/>
      <c r="AF127" s="625"/>
      <c r="AG127" s="626"/>
      <c r="AH127" s="616"/>
      <c r="AI127" s="622"/>
      <c r="AJ127" s="623"/>
      <c r="AK127" s="628"/>
      <c r="AL127" s="628"/>
      <c r="AM127" s="628"/>
      <c r="AN127" s="628"/>
      <c r="AO127" s="628"/>
      <c r="AP127" s="628"/>
      <c r="AQ127" s="628"/>
    </row>
    <row r="128" spans="1:46" s="18" customFormat="1" ht="15.75" customHeight="1">
      <c r="A128" s="753">
        <f>W128-U128</f>
        <v>-2.4028590447104866E-5</v>
      </c>
      <c r="B128" s="753">
        <f>X128+U128</f>
        <v>2.4028590447104866E-5</v>
      </c>
      <c r="C128" s="824">
        <f>Calculos!H23</f>
        <v>9.9997010564837688E-3</v>
      </c>
      <c r="D128" s="842" t="str">
        <f>Formato!AI87</f>
        <v/>
      </c>
      <c r="E128" s="1327" t="str">
        <f>IF(Formato!T87="","",FIXED(Calculos!H23,Z128,TRUE))</f>
        <v>0,010000</v>
      </c>
      <c r="F128" s="1328"/>
      <c r="G128" s="1329"/>
      <c r="H128" s="1326" t="str">
        <f>IF(ISBLANK(Formato!X87),"",IF(Formato!X87&gt;=0,FIXED(Formato!X87,Formato!$AF$22,TRUE)))</f>
        <v>0,01000</v>
      </c>
      <c r="I128" s="1326"/>
      <c r="J128" s="1326"/>
      <c r="K128" s="1326"/>
      <c r="L128" s="1324" t="str">
        <f t="shared" ref="L128:L138" si="0">FIXED(V128,Z128)</f>
        <v>0,000000</v>
      </c>
      <c r="M128" s="1325"/>
      <c r="N128" s="1325"/>
      <c r="O128" s="1325"/>
      <c r="P128" s="1331" t="str">
        <f>FIXED(IF(ISERROR(U128),"",('Estimación de la Incertidumbre'!H40)),Z128)</f>
        <v>0,000024</v>
      </c>
      <c r="Q128" s="1332"/>
      <c r="R128" s="658">
        <f>'Estimación de la Incertidumbre'!H$39</f>
        <v>2.52</v>
      </c>
      <c r="S128" s="1337" t="str">
        <f>Formato!AM87</f>
        <v>N.A.</v>
      </c>
      <c r="T128" s="1338"/>
      <c r="U128" s="545">
        <f>'Estimación de la Incertidumbre'!H40</f>
        <v>2.4028590447104866E-5</v>
      </c>
      <c r="V128" s="545">
        <f>IF(E128="","",IF(E128&gt;0,H128-Calculos!H23,Z128))</f>
        <v>2.9894351623142856E-7</v>
      </c>
      <c r="W128" s="752">
        <f>Formato!$G$21</f>
        <v>0</v>
      </c>
      <c r="X128" s="897">
        <f>-W128</f>
        <v>0</v>
      </c>
      <c r="Y128" s="898"/>
      <c r="Z128" s="363">
        <v>6</v>
      </c>
      <c r="AA128" s="362">
        <v>0</v>
      </c>
      <c r="AB128" s="18">
        <f>Formato!T83*Formato!AE83+Formato!T84*Formato!AE84+Formato!T85*Formato!AE85+Formato!T86*Formato!AE86</f>
        <v>0.01</v>
      </c>
      <c r="AC128" s="18">
        <f>P128/AB128</f>
        <v>2.4000000000000002E-3</v>
      </c>
      <c r="AD128" s="328"/>
      <c r="AE128" s="624" t="str">
        <f>" Uexp Es "&amp;P128/Formato!$AE$20&amp;"  veces d"</f>
        <v xml:space="preserve"> Uexp Es 2,4  veces d</v>
      </c>
      <c r="AF128" s="625"/>
      <c r="AG128" s="626"/>
      <c r="AH128" s="616" t="str">
        <f>IF('Estimación de la Incertidumbre'!H40/AB128&lt;$AE$143,"Revisar","OK")</f>
        <v>OK</v>
      </c>
      <c r="AI128" s="617">
        <f t="shared" ref="AI128:AI138" si="1">$AE$143-AC128</f>
        <v>-2.3987000000000001E-3</v>
      </c>
      <c r="AJ128" s="620"/>
      <c r="AK128" s="617" t="str">
        <f t="shared" ref="AK128:AK138" si="2">IF(AH128="OK","",AB128*AI128)</f>
        <v/>
      </c>
      <c r="AL128" s="619">
        <f>(AB128*$AE$143)-'Estimación de la Incertidumbre'!H40</f>
        <v>-2.4015590447104864E-5</v>
      </c>
      <c r="AM128" s="617">
        <f t="shared" ref="AM128:AM138" si="3">(P128)/AB128</f>
        <v>2.4000000000000002E-3</v>
      </c>
      <c r="AN128" s="618">
        <f>'Estimación de la Incertidumbre'!H40</f>
        <v>2.4028590447104866E-5</v>
      </c>
      <c r="AO128" s="618" t="e">
        <f>'Estimación de la Incertidumbre'!H40+AK128</f>
        <v>#VALUE!</v>
      </c>
      <c r="AP128" s="613" t="str">
        <f t="shared" ref="AP128:AP138" si="4">FIXED(P128,Z128)</f>
        <v>0,000024</v>
      </c>
      <c r="AQ128" s="613">
        <f t="shared" ref="AQ128:AQ138" si="5">ROUND(P128,Z128)</f>
        <v>2.4000000000000001E-5</v>
      </c>
      <c r="AS128" s="18" t="b">
        <f>ISNUMBER(AP128)</f>
        <v>0</v>
      </c>
      <c r="AT128" s="18" t="b">
        <f>ISNUMBER(AQ128)</f>
        <v>1</v>
      </c>
    </row>
    <row r="129" spans="1:46" s="18" customFormat="1" ht="15.75" customHeight="1">
      <c r="A129" s="753">
        <f t="shared" ref="A129:A138" si="6">W129-U129</f>
        <v>-4.4398152426525772E-5</v>
      </c>
      <c r="B129" s="753">
        <f t="shared" ref="B129:B138" si="7">X129+U129</f>
        <v>4.4398152426525772E-5</v>
      </c>
      <c r="C129" s="824">
        <f>Calculos!H28</f>
        <v>3.9999944226055519</v>
      </c>
      <c r="D129" s="842" t="str">
        <f>Formato!AI92</f>
        <v/>
      </c>
      <c r="E129" s="1327" t="str">
        <f>IF(Formato!T92="","",FIXED(Calculos!H28,Z129,TRUE))</f>
        <v>3,999994</v>
      </c>
      <c r="F129" s="1328"/>
      <c r="G129" s="1329"/>
      <c r="H129" s="1326" t="str">
        <f>IF(ISBLANK(Formato!X92),"",IF(Formato!X92&gt;0,FIXED(Formato!X92,Formato!$AF$22,TRUE)))</f>
        <v>4,00000</v>
      </c>
      <c r="I129" s="1326"/>
      <c r="J129" s="1326"/>
      <c r="K129" s="1326"/>
      <c r="L129" s="1324" t="str">
        <f t="shared" si="0"/>
        <v>0,000006</v>
      </c>
      <c r="M129" s="1325"/>
      <c r="N129" s="1325"/>
      <c r="O129" s="1325"/>
      <c r="P129" s="1331" t="str">
        <f>FIXED(IF(ISERROR(U129),"",IF(AJ129="Si",'Estimación de la Incertidumbre'!I40+AK129,'Estimación de la Incertidumbre'!I40)),Z129)</f>
        <v>0,000044</v>
      </c>
      <c r="Q129" s="1332"/>
      <c r="R129" s="658">
        <f>'Estimación de la Incertidumbre'!I39</f>
        <v>2.02</v>
      </c>
      <c r="S129" s="1337" t="str">
        <f>Formato!AM92</f>
        <v>N.A.</v>
      </c>
      <c r="T129" s="1338"/>
      <c r="U129" s="545">
        <f>'Estimación de la Incertidumbre'!I40</f>
        <v>4.4398152426525772E-5</v>
      </c>
      <c r="V129" s="545">
        <f>IF(E129="","",IF(E129&gt;0,H129-Calculos!H28))</f>
        <v>5.5773944480641546E-6</v>
      </c>
      <c r="W129" s="752">
        <f>Formato!$G$21</f>
        <v>0</v>
      </c>
      <c r="X129" s="897">
        <f t="shared" ref="X129:X138" si="8">-W129</f>
        <v>0</v>
      </c>
      <c r="Y129" s="898"/>
      <c r="Z129" s="364">
        <v>6</v>
      </c>
      <c r="AA129" s="362">
        <v>0</v>
      </c>
      <c r="AB129" s="18">
        <f>Formato!T88*Formato!AE88+Formato!T89*Formato!AE89+Formato!T90*Formato!AE90+Formato!T91*Formato!AE91</f>
        <v>4</v>
      </c>
      <c r="AC129" s="18">
        <f>'Estimación de la Incertidumbre'!I40/AB129</f>
        <v>1.1099538106631443E-5</v>
      </c>
      <c r="AD129" s="328"/>
      <c r="AE129" s="624" t="str">
        <f>" Uexp Es "&amp;P129/Formato!$AE$20&amp;"  veces d"</f>
        <v xml:space="preserve"> Uexp Es 4,4  veces d</v>
      </c>
      <c r="AF129" s="625"/>
      <c r="AG129" s="626"/>
      <c r="AH129" s="616" t="str">
        <f>IF('Estimación de la Incertidumbre'!I40/AB129&lt;$AE$143,"Revisar","OK")</f>
        <v>OK</v>
      </c>
      <c r="AI129" s="617">
        <f t="shared" si="1"/>
        <v>-9.7995381066314435E-6</v>
      </c>
      <c r="AJ129" s="620"/>
      <c r="AK129" s="617" t="str">
        <f t="shared" si="2"/>
        <v/>
      </c>
      <c r="AL129" s="619">
        <f>(AB129*$AE$143)-'Estimación de la Incertidumbre'!I40</f>
        <v>-3.9198152426525774E-5</v>
      </c>
      <c r="AM129" s="617">
        <f t="shared" si="3"/>
        <v>1.1E-5</v>
      </c>
      <c r="AN129" s="618">
        <f>'Estimación de la Incertidumbre'!I40</f>
        <v>4.4398152426525772E-5</v>
      </c>
      <c r="AO129" s="618" t="e">
        <f>'Estimación de la Incertidumbre'!I40+AK129</f>
        <v>#VALUE!</v>
      </c>
      <c r="AP129" s="613" t="str">
        <f t="shared" si="4"/>
        <v>0,000044</v>
      </c>
      <c r="AQ129" s="613">
        <f t="shared" si="5"/>
        <v>4.3999999999999999E-5</v>
      </c>
    </row>
    <row r="130" spans="1:46" s="18" customFormat="1" ht="15.75" customHeight="1">
      <c r="A130" s="753">
        <f t="shared" si="6"/>
        <v>-6.4456647642294077E-5</v>
      </c>
      <c r="B130" s="753">
        <f t="shared" si="7"/>
        <v>6.4456647642294077E-5</v>
      </c>
      <c r="C130" s="824">
        <f>Calculos!H33</f>
        <v>7.9999878452109989</v>
      </c>
      <c r="D130" s="842" t="str">
        <f>Formato!AI97</f>
        <v/>
      </c>
      <c r="E130" s="1327" t="str">
        <f>IF(Formato!T97="","",FIXED(Calculos!H33,Z130,TRUE))</f>
        <v>7,999988</v>
      </c>
      <c r="F130" s="1328"/>
      <c r="G130" s="1329"/>
      <c r="H130" s="1326" t="str">
        <f>IF(ISBLANK(Formato!X97),"",IF(Formato!X97&gt;0,FIXED(Formato!X97,Formato!$AF$22,TRUE)))</f>
        <v>8,00000</v>
      </c>
      <c r="I130" s="1326"/>
      <c r="J130" s="1326"/>
      <c r="K130" s="1326"/>
      <c r="L130" s="1324" t="str">
        <f t="shared" si="0"/>
        <v>0,000012</v>
      </c>
      <c r="M130" s="1325"/>
      <c r="N130" s="1325"/>
      <c r="O130" s="1325"/>
      <c r="P130" s="1331" t="str">
        <f>FIXED(IF(ISERROR(U130),"",IF(AJ130="Si",'Estimación de la Incertidumbre'!J40+AK130,'Estimación de la Incertidumbre'!J40)),Z130)</f>
        <v>0,000064</v>
      </c>
      <c r="Q130" s="1332"/>
      <c r="R130" s="658">
        <f>'Estimación de la Incertidumbre'!J39</f>
        <v>2.0099999999999998</v>
      </c>
      <c r="S130" s="1337" t="str">
        <f>Formato!AM97</f>
        <v>N.A.</v>
      </c>
      <c r="T130" s="1338"/>
      <c r="U130" s="545">
        <f>'Estimación de la Incertidumbre'!J40</f>
        <v>6.4456647642294077E-5</v>
      </c>
      <c r="V130" s="545">
        <f>IF(E130="","",IF(E130&gt;0,H130-Calculos!H33))</f>
        <v>1.2154789001073141E-5</v>
      </c>
      <c r="W130" s="752">
        <f>Formato!$G$21</f>
        <v>0</v>
      </c>
      <c r="X130" s="897">
        <f t="shared" si="8"/>
        <v>0</v>
      </c>
      <c r="Y130" s="898"/>
      <c r="Z130" s="365">
        <v>6</v>
      </c>
      <c r="AA130" s="362">
        <v>0</v>
      </c>
      <c r="AB130" s="18">
        <f>Formato!T93*Formato!AE93+Formato!T94*Formato!AE94+Formato!T95*Formato!AE95+Formato!T96*Formato!AE96</f>
        <v>8</v>
      </c>
      <c r="AC130" s="18">
        <f>'Estimación de la Incertidumbre'!J40/AB130</f>
        <v>8.0570809552867596E-6</v>
      </c>
      <c r="AD130" s="328"/>
      <c r="AE130" s="624" t="str">
        <f>" Uexp Es "&amp;P130/Formato!$AE$20&amp;"  veces d"</f>
        <v xml:space="preserve"> Uexp Es 6,4  veces d</v>
      </c>
      <c r="AF130" s="625"/>
      <c r="AG130" s="626"/>
      <c r="AH130" s="616" t="str">
        <f>IF('Estimación de la Incertidumbre'!J40/AB130&lt;$AE$143,"Revisar","OK")</f>
        <v>OK</v>
      </c>
      <c r="AI130" s="617">
        <f t="shared" si="1"/>
        <v>-6.7570809552867593E-6</v>
      </c>
      <c r="AJ130" s="620"/>
      <c r="AK130" s="617" t="str">
        <f t="shared" si="2"/>
        <v/>
      </c>
      <c r="AL130" s="619">
        <f>(AB130*$AE$143)-'Estimación de la Incertidumbre'!J40</f>
        <v>-5.4056647642294075E-5</v>
      </c>
      <c r="AM130" s="617">
        <f t="shared" si="3"/>
        <v>7.9999999999999996E-6</v>
      </c>
      <c r="AN130" s="618">
        <f>'Estimación de la Incertidumbre'!J40</f>
        <v>6.4456647642294077E-5</v>
      </c>
      <c r="AO130" s="618" t="e">
        <f>'Estimación de la Incertidumbre'!J40+AK130</f>
        <v>#VALUE!</v>
      </c>
      <c r="AP130" s="613" t="str">
        <f t="shared" si="4"/>
        <v>0,000064</v>
      </c>
      <c r="AQ130" s="613">
        <f t="shared" si="5"/>
        <v>6.3999999999999997E-5</v>
      </c>
    </row>
    <row r="131" spans="1:46" s="18" customFormat="1" ht="15.75" customHeight="1">
      <c r="A131" s="753">
        <f t="shared" si="6"/>
        <v>-5.5921728620574623E-5</v>
      </c>
      <c r="B131" s="753">
        <f t="shared" si="7"/>
        <v>5.5921728620574623E-5</v>
      </c>
      <c r="C131" s="824">
        <f>Calculos!H38</f>
        <v>12.000001267819615</v>
      </c>
      <c r="D131" s="842" t="str">
        <f>Formato!AI102</f>
        <v/>
      </c>
      <c r="E131" s="1327" t="str">
        <f>IF(Formato!T102="","",FIXED(Calculos!H38,Z131,TRUE))</f>
        <v>12,000001</v>
      </c>
      <c r="F131" s="1328"/>
      <c r="G131" s="1329"/>
      <c r="H131" s="1326" t="str">
        <f>IF(ISBLANK(Formato!X102),"",IF(Formato!X102&gt;0,FIXED(Formato!X102,Formato!$AF$22,TRUE)))</f>
        <v>12,00000</v>
      </c>
      <c r="I131" s="1326"/>
      <c r="J131" s="1326"/>
      <c r="K131" s="1326"/>
      <c r="L131" s="1324" t="str">
        <f t="shared" si="0"/>
        <v>-0,000001</v>
      </c>
      <c r="M131" s="1325"/>
      <c r="N131" s="1325"/>
      <c r="O131" s="1325"/>
      <c r="P131" s="1331" t="str">
        <f>FIXED(IF(ISERROR(U131),"",IF(AJ131="Si",'Estimación de la Incertidumbre'!K40+AK131,'Estimación de la Incertidumbre'!K40)),Z131)</f>
        <v>0,000056</v>
      </c>
      <c r="Q131" s="1332"/>
      <c r="R131" s="658">
        <f>'Estimación de la Incertidumbre'!K39</f>
        <v>2.0099999999999998</v>
      </c>
      <c r="S131" s="1337" t="str">
        <f>Formato!AM102</f>
        <v>N.A.</v>
      </c>
      <c r="T131" s="1338"/>
      <c r="U131" s="545">
        <f>'Estimación de la Incertidumbre'!K40</f>
        <v>5.5921728620574623E-5</v>
      </c>
      <c r="V131" s="545">
        <f>IF(E131="","",IF(E131&gt;0,H131-Calculos!H38))</f>
        <v>-1.2678196146254095E-6</v>
      </c>
      <c r="W131" s="752">
        <f>Formato!$G$21</f>
        <v>0</v>
      </c>
      <c r="X131" s="897">
        <f t="shared" si="8"/>
        <v>0</v>
      </c>
      <c r="Y131" s="898"/>
      <c r="Z131" s="364">
        <v>6</v>
      </c>
      <c r="AA131" s="362">
        <v>0</v>
      </c>
      <c r="AB131" s="18">
        <f>Formato!T98*Formato!AE98+Formato!T99*Formato!AE99+Formato!T100*Formato!AE100+Formato!T101*Formato!AE101</f>
        <v>12</v>
      </c>
      <c r="AC131" s="18">
        <f>'Estimación de la Incertidumbre'!K40/AB131</f>
        <v>4.6601440517145522E-6</v>
      </c>
      <c r="AD131" s="328"/>
      <c r="AE131" s="624" t="str">
        <f>" Uexp Es "&amp;P131/Formato!$AE$20&amp;"  veces d"</f>
        <v xml:space="preserve"> Uexp Es 5,6  veces d</v>
      </c>
      <c r="AF131" s="625"/>
      <c r="AG131" s="626"/>
      <c r="AH131" s="616" t="str">
        <f>IF('Estimación de la Incertidumbre'!K40/AB131&lt;$AE$143,"Revisar","OK")</f>
        <v>OK</v>
      </c>
      <c r="AI131" s="617">
        <f t="shared" si="1"/>
        <v>-3.360144051714552E-6</v>
      </c>
      <c r="AJ131" s="620"/>
      <c r="AK131" s="617" t="str">
        <f t="shared" si="2"/>
        <v/>
      </c>
      <c r="AL131" s="619">
        <f>(AB131*$AE$143)-'Estimación de la Incertidumbre'!K40</f>
        <v>-4.0321728620574624E-5</v>
      </c>
      <c r="AM131" s="617">
        <f t="shared" si="3"/>
        <v>4.6666666666666663E-6</v>
      </c>
      <c r="AN131" s="618">
        <f>'Estimación de la Incertidumbre'!K40</f>
        <v>5.5921728620574623E-5</v>
      </c>
      <c r="AO131" s="618" t="e">
        <f>'Estimación de la Incertidumbre'!K40+AK131</f>
        <v>#VALUE!</v>
      </c>
      <c r="AP131" s="613" t="str">
        <f t="shared" si="4"/>
        <v>0,000056</v>
      </c>
      <c r="AQ131" s="613">
        <f t="shared" si="5"/>
        <v>5.5999999999999999E-5</v>
      </c>
    </row>
    <row r="132" spans="1:46" s="18" customFormat="1" ht="15.75" customHeight="1">
      <c r="A132" s="753">
        <f t="shared" si="6"/>
        <v>-6.1885757897511143E-5</v>
      </c>
      <c r="B132" s="753">
        <f t="shared" si="7"/>
        <v>6.1885757897511143E-5</v>
      </c>
      <c r="C132" s="824">
        <f>Calculos!H43</f>
        <v>14.999999584774041</v>
      </c>
      <c r="D132" s="842" t="str">
        <f>Formato!AI107</f>
        <v/>
      </c>
      <c r="E132" s="1327" t="str">
        <f>IF(Formato!T107="","",FIXED(Calculos!H43,Z132,TRUE))</f>
        <v>15,000000</v>
      </c>
      <c r="F132" s="1328"/>
      <c r="G132" s="1329"/>
      <c r="H132" s="1326" t="str">
        <f>IF(ISBLANK(Formato!X107),"",IF(Formato!X107&gt;0,FIXED(Formato!X107,Formato!$AF$22,TRUE)))</f>
        <v>15,00001</v>
      </c>
      <c r="I132" s="1326"/>
      <c r="J132" s="1326"/>
      <c r="K132" s="1326"/>
      <c r="L132" s="1324" t="str">
        <f t="shared" si="0"/>
        <v>0,000010</v>
      </c>
      <c r="M132" s="1325"/>
      <c r="N132" s="1325"/>
      <c r="O132" s="1325"/>
      <c r="P132" s="1331" t="str">
        <f>FIXED(IF(ISERROR(U132),"",IF(AJ132="Si",'Estimación de la Incertidumbre'!L40+AK132,'Estimación de la Incertidumbre'!L40)),Z132)</f>
        <v>0,000062</v>
      </c>
      <c r="Q132" s="1332"/>
      <c r="R132" s="658">
        <f>'Estimación de la Incertidumbre'!L39</f>
        <v>2.0099999999999998</v>
      </c>
      <c r="S132" s="1337" t="str">
        <f>Formato!AM107</f>
        <v>N.A.</v>
      </c>
      <c r="T132" s="1338"/>
      <c r="U132" s="545">
        <f>'Estimación de la Incertidumbre'!L40</f>
        <v>6.1885757897511143E-5</v>
      </c>
      <c r="V132" s="545">
        <f>IF(E132="","",IF(E132&gt;0,H132-Calculos!H43))</f>
        <v>1.0415225958126939E-5</v>
      </c>
      <c r="W132" s="752">
        <f>Formato!$G$21</f>
        <v>0</v>
      </c>
      <c r="X132" s="897">
        <f t="shared" si="8"/>
        <v>0</v>
      </c>
      <c r="Y132" s="898"/>
      <c r="Z132" s="364">
        <v>6</v>
      </c>
      <c r="AA132" s="362">
        <v>0</v>
      </c>
      <c r="AB132" s="18">
        <f>Formato!T103*Formato!AE103+Formato!T104*Formato!AE104+Formato!T105*Formato!AE105+Formato!T106*Formato!AE106</f>
        <v>15</v>
      </c>
      <c r="AC132" s="18">
        <f>'Estimación de la Incertidumbre'!L40/AB132</f>
        <v>4.1257171931674094E-6</v>
      </c>
      <c r="AD132" s="328"/>
      <c r="AE132" s="624" t="str">
        <f>" Uexp Es "&amp;P132/Formato!$AE$20&amp;"  veces d"</f>
        <v xml:space="preserve"> Uexp Es 6,2  veces d</v>
      </c>
      <c r="AF132" s="625"/>
      <c r="AG132" s="626"/>
      <c r="AH132" s="616" t="str">
        <f>IF('Estimación de la Incertidumbre'!L40/AB132&lt;$AE$143,"Revisar","OK")</f>
        <v>OK</v>
      </c>
      <c r="AI132" s="617">
        <f t="shared" si="1"/>
        <v>-2.8257171931674092E-6</v>
      </c>
      <c r="AJ132" s="620"/>
      <c r="AK132" s="617" t="str">
        <f t="shared" si="2"/>
        <v/>
      </c>
      <c r="AL132" s="619">
        <f>(AB132*$AE$143)-'Estimación de la Incertidumbre'!L40</f>
        <v>-4.2385757897511143E-5</v>
      </c>
      <c r="AM132" s="617">
        <f t="shared" si="3"/>
        <v>4.1333333333333333E-6</v>
      </c>
      <c r="AN132" s="618">
        <f>'Estimación de la Incertidumbre'!L40</f>
        <v>6.1885757897511143E-5</v>
      </c>
      <c r="AO132" s="618" t="e">
        <f>'Estimación de la Incertidumbre'!L40+AK132</f>
        <v>#VALUE!</v>
      </c>
      <c r="AP132" s="613" t="str">
        <f t="shared" si="4"/>
        <v>0,000062</v>
      </c>
      <c r="AQ132" s="613">
        <f t="shared" si="5"/>
        <v>6.2000000000000003E-5</v>
      </c>
    </row>
    <row r="133" spans="1:46" s="18" customFormat="1" ht="15.75" customHeight="1">
      <c r="A133" s="753">
        <f t="shared" si="6"/>
        <v>-4.9375364026449772E-5</v>
      </c>
      <c r="B133" s="753">
        <f t="shared" si="7"/>
        <v>4.9375364026449772E-5</v>
      </c>
      <c r="C133" s="824">
        <f>Calculos!H48</f>
        <v>19.999996113031351</v>
      </c>
      <c r="D133" s="842" t="str">
        <f>Formato!AI112</f>
        <v/>
      </c>
      <c r="E133" s="1327" t="str">
        <f>IF(Formato!T112="","",FIXED(Calculos!H48,Z133,TRUE))</f>
        <v>19,999996</v>
      </c>
      <c r="F133" s="1328"/>
      <c r="G133" s="1329"/>
      <c r="H133" s="1326" t="str">
        <f>IF(ISBLANK(Formato!X112),"",IF(Formato!X112&gt;0,FIXED(Formato!X112,Formato!$AF$22,TRUE)))</f>
        <v>20,00000</v>
      </c>
      <c r="I133" s="1326"/>
      <c r="J133" s="1326"/>
      <c r="K133" s="1326"/>
      <c r="L133" s="1324" t="str">
        <f t="shared" si="0"/>
        <v>0,000004</v>
      </c>
      <c r="M133" s="1325"/>
      <c r="N133" s="1325"/>
      <c r="O133" s="1325"/>
      <c r="P133" s="1331" t="str">
        <f>FIXED(IF(ISERROR(U133),"",IF(AJ133="Si",'Estimación de la Incertidumbre'!M40+AK133,'Estimación de la Incertidumbre'!M40)),Z133)</f>
        <v>0,000049</v>
      </c>
      <c r="Q133" s="1332"/>
      <c r="R133" s="658">
        <f>'Estimación de la Incertidumbre'!M39</f>
        <v>2.02</v>
      </c>
      <c r="S133" s="1337" t="str">
        <f>Formato!AM112</f>
        <v>N.A.</v>
      </c>
      <c r="T133" s="1338"/>
      <c r="U133" s="545">
        <f>'Estimación de la Incertidumbre'!M40</f>
        <v>4.9375364026449772E-5</v>
      </c>
      <c r="V133" s="545">
        <f>IF(E133="","",IF(E133&gt;0,H133-Calculos!H48))</f>
        <v>3.8869686491693756E-6</v>
      </c>
      <c r="W133" s="752">
        <f>Formato!$G$21</f>
        <v>0</v>
      </c>
      <c r="X133" s="897">
        <f t="shared" si="8"/>
        <v>0</v>
      </c>
      <c r="Y133" s="898"/>
      <c r="Z133" s="364">
        <v>6</v>
      </c>
      <c r="AA133" s="362">
        <v>0</v>
      </c>
      <c r="AB133" s="18">
        <f>Formato!T108*Formato!AE108+Formato!T109*Formato!AE109+Formato!T110*Formato!AE110+Formato!T111*Formato!AE111</f>
        <v>20</v>
      </c>
      <c r="AC133" s="18">
        <f>'Estimación de la Incertidumbre'!M40/AB133</f>
        <v>2.4687682013224885E-6</v>
      </c>
      <c r="AD133" s="328"/>
      <c r="AE133" s="624" t="str">
        <f>" Uexp Es "&amp;P133/Formato!$AE$20&amp;"  veces d"</f>
        <v xml:space="preserve"> Uexp Es 4,9  veces d</v>
      </c>
      <c r="AF133" s="625"/>
      <c r="AG133" s="626"/>
      <c r="AH133" s="616" t="str">
        <f>IF('Estimación de la Incertidumbre'!M40/AB133&lt;$AE$143,"Revisar","OK")</f>
        <v>OK</v>
      </c>
      <c r="AI133" s="617">
        <f t="shared" si="1"/>
        <v>-1.1687682013224884E-6</v>
      </c>
      <c r="AJ133" s="620"/>
      <c r="AK133" s="617" t="str">
        <f t="shared" si="2"/>
        <v/>
      </c>
      <c r="AL133" s="619">
        <f>(AB133*$AE$143)-'Estimación de la Incertidumbre'!M40</f>
        <v>-2.3375364026449771E-5</v>
      </c>
      <c r="AM133" s="617">
        <f t="shared" si="3"/>
        <v>2.4499999999999998E-6</v>
      </c>
      <c r="AN133" s="618">
        <f>'Estimación de la Incertidumbre'!M40</f>
        <v>4.9375364026449772E-5</v>
      </c>
      <c r="AO133" s="618" t="e">
        <f>'Estimación de la Incertidumbre'!M40+AK133</f>
        <v>#VALUE!</v>
      </c>
      <c r="AP133" s="613" t="str">
        <f t="shared" si="4"/>
        <v>0,000049</v>
      </c>
      <c r="AQ133" s="613">
        <f t="shared" si="5"/>
        <v>4.8999999999999998E-5</v>
      </c>
    </row>
    <row r="134" spans="1:46" s="18" customFormat="1" ht="15.75" customHeight="1">
      <c r="A134" s="753">
        <f t="shared" si="6"/>
        <v>-7.3328671417515837E-5</v>
      </c>
      <c r="B134" s="753">
        <f t="shared" si="7"/>
        <v>7.3328671417515837E-5</v>
      </c>
      <c r="C134" s="824">
        <f>Calculos!H53</f>
        <v>24.999984641287814</v>
      </c>
      <c r="D134" s="842" t="str">
        <f>Formato!AI117</f>
        <v/>
      </c>
      <c r="E134" s="1327" t="str">
        <f>IF(Formato!T117="","",FIXED(Calculos!H53,Z134,TRUE))</f>
        <v>24,999985</v>
      </c>
      <c r="F134" s="1328"/>
      <c r="G134" s="1329"/>
      <c r="H134" s="1326" t="str">
        <f>IF(ISBLANK(Formato!X117),"",IF(Formato!X117&gt;0,FIXED(Formato!X117,Formato!$AF$22,TRUE)))</f>
        <v>25,00001</v>
      </c>
      <c r="I134" s="1326"/>
      <c r="J134" s="1326"/>
      <c r="K134" s="1326"/>
      <c r="L134" s="1324" t="str">
        <f t="shared" si="0"/>
        <v>0,000025</v>
      </c>
      <c r="M134" s="1325"/>
      <c r="N134" s="1325"/>
      <c r="O134" s="1325"/>
      <c r="P134" s="1331" t="str">
        <f>FIXED(IF(ISERROR(U134)," ",IF(AJ134="Si",'Estimación de la Incertidumbre'!N40+AK134,'Estimación de la Incertidumbre'!N40)),Z134)</f>
        <v>0,000073</v>
      </c>
      <c r="Q134" s="1332"/>
      <c r="R134" s="658">
        <f>'Estimación de la Incertidumbre'!N39</f>
        <v>2.0099999999999998</v>
      </c>
      <c r="S134" s="1365" t="str">
        <f>Formato!AM117</f>
        <v>N.A.</v>
      </c>
      <c r="T134" s="1366"/>
      <c r="U134" s="545">
        <f>'Estimación de la Incertidumbre'!N40</f>
        <v>7.3328671417515837E-5</v>
      </c>
      <c r="V134" s="545">
        <f>IF(E134="","",IF(E134&gt;0,H134-Calculos!H53))</f>
        <v>2.5358712186118737E-5</v>
      </c>
      <c r="W134" s="752">
        <f>Formato!$G$21</f>
        <v>0</v>
      </c>
      <c r="X134" s="897">
        <f t="shared" si="8"/>
        <v>0</v>
      </c>
      <c r="Y134" s="898"/>
      <c r="Z134" s="364">
        <v>6</v>
      </c>
      <c r="AA134" s="362">
        <v>0</v>
      </c>
      <c r="AB134" s="18">
        <f>Formato!T113*Formato!AE113+Formato!T114*Formato!AE114+Formato!T115*Formato!AE115+Formato!T116*Formato!AE116</f>
        <v>25</v>
      </c>
      <c r="AC134" s="18">
        <f>'Estimación de la Incertidumbre'!N40/AB134</f>
        <v>2.9331468567006335E-6</v>
      </c>
      <c r="AD134" s="328"/>
      <c r="AE134" s="624" t="str">
        <f>" Uexp Es "&amp;P134/Formato!$AE$20&amp;"  veces d"</f>
        <v xml:space="preserve"> Uexp Es 7,3  veces d</v>
      </c>
      <c r="AF134" s="625"/>
      <c r="AG134" s="626"/>
      <c r="AH134" s="616" t="str">
        <f>IF('Estimación de la Incertidumbre'!N40/AB134&lt;$AE$143,"Revisar","OK")</f>
        <v>OK</v>
      </c>
      <c r="AI134" s="617">
        <f t="shared" si="1"/>
        <v>-1.6331468567006335E-6</v>
      </c>
      <c r="AJ134" s="620"/>
      <c r="AK134" s="617" t="str">
        <f t="shared" si="2"/>
        <v/>
      </c>
      <c r="AL134" s="619">
        <f>(AB134*$AE$143)-'Estimación de la Incertidumbre'!N40</f>
        <v>-4.0828671417515833E-5</v>
      </c>
      <c r="AM134" s="617">
        <f t="shared" si="3"/>
        <v>2.92E-6</v>
      </c>
      <c r="AN134" s="618">
        <f>'Estimación de la Incertidumbre'!N40</f>
        <v>7.3328671417515837E-5</v>
      </c>
      <c r="AO134" s="618" t="e">
        <f>'Estimación de la Incertidumbre'!N40+AK134</f>
        <v>#VALUE!</v>
      </c>
      <c r="AP134" s="613" t="str">
        <f t="shared" si="4"/>
        <v>0,000073</v>
      </c>
      <c r="AQ134" s="613">
        <f t="shared" si="5"/>
        <v>7.2999999999999999E-5</v>
      </c>
    </row>
    <row r="135" spans="1:46" s="18" customFormat="1" ht="15.75" customHeight="1">
      <c r="A135" s="753">
        <f t="shared" si="6"/>
        <v>-9.2338127556328709E-5</v>
      </c>
      <c r="B135" s="753">
        <f t="shared" si="7"/>
        <v>9.2338127556328709E-5</v>
      </c>
      <c r="C135" s="824">
        <f>Calculos!H58</f>
        <v>26.999974852589851</v>
      </c>
      <c r="D135" s="842" t="str">
        <f>Formato!AI122</f>
        <v/>
      </c>
      <c r="E135" s="1327" t="str">
        <f>IF(Formato!T122="","",FIXED(Calculos!H58,Z135,TRUE))</f>
        <v>26,999975</v>
      </c>
      <c r="F135" s="1328"/>
      <c r="G135" s="1329"/>
      <c r="H135" s="1326" t="str">
        <f>IF(ISBLANK(Formato!X122),"",IF(Formato!X122&gt;0,FIXED(Formato!X122,Formato!$AF$22,TRUE)))</f>
        <v>27,00001</v>
      </c>
      <c r="I135" s="1326"/>
      <c r="J135" s="1326"/>
      <c r="K135" s="1326"/>
      <c r="L135" s="1324" t="str">
        <f t="shared" si="0"/>
        <v>0,000035</v>
      </c>
      <c r="M135" s="1325"/>
      <c r="N135" s="1325"/>
      <c r="O135" s="1325"/>
      <c r="P135" s="1331" t="str">
        <f>FIXED(IF(ISERROR(U135),"",IF(AJ135="Si",'Estimación de la Incertidumbre'!O40+AK135,'Estimación de la Incertidumbre'!O40)),Z135)</f>
        <v>0,000092</v>
      </c>
      <c r="Q135" s="1332"/>
      <c r="R135" s="658">
        <f>'Estimación de la Incertidumbre'!O39</f>
        <v>2.0099999999999998</v>
      </c>
      <c r="S135" s="1337" t="str">
        <f>Formato!AM122</f>
        <v>N.A.</v>
      </c>
      <c r="T135" s="1338"/>
      <c r="U135" s="545">
        <f>'Estimación de la Incertidumbre'!O40</f>
        <v>9.2338127556328709E-5</v>
      </c>
      <c r="V135" s="545">
        <f>IF(E135="","",IF(E135&gt;0,H135-Calculos!H58))</f>
        <v>3.5147410148539393E-5</v>
      </c>
      <c r="W135" s="752">
        <f>Formato!$G$21</f>
        <v>0</v>
      </c>
      <c r="X135" s="897">
        <f t="shared" si="8"/>
        <v>0</v>
      </c>
      <c r="Y135" s="898"/>
      <c r="Z135" s="364">
        <v>6</v>
      </c>
      <c r="AA135" s="362">
        <v>0</v>
      </c>
      <c r="AB135" s="18">
        <f>Formato!T118*Formato!AE118+Formato!T119*Formato!AE119+Formato!T120*Formato!AE120+Formato!T121*Formato!AE121</f>
        <v>27</v>
      </c>
      <c r="AC135" s="18">
        <f>'Estimación de la Incertidumbre'!O40/AB135</f>
        <v>3.4199306502343965E-6</v>
      </c>
      <c r="AD135" s="328"/>
      <c r="AE135" s="624" t="str">
        <f>" Uexp Es "&amp;P135/Formato!$AE$20&amp;"  veces d"</f>
        <v xml:space="preserve"> Uexp Es 9,2  veces d</v>
      </c>
      <c r="AF135" s="625"/>
      <c r="AG135" s="626"/>
      <c r="AH135" s="616" t="str">
        <f>IF('Estimación de la Incertidumbre'!O40/AB135&lt;$AE$143,"Revisar","OK")</f>
        <v>OK</v>
      </c>
      <c r="AI135" s="617">
        <f t="shared" si="1"/>
        <v>-2.1199306502343967E-6</v>
      </c>
      <c r="AJ135" s="620"/>
      <c r="AK135" s="617" t="str">
        <f t="shared" si="2"/>
        <v/>
      </c>
      <c r="AL135" s="619">
        <f>(AB135*$AE$143)-'Estimación de la Incertidumbre'!O40</f>
        <v>-5.7238127556328709E-5</v>
      </c>
      <c r="AM135" s="617">
        <f t="shared" si="3"/>
        <v>3.4074074074074072E-6</v>
      </c>
      <c r="AN135" s="618">
        <f>'Estimación de la Incertidumbre'!O40</f>
        <v>9.2338127556328709E-5</v>
      </c>
      <c r="AO135" s="618" t="e">
        <f>'Estimación de la Incertidumbre'!O40+AK135</f>
        <v>#VALUE!</v>
      </c>
      <c r="AP135" s="613" t="str">
        <f t="shared" si="4"/>
        <v>0,000092</v>
      </c>
      <c r="AQ135" s="613">
        <f t="shared" si="5"/>
        <v>9.2E-5</v>
      </c>
    </row>
    <row r="136" spans="1:46" s="18" customFormat="1" ht="15.75" customHeight="1">
      <c r="A136" s="753">
        <f t="shared" si="6"/>
        <v>-8.1052707744965345E-5</v>
      </c>
      <c r="B136" s="753">
        <f t="shared" si="7"/>
        <v>8.1052707744965345E-5</v>
      </c>
      <c r="C136" s="824">
        <f>Calculos!H63</f>
        <v>30.00000716954893</v>
      </c>
      <c r="D136" s="842" t="str">
        <f>Formato!AI127</f>
        <v/>
      </c>
      <c r="E136" s="1327" t="str">
        <f>IF(Formato!T127="","",FIXED(Calculos!H63,Z136,TRUE))</f>
        <v>30,000007</v>
      </c>
      <c r="F136" s="1328"/>
      <c r="G136" s="1329"/>
      <c r="H136" s="1326" t="str">
        <f>IF(ISBLANK(Formato!X127),"",IF(Formato!X127&gt;0,FIXED(Formato!X127,Formato!$AF$22,TRUE)))</f>
        <v>30,00001</v>
      </c>
      <c r="I136" s="1326"/>
      <c r="J136" s="1326"/>
      <c r="K136" s="1326"/>
      <c r="L136" s="1324" t="str">
        <f t="shared" si="0"/>
        <v>0,000003</v>
      </c>
      <c r="M136" s="1325"/>
      <c r="N136" s="1325"/>
      <c r="O136" s="1325"/>
      <c r="P136" s="1331" t="str">
        <f>FIXED(IF(ISERROR(U136),"",IF(AJ136="Si",'Estimación de la Incertidumbre'!P40+AK136,'Estimación de la Incertidumbre'!P40)),Z136)</f>
        <v>0,000081</v>
      </c>
      <c r="Q136" s="1332"/>
      <c r="R136" s="658">
        <f>'Estimación de la Incertidumbre'!P39</f>
        <v>2.0099999999999998</v>
      </c>
      <c r="S136" s="1337" t="str">
        <f>Formato!AM127</f>
        <v>N.A.</v>
      </c>
      <c r="T136" s="1338"/>
      <c r="U136" s="545">
        <f>'Estimación de la Incertidumbre'!P40</f>
        <v>8.1052707744965345E-5</v>
      </c>
      <c r="V136" s="545">
        <f>IF(E136="","",IF(E136&gt;0,(H136-Calculos!H63)))</f>
        <v>2.830451069968376E-6</v>
      </c>
      <c r="W136" s="752">
        <f>Formato!$G$21</f>
        <v>0</v>
      </c>
      <c r="X136" s="897">
        <f t="shared" si="8"/>
        <v>0</v>
      </c>
      <c r="Y136" s="898"/>
      <c r="Z136" s="364">
        <v>6</v>
      </c>
      <c r="AA136" s="362">
        <v>0</v>
      </c>
      <c r="AB136" s="18">
        <f>Formato!T123*Formato!AE123+Formato!T124*Formato!AE124+Formato!T125*Formato!AE125+Formato!T126*Formato!AE126</f>
        <v>30</v>
      </c>
      <c r="AC136" s="18">
        <f>'Estimación de la Incertidumbre'!P40/AB136</f>
        <v>2.7017569248321782E-6</v>
      </c>
      <c r="AD136" s="328"/>
      <c r="AE136" s="624" t="str">
        <f>" Uexp Es "&amp;P136/Formato!$AE$20&amp;"  veces d"</f>
        <v xml:space="preserve"> Uexp Es 8,1  veces d</v>
      </c>
      <c r="AF136" s="625"/>
      <c r="AG136" s="626"/>
      <c r="AH136" s="616" t="str">
        <f>IF('Estimación de la Incertidumbre'!P40/AB136&lt;$AE$143,"Revisar","OK")</f>
        <v>OK</v>
      </c>
      <c r="AI136" s="617">
        <f t="shared" si="1"/>
        <v>-1.4017569248321782E-6</v>
      </c>
      <c r="AJ136" s="620"/>
      <c r="AK136" s="617" t="str">
        <f t="shared" si="2"/>
        <v/>
      </c>
      <c r="AL136" s="619">
        <f>(AB136*$AE$143)-'Estimación de la Incertidumbre'!P40</f>
        <v>-4.2052707744965346E-5</v>
      </c>
      <c r="AM136" s="617">
        <f t="shared" si="3"/>
        <v>2.7E-6</v>
      </c>
      <c r="AN136" s="618">
        <f>'Estimación de la Incertidumbre'!P40</f>
        <v>8.1052707744965345E-5</v>
      </c>
      <c r="AO136" s="618" t="e">
        <f>'Estimación de la Incertidumbre'!P40+AK136</f>
        <v>#VALUE!</v>
      </c>
      <c r="AP136" s="613" t="str">
        <f t="shared" si="4"/>
        <v>0,000081</v>
      </c>
      <c r="AQ136" s="613">
        <f t="shared" si="5"/>
        <v>8.1000000000000004E-5</v>
      </c>
      <c r="AT136" s="627">
        <f>IF(COUNT(AJ128:AJ138)=0,1,2)</f>
        <v>1</v>
      </c>
    </row>
    <row r="137" spans="1:46" s="18" customFormat="1" ht="15.75" customHeight="1">
      <c r="A137" s="753">
        <f t="shared" si="6"/>
        <v>-1.0577384405320574E-4</v>
      </c>
      <c r="B137" s="753">
        <f t="shared" si="7"/>
        <v>1.0577384405320574E-4</v>
      </c>
      <c r="C137" s="824">
        <f>Calculos!H69</f>
        <v>34.999995697805389</v>
      </c>
      <c r="D137" s="842" t="str">
        <f>Formato!AI133</f>
        <v/>
      </c>
      <c r="E137" s="1367" t="str">
        <f>IF(Formato!T133="","",FIXED(Calculos!H69,Z137,TRUE))</f>
        <v>35,00000</v>
      </c>
      <c r="F137" s="1368"/>
      <c r="G137" s="1369"/>
      <c r="H137" s="1405" t="str">
        <f>IF(ISBLANK(Formato!X133),"",IF(Formato!X133&gt;0,FIXED(Formato!X133,Formato!$AF$22,TRUE)))</f>
        <v>35,00002</v>
      </c>
      <c r="I137" s="1405"/>
      <c r="J137" s="1405"/>
      <c r="K137" s="1405"/>
      <c r="L137" s="1440" t="str">
        <f t="shared" si="0"/>
        <v>0,00002</v>
      </c>
      <c r="M137" s="1441"/>
      <c r="N137" s="1441"/>
      <c r="O137" s="1441"/>
      <c r="P137" s="1331" t="str">
        <f>FIXED(IF(ISERROR(U137),"",IF(AJ137="Si",'Estimación de la Incertidumbre'!Q40+AK137,'Estimación de la Incertidumbre'!Q40)),Z137)</f>
        <v>0,00011</v>
      </c>
      <c r="Q137" s="1332"/>
      <c r="R137" s="658">
        <f>'Estimación de la Incertidumbre'!Q39</f>
        <v>2.0099999999999998</v>
      </c>
      <c r="S137" s="1337" t="str">
        <f>Formato!AM133</f>
        <v>N.A.</v>
      </c>
      <c r="T137" s="1338"/>
      <c r="U137" s="545">
        <f>'Estimación de la Incertidumbre'!Q40</f>
        <v>1.0577384405320574E-4</v>
      </c>
      <c r="V137" s="545">
        <f>IF(E137="","",IF(E137&gt;0,H137-Calculos!H69))</f>
        <v>2.4302194610470451E-5</v>
      </c>
      <c r="W137" s="752">
        <f>Formato!$G$21</f>
        <v>0</v>
      </c>
      <c r="X137" s="897">
        <f t="shared" si="8"/>
        <v>0</v>
      </c>
      <c r="Y137" s="899"/>
      <c r="Z137" s="365">
        <v>5</v>
      </c>
      <c r="AA137" s="362">
        <v>0</v>
      </c>
      <c r="AB137" s="18">
        <f>Formato!T128*Formato!AE128+Formato!T129*Formato!AE129+Formato!T130*Formato!AE130+Formato!T131*Formato!AE131+Formato!T132*Formato!AE132</f>
        <v>35</v>
      </c>
      <c r="AC137" s="18">
        <f>'Estimación de la Incertidumbre'!Q40/AB137</f>
        <v>3.0221098300915923E-6</v>
      </c>
      <c r="AD137" s="328"/>
      <c r="AE137" s="624" t="str">
        <f>" Uexp Es "&amp;P137/Formato!$AE$20&amp;"  veces d"</f>
        <v xml:space="preserve"> Uexp Es 11  veces d</v>
      </c>
      <c r="AF137" s="625"/>
      <c r="AG137" s="626"/>
      <c r="AH137" s="616" t="str">
        <f>IF('Estimación de la Incertidumbre'!Q40/AB137&lt;$AE$143,"Revisar","OK")</f>
        <v>OK</v>
      </c>
      <c r="AI137" s="617">
        <f t="shared" si="1"/>
        <v>-1.7221098300915923E-6</v>
      </c>
      <c r="AJ137" s="620"/>
      <c r="AK137" s="617" t="str">
        <f t="shared" si="2"/>
        <v/>
      </c>
      <c r="AL137" s="619">
        <f>(AB137*$AE$143)-'Estimación de la Incertidumbre'!Q40</f>
        <v>-6.0273844053205737E-5</v>
      </c>
      <c r="AM137" s="617">
        <f t="shared" si="3"/>
        <v>3.1428571428571429E-6</v>
      </c>
      <c r="AN137" s="618">
        <f>'Estimación de la Incertidumbre'!Q40</f>
        <v>1.0577384405320574E-4</v>
      </c>
      <c r="AO137" s="618" t="e">
        <f>'Estimación de la Incertidumbre'!Q40+AK137</f>
        <v>#VALUE!</v>
      </c>
      <c r="AP137" s="613" t="str">
        <f t="shared" si="4"/>
        <v>0,00011</v>
      </c>
      <c r="AQ137" s="613">
        <f t="shared" si="5"/>
        <v>1.1E-4</v>
      </c>
    </row>
    <row r="138" spans="1:46" s="18" customFormat="1" ht="15.75" customHeight="1">
      <c r="A138" s="753">
        <f t="shared" si="6"/>
        <v>-9.2762966952556278E-5</v>
      </c>
      <c r="B138" s="753">
        <f t="shared" si="7"/>
        <v>9.2762966952556278E-5</v>
      </c>
      <c r="C138" s="824">
        <f>Calculos!H75</f>
        <v>39.99999822606334</v>
      </c>
      <c r="D138" s="842" t="str">
        <f>Formato!AI139</f>
        <v/>
      </c>
      <c r="E138" s="1327" t="str">
        <f>IF(Formato!T139="","",FIXED(Calculos!H75,Z138,TRUE))</f>
        <v>39,999998</v>
      </c>
      <c r="F138" s="1328"/>
      <c r="G138" s="1329"/>
      <c r="H138" s="1326" t="str">
        <f>IF(ISBLANK(Formato!X139),"",IF(Formato!X139&gt;0,FIXED(Formato!X139,Formato!$AF$22,TRUE)))</f>
        <v>40,00002</v>
      </c>
      <c r="I138" s="1326"/>
      <c r="J138" s="1326"/>
      <c r="K138" s="1326"/>
      <c r="L138" s="1324" t="str">
        <f t="shared" si="0"/>
        <v>0,000022</v>
      </c>
      <c r="M138" s="1325"/>
      <c r="N138" s="1325"/>
      <c r="O138" s="1325"/>
      <c r="P138" s="1331" t="str">
        <f>FIXED(IF(ISERROR(U138),"",IF(AJ138="Si",'Estimación de la Incertidumbre'!R40+AK138,'Estimación de la Incertidumbre'!R40)),Z138)</f>
        <v>0,000093</v>
      </c>
      <c r="Q138" s="1332"/>
      <c r="R138" s="658">
        <f>'Estimación de la Incertidumbre'!R39</f>
        <v>2.0099999999999998</v>
      </c>
      <c r="S138" s="1337" t="str">
        <f>Formato!AM139</f>
        <v>N.A.</v>
      </c>
      <c r="T138" s="1338"/>
      <c r="U138" s="545">
        <f>'Estimación de la Incertidumbre'!R40</f>
        <v>9.2762966952556278E-5</v>
      </c>
      <c r="V138" s="545">
        <f>IF(E138="","",IF(E138&gt;0,H138-Calculos!H75))</f>
        <v>2.1773936659030824E-5</v>
      </c>
      <c r="W138" s="752">
        <f>Formato!$G$21</f>
        <v>0</v>
      </c>
      <c r="X138" s="897">
        <f t="shared" si="8"/>
        <v>0</v>
      </c>
      <c r="Y138" s="899"/>
      <c r="Z138" s="365">
        <v>6</v>
      </c>
      <c r="AA138" s="362">
        <v>0</v>
      </c>
      <c r="AB138" s="18">
        <f>Formato!T134*Formato!AE134+Formato!T135*Formato!AE135+Formato!T136*Formato!AE136+Formato!T137*Formato!AE137+Formato!T138*Formato!AE138</f>
        <v>40</v>
      </c>
      <c r="AC138" s="18">
        <f>'Estimación de la Incertidumbre'!R40/AB138</f>
        <v>2.3190741738139069E-6</v>
      </c>
      <c r="AD138" s="328"/>
      <c r="AE138" s="624" t="str">
        <f>" Uexp Es "&amp;P138/Formato!$AE$20&amp;"  veces d"</f>
        <v xml:space="preserve"> Uexp Es 9,3  veces d</v>
      </c>
      <c r="AF138" s="625"/>
      <c r="AG138" s="626"/>
      <c r="AH138" s="616" t="str">
        <f>IF('Estimación de la Incertidumbre'!R40/AB138&lt;$AE$143,"Revisar","OK")</f>
        <v>OK</v>
      </c>
      <c r="AI138" s="617">
        <f t="shared" si="1"/>
        <v>-1.0190741738139069E-6</v>
      </c>
      <c r="AJ138" s="620"/>
      <c r="AK138" s="617" t="str">
        <f t="shared" si="2"/>
        <v/>
      </c>
      <c r="AL138" s="619">
        <f>(AB138*$AE$143)-'Estimación de la Incertidumbre'!R40</f>
        <v>-4.0762966952556274E-5</v>
      </c>
      <c r="AM138" s="617">
        <f t="shared" si="3"/>
        <v>2.3249999999999998E-6</v>
      </c>
      <c r="AN138" s="618">
        <f>'Estimación de la Incertidumbre'!R40</f>
        <v>9.2762966952556278E-5</v>
      </c>
      <c r="AO138" s="618" t="e">
        <f>'Estimación de la Incertidumbre'!R40+AK138</f>
        <v>#VALUE!</v>
      </c>
      <c r="AP138" s="613" t="str">
        <f t="shared" si="4"/>
        <v>0,000093</v>
      </c>
      <c r="AQ138" s="613">
        <f t="shared" si="5"/>
        <v>9.2999999999999997E-5</v>
      </c>
    </row>
    <row r="139" spans="1:46" s="18" customFormat="1" ht="15.75" customHeight="1">
      <c r="A139" s="267"/>
      <c r="B139" s="267"/>
      <c r="C139" s="267"/>
      <c r="D139" s="544"/>
      <c r="E139" s="562"/>
      <c r="F139" s="562"/>
      <c r="G139" s="562"/>
      <c r="H139" s="563"/>
      <c r="I139" s="563"/>
      <c r="J139" s="563"/>
      <c r="K139" s="563"/>
      <c r="L139" s="564"/>
      <c r="M139" s="565"/>
      <c r="N139" s="565"/>
      <c r="O139" s="565"/>
      <c r="P139" s="566"/>
      <c r="Q139" s="566"/>
      <c r="R139" s="566"/>
      <c r="S139" s="560"/>
      <c r="T139" s="560"/>
      <c r="U139" s="561"/>
      <c r="V139" s="1335" t="s">
        <v>143</v>
      </c>
      <c r="W139" s="1335"/>
      <c r="X139" s="1335"/>
      <c r="Y139" s="1335"/>
      <c r="Z139" s="567"/>
      <c r="AA139" s="568"/>
      <c r="AB139" s="306"/>
      <c r="AC139" s="306"/>
      <c r="AD139" s="328"/>
      <c r="AP139" s="565"/>
      <c r="AQ139" s="565"/>
    </row>
    <row r="140" spans="1:46" ht="16.5" customHeight="1">
      <c r="A140" s="241"/>
      <c r="B140" s="241"/>
      <c r="C140" s="241"/>
      <c r="D140" s="241"/>
      <c r="E140" s="241"/>
      <c r="F140" s="278"/>
      <c r="G140" s="278"/>
      <c r="H140" s="279"/>
      <c r="I140" s="278"/>
      <c r="J140" s="261"/>
      <c r="K140" s="261"/>
      <c r="L140" s="261"/>
      <c r="M140" s="261"/>
      <c r="N140" s="276"/>
      <c r="O140" s="276"/>
      <c r="P140" s="276"/>
      <c r="Q140" s="276"/>
      <c r="R140" s="241"/>
      <c r="S140" s="280"/>
      <c r="T140" s="280"/>
      <c r="U140" s="280"/>
      <c r="V140" s="280"/>
      <c r="W140" s="1330" t="str">
        <f>W72</f>
        <v>LC-FR-20 V12</v>
      </c>
      <c r="X140" s="1330"/>
      <c r="Y140" s="1330"/>
      <c r="AA140" s="307"/>
    </row>
    <row r="141" spans="1:46" ht="2.25" customHeight="1">
      <c r="A141" s="241"/>
      <c r="B141" s="241"/>
      <c r="C141" s="241"/>
      <c r="D141" s="241"/>
      <c r="E141" s="241"/>
      <c r="F141" s="278"/>
      <c r="G141" s="278"/>
      <c r="H141" s="279"/>
      <c r="I141" s="278"/>
      <c r="J141" s="261"/>
      <c r="K141" s="261"/>
      <c r="L141" s="261"/>
      <c r="M141" s="261"/>
      <c r="N141" s="276"/>
      <c r="O141" s="276"/>
      <c r="P141" s="276"/>
      <c r="Q141" s="276"/>
      <c r="R141" s="241"/>
      <c r="S141" s="280"/>
      <c r="T141" s="280"/>
      <c r="U141" s="280"/>
      <c r="V141" s="280"/>
      <c r="W141" s="241"/>
      <c r="X141" s="241"/>
      <c r="Y141" s="241"/>
    </row>
    <row r="142" spans="1:46" ht="14.1" customHeight="1">
      <c r="A142" s="1439" t="str">
        <f>A75</f>
        <v>CERTIFICADO DE CALIBRACIÓN</v>
      </c>
      <c r="B142" s="1439"/>
      <c r="C142" s="1439"/>
      <c r="D142" s="1439"/>
      <c r="E142" s="1439"/>
      <c r="F142" s="1439"/>
      <c r="G142" s="1439"/>
      <c r="H142" s="1439"/>
      <c r="I142" s="1439"/>
      <c r="J142" s="1439"/>
      <c r="K142" s="1439"/>
      <c r="L142" s="1439"/>
      <c r="M142" s="1439"/>
      <c r="N142" s="1439"/>
      <c r="O142" s="1439"/>
      <c r="P142" s="1439"/>
      <c r="Q142" s="1439"/>
      <c r="R142" s="1439"/>
      <c r="S142" s="1439"/>
      <c r="T142" s="1439"/>
      <c r="U142" s="1439"/>
      <c r="V142" s="1439"/>
      <c r="W142" s="1439"/>
      <c r="X142" s="1439"/>
      <c r="Y142" s="1439"/>
      <c r="Z142" s="326" t="s">
        <v>1088</v>
      </c>
      <c r="AA142" s="326" t="s">
        <v>1089</v>
      </c>
      <c r="AC142" s="629"/>
      <c r="AE142" s="326" t="s">
        <v>1090</v>
      </c>
      <c r="AF142" s="19"/>
      <c r="AJ142" s="649" t="s">
        <v>1402</v>
      </c>
      <c r="AK142" s="650"/>
    </row>
    <row r="143" spans="1:46" ht="14.1" customHeight="1">
      <c r="A143" s="1307" t="str">
        <f>A76</f>
        <v>Certifícate of calibración</v>
      </c>
      <c r="B143" s="1307"/>
      <c r="C143" s="1307"/>
      <c r="D143" s="1307"/>
      <c r="E143" s="1307"/>
      <c r="F143" s="1307"/>
      <c r="G143" s="1307"/>
      <c r="H143" s="1307"/>
      <c r="I143" s="1307"/>
      <c r="J143" s="1307"/>
      <c r="K143" s="1307"/>
      <c r="L143" s="1307"/>
      <c r="M143" s="1307"/>
      <c r="N143" s="1307"/>
      <c r="O143" s="1307"/>
      <c r="P143" s="1307"/>
      <c r="Q143" s="1307"/>
      <c r="R143" s="1307"/>
      <c r="S143" s="1307"/>
      <c r="T143" s="1307"/>
      <c r="U143" s="1307"/>
      <c r="V143" s="1307"/>
      <c r="W143" s="1307"/>
      <c r="X143" s="1307"/>
      <c r="Y143" s="1307"/>
      <c r="Z143" s="631">
        <f>IF(AB128=0,MIN(AC129:AC138),MIN(AC128:AC138))</f>
        <v>2.3190741738139069E-6</v>
      </c>
      <c r="AA143" s="631">
        <f>IF(AB128=0,MAX(AC129:AC138),MAX(AC128:AC138))</f>
        <v>2.4000000000000002E-3</v>
      </c>
      <c r="AB143" s="327"/>
      <c r="AC143" s="327"/>
      <c r="AE143" s="637">
        <f>IF(AND(Formato!$Y$20&lt;=Alcance!B1,Formato!$Y$20&gt;Alcance!A1,Formato!AA20="g"),Alcance!I1,
IF(AND(Formato!$Y$20&lt;=Alcance!B2,Formato!$Y$20&gt;Alcance!A2,Formato!AA20="mg"),Alcance!I2,
IF(AND(Formato!$Y$20&lt;=Alcance!B3,Formato!$Y$20&gt;Alcance!A3,Formato!$AA$20="g"),Alcance!I3,
IF(AND(Formato!$Y$20&lt;=Alcance!B4,Formato!$Y$20&gt;Alcance!A4,Formato!AA20="mg"),Alcance!I4,
IF(AND(Formato!$Y$20&lt;=Alcance!B5,Formato!$Y$20&gt;Alcance!A5,Formato!$AA$20="g"),Alcance!I5,
IF(AND(Formato!$Y$20&lt;=Alcance!B6,Formato!$Y$20&gt;Alcance!A6,Formato!AA20="mg"),Alcance!I6,
IF(AND(Formato!$Y$20&lt;=Alcance!B7,Formato!$Y$20&gt;Alcance!A7,Formato!$AA$20="g"),Alcance!I7,
IF(AND(Formato!$Y$20&lt;=Alcance!B8,Formato!$Y$20&gt;Alcance!A8,Formato!AA20="mg"),Alcance!I8,
IF(AND(Formato!$Y$20&lt;=Alcance!B9,Formato!$Y$20&gt;Alcance!A9,Formato!$AA$20="g"),Alcance!I9,
IF(AND(Formato!$Y$20&lt;=Alcance!B10,Formato!$Y$20&gt;Alcance!A10,Formato!$AA$20="kg"),Alcance!I10,
IF(AND(Formato!$Y$20&lt;=Alcance!B11,Formato!$Y$20&gt;Alcance!A11,Formato!$AA$20="g"),Alcance!I11,
IF(AND(Formato!$Y$20&lt;=Alcance!B12,Formato!$Y$20&gt;Alcance!A12,Formato!$AA$20="kg"),Alcance!I12,
IF(AND(Formato!$Y$20&lt;=Alcance!B13,Formato!$Y$20&gt;Alcance!A13,Formato!$AA$20="kg"),Alcance!I13,
IF(AND(Formato!$Y$20&lt;=Alcance!B14,Formato!$Y$20&gt;Alcance!A14,Formato!$AA$20="g"),Alcance!I14,
IF(AND(Formato!$Y$20&lt;=Alcance!B15,Formato!$Y$20&gt;Alcance!A15,Formato!$AA$20="kg"),Alcance!I15,
IF(AND(Formato!$Y$20&lt;=Alcance!B16,Formato!$Y$20&gt;Alcance!A16,Formato!$AA$20="kg"),Alcance!I16,
IF(AND(Formato!$Y$20&lt;=Alcance!B17,Formato!$Y$20&gt;Alcance!A17,Formato!$AA$20="kg"),Alcance!I17,
IF(AND(Formato!$Y$20&lt;=Alcance!B18,Formato!$Y$20&gt;Alcance!A18,Formato!$AA$20="kg"),Alcance!I18,"NO ENCONTRADO"))))))))))))))))))</f>
        <v>1.3E-6</v>
      </c>
      <c r="AF143" s="19"/>
      <c r="AJ143" s="651">
        <f>IF(Formato!AE20="","",IF(AND(Formato!$Y$20&lt;=Alcance!B1,Formato!$Y$20&gt;Alcance!A1,Formato!AA20="g"),Alcance!K1,
IF(AND(Formato!$Y$20&lt;=Alcance!B2,Formato!$Y$20&gt;Alcance!A2,Formato!AA20="mg"),Alcance!K2,
IF(AND(Formato!$Y$20&lt;=Alcance!B3,Formato!$Y$20&gt;Alcance!A3,Formato!$AA$20="g"),Alcance!K3,
IF(AND(Formato!$Y$20&lt;=Alcance!B4,Formato!$Y$20&gt;Alcance!A4,Formato!AA20="mg"),Alcance!K4,
IF(AND(Formato!$Y$20&lt;=Alcance!B5,Formato!$Y$20&gt;Alcance!A5,Formato!$AA$20="g"),Alcance!K5,
IF(AND(Formato!$Y$20&lt;=Alcance!B6,Formato!$Y$20&gt;Alcance!A6,Formato!AA20="mg"),Alcance!K6,
IF(AND(Formato!$Y$20&lt;=Alcance!B7,Formato!$Y$20&gt;Alcance!A7,Formato!$AA$20="g"),Alcance!K7,
IF(AND(Formato!$Y$20&lt;=Alcance!B8,Formato!$Y$20&gt;Alcance!A8,Formato!AA20="mg"),Alcance!K8,
IF(AND(Formato!$Y$20&lt;=Alcance!B9,Formato!$Y$20&gt;Alcance!A9,Formato!$AA$20="g"),Alcance!K9,
IF(AND(Formato!$Y$20&lt;=Alcance!B10,Formato!$Y$20&gt;Alcance!A10,Formato!$AA$20="kg"),Alcance!K10,
IF(AND(Formato!$Y$20&lt;=Alcance!B11,Formato!$Y$20&gt;Alcance!A11,Formato!$AA$20="g"),Alcance!K11,
IF(AND(Formato!$Y$20&lt;=Alcance!B12,Formato!$Y$20&gt;Alcance!A12,Formato!$AA$20="kg"),Alcance!K12,
IF(AND(Formato!$Y$20&lt;=Alcance!B13,Formato!$Y$20&gt;Alcance!A13,Formato!$AA$20="kg"),Alcance!K13,
IF(AND(Formato!$Y$20&lt;=Alcance!B14,Formato!$Y$20&gt;Alcance!A14,Formato!$AA$20="g"),Alcance!K14,
IF(AND(Formato!$Y$20&lt;=Alcance!B15,Formato!$Y$20&gt;Alcance!A15,Formato!$AA$20="kg"),Alcance!K15,
IF(AND(Formato!$Y$20&lt;=Alcance!B16,Formato!$Y$20&gt;Alcance!A16,Formato!$AA$20="kg"),Alcance!K16,
IF(AND(Formato!$Y$20&lt;=Alcance!B17,Formato!$Y$20&gt;Alcance!A17,Formato!$AA$20="kg"),Alcance!K17,
IF(AND(Formato!$Y$20&lt;=Alcance!B18,Formato!$Y$20&gt;Alcance!A18,Formato!$AA$20="kg"),Alcance!K18,"NO ENCONTRADO")))))))))))))))))))</f>
        <v>1.0000000000000001E-5</v>
      </c>
      <c r="AK143" s="652" t="str">
        <f>IF(AND(Formato!$Y$20&lt;=Alcance!B1,Formato!$Y$20&gt;Alcance!A1,Formato!AA20="g"),Alcance!L1,
IF(AND(Formato!$Y$20&lt;=Alcance!B2,Formato!$Y$20&gt;Alcance!A2,Formato!AA20="mg"),Alcance!L2,
IF(AND(Formato!$Y$20&lt;=Alcance!B3,Formato!$Y$20&gt;Alcance!A3,Formato!$AA$20="g"),Alcance!L3,
IF(AND(Formato!$Y$20&lt;=Alcance!B4,Formato!$Y$20&gt;Alcance!A4,Formato!AA20="mg"),Alcance!L4,
IF(AND(Formato!$Y$20&lt;=Alcance!B5,Formato!$Y$20&gt;Alcance!A5,Formato!$AA$20="g"),Alcance!L5,
IF(AND(Formato!$Y$20&lt;=Alcance!B6,Formato!$Y$20&gt;Alcance!A6,Formato!AA20="mg"),Alcance!L6,
IF(AND(Formato!$Y$20&lt;=Alcance!B7,Formato!$Y$20&gt;Alcance!A7,Formato!$AA$20="g"),Alcance!L7,
IF(AND(Formato!$Y$20&lt;=Alcance!B8,Formato!$Y$20&gt;Alcance!A8,Formato!AA20="mg"),Alcance!L8,
IF(AND(Formato!$Y$20&lt;=Alcance!B9,Formato!$Y$20&gt;Alcance!A9,Formato!$AA$20="g"),Alcance!L9,
IF(AND(Formato!$Y$20&lt;=Alcance!B10,Formato!$Y$20&gt;Alcance!A10,Formato!$AA$20="kg"),Alcance!L10,
IF(AND(Formato!$Y$20&lt;=Alcance!B11,Formato!$Y$20&gt;Alcance!A11,Formato!$AA$20="g"),Alcance!L11,
IF(AND(Formato!$Y$20&lt;=Alcance!B12,Formato!$Y$20&gt;Alcance!A12,Formato!$AA$20="kg"),Alcance!L12,
IF(AND(Formato!$Y$20&lt;=Alcance!B13,Formato!$Y$20&gt;Alcance!A13,Formato!$AA$20="kg"),Alcance!L13,
IF(AND(Formato!$Y$20&lt;=Alcance!B14,Formato!$Y$20&gt;Alcance!A14,Formato!$AA$20="g"),Alcance!L14,
IF(AND(Formato!$Y$20&lt;=Alcance!B15,Formato!$Y$20&gt;Alcance!A15,Formato!$AA$20="kg"),Alcance!L15,
IF(AND(Formato!$Y$20&lt;=Alcance!B16,Formato!$Y$20&gt;Alcance!A16,Formato!$AA$20="kg"),Alcance!L16,
IF(AND(Formato!$Y$20&lt;=Alcance!B17,Formato!$Y$20&gt;Alcance!A17,Formato!$AA$20="kg"),Alcance!L17,
IF(AND(Formato!$Y$20&lt;=Alcance!B18,Formato!$Y$20&gt;Alcance!A18,Formato!$AA$20="kg"),Alcance!L18,"NO ENCONTRADO"))))))))))))))))))</f>
        <v>g</v>
      </c>
    </row>
    <row r="144" spans="1:46" ht="14.1" customHeight="1">
      <c r="A144" s="241"/>
      <c r="B144" s="241"/>
      <c r="C144" s="241"/>
      <c r="D144" s="241"/>
      <c r="E144" s="241"/>
      <c r="F144" s="278"/>
      <c r="G144" s="278"/>
      <c r="H144" s="279"/>
      <c r="I144" s="278"/>
      <c r="J144" s="261"/>
      <c r="K144" s="261"/>
      <c r="L144" s="261"/>
      <c r="M144" s="261"/>
      <c r="N144" s="276"/>
      <c r="O144" s="276"/>
      <c r="P144" s="276"/>
      <c r="Q144" s="276"/>
      <c r="R144" s="241"/>
      <c r="S144" s="280"/>
      <c r="T144" s="280"/>
      <c r="U144" s="280"/>
      <c r="V144" s="280"/>
      <c r="W144" s="241"/>
      <c r="X144" s="241"/>
      <c r="Y144" s="241"/>
      <c r="Z144" s="306" t="str">
        <f>IF(AND(Z143&gt;AE143,Formato!AE20&gt;='Certificado de calibración'!AJ143),"Dentro de Alcance","Fuera de Alcance, Revisar")</f>
        <v>Dentro de Alcance</v>
      </c>
      <c r="AA144" s="306"/>
      <c r="AE144" s="638">
        <f>Z143-AE143</f>
        <v>1.0190741738139069E-6</v>
      </c>
      <c r="AF144" s="639" t="str">
        <f>IF(AE144&lt;0,"Urel (min Menor que CMC","Urel min Mayor que CMC")</f>
        <v>Urel min Mayor que CMC</v>
      </c>
      <c r="AG144" s="639"/>
      <c r="AH144" s="640"/>
      <c r="AI144" s="626"/>
      <c r="AJ144" s="654" t="str">
        <f>IF(AJ143="","",IF(Formato!AE20&gt;='Certificado de calibración'!AJ143,"ok","Revisar"))</f>
        <v>ok</v>
      </c>
      <c r="AK144" s="653"/>
    </row>
    <row r="145" spans="1:43" ht="14.1" customHeight="1">
      <c r="A145" s="241"/>
      <c r="B145" s="241"/>
      <c r="C145" s="241"/>
      <c r="D145" s="241"/>
      <c r="E145" s="241"/>
      <c r="F145" s="278"/>
      <c r="G145" s="278"/>
      <c r="H145" s="279"/>
      <c r="I145" s="278"/>
      <c r="J145" s="261"/>
      <c r="K145" s="261"/>
      <c r="L145" s="261"/>
      <c r="M145" s="261"/>
      <c r="N145" s="276"/>
      <c r="O145" s="276"/>
      <c r="P145" s="276"/>
      <c r="Q145" s="276"/>
      <c r="R145" s="247" t="str">
        <f>R78</f>
        <v>CERTIFICADO No:</v>
      </c>
      <c r="S145" s="280"/>
      <c r="T145" s="280"/>
      <c r="U145" s="1342" t="str">
        <f>U78</f>
        <v>TM028-25A</v>
      </c>
      <c r="V145" s="1342"/>
      <c r="W145" s="1342"/>
      <c r="X145" s="1342"/>
      <c r="Y145" s="1342"/>
      <c r="Z145" s="51"/>
      <c r="AE145" s="51"/>
    </row>
    <row r="146" spans="1:43" ht="14.1" customHeight="1">
      <c r="A146" s="241"/>
      <c r="B146" s="241"/>
      <c r="C146" s="241"/>
      <c r="D146" s="241"/>
      <c r="E146" s="241"/>
      <c r="F146" s="278"/>
      <c r="G146" s="278"/>
      <c r="H146" s="279"/>
      <c r="I146" s="278"/>
      <c r="J146" s="261"/>
      <c r="K146" s="261"/>
      <c r="L146" s="261"/>
      <c r="M146" s="261"/>
      <c r="N146" s="276"/>
      <c r="O146" s="276"/>
      <c r="P146" s="276"/>
      <c r="Q146" s="276"/>
      <c r="R146" s="281" t="str">
        <f>R79</f>
        <v>Certifícate number</v>
      </c>
      <c r="S146" s="280"/>
      <c r="T146" s="280"/>
      <c r="U146" s="280"/>
      <c r="V146" s="280"/>
      <c r="W146" s="241"/>
      <c r="X146" s="241"/>
      <c r="Y146" s="241"/>
      <c r="Z146" s="634" t="s">
        <v>1370</v>
      </c>
      <c r="AA146" s="625"/>
      <c r="AB146" s="635"/>
      <c r="AC146" s="635"/>
      <c r="AD146" s="636"/>
      <c r="AE146" s="51"/>
    </row>
    <row r="147" spans="1:43" ht="14.1" customHeight="1">
      <c r="A147" s="241"/>
      <c r="B147" s="241"/>
      <c r="C147" s="241"/>
      <c r="D147" s="241"/>
      <c r="E147" s="241"/>
      <c r="F147" s="278"/>
      <c r="G147" s="278"/>
      <c r="H147" s="279"/>
      <c r="I147" s="278"/>
      <c r="J147" s="261"/>
      <c r="K147" s="261"/>
      <c r="L147" s="261"/>
      <c r="M147" s="261"/>
      <c r="N147" s="276"/>
      <c r="O147" s="276"/>
      <c r="P147" s="276"/>
      <c r="Q147" s="276"/>
      <c r="R147" s="241"/>
      <c r="S147" s="280"/>
      <c r="T147" s="280"/>
      <c r="U147" s="280"/>
      <c r="V147" s="280"/>
      <c r="W147" s="241"/>
      <c r="X147" s="241"/>
      <c r="Y147" s="241"/>
      <c r="Z147" s="633" t="str">
        <f>IF(COUNTA(AJ128:AJ138)=0,"","Si")</f>
        <v/>
      </c>
      <c r="AE147" s="51"/>
    </row>
    <row r="148" spans="1:43" ht="14.1" customHeight="1">
      <c r="A148" s="241"/>
      <c r="B148" s="241"/>
      <c r="C148" s="241"/>
      <c r="D148" s="241"/>
      <c r="E148" s="241"/>
      <c r="F148" s="278"/>
      <c r="G148" s="278"/>
      <c r="H148" s="279"/>
      <c r="I148" s="278"/>
      <c r="J148" s="261"/>
      <c r="K148" s="261"/>
      <c r="L148" s="261"/>
      <c r="M148" s="261"/>
      <c r="N148" s="276"/>
      <c r="O148" s="276"/>
      <c r="P148" s="276"/>
      <c r="Q148" s="276"/>
      <c r="R148" s="241"/>
      <c r="S148" s="280"/>
      <c r="T148" s="280"/>
      <c r="U148" s="280"/>
      <c r="V148" s="280"/>
      <c r="W148" s="241"/>
      <c r="X148" s="241"/>
      <c r="Y148" s="241"/>
      <c r="Z148" s="630" t="s">
        <v>1088</v>
      </c>
      <c r="AA148" s="326" t="s">
        <v>1371</v>
      </c>
    </row>
    <row r="149" spans="1:43" ht="14.1" customHeight="1">
      <c r="A149" s="241"/>
      <c r="B149" s="241"/>
      <c r="C149" s="241"/>
      <c r="D149" s="241"/>
      <c r="E149" s="241"/>
      <c r="F149" s="278"/>
      <c r="G149" s="278"/>
      <c r="H149" s="279"/>
      <c r="I149" s="278"/>
      <c r="J149" s="261"/>
      <c r="K149" s="261"/>
      <c r="L149" s="261"/>
      <c r="M149" s="261"/>
      <c r="N149" s="276"/>
      <c r="O149" s="276"/>
      <c r="P149" s="276"/>
      <c r="Q149" s="276"/>
      <c r="R149" s="241"/>
      <c r="S149" s="280"/>
      <c r="T149" s="280"/>
      <c r="U149" s="280"/>
      <c r="V149" s="280"/>
      <c r="W149" s="241"/>
      <c r="X149" s="241"/>
      <c r="Y149" s="241"/>
      <c r="Z149" s="647">
        <f>IF(AB128=0,MIN(AM129:AM138),MIN(AM129:AM138))</f>
        <v>2.3249999999999998E-6</v>
      </c>
      <c r="AA149" s="648">
        <f>IF(AB128=0,MAX(AM129:AM138),MAX(AM129:AM138))</f>
        <v>1.1E-5</v>
      </c>
      <c r="AB149" s="612"/>
      <c r="AE149" s="51"/>
    </row>
    <row r="150" spans="1:43" ht="14.1" customHeight="1">
      <c r="A150" s="241"/>
      <c r="B150" s="1370"/>
      <c r="C150" s="241"/>
      <c r="D150" s="241"/>
      <c r="E150" s="241"/>
      <c r="F150" s="278"/>
      <c r="G150" s="278"/>
      <c r="H150" s="279"/>
      <c r="I150" s="278"/>
      <c r="J150" s="261"/>
      <c r="K150" s="261"/>
      <c r="L150" s="261"/>
      <c r="M150" s="261"/>
      <c r="N150" s="276"/>
      <c r="O150" s="276"/>
      <c r="P150" s="276"/>
      <c r="Q150" s="276"/>
      <c r="R150" s="241"/>
      <c r="S150" s="280"/>
      <c r="T150" s="280"/>
      <c r="U150" s="280"/>
      <c r="V150" s="280"/>
      <c r="W150" s="241"/>
      <c r="X150" s="241"/>
      <c r="Y150" s="241"/>
      <c r="AC150" s="632"/>
      <c r="AD150" s="632"/>
      <c r="AE150" s="254"/>
      <c r="AF150" s="254"/>
      <c r="AG150" s="254"/>
      <c r="AH150" s="254"/>
      <c r="AI150" s="254"/>
      <c r="AJ150" s="254"/>
      <c r="AK150" s="254"/>
      <c r="AL150" s="254"/>
      <c r="AM150" s="254"/>
      <c r="AN150" s="254"/>
      <c r="AO150" s="254"/>
      <c r="AP150" s="254"/>
      <c r="AQ150" s="254"/>
    </row>
    <row r="151" spans="1:43" ht="14.1" customHeight="1">
      <c r="A151" s="241"/>
      <c r="B151" s="1370"/>
      <c r="C151" s="241"/>
      <c r="D151" s="241"/>
      <c r="E151" s="241"/>
      <c r="F151" s="278"/>
      <c r="G151" s="278"/>
      <c r="H151" s="279"/>
      <c r="I151" s="278"/>
      <c r="J151" s="261"/>
      <c r="K151" s="261"/>
      <c r="L151" s="261"/>
      <c r="M151" s="261"/>
      <c r="N151" s="276"/>
      <c r="O151" s="276"/>
      <c r="P151" s="276"/>
      <c r="Q151" s="276"/>
      <c r="R151" s="241"/>
      <c r="S151" s="280"/>
      <c r="T151" s="280"/>
      <c r="U151" s="280"/>
      <c r="V151" s="280"/>
      <c r="W151" s="241"/>
      <c r="X151" s="241"/>
      <c r="Y151" s="241"/>
      <c r="AB151" s="632"/>
      <c r="AC151" s="632"/>
      <c r="AD151" s="632"/>
      <c r="AE151" s="1478" t="str">
        <f>CONCATENATE(IF(AJ128="Si",CONCATENATE("Se ajusto valor de incertidumbre a valor minimo permisible por CMC, Se ajusta de: ",ROUND(AN128,Z128)," a ",ROUND(AO128,Z128), " para Carga de ", AB128," ", $U$28),"")," ",IF(AJ129="Si",CONCATENATE("Se ajusto valor de incertidumbre a valor minimo permisible por CMC, Se ajusta de: ",ROUND(AN129,Z129)," a ",ROUND(AO129,Z129), " para Carga de ", AB129," ", $U$28),"")," ",IF(AJ130="Si",CONCATENATE("Se ajusto valor de incertidumbre a valor minimo permisible por CMC, Se ajusta de: ",ROUND(AN130,Z130)," a ",ROUND(AO130,Z130), " para Carga de ", AB130," ", $U$28),"")," ",IF(AJ131="Si",CONCATENATE("Se ajusto valor de incertidumbre a valor minimo permisible por CMC, Se ajusta de: ",ROUND(AN131,Z131)," a ",ROUND(AO131,Z131), " para Carga de ", AB131," ", $U$28),"")," ",IF(AJ132="Si",CONCATENATE("Se ajusto valor de incertidumbre a valor minimo permisible por CMC, Se ajusta de: ",ROUND(AN132,Z132)," a ",ROUND(AO132,Z132), " para Carga de ", AB132," ", $U$28),"")," ",IF(AJ133="Si",CONCATENATE("Se ajusto valor de incertidumbre a valor minimo permisible por CMC, Se ajusta de: ",ROUND(AN133,Z133)," a ",ROUND(AO133,Z133), " para Carga de ", AB133," ", $U$28),"")," ",IF(AJ134="Si",CONCATENATE("Se ajusto valor de incertidumbre a valor minimo permisible por CMC, Se ajusta de: ",ROUND(AN134,Z134)," a ",ROUND(AO134,Z134), " para Carga de ", AB134," ", $U$28),"")," ",IF(AJ135="Si",CONCATENATE("Se ajusto valor de incertidumbre a valor minimo permisible por CMC, Se ajusta de: ",ROUND(AN135,Z135)," a ",ROUND(AO135,Z135), " para Carga de ", AB135," ", $U$28),"")," ",IF(AJ136="Si",CONCATENATE("Se ajusto valor de incertidumbre a valor minimo permisible por CMC, Se ajusta de: ",ROUND(AN136,Z136)," a ",redondera(AO136,Z136), " para Carga de ", AB136," ", $U$28),"")," "," ",IF(AJ137="Si",CONCATENATE("Se ajusto valor de incertidumbre a valor minimo permisible por CMC, Se ajusta de: ",ROUND(AN137,Z137)," a ",ROUND(AO137,Z137), " para Carga de ", AB137," ", $U$28),"")," ",IF(AJ138="Si",CONCATENATE("Se ajusto valor de incertidumbre a valor minimo permisible por CMC, Se ajusta de: ",ROUND(AN138,Z138)," a ",ROUND(AO138,Z138), " para Carga de ", AB138," ", $U$28),"Sin observaciones"),)</f>
        <v xml:space="preserve">           Sin observaciones</v>
      </c>
      <c r="AF151" s="1479"/>
      <c r="AG151" s="1479"/>
      <c r="AH151" s="1479"/>
      <c r="AI151" s="1479"/>
      <c r="AJ151" s="1479"/>
      <c r="AK151" s="1479"/>
      <c r="AL151" s="1479"/>
      <c r="AM151" s="1479"/>
      <c r="AN151" s="1479"/>
      <c r="AO151" s="1479"/>
      <c r="AP151" s="1479"/>
      <c r="AQ151" s="1480"/>
    </row>
    <row r="152" spans="1:43" ht="14.1" customHeight="1">
      <c r="A152" s="241"/>
      <c r="B152" s="1370"/>
      <c r="C152" s="241"/>
      <c r="D152" s="241"/>
      <c r="E152" s="241"/>
      <c r="F152" s="278"/>
      <c r="G152" s="278"/>
      <c r="H152" s="279"/>
      <c r="I152" s="278"/>
      <c r="J152" s="261"/>
      <c r="K152" s="261"/>
      <c r="L152" s="261"/>
      <c r="M152" s="261"/>
      <c r="N152" s="276"/>
      <c r="O152" s="276"/>
      <c r="P152" s="276"/>
      <c r="Q152" s="276"/>
      <c r="R152" s="241"/>
      <c r="S152" s="280"/>
      <c r="T152" s="280"/>
      <c r="U152" s="280"/>
      <c r="V152" s="280"/>
      <c r="W152" s="241"/>
      <c r="X152" s="241"/>
      <c r="Y152" s="241"/>
      <c r="AB152" s="632"/>
      <c r="AC152" s="632"/>
      <c r="AD152" s="632"/>
      <c r="AE152" s="1481"/>
      <c r="AF152" s="1395"/>
      <c r="AG152" s="1395"/>
      <c r="AH152" s="1395"/>
      <c r="AI152" s="1395"/>
      <c r="AJ152" s="1395"/>
      <c r="AK152" s="1395"/>
      <c r="AL152" s="1395"/>
      <c r="AM152" s="1395"/>
      <c r="AN152" s="1395"/>
      <c r="AO152" s="1395"/>
      <c r="AP152" s="1395"/>
      <c r="AQ152" s="1482"/>
    </row>
    <row r="153" spans="1:43" ht="14.1" customHeight="1">
      <c r="A153" s="241"/>
      <c r="B153" s="1370"/>
      <c r="C153" s="241"/>
      <c r="D153" s="241"/>
      <c r="E153" s="241"/>
      <c r="F153" s="278"/>
      <c r="G153" s="278"/>
      <c r="H153" s="279"/>
      <c r="I153" s="278"/>
      <c r="J153" s="261"/>
      <c r="K153" s="261"/>
      <c r="L153" s="261"/>
      <c r="M153" s="261"/>
      <c r="N153" s="276"/>
      <c r="O153" s="276"/>
      <c r="P153" s="276"/>
      <c r="Q153" s="276"/>
      <c r="R153" s="241"/>
      <c r="S153" s="280"/>
      <c r="T153" s="280"/>
      <c r="U153" s="280"/>
      <c r="V153" s="280"/>
      <c r="W153" s="241"/>
      <c r="X153" s="241"/>
      <c r="Y153" s="241"/>
      <c r="Z153" s="10" t="s">
        <v>1372</v>
      </c>
      <c r="AB153" s="632"/>
      <c r="AC153" s="632"/>
      <c r="AD153" s="632"/>
      <c r="AE153" s="1481"/>
      <c r="AF153" s="1395"/>
      <c r="AG153" s="1395"/>
      <c r="AH153" s="1395"/>
      <c r="AI153" s="1395"/>
      <c r="AJ153" s="1395"/>
      <c r="AK153" s="1395"/>
      <c r="AL153" s="1395"/>
      <c r="AM153" s="1395"/>
      <c r="AN153" s="1395"/>
      <c r="AO153" s="1395"/>
      <c r="AP153" s="1395"/>
      <c r="AQ153" s="1482"/>
    </row>
    <row r="154" spans="1:43" ht="14.1" customHeight="1">
      <c r="A154" s="241"/>
      <c r="B154" s="1370"/>
      <c r="C154" s="241"/>
      <c r="D154" s="241"/>
      <c r="E154" s="241"/>
      <c r="F154" s="278"/>
      <c r="G154" s="278"/>
      <c r="H154" s="279"/>
      <c r="I154" s="278"/>
      <c r="J154" s="261"/>
      <c r="K154" s="261"/>
      <c r="L154" s="261"/>
      <c r="M154" s="261"/>
      <c r="N154" s="276"/>
      <c r="O154" s="276"/>
      <c r="P154" s="276"/>
      <c r="Q154" s="276"/>
      <c r="R154" s="241"/>
      <c r="S154" s="280"/>
      <c r="T154" s="280"/>
      <c r="U154" s="280"/>
      <c r="V154" s="280"/>
      <c r="W154" s="241"/>
      <c r="X154" s="241"/>
      <c r="Y154" s="241"/>
      <c r="AB154" s="632"/>
      <c r="AC154" s="632"/>
      <c r="AD154" s="632"/>
      <c r="AE154" s="1481"/>
      <c r="AF154" s="1395"/>
      <c r="AG154" s="1395"/>
      <c r="AH154" s="1395"/>
      <c r="AI154" s="1395"/>
      <c r="AJ154" s="1395"/>
      <c r="AK154" s="1395"/>
      <c r="AL154" s="1395"/>
      <c r="AM154" s="1395"/>
      <c r="AN154" s="1395"/>
      <c r="AO154" s="1395"/>
      <c r="AP154" s="1395"/>
      <c r="AQ154" s="1482"/>
    </row>
    <row r="155" spans="1:43" ht="14.1" customHeight="1">
      <c r="A155" s="241"/>
      <c r="B155" s="1370"/>
      <c r="C155" s="241"/>
      <c r="D155" s="241"/>
      <c r="E155" s="241"/>
      <c r="F155" s="278"/>
      <c r="G155" s="278"/>
      <c r="H155" s="279"/>
      <c r="I155" s="278"/>
      <c r="J155" s="261"/>
      <c r="K155" s="261"/>
      <c r="L155" s="261"/>
      <c r="M155" s="261"/>
      <c r="N155" s="276"/>
      <c r="O155" s="276"/>
      <c r="P155" s="276"/>
      <c r="Q155" s="276"/>
      <c r="R155" s="241"/>
      <c r="S155" s="280"/>
      <c r="T155" s="280"/>
      <c r="U155" s="280"/>
      <c r="V155" s="280"/>
      <c r="W155" s="241"/>
      <c r="X155" s="241"/>
      <c r="Y155" s="241"/>
      <c r="AB155" s="632"/>
      <c r="AC155" s="632"/>
      <c r="AD155" s="632"/>
      <c r="AE155" s="1481"/>
      <c r="AF155" s="1395"/>
      <c r="AG155" s="1395"/>
      <c r="AH155" s="1395"/>
      <c r="AI155" s="1395"/>
      <c r="AJ155" s="1395"/>
      <c r="AK155" s="1395"/>
      <c r="AL155" s="1395"/>
      <c r="AM155" s="1395"/>
      <c r="AN155" s="1395"/>
      <c r="AO155" s="1395"/>
      <c r="AP155" s="1395"/>
      <c r="AQ155" s="1482"/>
    </row>
    <row r="156" spans="1:43" ht="14.1" customHeight="1">
      <c r="A156" s="241"/>
      <c r="B156" s="1370"/>
      <c r="C156" s="241"/>
      <c r="D156" s="241"/>
      <c r="E156" s="241"/>
      <c r="F156" s="278"/>
      <c r="G156" s="278"/>
      <c r="H156" s="279"/>
      <c r="I156" s="278"/>
      <c r="J156" s="261"/>
      <c r="K156" s="261"/>
      <c r="L156" s="261"/>
      <c r="M156" s="261"/>
      <c r="N156" s="276"/>
      <c r="O156" s="276"/>
      <c r="P156" s="276"/>
      <c r="Q156" s="276"/>
      <c r="R156" s="241"/>
      <c r="S156" s="280"/>
      <c r="T156" s="280"/>
      <c r="U156" s="280"/>
      <c r="V156" s="280"/>
      <c r="W156" s="241"/>
      <c r="X156" s="241"/>
      <c r="Y156" s="241"/>
      <c r="AB156" s="19"/>
      <c r="AE156" s="1483"/>
      <c r="AF156" s="1484"/>
      <c r="AG156" s="1484"/>
      <c r="AH156" s="1484"/>
      <c r="AI156" s="1484"/>
      <c r="AJ156" s="1484"/>
      <c r="AK156" s="1484"/>
      <c r="AL156" s="1484"/>
      <c r="AM156" s="1484"/>
      <c r="AN156" s="1484"/>
      <c r="AO156" s="1484"/>
      <c r="AP156" s="1484"/>
      <c r="AQ156" s="1485"/>
    </row>
    <row r="157" spans="1:43" ht="14.1" customHeight="1">
      <c r="A157" s="241"/>
      <c r="B157" s="1370"/>
      <c r="C157" s="241"/>
      <c r="D157" s="241"/>
      <c r="E157" s="241"/>
      <c r="F157" s="278"/>
      <c r="G157" s="278"/>
      <c r="H157" s="279"/>
      <c r="I157" s="278"/>
      <c r="J157" s="261"/>
      <c r="K157" s="261"/>
      <c r="L157" s="261"/>
      <c r="M157" s="261"/>
      <c r="N157" s="276"/>
      <c r="O157" s="276"/>
      <c r="P157" s="276"/>
      <c r="Q157" s="276"/>
      <c r="R157" s="241"/>
      <c r="S157" s="280"/>
      <c r="T157" s="280"/>
      <c r="U157" s="280"/>
      <c r="V157" s="280"/>
      <c r="W157" s="241"/>
      <c r="X157" s="241"/>
      <c r="Y157" s="241"/>
      <c r="Z157" s="240"/>
      <c r="AB157" s="19"/>
      <c r="AE157" s="632"/>
      <c r="AF157" s="632"/>
      <c r="AG157" s="632"/>
      <c r="AH157" s="632"/>
      <c r="AI157" s="632"/>
      <c r="AJ157" s="632"/>
      <c r="AK157" s="632"/>
    </row>
    <row r="158" spans="1:43" ht="14.1" customHeight="1">
      <c r="A158" s="241"/>
      <c r="B158" s="1370"/>
      <c r="C158" s="241"/>
      <c r="D158" s="241"/>
      <c r="E158" s="241"/>
      <c r="F158" s="278"/>
      <c r="G158" s="278"/>
      <c r="H158" s="279"/>
      <c r="I158" s="278"/>
      <c r="J158" s="261"/>
      <c r="K158" s="261"/>
      <c r="L158" s="261"/>
      <c r="M158" s="261"/>
      <c r="N158" s="276"/>
      <c r="O158" s="276"/>
      <c r="P158" s="276"/>
      <c r="Q158" s="276"/>
      <c r="R158" s="241"/>
      <c r="S158" s="280"/>
      <c r="T158" s="280"/>
      <c r="U158" s="280"/>
      <c r="V158" s="280"/>
      <c r="W158" s="241"/>
      <c r="X158" s="241"/>
      <c r="Y158" s="241"/>
      <c r="Z158" s="240"/>
      <c r="AA158" s="615"/>
      <c r="AB158" s="615"/>
      <c r="AC158" s="615"/>
      <c r="AD158" s="615"/>
      <c r="AE158" s="632"/>
      <c r="AF158" s="632"/>
      <c r="AG158" s="632"/>
      <c r="AH158" s="632"/>
      <c r="AI158" s="632"/>
      <c r="AJ158" s="632"/>
      <c r="AK158" s="632"/>
    </row>
    <row r="159" spans="1:43" ht="14.1" customHeight="1">
      <c r="A159" s="241"/>
      <c r="B159" s="1370"/>
      <c r="C159" s="241"/>
      <c r="D159" s="241"/>
      <c r="E159" s="241"/>
      <c r="F159" s="278"/>
      <c r="G159" s="278"/>
      <c r="H159" s="279"/>
      <c r="I159" s="278"/>
      <c r="J159" s="261"/>
      <c r="K159" s="261"/>
      <c r="L159" s="261"/>
      <c r="M159" s="261"/>
      <c r="N159" s="276"/>
      <c r="O159" s="276"/>
      <c r="P159" s="276"/>
      <c r="Q159" s="276"/>
      <c r="R159" s="241"/>
      <c r="S159" s="280"/>
      <c r="T159" s="280"/>
      <c r="U159" s="280"/>
      <c r="V159" s="241"/>
      <c r="W159" s="241"/>
      <c r="X159" s="241"/>
      <c r="Y159" s="241"/>
      <c r="Z159" s="621"/>
      <c r="AA159" s="615"/>
      <c r="AB159" s="615"/>
      <c r="AC159" s="615"/>
      <c r="AD159" s="615"/>
      <c r="AE159" s="632"/>
      <c r="AF159" s="632"/>
      <c r="AG159" s="632"/>
      <c r="AH159" s="632"/>
      <c r="AI159" s="632"/>
      <c r="AJ159" s="632"/>
      <c r="AK159" s="632"/>
    </row>
    <row r="160" spans="1:43" ht="14.1" customHeight="1">
      <c r="A160" s="241"/>
      <c r="B160" s="1370"/>
      <c r="C160" s="241"/>
      <c r="D160" s="241"/>
      <c r="E160" s="241"/>
      <c r="F160" s="278"/>
      <c r="G160" s="278"/>
      <c r="H160" s="279"/>
      <c r="I160" s="278"/>
      <c r="J160" s="261"/>
      <c r="K160" s="261"/>
      <c r="L160" s="261"/>
      <c r="M160" s="261"/>
      <c r="N160" s="276"/>
      <c r="O160" s="276"/>
      <c r="P160" s="276"/>
      <c r="Q160" s="276"/>
      <c r="R160" s="241"/>
      <c r="S160" s="280"/>
      <c r="T160" s="280"/>
      <c r="U160" s="280"/>
      <c r="V160" s="280"/>
      <c r="W160" s="241"/>
      <c r="X160" s="241"/>
      <c r="Y160" s="241"/>
      <c r="Z160" s="621"/>
      <c r="AA160" s="615"/>
      <c r="AB160" s="615"/>
      <c r="AC160" s="615"/>
      <c r="AD160" s="615"/>
      <c r="AE160" s="632"/>
      <c r="AF160" s="632"/>
      <c r="AG160" s="632"/>
      <c r="AH160" s="632"/>
      <c r="AI160" s="632"/>
      <c r="AJ160" s="632"/>
      <c r="AK160" s="632"/>
    </row>
    <row r="161" spans="1:43" ht="20.100000000000001" customHeight="1">
      <c r="A161" s="241"/>
      <c r="B161" s="1370"/>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621"/>
      <c r="AA161" s="615"/>
      <c r="AB161" s="615"/>
      <c r="AC161" s="615"/>
      <c r="AD161" s="615"/>
      <c r="AE161" s="632"/>
      <c r="AF161" s="632"/>
      <c r="AG161" s="632"/>
      <c r="AH161" s="632"/>
      <c r="AI161" s="632"/>
      <c r="AJ161" s="632"/>
      <c r="AK161" s="615"/>
    </row>
    <row r="162" spans="1:43" ht="20.100000000000001" customHeight="1">
      <c r="A162" s="282"/>
      <c r="B162" s="1370"/>
      <c r="C162" s="282"/>
      <c r="D162" s="282"/>
      <c r="E162" s="282"/>
      <c r="F162" s="282"/>
      <c r="G162" s="282"/>
      <c r="H162" s="282"/>
      <c r="I162" s="282"/>
      <c r="J162" s="282"/>
      <c r="K162" s="282"/>
      <c r="L162" s="282"/>
      <c r="M162" s="282"/>
      <c r="N162" s="282"/>
      <c r="O162" s="282"/>
      <c r="P162" s="282"/>
      <c r="Q162" s="282"/>
      <c r="R162" s="282"/>
      <c r="S162" s="282"/>
      <c r="T162" s="282"/>
      <c r="U162" s="282"/>
      <c r="V162" s="1313"/>
      <c r="W162" s="1313"/>
      <c r="X162" s="1313"/>
      <c r="Y162" s="1313"/>
      <c r="Z162" s="621"/>
      <c r="AA162" s="615"/>
      <c r="AB162" s="615"/>
      <c r="AC162" s="615"/>
      <c r="AD162" s="615"/>
      <c r="AE162" s="615"/>
      <c r="AF162" s="615"/>
      <c r="AG162" s="615"/>
      <c r="AH162" s="615"/>
      <c r="AI162" s="615"/>
      <c r="AJ162" s="615"/>
      <c r="AK162" s="615"/>
    </row>
    <row r="163" spans="1:43" ht="20.100000000000001" customHeight="1">
      <c r="A163" s="282"/>
      <c r="B163" s="1370"/>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40"/>
      <c r="AA163" s="615"/>
      <c r="AB163" s="615"/>
      <c r="AC163" s="615"/>
      <c r="AD163" s="615"/>
      <c r="AE163" s="615"/>
      <c r="AF163" s="615"/>
      <c r="AG163" s="615"/>
      <c r="AH163" s="615"/>
      <c r="AI163" s="615"/>
      <c r="AJ163" s="615"/>
      <c r="AK163" s="615"/>
    </row>
    <row r="164" spans="1:43" ht="16.5" customHeight="1">
      <c r="A164" s="283"/>
      <c r="B164" s="1370"/>
      <c r="C164" s="1333"/>
      <c r="D164" s="1333"/>
      <c r="E164" s="1333"/>
      <c r="F164" s="1333"/>
      <c r="G164" s="1333"/>
      <c r="H164" s="1333"/>
      <c r="I164" s="1333"/>
      <c r="J164" s="1333"/>
      <c r="K164" s="1333"/>
      <c r="L164" s="1333"/>
      <c r="M164" s="1333"/>
      <c r="N164" s="1333"/>
      <c r="O164" s="1333"/>
      <c r="P164" s="1333"/>
      <c r="Q164" s="1333"/>
      <c r="R164" s="1333"/>
      <c r="S164" s="1333"/>
      <c r="T164" s="1333"/>
      <c r="U164" s="1333"/>
      <c r="V164" s="1333"/>
      <c r="W164" s="1333"/>
      <c r="X164" s="1333"/>
      <c r="Y164" s="283"/>
      <c r="Z164" s="240"/>
      <c r="AB164" s="19"/>
      <c r="AE164" s="101"/>
      <c r="AF164" s="101"/>
      <c r="AG164" s="101"/>
      <c r="AH164" s="101"/>
    </row>
    <row r="165" spans="1:43" ht="9" customHeight="1">
      <c r="A165" s="241"/>
      <c r="B165" s="241"/>
      <c r="C165" s="241"/>
      <c r="D165" s="241"/>
      <c r="E165" s="241"/>
      <c r="F165" s="241"/>
      <c r="G165" s="241"/>
      <c r="H165" s="242"/>
      <c r="I165" s="241"/>
      <c r="J165" s="241"/>
      <c r="K165" s="241"/>
      <c r="L165" s="241"/>
      <c r="M165" s="241"/>
      <c r="N165" s="241"/>
      <c r="O165" s="241"/>
      <c r="P165" s="241"/>
      <c r="Q165" s="241"/>
      <c r="R165" s="241"/>
      <c r="S165" s="241"/>
      <c r="T165" s="241"/>
      <c r="U165" s="241"/>
      <c r="V165" s="241"/>
      <c r="W165" s="241"/>
      <c r="X165" s="241"/>
      <c r="Y165" s="241"/>
      <c r="Z165" s="240"/>
      <c r="AA165" s="240"/>
      <c r="AB165" s="19"/>
      <c r="AE165" s="51"/>
    </row>
    <row r="166" spans="1:43" ht="18.75" customHeight="1">
      <c r="A166" s="243" t="str">
        <f>IF(ISBLANK(Formato!F146),"","Medición auxiliar")</f>
        <v>Medición auxiliar</v>
      </c>
      <c r="B166" s="241"/>
      <c r="C166" s="241"/>
      <c r="D166" s="241"/>
      <c r="E166" s="241"/>
      <c r="F166" s="241"/>
      <c r="G166" s="241"/>
      <c r="H166" s="242"/>
      <c r="I166" s="241"/>
      <c r="J166" s="241"/>
      <c r="K166" s="241"/>
      <c r="L166" s="241"/>
      <c r="M166" s="241"/>
      <c r="N166" s="241"/>
      <c r="O166" s="241"/>
      <c r="P166" s="241"/>
      <c r="Q166" s="241"/>
      <c r="R166" s="241"/>
      <c r="S166" s="241"/>
      <c r="T166" s="241"/>
      <c r="U166" s="241"/>
      <c r="V166" s="241"/>
      <c r="W166" s="241"/>
      <c r="X166" s="241"/>
      <c r="Y166" s="241"/>
      <c r="Z166" s="240"/>
      <c r="AA166" s="240"/>
      <c r="AB166" s="19"/>
      <c r="AE166" s="51"/>
    </row>
    <row r="167" spans="1:43" ht="12" customHeight="1">
      <c r="A167" s="241" t="str">
        <f>IF(ISBLANK(Formato!F146),"","Efecto de interacción magnética")</f>
        <v>Efecto de interacción magnética</v>
      </c>
      <c r="B167" s="241"/>
      <c r="C167" s="241"/>
      <c r="D167" s="241"/>
      <c r="E167" s="241"/>
      <c r="F167" s="241"/>
      <c r="G167" s="241"/>
      <c r="H167" s="242"/>
      <c r="I167" s="241"/>
      <c r="J167" s="241"/>
      <c r="K167" s="241"/>
      <c r="L167" s="241"/>
      <c r="M167" s="241"/>
      <c r="N167" s="241"/>
      <c r="O167" s="241"/>
      <c r="P167" s="241"/>
      <c r="Q167" s="241"/>
      <c r="R167" s="241"/>
      <c r="S167" s="241"/>
      <c r="T167" s="241"/>
      <c r="U167" s="241"/>
      <c r="V167" s="241"/>
      <c r="W167" s="241"/>
      <c r="X167" s="241"/>
      <c r="Y167" s="241"/>
      <c r="Z167" s="19"/>
      <c r="AA167" s="19"/>
      <c r="AB167" s="19"/>
      <c r="AE167" s="51"/>
    </row>
    <row r="168" spans="1:43" ht="12" customHeight="1">
      <c r="A168" s="241"/>
      <c r="B168" s="241"/>
      <c r="C168" s="241"/>
      <c r="D168" s="241"/>
      <c r="E168" s="241"/>
      <c r="F168" s="241"/>
      <c r="G168" s="241"/>
      <c r="H168" s="242"/>
      <c r="I168" s="241"/>
      <c r="J168" s="241"/>
      <c r="K168" s="241"/>
      <c r="L168" s="241"/>
      <c r="M168" s="241"/>
      <c r="N168" s="241"/>
      <c r="O168" s="241"/>
      <c r="P168" s="241"/>
      <c r="Q168" s="241"/>
      <c r="R168" s="241"/>
      <c r="S168" s="241"/>
      <c r="T168" s="241"/>
      <c r="U168" s="241"/>
      <c r="V168" s="241"/>
      <c r="W168" s="241"/>
      <c r="X168" s="241"/>
      <c r="Y168" s="241"/>
      <c r="Z168" s="19"/>
      <c r="AA168" s="19"/>
      <c r="AB168" s="19"/>
      <c r="AE168" s="51"/>
    </row>
    <row r="169" spans="1:43" ht="18" customHeight="1">
      <c r="A169" s="1410" t="str">
        <f>IF(ISBLANK(Formato!F146),"",Formato!B146)</f>
        <v>Indicación 1:</v>
      </c>
      <c r="B169" s="1411"/>
      <c r="C169" s="1411"/>
      <c r="D169" s="1340" t="str">
        <f>IF(ISBLANK(Formato!F146),"",FIXED(Formato!F146,Formato!AF22,TRUE))</f>
        <v>30,78274</v>
      </c>
      <c r="E169" s="1340"/>
      <c r="F169" s="1340"/>
      <c r="G169" s="284" t="str">
        <f>IF(ISBLANK(Formato!F146),"",Formato!L146)</f>
        <v>g</v>
      </c>
      <c r="H169" s="1336" t="str">
        <f>IF(ISBLANK(Formato!F146),"",Formato!M146)</f>
        <v>Indicación 2:</v>
      </c>
      <c r="I169" s="1336"/>
      <c r="J169" s="1336"/>
      <c r="K169" s="1371" t="str">
        <f>IF(ISBLANK(Formato!R146),"",FIXED(Formato!R146,Formato!AF22,TRUE))</f>
        <v>30,78274</v>
      </c>
      <c r="L169" s="1371"/>
      <c r="M169" s="284" t="str">
        <f>IF(ISBLANK(Formato!F146),"",Formato!W146)</f>
        <v>g</v>
      </c>
      <c r="N169" s="1409" t="str">
        <f>IF(ISBLANK(Formato!F146),"",Formato!X146)</f>
        <v>Diferencia:</v>
      </c>
      <c r="O169" s="1409"/>
      <c r="P169" s="1409"/>
      <c r="Q169" s="1371" t="str">
        <f>IF(ISBLANK(Formato!R146),"",FIXED(Formato!AB146,Formato!AF22,TRUE))</f>
        <v>0,00000</v>
      </c>
      <c r="R169" s="1371"/>
      <c r="S169" s="284" t="str">
        <f>IF(ISBLANK(Formato!F146),"",Formato!AF146)</f>
        <v>g</v>
      </c>
      <c r="T169" s="241"/>
      <c r="U169" s="241"/>
      <c r="V169" s="241"/>
      <c r="W169" s="241"/>
      <c r="X169" s="241"/>
      <c r="Y169" s="241"/>
      <c r="Z169" s="19"/>
      <c r="AA169" s="19"/>
      <c r="AB169" s="19"/>
      <c r="AE169" s="51"/>
    </row>
    <row r="170" spans="1:43" ht="9" customHeight="1">
      <c r="A170" s="241"/>
      <c r="B170" s="241"/>
      <c r="C170" s="241"/>
      <c r="D170" s="241"/>
      <c r="E170" s="241"/>
      <c r="F170" s="241"/>
      <c r="G170" s="241"/>
      <c r="H170" s="242"/>
      <c r="I170" s="241"/>
      <c r="J170" s="241"/>
      <c r="K170" s="241"/>
      <c r="L170" s="241"/>
      <c r="M170" s="241"/>
      <c r="N170" s="241"/>
      <c r="O170" s="241"/>
      <c r="P170" s="241"/>
      <c r="Q170" s="241"/>
      <c r="R170" s="241"/>
      <c r="S170" s="241"/>
      <c r="T170" s="241"/>
      <c r="U170" s="241"/>
      <c r="V170" s="241"/>
      <c r="W170" s="241"/>
      <c r="X170" s="241"/>
      <c r="Y170" s="241"/>
      <c r="Z170" s="51"/>
      <c r="AE170" s="51"/>
    </row>
    <row r="171" spans="1:43" ht="20.100000000000001" customHeight="1">
      <c r="A171" s="1364" t="s">
        <v>118</v>
      </c>
      <c r="B171" s="1364"/>
      <c r="C171" s="1364"/>
      <c r="D171" s="1364"/>
      <c r="E171" s="1364"/>
      <c r="F171" s="1364"/>
      <c r="G171" s="1364"/>
      <c r="H171" s="1364"/>
      <c r="I171" s="285"/>
      <c r="J171" s="285"/>
      <c r="K171" s="285"/>
      <c r="L171" s="285"/>
      <c r="M171" s="285"/>
      <c r="N171" s="285"/>
      <c r="O171" s="285"/>
      <c r="P171" s="285"/>
      <c r="Q171" s="285"/>
      <c r="R171" s="285"/>
      <c r="S171" s="285"/>
      <c r="T171" s="285"/>
      <c r="U171" s="285"/>
      <c r="V171" s="285"/>
      <c r="W171" s="285"/>
      <c r="X171" s="285"/>
      <c r="Y171" s="285"/>
      <c r="Z171" s="51"/>
      <c r="AE171" s="51"/>
    </row>
    <row r="172" spans="1:43" ht="20.100000000000001" customHeight="1">
      <c r="A172" s="1313" t="str">
        <f>CONCATENATE("La incertidumbre expandida de la medición reportada se establece como la incertidumbre estándar de medición multiplicada por el factor de  cobertura  k= ",IF(COUNT('Estimación de la Incertidumbre'!H39:R39)=0,"",MIN('Estimación de la Incertidumbre'!H39:R39))," y la probabilidad de Cobertura, la cual debe ser aproximada al 95 % y no menor a este valor.")</f>
        <v>La incertidumbre expandida de la medición reportada se establece como la incertidumbre estándar de medición multiplicada por el factor de  cobertura  k= 2,01 y la probabilidad de Cobertura, la cual debe ser aproximada al 95 % y no menor a este valor.</v>
      </c>
      <c r="B172" s="1313"/>
      <c r="C172" s="1313"/>
      <c r="D172" s="1313"/>
      <c r="E172" s="1313"/>
      <c r="F172" s="1313"/>
      <c r="G172" s="1313"/>
      <c r="H172" s="1313"/>
      <c r="I172" s="1313"/>
      <c r="J172" s="1313"/>
      <c r="K172" s="1313"/>
      <c r="L172" s="1313"/>
      <c r="M172" s="1313"/>
      <c r="N172" s="1313"/>
      <c r="O172" s="1313"/>
      <c r="P172" s="1313"/>
      <c r="Q172" s="1313"/>
      <c r="R172" s="1313"/>
      <c r="S172" s="1313"/>
      <c r="T172" s="1313"/>
      <c r="U172" s="1313"/>
      <c r="V172" s="1313"/>
      <c r="W172" s="1313"/>
      <c r="X172" s="1313"/>
      <c r="Y172" s="1313"/>
      <c r="Z172" s="51"/>
      <c r="AE172" s="51"/>
    </row>
    <row r="173" spans="1:43" ht="20.100000000000001" customHeight="1">
      <c r="A173" s="1313"/>
      <c r="B173" s="1313"/>
      <c r="C173" s="1313"/>
      <c r="D173" s="1313"/>
      <c r="E173" s="1313"/>
      <c r="F173" s="1313"/>
      <c r="G173" s="1313"/>
      <c r="H173" s="1313"/>
      <c r="I173" s="1313"/>
      <c r="J173" s="1313"/>
      <c r="K173" s="1313"/>
      <c r="L173" s="1313"/>
      <c r="M173" s="1313"/>
      <c r="N173" s="1313"/>
      <c r="O173" s="1313"/>
      <c r="P173" s="1313"/>
      <c r="Q173" s="1313"/>
      <c r="R173" s="1313"/>
      <c r="S173" s="1313"/>
      <c r="T173" s="1313"/>
      <c r="U173" s="1313"/>
      <c r="V173" s="1313"/>
      <c r="W173" s="1313"/>
      <c r="X173" s="1313"/>
      <c r="Y173" s="1313"/>
      <c r="Z173" s="51"/>
      <c r="AE173" s="51"/>
    </row>
    <row r="174" spans="1:43" s="18" customFormat="1" ht="11.25" customHeight="1">
      <c r="A174" s="1302" t="s">
        <v>1229</v>
      </c>
      <c r="B174" s="1302"/>
      <c r="C174" s="1302"/>
      <c r="D174" s="1302"/>
      <c r="E174" s="1302"/>
      <c r="F174" s="1302"/>
      <c r="G174" s="1302"/>
      <c r="H174" s="1302"/>
      <c r="I174" s="1302"/>
      <c r="J174" s="1302"/>
      <c r="K174" s="1302"/>
      <c r="L174" s="1302"/>
      <c r="M174" s="1302"/>
      <c r="N174" s="1302"/>
      <c r="O174" s="1302"/>
      <c r="P174" s="1302"/>
      <c r="Q174" s="1302"/>
      <c r="R174" s="1302"/>
      <c r="S174" s="1302"/>
      <c r="T174" s="1302"/>
      <c r="U174" s="1302"/>
      <c r="V174" s="1302"/>
      <c r="W174" s="1302"/>
      <c r="X174" s="1302"/>
      <c r="Y174" s="1302"/>
      <c r="AA174" s="306"/>
      <c r="AB174" s="306"/>
      <c r="AC174" s="306"/>
      <c r="AD174" s="306"/>
      <c r="AE174" s="306"/>
      <c r="AP174" s="565"/>
      <c r="AQ174" s="565"/>
    </row>
    <row r="175" spans="1:43" ht="20.100000000000001" customHeight="1">
      <c r="A175" s="1302"/>
      <c r="B175" s="1302"/>
      <c r="C175" s="1302"/>
      <c r="D175" s="1302"/>
      <c r="E175" s="1302"/>
      <c r="F175" s="1302"/>
      <c r="G175" s="1302"/>
      <c r="H175" s="1302"/>
      <c r="I175" s="1302"/>
      <c r="J175" s="1302"/>
      <c r="K175" s="1302"/>
      <c r="L175" s="1302"/>
      <c r="M175" s="1302"/>
      <c r="N175" s="1302"/>
      <c r="O175" s="1302"/>
      <c r="P175" s="1302"/>
      <c r="Q175" s="1302"/>
      <c r="R175" s="1302"/>
      <c r="S175" s="1302"/>
      <c r="T175" s="1302"/>
      <c r="U175" s="1302"/>
      <c r="V175" s="1302"/>
      <c r="W175" s="1302"/>
      <c r="X175" s="1302"/>
      <c r="Y175" s="1302"/>
      <c r="AE175" s="51"/>
    </row>
    <row r="176" spans="1:43" ht="6.75" customHeight="1">
      <c r="A176" s="1302"/>
      <c r="B176" s="1302"/>
      <c r="C176" s="1302"/>
      <c r="D176" s="1302"/>
      <c r="E176" s="1302"/>
      <c r="F176" s="1302"/>
      <c r="G176" s="1302"/>
      <c r="H176" s="1302"/>
      <c r="I176" s="1302"/>
      <c r="J176" s="1302"/>
      <c r="K176" s="1302"/>
      <c r="L176" s="1302"/>
      <c r="M176" s="1302"/>
      <c r="N176" s="1302"/>
      <c r="O176" s="1302"/>
      <c r="P176" s="1302"/>
      <c r="Q176" s="1302"/>
      <c r="R176" s="1302"/>
      <c r="S176" s="1302"/>
      <c r="T176" s="1302"/>
      <c r="U176" s="1302"/>
      <c r="V176" s="1302"/>
      <c r="W176" s="1302"/>
      <c r="X176" s="1302"/>
      <c r="Y176" s="1302"/>
      <c r="Z176" s="51"/>
      <c r="AE176" s="51"/>
    </row>
    <row r="177" spans="1:43" ht="22.5" customHeight="1">
      <c r="A177" s="1302" t="s">
        <v>1041</v>
      </c>
      <c r="B177" s="1302"/>
      <c r="C177" s="1302"/>
      <c r="D177" s="1302"/>
      <c r="E177" s="1302"/>
      <c r="F177" s="1302"/>
      <c r="G177" s="1302"/>
      <c r="H177" s="1302"/>
      <c r="I177" s="1302"/>
      <c r="J177" s="1302"/>
      <c r="K177" s="1302"/>
      <c r="L177" s="1302"/>
      <c r="M177" s="1302"/>
      <c r="N177" s="1302"/>
      <c r="O177" s="1302"/>
      <c r="P177" s="1302"/>
      <c r="Q177" s="1302"/>
      <c r="R177" s="1302"/>
      <c r="S177" s="1302"/>
      <c r="T177" s="1302"/>
      <c r="U177" s="1302"/>
      <c r="V177" s="1302"/>
      <c r="W177" s="1302"/>
      <c r="X177" s="1302"/>
      <c r="Y177" s="1302"/>
    </row>
    <row r="178" spans="1:43" ht="18.75" customHeight="1">
      <c r="A178" s="285"/>
      <c r="B178" s="1446">
        <f>IF(AB128=0,MAX(AC129:AC138),MAX(AC128:AC138))</f>
        <v>2.4000000000000002E-3</v>
      </c>
      <c r="C178" s="1447"/>
      <c r="D178" s="1447"/>
      <c r="E178" s="1447"/>
      <c r="F178" s="1448"/>
      <c r="G178" s="308"/>
      <c r="H178" s="308"/>
      <c r="I178" s="308"/>
      <c r="J178" s="308"/>
      <c r="K178" s="308"/>
      <c r="L178" s="241"/>
      <c r="M178" s="241"/>
      <c r="N178" s="241"/>
      <c r="O178" s="241"/>
      <c r="P178" s="241"/>
      <c r="Q178" s="241"/>
      <c r="R178" s="285"/>
      <c r="S178" s="285"/>
      <c r="T178" s="285"/>
      <c r="U178" s="285"/>
      <c r="V178" s="285"/>
      <c r="W178" s="285"/>
      <c r="X178" s="285"/>
      <c r="Y178" s="285"/>
    </row>
    <row r="179" spans="1:43" ht="1.5" customHeight="1">
      <c r="A179" s="285"/>
      <c r="B179" s="248"/>
      <c r="C179" s="286"/>
      <c r="D179" s="286"/>
      <c r="E179" s="286"/>
      <c r="F179" s="248"/>
      <c r="G179" s="248"/>
      <c r="H179" s="287"/>
      <c r="I179" s="288"/>
      <c r="J179" s="288"/>
      <c r="K179" s="248"/>
      <c r="L179" s="241"/>
      <c r="M179" s="241"/>
      <c r="N179" s="241"/>
      <c r="O179" s="241"/>
      <c r="P179" s="241"/>
      <c r="Q179" s="241"/>
      <c r="R179" s="285"/>
      <c r="S179" s="285"/>
      <c r="T179" s="285"/>
      <c r="U179" s="285"/>
      <c r="V179" s="285"/>
      <c r="W179" s="285"/>
      <c r="X179" s="285"/>
      <c r="Y179" s="285"/>
    </row>
    <row r="180" spans="1:43" ht="1.5" customHeight="1">
      <c r="A180" s="252"/>
      <c r="B180" s="285"/>
      <c r="C180" s="289"/>
      <c r="D180" s="289"/>
      <c r="E180" s="289"/>
      <c r="F180" s="285"/>
      <c r="G180" s="285"/>
      <c r="H180" s="285"/>
      <c r="I180" s="289"/>
      <c r="J180" s="289"/>
      <c r="K180" s="285"/>
      <c r="L180" s="241"/>
      <c r="M180" s="241"/>
      <c r="N180" s="241"/>
      <c r="O180" s="241"/>
      <c r="P180" s="241"/>
      <c r="Q180" s="241"/>
      <c r="R180" s="289"/>
      <c r="S180" s="289"/>
      <c r="T180" s="289"/>
      <c r="U180" s="289"/>
      <c r="V180" s="289"/>
      <c r="W180" s="289"/>
      <c r="X180" s="289"/>
      <c r="Y180" s="285"/>
    </row>
    <row r="181" spans="1:43" ht="1.5" customHeight="1">
      <c r="A181" s="1449"/>
      <c r="B181" s="1449"/>
      <c r="C181" s="1449"/>
      <c r="D181" s="1449"/>
      <c r="E181" s="1449"/>
      <c r="F181" s="1449"/>
      <c r="G181" s="1449"/>
      <c r="H181" s="285"/>
      <c r="I181" s="285"/>
      <c r="J181" s="285"/>
      <c r="K181" s="285"/>
      <c r="L181" s="285"/>
      <c r="M181" s="285"/>
      <c r="N181" s="285"/>
      <c r="O181" s="290"/>
      <c r="P181" s="285"/>
      <c r="Q181" s="285"/>
      <c r="R181" s="285"/>
      <c r="S181" s="285"/>
      <c r="T181" s="285"/>
      <c r="U181" s="1450"/>
      <c r="V181" s="1450"/>
      <c r="W181" s="1450"/>
      <c r="X181" s="285"/>
      <c r="Y181" s="285"/>
    </row>
    <row r="182" spans="1:43" ht="1.5" customHeight="1">
      <c r="A182" s="241"/>
      <c r="B182" s="241"/>
      <c r="C182" s="241"/>
      <c r="D182" s="241"/>
      <c r="E182" s="241"/>
      <c r="F182" s="241"/>
      <c r="G182" s="241"/>
      <c r="H182" s="241"/>
      <c r="I182" s="241"/>
      <c r="J182" s="241"/>
      <c r="K182" s="241"/>
      <c r="L182" s="241"/>
      <c r="M182" s="241"/>
      <c r="N182" s="241"/>
      <c r="O182" s="241"/>
      <c r="P182" s="241"/>
      <c r="Q182" s="241"/>
      <c r="R182" s="241"/>
      <c r="S182" s="241"/>
      <c r="T182" s="241"/>
      <c r="U182" s="241"/>
      <c r="V182" s="241"/>
      <c r="W182" s="241"/>
      <c r="X182" s="241"/>
      <c r="Y182" s="241"/>
    </row>
    <row r="183" spans="1:43" s="18" customFormat="1" ht="24" customHeight="1">
      <c r="A183" s="546" t="s">
        <v>26</v>
      </c>
      <c r="B183" s="547"/>
      <c r="C183" s="547"/>
      <c r="D183" s="547"/>
      <c r="E183" s="547"/>
      <c r="F183" s="547"/>
      <c r="G183" s="547"/>
      <c r="H183" s="547"/>
      <c r="I183" s="547"/>
      <c r="J183" s="547"/>
      <c r="K183" s="547"/>
      <c r="L183" s="547"/>
      <c r="M183" s="547"/>
      <c r="N183" s="547"/>
      <c r="O183" s="547"/>
      <c r="P183" s="547"/>
      <c r="Q183" s="547"/>
      <c r="R183" s="547"/>
      <c r="S183" s="547"/>
      <c r="T183" s="547"/>
      <c r="U183" s="547"/>
      <c r="V183" s="547"/>
      <c r="W183" s="547"/>
      <c r="X183" s="547"/>
      <c r="Y183" s="267"/>
      <c r="AP183" s="565"/>
      <c r="AQ183" s="565"/>
    </row>
    <row r="184" spans="1:43" ht="76.5" customHeight="1">
      <c r="A184" s="1334" t="s">
        <v>1483</v>
      </c>
      <c r="B184" s="1334"/>
      <c r="C184" s="1334"/>
      <c r="D184" s="1334"/>
      <c r="E184" s="1334"/>
      <c r="F184" s="1334"/>
      <c r="G184" s="1334"/>
      <c r="H184" s="1334"/>
      <c r="I184" s="1334"/>
      <c r="J184" s="1334"/>
      <c r="K184" s="1334"/>
      <c r="L184" s="1334"/>
      <c r="M184" s="1334"/>
      <c r="N184" s="1334"/>
      <c r="O184" s="1334"/>
      <c r="P184" s="1334"/>
      <c r="Q184" s="1334"/>
      <c r="R184" s="1334"/>
      <c r="S184" s="1334"/>
      <c r="T184" s="1334"/>
      <c r="U184" s="1334"/>
      <c r="V184" s="1334"/>
      <c r="W184" s="1334"/>
      <c r="X184" s="1334"/>
      <c r="Y184" s="1334"/>
    </row>
    <row r="185" spans="1:43" ht="3.75" customHeight="1">
      <c r="A185" s="1334"/>
      <c r="B185" s="1334"/>
      <c r="C185" s="1334"/>
      <c r="D185" s="1334"/>
      <c r="E185" s="1334"/>
      <c r="F185" s="1334"/>
      <c r="G185" s="1334"/>
      <c r="H185" s="1334"/>
      <c r="I185" s="1334"/>
      <c r="J185" s="1334"/>
      <c r="K185" s="1334"/>
      <c r="L185" s="1334"/>
      <c r="M185" s="1334"/>
      <c r="N185" s="1334"/>
      <c r="O185" s="1334"/>
      <c r="P185" s="1334"/>
      <c r="Q185" s="1334"/>
      <c r="R185" s="1334"/>
      <c r="S185" s="1334"/>
      <c r="T185" s="1334"/>
      <c r="U185" s="1334"/>
      <c r="V185" s="1334"/>
      <c r="W185" s="1334"/>
      <c r="X185" s="1334"/>
      <c r="Y185" s="1334"/>
    </row>
    <row r="186" spans="1:43" ht="35.25" customHeight="1">
      <c r="A186" s="1442" t="str">
        <f>IF(OR(Formato!AL76="",Formato!AL76="N.A.")," N.A. No se aplicó declaración de conformidad.",CONCATENATE(Formato!AJ79,Formato!AJ80," Y especificación según ",Formato!AJ78))</f>
        <v xml:space="preserve"> N.A. No se aplicó declaración de conformidad.</v>
      </c>
      <c r="B186" s="1442"/>
      <c r="C186" s="1442"/>
      <c r="D186" s="1442"/>
      <c r="E186" s="1442"/>
      <c r="F186" s="1442"/>
      <c r="G186" s="1442"/>
      <c r="H186" s="1442"/>
      <c r="I186" s="1442"/>
      <c r="J186" s="1442"/>
      <c r="K186" s="1442"/>
      <c r="L186" s="1442"/>
      <c r="M186" s="1442"/>
      <c r="N186" s="1442"/>
      <c r="O186" s="1442"/>
      <c r="P186" s="1442"/>
      <c r="Q186" s="1442"/>
      <c r="R186" s="1442"/>
      <c r="S186" s="1442"/>
      <c r="T186" s="1442"/>
      <c r="U186" s="1442"/>
      <c r="V186" s="1442"/>
      <c r="W186" s="1442"/>
      <c r="X186" s="1442"/>
      <c r="Y186" s="1442"/>
    </row>
    <row r="187" spans="1:43" ht="36.75" customHeight="1">
      <c r="A187" s="1334" t="s">
        <v>106</v>
      </c>
      <c r="B187" s="1334"/>
      <c r="C187" s="1334"/>
      <c r="D187" s="1334"/>
      <c r="E187" s="1334"/>
      <c r="F187" s="1334"/>
      <c r="G187" s="1334"/>
      <c r="H187" s="1334"/>
      <c r="I187" s="1334"/>
      <c r="J187" s="1334"/>
      <c r="K187" s="1334"/>
      <c r="L187" s="1334"/>
      <c r="M187" s="1334"/>
      <c r="N187" s="1334"/>
      <c r="O187" s="1334"/>
      <c r="P187" s="1334"/>
      <c r="Q187" s="1334"/>
      <c r="R187" s="1334"/>
      <c r="S187" s="1334"/>
      <c r="T187" s="1334"/>
      <c r="U187" s="1334"/>
      <c r="V187" s="1334"/>
      <c r="W187" s="1334"/>
      <c r="X187" s="1334"/>
      <c r="Y187" s="1334"/>
      <c r="Z187" s="51"/>
      <c r="AE187" s="51"/>
    </row>
    <row r="188" spans="1:43" ht="26.25" customHeight="1">
      <c r="A188" s="1302" t="str">
        <f>IF(Formato!I206=1,CONCATENATE(Formato!I204,"                                                                                                                                                                                                                ",Formato!I205),CONCATENATE(Formato!I204))</f>
        <v xml:space="preserve">**  El resultado reportado no se encuentra dentro del alcance acreditado ONAC.                                                                                                                                                                                                                </v>
      </c>
      <c r="B188" s="1302"/>
      <c r="C188" s="1302"/>
      <c r="D188" s="1302"/>
      <c r="E188" s="1302"/>
      <c r="F188" s="1302"/>
      <c r="G188" s="1302"/>
      <c r="H188" s="1302"/>
      <c r="I188" s="1302"/>
      <c r="J188" s="1302"/>
      <c r="K188" s="1302"/>
      <c r="L188" s="1302"/>
      <c r="M188" s="1302"/>
      <c r="N188" s="1302"/>
      <c r="O188" s="1302"/>
      <c r="P188" s="1302"/>
      <c r="Q188" s="1302"/>
      <c r="R188" s="1302"/>
      <c r="S188" s="1302"/>
      <c r="T188" s="1302"/>
      <c r="U188" s="1302"/>
      <c r="V188" s="1302"/>
      <c r="W188" s="1302"/>
      <c r="X188" s="1302"/>
      <c r="Y188" s="1302"/>
      <c r="Z188" s="51"/>
      <c r="AE188" s="51"/>
    </row>
    <row r="189" spans="1:43" ht="51.75" customHeight="1">
      <c r="A189" s="1334" t="s">
        <v>1470</v>
      </c>
      <c r="B189" s="1334"/>
      <c r="C189" s="1334"/>
      <c r="D189" s="1334"/>
      <c r="E189" s="1334"/>
      <c r="F189" s="1334"/>
      <c r="G189" s="1334"/>
      <c r="H189" s="1334"/>
      <c r="I189" s="1334"/>
      <c r="J189" s="1334"/>
      <c r="K189" s="1334"/>
      <c r="L189" s="1334"/>
      <c r="M189" s="1334"/>
      <c r="N189" s="1334"/>
      <c r="O189" s="1334"/>
      <c r="P189" s="1334"/>
      <c r="Q189" s="1334"/>
      <c r="R189" s="1334"/>
      <c r="S189" s="1334"/>
      <c r="T189" s="1334"/>
      <c r="U189" s="1334"/>
      <c r="V189" s="1334"/>
      <c r="W189" s="1334"/>
      <c r="X189" s="1334"/>
      <c r="Y189" s="1334"/>
      <c r="Z189" s="51"/>
      <c r="AE189" s="51"/>
    </row>
    <row r="190" spans="1:43" ht="3.75" customHeight="1">
      <c r="A190" s="248"/>
      <c r="B190" s="248"/>
      <c r="C190" s="248"/>
      <c r="D190" s="248"/>
      <c r="E190" s="248"/>
      <c r="F190" s="248"/>
      <c r="G190" s="248"/>
      <c r="H190" s="248"/>
      <c r="I190" s="248"/>
      <c r="J190" s="248"/>
      <c r="K190" s="248"/>
      <c r="L190" s="248"/>
      <c r="M190" s="248"/>
      <c r="N190" s="248"/>
      <c r="O190" s="248"/>
      <c r="P190" s="248"/>
      <c r="Q190" s="248"/>
      <c r="R190" s="248"/>
      <c r="S190" s="248"/>
      <c r="T190" s="248"/>
      <c r="U190" s="248"/>
      <c r="V190" s="248"/>
      <c r="W190" s="248"/>
      <c r="X190" s="248"/>
      <c r="Y190" s="248"/>
      <c r="Z190" s="51"/>
      <c r="AE190" s="51"/>
    </row>
    <row r="191" spans="1:43" ht="21" customHeight="1">
      <c r="A191" s="1302" t="s">
        <v>1477</v>
      </c>
      <c r="B191" s="1302"/>
      <c r="C191" s="1302"/>
      <c r="D191" s="1302"/>
      <c r="E191" s="1302"/>
      <c r="F191" s="1302"/>
      <c r="G191" s="1302"/>
      <c r="H191" s="1302"/>
      <c r="I191" s="1302"/>
      <c r="J191" s="1302"/>
      <c r="K191" s="1302"/>
      <c r="L191" s="1302"/>
      <c r="M191" s="1302"/>
      <c r="N191" s="1302"/>
      <c r="O191" s="1302"/>
      <c r="P191" s="1302"/>
      <c r="Q191" s="1302"/>
      <c r="R191" s="1302"/>
      <c r="S191" s="1302"/>
      <c r="T191" s="1302"/>
      <c r="U191" s="1302"/>
      <c r="V191" s="1302"/>
      <c r="W191" s="1302"/>
      <c r="X191" s="1302"/>
      <c r="Y191" s="1302"/>
      <c r="Z191" s="51"/>
      <c r="AE191" s="51"/>
    </row>
    <row r="192" spans="1:43" ht="16.5" customHeight="1">
      <c r="A192" s="1341" t="str">
        <f>IF(Formato!W47="NO","5- El instrumento fue ajustado con previa autorización del cliente, con las masas utilizadas para calibracion.",IF(Formato!W47="SI","5- Al instrumento se le realizó ajuste con masas del cliente.",IF(Formato!W47="N/A","5- No se realiza ajuste.",)))</f>
        <v>5- No se realiza ajuste.</v>
      </c>
      <c r="B192" s="1341"/>
      <c r="C192" s="1341"/>
      <c r="D192" s="1341"/>
      <c r="E192" s="1341"/>
      <c r="F192" s="1341"/>
      <c r="G192" s="1341"/>
      <c r="H192" s="1341"/>
      <c r="I192" s="1341"/>
      <c r="J192" s="1341"/>
      <c r="K192" s="1341"/>
      <c r="L192" s="1341"/>
      <c r="M192" s="1341"/>
      <c r="N192" s="1341"/>
      <c r="O192" s="1341"/>
      <c r="P192" s="1341"/>
      <c r="Q192" s="1341"/>
      <c r="R192" s="1341"/>
      <c r="S192" s="1341"/>
      <c r="T192" s="1341"/>
      <c r="U192" s="1341"/>
      <c r="V192" s="1341"/>
      <c r="W192" s="1341"/>
      <c r="X192" s="1341"/>
      <c r="Y192" s="1341"/>
      <c r="Z192" s="51"/>
      <c r="AE192" s="51"/>
    </row>
    <row r="193" spans="1:31" ht="36" customHeight="1">
      <c r="A193" s="1302" t="s">
        <v>1484</v>
      </c>
      <c r="B193" s="1302"/>
      <c r="C193" s="1302"/>
      <c r="D193" s="1302"/>
      <c r="E193" s="1302"/>
      <c r="F193" s="1302"/>
      <c r="G193" s="1302"/>
      <c r="H193" s="1302"/>
      <c r="I193" s="1302"/>
      <c r="J193" s="1302"/>
      <c r="K193" s="1302"/>
      <c r="L193" s="1302"/>
      <c r="M193" s="1302"/>
      <c r="N193" s="1302"/>
      <c r="O193" s="1302"/>
      <c r="P193" s="1302"/>
      <c r="Q193" s="1302"/>
      <c r="R193" s="1302"/>
      <c r="S193" s="1302"/>
      <c r="T193" s="1302"/>
      <c r="U193" s="1302"/>
      <c r="V193" s="1302"/>
      <c r="W193" s="1302"/>
      <c r="X193" s="1302"/>
      <c r="Y193" s="1302"/>
      <c r="Z193" s="51"/>
      <c r="AE193" s="51"/>
    </row>
    <row r="194" spans="1:31" ht="33.75" customHeight="1">
      <c r="A194" s="1341" t="str">
        <f>IF(Formato!F146-Formato!R146&gt;=0.00002,"7-De acuerdo al resultado de la verificación para detectar si existe efecto de interacción magnética, se informa al cliente que el instrumento presenta interacción magnética",IF(AND(P92="----",Formato!AE72="x"),"7- ( --- ) Por las características de construcción del equipo, no es posible realizar la prueba de excentricidad de carga.",""))</f>
        <v/>
      </c>
      <c r="B194" s="1341"/>
      <c r="C194" s="1341"/>
      <c r="D194" s="1341"/>
      <c r="E194" s="1341"/>
      <c r="F194" s="1341"/>
      <c r="G194" s="1341"/>
      <c r="H194" s="1341"/>
      <c r="I194" s="1341"/>
      <c r="J194" s="1341"/>
      <c r="K194" s="1341"/>
      <c r="L194" s="1341"/>
      <c r="M194" s="1341"/>
      <c r="N194" s="1341"/>
      <c r="O194" s="1341"/>
      <c r="P194" s="1341"/>
      <c r="Q194" s="1341"/>
      <c r="R194" s="1341"/>
      <c r="S194" s="1341"/>
      <c r="T194" s="1341"/>
      <c r="U194" s="1341"/>
      <c r="V194" s="1341"/>
      <c r="W194" s="1341"/>
      <c r="X194" s="1341"/>
      <c r="Y194" s="1341"/>
      <c r="Z194" s="51"/>
      <c r="AE194" s="51"/>
    </row>
    <row r="195" spans="1:31" ht="15.75" customHeight="1">
      <c r="A195" s="1315" t="str">
        <f>IF(Formato!C161="","",Formato!C161)</f>
        <v/>
      </c>
      <c r="B195" s="1315"/>
      <c r="C195" s="1315"/>
      <c r="D195" s="1315"/>
      <c r="E195" s="1315"/>
      <c r="F195" s="1315"/>
      <c r="G195" s="1315"/>
      <c r="H195" s="1315"/>
      <c r="I195" s="1315"/>
      <c r="J195" s="1315"/>
      <c r="K195" s="1315"/>
      <c r="L195" s="1315"/>
      <c r="M195" s="1315"/>
      <c r="N195" s="1315"/>
      <c r="O195" s="1315"/>
      <c r="P195" s="1315"/>
      <c r="Q195" s="1315"/>
      <c r="R195" s="1315"/>
      <c r="S195" s="1315"/>
      <c r="T195" s="1315"/>
      <c r="U195" s="1315"/>
      <c r="V195" s="1315"/>
      <c r="W195" s="1315"/>
      <c r="X195" s="1315"/>
      <c r="Y195" s="1315"/>
      <c r="Z195" s="51"/>
      <c r="AE195" s="51"/>
    </row>
    <row r="196" spans="1:31">
      <c r="A196" s="1315" t="str">
        <f>IF(Formato!C162="","",Formato!C162)</f>
        <v/>
      </c>
      <c r="B196" s="1315"/>
      <c r="C196" s="1315"/>
      <c r="D196" s="1315"/>
      <c r="E196" s="1315"/>
      <c r="F196" s="1315"/>
      <c r="G196" s="1315"/>
      <c r="H196" s="1315"/>
      <c r="I196" s="1315"/>
      <c r="J196" s="1315"/>
      <c r="K196" s="1315"/>
      <c r="L196" s="1315"/>
      <c r="M196" s="1315"/>
      <c r="N196" s="1315"/>
      <c r="O196" s="1315"/>
      <c r="P196" s="1315"/>
      <c r="Q196" s="1315"/>
      <c r="R196" s="1315"/>
      <c r="S196" s="1315"/>
      <c r="T196" s="1315"/>
      <c r="U196" s="1315"/>
      <c r="V196" s="1315"/>
      <c r="W196" s="1315"/>
      <c r="X196" s="1315"/>
      <c r="Y196" s="1315"/>
      <c r="Z196" s="51"/>
      <c r="AE196" s="51"/>
    </row>
    <row r="197" spans="1:31" ht="15" customHeight="1">
      <c r="A197" s="1339"/>
      <c r="B197" s="1339"/>
      <c r="C197" s="1339"/>
      <c r="D197" s="1339"/>
      <c r="E197" s="1339"/>
      <c r="F197" s="241"/>
      <c r="G197" s="1339"/>
      <c r="H197" s="1339"/>
      <c r="I197" s="1339"/>
      <c r="J197" s="1339"/>
      <c r="K197" s="241"/>
      <c r="L197" s="241"/>
      <c r="M197" s="1474"/>
      <c r="N197" s="1474"/>
      <c r="O197" s="1474"/>
      <c r="P197" s="1474"/>
      <c r="Q197" s="1474"/>
      <c r="R197" s="1474"/>
      <c r="S197" s="1474"/>
      <c r="T197" s="1474"/>
      <c r="U197" s="241"/>
      <c r="V197" s="1335" t="s">
        <v>144</v>
      </c>
      <c r="W197" s="1335"/>
      <c r="X197" s="1335"/>
      <c r="Y197" s="1335"/>
      <c r="Z197" s="51"/>
      <c r="AE197" s="51"/>
    </row>
    <row r="198" spans="1:31">
      <c r="A198" s="248"/>
      <c r="B198" s="248"/>
      <c r="C198" s="248"/>
      <c r="D198" s="248"/>
      <c r="E198" s="248"/>
      <c r="F198" s="248"/>
      <c r="G198" s="248"/>
      <c r="H198" s="248"/>
      <c r="I198" s="248"/>
      <c r="J198" s="248"/>
      <c r="K198" s="248"/>
      <c r="L198" s="248"/>
      <c r="M198" s="248"/>
      <c r="N198" s="248"/>
      <c r="O198" s="248"/>
      <c r="P198" s="248"/>
      <c r="Q198" s="248"/>
      <c r="R198" s="248"/>
      <c r="S198" s="248"/>
      <c r="T198" s="248"/>
      <c r="U198" s="248"/>
      <c r="V198" s="280"/>
      <c r="W198" s="1330" t="str">
        <f>W140</f>
        <v>LC-FR-20 V12</v>
      </c>
      <c r="X198" s="1330"/>
      <c r="Y198" s="1330"/>
      <c r="Z198" s="51"/>
      <c r="AE198" s="51"/>
    </row>
    <row r="199" spans="1:31">
      <c r="A199" s="1444" t="s">
        <v>117</v>
      </c>
      <c r="B199" s="1444"/>
      <c r="C199" s="1444"/>
      <c r="D199" s="1444"/>
      <c r="E199" s="1444"/>
      <c r="F199" s="1444"/>
      <c r="G199" s="1444"/>
      <c r="H199" s="1444"/>
      <c r="I199" s="1444"/>
      <c r="J199" s="1444"/>
      <c r="K199" s="1444"/>
      <c r="L199" s="1444"/>
      <c r="M199" s="1444"/>
      <c r="N199" s="1444"/>
      <c r="O199" s="1444"/>
      <c r="P199" s="1444"/>
      <c r="Q199" s="1444"/>
      <c r="R199" s="1444"/>
      <c r="S199" s="1444"/>
      <c r="T199" s="1444"/>
      <c r="U199" s="1444"/>
      <c r="V199" s="1444"/>
      <c r="W199" s="1444"/>
      <c r="X199" s="1444"/>
      <c r="Y199" s="1444"/>
    </row>
    <row r="200" spans="1:31" ht="14.25" customHeight="1">
      <c r="A200" s="241"/>
      <c r="B200" s="241"/>
      <c r="C200" s="241"/>
      <c r="D200" s="241"/>
      <c r="E200" s="241"/>
      <c r="F200" s="241"/>
      <c r="G200" s="241"/>
      <c r="H200" s="242"/>
      <c r="I200" s="241"/>
      <c r="J200" s="241"/>
      <c r="K200" s="241"/>
      <c r="L200" s="241"/>
      <c r="M200" s="241"/>
      <c r="N200" s="241"/>
      <c r="O200" s="241"/>
      <c r="P200" s="241"/>
      <c r="Q200" s="241"/>
      <c r="R200" s="241"/>
      <c r="S200" s="241"/>
      <c r="T200" s="241"/>
      <c r="U200" s="241"/>
      <c r="V200" s="241"/>
      <c r="W200" s="241"/>
      <c r="X200" s="241"/>
      <c r="Y200" s="241"/>
    </row>
    <row r="201" spans="1:31">
      <c r="AD201" s="351"/>
    </row>
    <row r="202" spans="1:31" ht="19.5" customHeight="1">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row>
    <row r="203" spans="1:31" ht="20.25" customHeight="1">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row>
    <row r="204" spans="1:31">
      <c r="B204" s="19"/>
      <c r="C204" s="19"/>
      <c r="D204" s="19"/>
      <c r="F204" s="19"/>
      <c r="G204" s="19"/>
      <c r="H204" s="20"/>
      <c r="I204" s="19"/>
      <c r="J204" s="19"/>
      <c r="K204" s="19"/>
      <c r="L204" s="19"/>
      <c r="M204" s="19"/>
      <c r="N204" s="19"/>
      <c r="O204" s="19"/>
      <c r="P204" s="19"/>
      <c r="Q204" s="19"/>
      <c r="R204" s="19"/>
      <c r="S204" s="19"/>
      <c r="T204" s="19"/>
      <c r="U204" s="19"/>
      <c r="V204" s="19"/>
      <c r="W204" s="19"/>
      <c r="X204" s="19"/>
      <c r="Y204" s="19"/>
    </row>
    <row r="205" spans="1:31">
      <c r="A205" s="1443"/>
      <c r="B205" s="1443"/>
      <c r="C205" s="1443"/>
      <c r="D205" s="1443"/>
      <c r="E205" s="20"/>
    </row>
    <row r="206" spans="1:31" ht="23.25">
      <c r="A206" s="1379" t="s">
        <v>982</v>
      </c>
      <c r="B206" s="1380"/>
      <c r="C206" s="1380"/>
      <c r="D206" s="1380"/>
      <c r="E206" s="1380"/>
      <c r="F206" s="1380"/>
      <c r="G206" s="1380"/>
      <c r="H206" s="1380"/>
      <c r="I206" s="1380"/>
      <c r="J206" s="1380"/>
      <c r="K206" s="1380"/>
      <c r="L206" s="1380"/>
      <c r="M206" s="1380"/>
      <c r="N206" s="1380"/>
      <c r="O206" s="1380"/>
      <c r="P206" s="1380"/>
      <c r="Q206" s="1380"/>
      <c r="R206" s="1380"/>
      <c r="S206" s="1380"/>
      <c r="T206" s="1380"/>
      <c r="U206" s="1380"/>
      <c r="V206" s="1380"/>
      <c r="W206" s="1380"/>
      <c r="X206" s="1380"/>
      <c r="Y206" s="1381"/>
    </row>
    <row r="207" spans="1:31">
      <c r="A207" s="1382" t="s">
        <v>1071</v>
      </c>
      <c r="B207" s="1383"/>
      <c r="C207" s="1383"/>
      <c r="D207" s="1384" t="s">
        <v>1072</v>
      </c>
      <c r="E207" s="1385"/>
      <c r="F207" s="1385"/>
      <c r="G207" s="1385"/>
      <c r="H207" s="1385"/>
      <c r="I207" s="1385"/>
      <c r="J207" s="1385"/>
      <c r="K207" s="1385"/>
      <c r="L207" s="1385"/>
      <c r="M207" s="1385"/>
      <c r="N207" s="1385"/>
      <c r="O207" s="1385"/>
      <c r="P207" s="1385"/>
      <c r="Q207" s="1385"/>
      <c r="R207" s="1385"/>
      <c r="S207" s="1386"/>
      <c r="T207" s="1383" t="s">
        <v>1073</v>
      </c>
      <c r="U207" s="1383"/>
      <c r="V207" s="1383"/>
      <c r="W207" s="1383"/>
      <c r="X207" s="1383"/>
      <c r="Y207" s="1383"/>
    </row>
    <row r="208" spans="1:31" ht="79.5" customHeight="1">
      <c r="A208" s="1353">
        <v>12</v>
      </c>
      <c r="B208" s="1353"/>
      <c r="C208" s="1354"/>
      <c r="D208" s="1378" t="s">
        <v>1530</v>
      </c>
      <c r="E208" s="1378"/>
      <c r="F208" s="1378"/>
      <c r="G208" s="1378"/>
      <c r="H208" s="1378"/>
      <c r="I208" s="1378"/>
      <c r="J208" s="1378"/>
      <c r="K208" s="1378"/>
      <c r="L208" s="1378"/>
      <c r="M208" s="1378"/>
      <c r="N208" s="1378"/>
      <c r="O208" s="1378"/>
      <c r="P208" s="1378"/>
      <c r="Q208" s="1378"/>
      <c r="R208" s="1378"/>
      <c r="S208" s="1378"/>
      <c r="T208" s="1451">
        <v>45644</v>
      </c>
      <c r="U208" s="1452"/>
      <c r="V208" s="1452"/>
      <c r="W208" s="1452"/>
      <c r="X208" s="1452"/>
      <c r="Y208" s="1453"/>
    </row>
    <row r="209" spans="1:25" ht="107.25" customHeight="1">
      <c r="A209" s="1353">
        <v>11</v>
      </c>
      <c r="B209" s="1353"/>
      <c r="C209" s="1354"/>
      <c r="D209" s="1378" t="s">
        <v>1485</v>
      </c>
      <c r="E209" s="1378"/>
      <c r="F209" s="1378"/>
      <c r="G209" s="1378"/>
      <c r="H209" s="1378"/>
      <c r="I209" s="1378"/>
      <c r="J209" s="1378"/>
      <c r="K209" s="1378"/>
      <c r="L209" s="1378"/>
      <c r="M209" s="1378"/>
      <c r="N209" s="1378"/>
      <c r="O209" s="1378"/>
      <c r="P209" s="1378"/>
      <c r="Q209" s="1378"/>
      <c r="R209" s="1378"/>
      <c r="S209" s="1378"/>
      <c r="T209" s="1436">
        <v>45566</v>
      </c>
      <c r="U209" s="1437"/>
      <c r="V209" s="1437"/>
      <c r="W209" s="1437"/>
      <c r="X209" s="1437"/>
      <c r="Y209" s="1438"/>
    </row>
    <row r="210" spans="1:25" ht="60.75" customHeight="1">
      <c r="A210" s="1353">
        <v>10</v>
      </c>
      <c r="B210" s="1353"/>
      <c r="C210" s="1354"/>
      <c r="D210" s="1388" t="s">
        <v>1245</v>
      </c>
      <c r="E210" s="1388"/>
      <c r="F210" s="1388"/>
      <c r="G210" s="1388"/>
      <c r="H210" s="1388"/>
      <c r="I210" s="1388"/>
      <c r="J210" s="1388"/>
      <c r="K210" s="1388"/>
      <c r="L210" s="1388"/>
      <c r="M210" s="1388"/>
      <c r="N210" s="1388"/>
      <c r="O210" s="1388"/>
      <c r="P210" s="1388"/>
      <c r="Q210" s="1388"/>
      <c r="R210" s="1388"/>
      <c r="S210" s="1388"/>
      <c r="T210" s="1412">
        <v>45331</v>
      </c>
      <c r="U210" s="1413"/>
      <c r="V210" s="1413"/>
      <c r="W210" s="1413"/>
      <c r="X210" s="1413"/>
      <c r="Y210" s="1414"/>
    </row>
    <row r="211" spans="1:25" ht="46.5" customHeight="1">
      <c r="A211" s="1353">
        <v>9</v>
      </c>
      <c r="B211" s="1353"/>
      <c r="C211" s="1354"/>
      <c r="D211" s="1378" t="s">
        <v>1486</v>
      </c>
      <c r="E211" s="1378"/>
      <c r="F211" s="1378"/>
      <c r="G211" s="1378"/>
      <c r="H211" s="1378"/>
      <c r="I211" s="1378"/>
      <c r="J211" s="1378"/>
      <c r="K211" s="1378"/>
      <c r="L211" s="1378"/>
      <c r="M211" s="1378"/>
      <c r="N211" s="1378"/>
      <c r="O211" s="1378"/>
      <c r="P211" s="1378"/>
      <c r="Q211" s="1378"/>
      <c r="R211" s="1378"/>
      <c r="S211" s="1378"/>
      <c r="T211" s="1391">
        <v>45188</v>
      </c>
      <c r="U211" s="1392"/>
      <c r="V211" s="1392"/>
      <c r="W211" s="1392"/>
      <c r="X211" s="1392"/>
      <c r="Y211" s="1393"/>
    </row>
    <row r="212" spans="1:25" ht="51.75" customHeight="1">
      <c r="A212" s="1346">
        <v>8</v>
      </c>
      <c r="B212" s="1347"/>
      <c r="C212" s="1348"/>
      <c r="D212" s="1390" t="s">
        <v>1487</v>
      </c>
      <c r="E212" s="1390"/>
      <c r="F212" s="1390"/>
      <c r="G212" s="1390"/>
      <c r="H212" s="1390"/>
      <c r="I212" s="1390"/>
      <c r="J212" s="1390"/>
      <c r="K212" s="1390"/>
      <c r="L212" s="1390"/>
      <c r="M212" s="1390"/>
      <c r="N212" s="1390"/>
      <c r="O212" s="1390"/>
      <c r="P212" s="1390"/>
      <c r="Q212" s="1390"/>
      <c r="R212" s="1390"/>
      <c r="S212" s="1390"/>
      <c r="T212" s="1355">
        <v>44840</v>
      </c>
      <c r="U212" s="1356"/>
      <c r="V212" s="1356"/>
      <c r="W212" s="1356"/>
      <c r="X212" s="1356"/>
      <c r="Y212" s="1357"/>
    </row>
    <row r="213" spans="1:25" ht="39.75" customHeight="1">
      <c r="A213" s="1349"/>
      <c r="B213" s="1350"/>
      <c r="C213" s="1351"/>
      <c r="D213" s="1390" t="s">
        <v>1488</v>
      </c>
      <c r="E213" s="1390"/>
      <c r="F213" s="1390"/>
      <c r="G213" s="1390"/>
      <c r="H213" s="1390"/>
      <c r="I213" s="1390"/>
      <c r="J213" s="1390"/>
      <c r="K213" s="1390"/>
      <c r="L213" s="1390"/>
      <c r="M213" s="1390"/>
      <c r="N213" s="1390"/>
      <c r="O213" s="1390"/>
      <c r="P213" s="1390"/>
      <c r="Q213" s="1390"/>
      <c r="R213" s="1390"/>
      <c r="S213" s="1390"/>
      <c r="T213" s="1358"/>
      <c r="U213" s="1359"/>
      <c r="V213" s="1359"/>
      <c r="W213" s="1359"/>
      <c r="X213" s="1359"/>
      <c r="Y213" s="1360"/>
    </row>
    <row r="214" spans="1:25" ht="50.25" customHeight="1">
      <c r="A214" s="1352"/>
      <c r="B214" s="1353"/>
      <c r="C214" s="1354"/>
      <c r="D214" s="1406" t="s">
        <v>1489</v>
      </c>
      <c r="E214" s="1407"/>
      <c r="F214" s="1407"/>
      <c r="G214" s="1407"/>
      <c r="H214" s="1407"/>
      <c r="I214" s="1407"/>
      <c r="J214" s="1407"/>
      <c r="K214" s="1407"/>
      <c r="L214" s="1407"/>
      <c r="M214" s="1407"/>
      <c r="N214" s="1407"/>
      <c r="O214" s="1407"/>
      <c r="P214" s="1407"/>
      <c r="Q214" s="1407"/>
      <c r="R214" s="1407"/>
      <c r="S214" s="1408"/>
      <c r="T214" s="1361"/>
      <c r="U214" s="1362"/>
      <c r="V214" s="1362"/>
      <c r="W214" s="1362"/>
      <c r="X214" s="1362"/>
      <c r="Y214" s="1363"/>
    </row>
    <row r="215" spans="1:25" ht="51.75" hidden="1" customHeight="1">
      <c r="A215" s="360"/>
      <c r="B215" s="360"/>
      <c r="C215" s="360"/>
      <c r="D215" s="356"/>
      <c r="E215" s="356"/>
      <c r="F215" s="356"/>
      <c r="G215" s="356"/>
      <c r="H215" s="356"/>
      <c r="I215" s="356"/>
      <c r="J215" s="356"/>
      <c r="K215" s="356"/>
      <c r="L215" s="356"/>
      <c r="M215" s="356"/>
      <c r="N215" s="356"/>
      <c r="O215" s="356"/>
      <c r="P215" s="356"/>
      <c r="Q215" s="356"/>
      <c r="R215" s="356"/>
      <c r="S215" s="356"/>
      <c r="T215" s="357"/>
      <c r="U215" s="358"/>
      <c r="V215" s="358"/>
      <c r="W215" s="358"/>
      <c r="X215" s="358"/>
      <c r="Y215" s="359"/>
    </row>
    <row r="216" spans="1:25" ht="51.75" customHeight="1">
      <c r="A216" s="1389">
        <v>7</v>
      </c>
      <c r="B216" s="1389"/>
      <c r="C216" s="1389"/>
      <c r="D216" s="1378" t="s">
        <v>1490</v>
      </c>
      <c r="E216" s="1378"/>
      <c r="F216" s="1378"/>
      <c r="G216" s="1378"/>
      <c r="H216" s="1378"/>
      <c r="I216" s="1378"/>
      <c r="J216" s="1378"/>
      <c r="K216" s="1378"/>
      <c r="L216" s="1378"/>
      <c r="M216" s="1378"/>
      <c r="N216" s="1378"/>
      <c r="O216" s="1378"/>
      <c r="P216" s="1378"/>
      <c r="Q216" s="1378"/>
      <c r="R216" s="1378"/>
      <c r="S216" s="1378"/>
      <c r="T216" s="1343">
        <v>44201</v>
      </c>
      <c r="U216" s="1344"/>
      <c r="V216" s="1344"/>
      <c r="W216" s="1344"/>
      <c r="X216" s="1344"/>
      <c r="Y216" s="1345"/>
    </row>
    <row r="217" spans="1:25">
      <c r="A217" s="1387">
        <v>6</v>
      </c>
      <c r="B217" s="1387"/>
      <c r="C217" s="1387"/>
      <c r="D217" s="1378" t="s">
        <v>1102</v>
      </c>
      <c r="E217" s="1378"/>
      <c r="F217" s="1378"/>
      <c r="G217" s="1378"/>
      <c r="H217" s="1378"/>
      <c r="I217" s="1378"/>
      <c r="J217" s="1378"/>
      <c r="K217" s="1378"/>
      <c r="L217" s="1378"/>
      <c r="M217" s="1378"/>
      <c r="N217" s="1378"/>
      <c r="O217" s="1378"/>
      <c r="P217" s="1378"/>
      <c r="Q217" s="1378"/>
      <c r="R217" s="1378"/>
      <c r="S217" s="1378"/>
      <c r="T217" s="1343">
        <v>44407</v>
      </c>
      <c r="U217" s="1344"/>
      <c r="V217" s="1344"/>
      <c r="W217" s="1344"/>
      <c r="X217" s="1344"/>
      <c r="Y217" s="1345"/>
    </row>
    <row r="218" spans="1:25">
      <c r="A218" s="1387">
        <v>5</v>
      </c>
      <c r="B218" s="1387"/>
      <c r="C218" s="1387"/>
      <c r="D218" s="1378" t="s">
        <v>1103</v>
      </c>
      <c r="E218" s="1378"/>
      <c r="F218" s="1378"/>
      <c r="G218" s="1378"/>
      <c r="H218" s="1378"/>
      <c r="I218" s="1378"/>
      <c r="J218" s="1378"/>
      <c r="K218" s="1378"/>
      <c r="L218" s="1378"/>
      <c r="M218" s="1378"/>
      <c r="N218" s="1378"/>
      <c r="O218" s="1378"/>
      <c r="P218" s="1378"/>
      <c r="Q218" s="1378"/>
      <c r="R218" s="1378"/>
      <c r="S218" s="1378"/>
      <c r="T218" s="1343">
        <v>44315</v>
      </c>
      <c r="U218" s="1344"/>
      <c r="V218" s="1344"/>
      <c r="W218" s="1344"/>
      <c r="X218" s="1344"/>
      <c r="Y218" s="1345"/>
    </row>
    <row r="219" spans="1:25">
      <c r="A219" s="1387">
        <v>4</v>
      </c>
      <c r="B219" s="1387"/>
      <c r="C219" s="1387"/>
      <c r="D219" s="1378" t="s">
        <v>1074</v>
      </c>
      <c r="E219" s="1378"/>
      <c r="F219" s="1378"/>
      <c r="G219" s="1378"/>
      <c r="H219" s="1378"/>
      <c r="I219" s="1378"/>
      <c r="J219" s="1378"/>
      <c r="K219" s="1378"/>
      <c r="L219" s="1378"/>
      <c r="M219" s="1378"/>
      <c r="N219" s="1378"/>
      <c r="O219" s="1378"/>
      <c r="P219" s="1378"/>
      <c r="Q219" s="1378"/>
      <c r="R219" s="1378"/>
      <c r="S219" s="1378"/>
      <c r="T219" s="1343">
        <v>44231</v>
      </c>
      <c r="U219" s="1344"/>
      <c r="V219" s="1344"/>
      <c r="W219" s="1344"/>
      <c r="X219" s="1344"/>
      <c r="Y219" s="1345"/>
    </row>
    <row r="220" spans="1:25" ht="15.75" customHeight="1">
      <c r="A220" s="1387">
        <v>3</v>
      </c>
      <c r="B220" s="1387"/>
      <c r="C220" s="1387"/>
      <c r="D220" s="1378" t="s">
        <v>1077</v>
      </c>
      <c r="E220" s="1378"/>
      <c r="F220" s="1378"/>
      <c r="G220" s="1378"/>
      <c r="H220" s="1378"/>
      <c r="I220" s="1378"/>
      <c r="J220" s="1378"/>
      <c r="K220" s="1378"/>
      <c r="L220" s="1378"/>
      <c r="M220" s="1378"/>
      <c r="N220" s="1378"/>
      <c r="O220" s="1378"/>
      <c r="P220" s="1378"/>
      <c r="Q220" s="1378"/>
      <c r="R220" s="1378"/>
      <c r="S220" s="1378"/>
      <c r="T220" s="1445">
        <v>43670</v>
      </c>
      <c r="U220" s="1445"/>
      <c r="V220" s="1445"/>
      <c r="W220" s="1445"/>
      <c r="X220" s="1445"/>
      <c r="Y220" s="1445"/>
    </row>
    <row r="221" spans="1:25" ht="15.75" customHeight="1">
      <c r="A221" s="1387">
        <v>2</v>
      </c>
      <c r="B221" s="1387"/>
      <c r="C221" s="1387"/>
      <c r="D221" s="1378" t="s">
        <v>1078</v>
      </c>
      <c r="E221" s="1378"/>
      <c r="F221" s="1378"/>
      <c r="G221" s="1378"/>
      <c r="H221" s="1378"/>
      <c r="I221" s="1378"/>
      <c r="J221" s="1378"/>
      <c r="K221" s="1378"/>
      <c r="L221" s="1378"/>
      <c r="M221" s="1378"/>
      <c r="N221" s="1378"/>
      <c r="O221" s="1378"/>
      <c r="P221" s="1378"/>
      <c r="Q221" s="1378"/>
      <c r="R221" s="1378"/>
      <c r="S221" s="1378"/>
      <c r="T221" s="1445">
        <v>43495</v>
      </c>
      <c r="U221" s="1445"/>
      <c r="V221" s="1445"/>
      <c r="W221" s="1445"/>
      <c r="X221" s="1445"/>
      <c r="Y221" s="1445"/>
    </row>
    <row r="222" spans="1:25">
      <c r="A222" s="1176"/>
      <c r="B222" s="1176"/>
      <c r="C222" s="1176"/>
      <c r="D222" s="1176"/>
      <c r="E222" s="1176"/>
      <c r="F222" s="1176"/>
      <c r="G222" s="1176"/>
      <c r="H222" s="1176"/>
      <c r="I222" s="1176"/>
      <c r="J222" s="1176"/>
      <c r="K222" s="1176"/>
      <c r="L222" s="1176"/>
      <c r="M222" s="1176"/>
      <c r="N222" s="1176"/>
      <c r="O222" s="1176"/>
      <c r="P222" s="1176"/>
      <c r="Q222" s="1176"/>
      <c r="R222" s="1176"/>
      <c r="S222" s="1176"/>
      <c r="T222" s="1176"/>
      <c r="U222" s="1176"/>
      <c r="V222" s="1176"/>
      <c r="W222" s="1176"/>
      <c r="X222" s="1176"/>
      <c r="Y222" s="1176"/>
    </row>
    <row r="223" spans="1:25">
      <c r="A223" s="1176"/>
      <c r="B223" s="1176"/>
      <c r="C223" s="1176"/>
      <c r="D223" s="1176"/>
      <c r="E223" s="1176"/>
      <c r="F223" s="1176"/>
      <c r="G223" s="1176"/>
      <c r="H223" s="1176"/>
      <c r="I223" s="1176"/>
      <c r="J223" s="1176"/>
      <c r="K223" s="1176"/>
      <c r="L223" s="1176"/>
      <c r="M223" s="1176"/>
      <c r="N223" s="1176"/>
      <c r="O223" s="1176"/>
      <c r="P223" s="1176"/>
      <c r="Q223" s="1176"/>
      <c r="R223" s="1176"/>
      <c r="S223" s="1176"/>
      <c r="T223" s="1176"/>
      <c r="U223" s="1176"/>
      <c r="V223" s="1176"/>
      <c r="W223" s="1176"/>
      <c r="X223" s="1176"/>
      <c r="Y223" s="1176"/>
    </row>
    <row r="224" spans="1:25">
      <c r="A224" s="1176"/>
      <c r="B224" s="1176"/>
      <c r="C224" s="1176"/>
      <c r="D224" s="1176"/>
      <c r="E224" s="1176"/>
      <c r="F224" s="1176"/>
      <c r="G224" s="1176"/>
      <c r="H224" s="1176"/>
      <c r="I224" s="1176"/>
      <c r="J224" s="1176"/>
      <c r="K224" s="1176"/>
      <c r="L224" s="1176"/>
      <c r="M224" s="1176"/>
      <c r="N224" s="1176"/>
      <c r="O224" s="1176"/>
      <c r="P224" s="1176"/>
      <c r="Q224" s="1176"/>
      <c r="R224" s="1176"/>
      <c r="S224" s="1176"/>
      <c r="T224" s="1176"/>
      <c r="U224" s="1176"/>
      <c r="V224" s="1176"/>
      <c r="W224" s="1176"/>
      <c r="X224" s="1176"/>
      <c r="Y224" s="1176"/>
    </row>
    <row r="225" spans="1:25">
      <c r="A225" s="1176"/>
      <c r="B225" s="1176"/>
      <c r="C225" s="1176"/>
      <c r="D225" s="1176"/>
      <c r="E225" s="1176"/>
      <c r="F225" s="1176"/>
      <c r="G225" s="1176"/>
      <c r="H225" s="1176"/>
      <c r="I225" s="1176"/>
      <c r="J225" s="1176"/>
      <c r="K225" s="1176"/>
      <c r="L225" s="1176"/>
      <c r="M225" s="1176"/>
      <c r="N225" s="1176"/>
      <c r="O225" s="1176"/>
      <c r="P225" s="1176"/>
      <c r="Q225" s="1176"/>
      <c r="R225" s="1176"/>
      <c r="S225" s="1176"/>
      <c r="T225" s="1176"/>
      <c r="U225" s="1176"/>
      <c r="V225" s="1176"/>
      <c r="W225" s="1176"/>
      <c r="X225" s="1176"/>
      <c r="Y225" s="1176"/>
    </row>
  </sheetData>
  <sheetProtection algorithmName="SHA-512" hashValue="bNQ0A5Qc/zY5N2xeDftBUDZfIN+Gud9VkqhZUA418IJIOMmuq2CNv3nPDGXKYgoLbJj/OuyAnkyh3oHrPx18xQ==" saltValue="c+ktZKmdNu8Xu0jSW591eg==" spinCount="100000" sheet="1" formatCells="0" formatRows="0"/>
  <mergeCells count="324">
    <mergeCell ref="H1:Y1"/>
    <mergeCell ref="W2:Y2"/>
    <mergeCell ref="A4:Y4"/>
    <mergeCell ref="E23:Y23"/>
    <mergeCell ref="G197:J197"/>
    <mergeCell ref="M197:T197"/>
    <mergeCell ref="A52:Y52"/>
    <mergeCell ref="A42:Y42"/>
    <mergeCell ref="A172:Y173"/>
    <mergeCell ref="A88:Y88"/>
    <mergeCell ref="P109:R109"/>
    <mergeCell ref="P110:R110"/>
    <mergeCell ref="L108:O108"/>
    <mergeCell ref="L109:O109"/>
    <mergeCell ref="H110:K110"/>
    <mergeCell ref="P112:R112"/>
    <mergeCell ref="P106:R106"/>
    <mergeCell ref="L106:O106"/>
    <mergeCell ref="L111:O111"/>
    <mergeCell ref="L112:O112"/>
    <mergeCell ref="L110:O110"/>
    <mergeCell ref="P90:R90"/>
    <mergeCell ref="P91:R91"/>
    <mergeCell ref="P92:R92"/>
    <mergeCell ref="AE151:AQ156"/>
    <mergeCell ref="Q22:R22"/>
    <mergeCell ref="A67:W67"/>
    <mergeCell ref="A68:E68"/>
    <mergeCell ref="D58:I58"/>
    <mergeCell ref="D56:I56"/>
    <mergeCell ref="J56:L56"/>
    <mergeCell ref="D59:I59"/>
    <mergeCell ref="A71:C71"/>
    <mergeCell ref="D57:I57"/>
    <mergeCell ref="A58:C58"/>
    <mergeCell ref="T56:Y56"/>
    <mergeCell ref="T57:Y57"/>
    <mergeCell ref="T58:Y58"/>
    <mergeCell ref="A60:C60"/>
    <mergeCell ref="D60:I60"/>
    <mergeCell ref="J60:L60"/>
    <mergeCell ref="V71:Y71"/>
    <mergeCell ref="A56:C56"/>
    <mergeCell ref="A59:C59"/>
    <mergeCell ref="M60:P60"/>
    <mergeCell ref="T61:Y61"/>
    <mergeCell ref="P95:R95"/>
    <mergeCell ref="L116:O116"/>
    <mergeCell ref="Q21:R21"/>
    <mergeCell ref="D17:X17"/>
    <mergeCell ref="N73:R73"/>
    <mergeCell ref="R81:X81"/>
    <mergeCell ref="F84:G84"/>
    <mergeCell ref="H73:J73"/>
    <mergeCell ref="R83:Y83"/>
    <mergeCell ref="J61:L61"/>
    <mergeCell ref="M61:P61"/>
    <mergeCell ref="Q61:S61"/>
    <mergeCell ref="E28:F28"/>
    <mergeCell ref="I28:J28"/>
    <mergeCell ref="Q60:S60"/>
    <mergeCell ref="M59:P59"/>
    <mergeCell ref="Q56:S56"/>
    <mergeCell ref="Q57:S57"/>
    <mergeCell ref="Q58:S58"/>
    <mergeCell ref="Q59:S59"/>
    <mergeCell ref="A41:F41"/>
    <mergeCell ref="E30:F30"/>
    <mergeCell ref="A61:C61"/>
    <mergeCell ref="D61:I61"/>
    <mergeCell ref="A75:Y75"/>
    <mergeCell ref="W72:Y72"/>
    <mergeCell ref="H115:K115"/>
    <mergeCell ref="H116:K116"/>
    <mergeCell ref="H117:K117"/>
    <mergeCell ref="H118:K118"/>
    <mergeCell ref="S106:T118"/>
    <mergeCell ref="L107:R107"/>
    <mergeCell ref="L130:O130"/>
    <mergeCell ref="H130:K130"/>
    <mergeCell ref="H109:K109"/>
    <mergeCell ref="P108:R108"/>
    <mergeCell ref="A73:C73"/>
    <mergeCell ref="A87:I87"/>
    <mergeCell ref="A47:J47"/>
    <mergeCell ref="A54:Y54"/>
    <mergeCell ref="A57:C57"/>
    <mergeCell ref="S130:T130"/>
    <mergeCell ref="S131:T131"/>
    <mergeCell ref="S105:T105"/>
    <mergeCell ref="H108:K108"/>
    <mergeCell ref="L117:O117"/>
    <mergeCell ref="E128:G128"/>
    <mergeCell ref="L105:R105"/>
    <mergeCell ref="H105:K107"/>
    <mergeCell ref="P127:Q127"/>
    <mergeCell ref="P125:Q126"/>
    <mergeCell ref="R125:R126"/>
    <mergeCell ref="P113:R113"/>
    <mergeCell ref="P111:R111"/>
    <mergeCell ref="P115:R115"/>
    <mergeCell ref="P116:R116"/>
    <mergeCell ref="P117:R117"/>
    <mergeCell ref="L118:O118"/>
    <mergeCell ref="A120:Y120"/>
    <mergeCell ref="S127:T127"/>
    <mergeCell ref="D224:N224"/>
    <mergeCell ref="O224:T224"/>
    <mergeCell ref="U224:Y224"/>
    <mergeCell ref="T220:Y220"/>
    <mergeCell ref="D220:S220"/>
    <mergeCell ref="T221:Y221"/>
    <mergeCell ref="D221:S221"/>
    <mergeCell ref="B178:F178"/>
    <mergeCell ref="A221:C221"/>
    <mergeCell ref="A222:C222"/>
    <mergeCell ref="D222:N222"/>
    <mergeCell ref="O222:T222"/>
    <mergeCell ref="U222:Y222"/>
    <mergeCell ref="A223:C223"/>
    <mergeCell ref="D223:N223"/>
    <mergeCell ref="O223:T223"/>
    <mergeCell ref="U223:Y223"/>
    <mergeCell ref="T219:Y219"/>
    <mergeCell ref="T207:Y207"/>
    <mergeCell ref="A181:G181"/>
    <mergeCell ref="U181:W181"/>
    <mergeCell ref="A187:Y187"/>
    <mergeCell ref="A191:Y191"/>
    <mergeCell ref="T208:Y208"/>
    <mergeCell ref="A225:C225"/>
    <mergeCell ref="D225:N225"/>
    <mergeCell ref="O225:T225"/>
    <mergeCell ref="A209:C209"/>
    <mergeCell ref="D209:S209"/>
    <mergeCell ref="T209:Y209"/>
    <mergeCell ref="P134:Q134"/>
    <mergeCell ref="S138:T138"/>
    <mergeCell ref="A143:Y143"/>
    <mergeCell ref="A142:Y142"/>
    <mergeCell ref="V139:Y139"/>
    <mergeCell ref="L137:O137"/>
    <mergeCell ref="A186:Y186"/>
    <mergeCell ref="A185:Y185"/>
    <mergeCell ref="A205:D205"/>
    <mergeCell ref="A184:Y184"/>
    <mergeCell ref="H138:K138"/>
    <mergeCell ref="A219:C219"/>
    <mergeCell ref="A218:C218"/>
    <mergeCell ref="D218:S218"/>
    <mergeCell ref="U225:Y225"/>
    <mergeCell ref="A220:C220"/>
    <mergeCell ref="A199:Y199"/>
    <mergeCell ref="A224:C224"/>
    <mergeCell ref="E129:G129"/>
    <mergeCell ref="H128:K128"/>
    <mergeCell ref="L129:O129"/>
    <mergeCell ref="O69:R69"/>
    <mergeCell ref="E125:G126"/>
    <mergeCell ref="F83:G83"/>
    <mergeCell ref="J83:K83"/>
    <mergeCell ref="E127:G127"/>
    <mergeCell ref="H127:K127"/>
    <mergeCell ref="L127:O127"/>
    <mergeCell ref="P128:Q128"/>
    <mergeCell ref="P129:Q129"/>
    <mergeCell ref="H129:K129"/>
    <mergeCell ref="A122:Y123"/>
    <mergeCell ref="L128:O128"/>
    <mergeCell ref="S125:T126"/>
    <mergeCell ref="A69:E69"/>
    <mergeCell ref="A81:L81"/>
    <mergeCell ref="L94:O94"/>
    <mergeCell ref="L125:O126"/>
    <mergeCell ref="A124:X124"/>
    <mergeCell ref="P118:R118"/>
    <mergeCell ref="L115:O115"/>
    <mergeCell ref="H125:K126"/>
    <mergeCell ref="H135:K135"/>
    <mergeCell ref="E136:G136"/>
    <mergeCell ref="H132:K132"/>
    <mergeCell ref="H137:K137"/>
    <mergeCell ref="D214:S214"/>
    <mergeCell ref="A208:C208"/>
    <mergeCell ref="D208:S208"/>
    <mergeCell ref="H136:K136"/>
    <mergeCell ref="S132:T132"/>
    <mergeCell ref="S133:T133"/>
    <mergeCell ref="S136:T136"/>
    <mergeCell ref="L132:O132"/>
    <mergeCell ref="L133:O133"/>
    <mergeCell ref="P132:Q132"/>
    <mergeCell ref="P133:Q133"/>
    <mergeCell ref="H133:K133"/>
    <mergeCell ref="E134:G134"/>
    <mergeCell ref="K169:L169"/>
    <mergeCell ref="N169:P169"/>
    <mergeCell ref="A169:C169"/>
    <mergeCell ref="L136:O136"/>
    <mergeCell ref="T210:Y210"/>
    <mergeCell ref="A102:Y102"/>
    <mergeCell ref="L96:O96"/>
    <mergeCell ref="J84:K84"/>
    <mergeCell ref="L114:O114"/>
    <mergeCell ref="P114:R114"/>
    <mergeCell ref="H111:K111"/>
    <mergeCell ref="H112:K112"/>
    <mergeCell ref="L95:O95"/>
    <mergeCell ref="E96:G96"/>
    <mergeCell ref="H113:K113"/>
    <mergeCell ref="L113:O113"/>
    <mergeCell ref="P96:R96"/>
    <mergeCell ref="P97:R97"/>
    <mergeCell ref="P98:R98"/>
    <mergeCell ref="L98:O98"/>
    <mergeCell ref="L97:O97"/>
    <mergeCell ref="P94:R94"/>
    <mergeCell ref="A100:G100"/>
    <mergeCell ref="H114:K114"/>
    <mergeCell ref="F38:L38"/>
    <mergeCell ref="A39:Y39"/>
    <mergeCell ref="A37:Y37"/>
    <mergeCell ref="F32:L32"/>
    <mergeCell ref="T59:Y59"/>
    <mergeCell ref="J59:L59"/>
    <mergeCell ref="M56:P56"/>
    <mergeCell ref="M57:P57"/>
    <mergeCell ref="M58:P58"/>
    <mergeCell ref="A62:G62"/>
    <mergeCell ref="O68:R68"/>
    <mergeCell ref="T60:Y60"/>
    <mergeCell ref="J58:L58"/>
    <mergeCell ref="A64:Y64"/>
    <mergeCell ref="O70:S70"/>
    <mergeCell ref="A34:Y35"/>
    <mergeCell ref="D219:S219"/>
    <mergeCell ref="A206:Y206"/>
    <mergeCell ref="A207:C207"/>
    <mergeCell ref="D207:S207"/>
    <mergeCell ref="A217:C217"/>
    <mergeCell ref="D217:S217"/>
    <mergeCell ref="T217:Y217"/>
    <mergeCell ref="D210:S210"/>
    <mergeCell ref="D211:S211"/>
    <mergeCell ref="A216:C216"/>
    <mergeCell ref="D216:S216"/>
    <mergeCell ref="T216:Y216"/>
    <mergeCell ref="D212:S212"/>
    <mergeCell ref="D213:S213"/>
    <mergeCell ref="T211:Y211"/>
    <mergeCell ref="A211:C211"/>
    <mergeCell ref="A210:C210"/>
    <mergeCell ref="T218:Y218"/>
    <mergeCell ref="A212:C214"/>
    <mergeCell ref="T212:Y214"/>
    <mergeCell ref="P131:Q131"/>
    <mergeCell ref="A171:H171"/>
    <mergeCell ref="E133:G133"/>
    <mergeCell ref="S134:T134"/>
    <mergeCell ref="S135:T135"/>
    <mergeCell ref="S128:T128"/>
    <mergeCell ref="S129:T129"/>
    <mergeCell ref="L135:O135"/>
    <mergeCell ref="E135:G135"/>
    <mergeCell ref="E137:G137"/>
    <mergeCell ref="P135:Q135"/>
    <mergeCell ref="P136:Q136"/>
    <mergeCell ref="P137:Q137"/>
    <mergeCell ref="E132:G132"/>
    <mergeCell ref="B150:B164"/>
    <mergeCell ref="E138:G138"/>
    <mergeCell ref="L138:O138"/>
    <mergeCell ref="P130:Q130"/>
    <mergeCell ref="Q169:R169"/>
    <mergeCell ref="H131:K131"/>
    <mergeCell ref="E130:G130"/>
    <mergeCell ref="L131:O131"/>
    <mergeCell ref="H134:K134"/>
    <mergeCell ref="E131:G131"/>
    <mergeCell ref="W198:Y198"/>
    <mergeCell ref="P138:Q138"/>
    <mergeCell ref="C164:X164"/>
    <mergeCell ref="A189:Y189"/>
    <mergeCell ref="V197:Y197"/>
    <mergeCell ref="H169:J169"/>
    <mergeCell ref="A195:Y195"/>
    <mergeCell ref="A196:Y196"/>
    <mergeCell ref="S137:T137"/>
    <mergeCell ref="A188:Y188"/>
    <mergeCell ref="A197:E197"/>
    <mergeCell ref="D169:F169"/>
    <mergeCell ref="A194:Y194"/>
    <mergeCell ref="V162:Y162"/>
    <mergeCell ref="A192:Y192"/>
    <mergeCell ref="A174:Y176"/>
    <mergeCell ref="A193:Y193"/>
    <mergeCell ref="A177:Y177"/>
    <mergeCell ref="W140:Y140"/>
    <mergeCell ref="U145:Y145"/>
    <mergeCell ref="L134:O134"/>
    <mergeCell ref="D16:X16"/>
    <mergeCell ref="A7:Y7"/>
    <mergeCell ref="L93:O93"/>
    <mergeCell ref="A8:Y8"/>
    <mergeCell ref="R79:U79"/>
    <mergeCell ref="A76:Y76"/>
    <mergeCell ref="J57:L57"/>
    <mergeCell ref="U11:X11"/>
    <mergeCell ref="Q20:X20"/>
    <mergeCell ref="A77:Y77"/>
    <mergeCell ref="S11:T11"/>
    <mergeCell ref="S12:T12"/>
    <mergeCell ref="A55:Y55"/>
    <mergeCell ref="A45:Y45"/>
    <mergeCell ref="A26:L26"/>
    <mergeCell ref="A70:E70"/>
    <mergeCell ref="L90:O91"/>
    <mergeCell ref="L92:O92"/>
    <mergeCell ref="E29:F29"/>
    <mergeCell ref="J63:W63"/>
    <mergeCell ref="R78:T78"/>
    <mergeCell ref="A50:Y50"/>
    <mergeCell ref="A48:Y49"/>
    <mergeCell ref="P93:R93"/>
  </mergeCells>
  <phoneticPr fontId="50" type="noConversion"/>
  <conditionalFormatting sqref="A67">
    <cfRule type="containsText" dxfId="71" priority="38" operator="containsText" text="No Se Puede Emitir Certificado. ¡ SE DEBE REVISAR LOS DATOS">
      <formula>NOT(ISERROR(SEARCH("No Se Puede Emitir Certificado. ¡ SE DEBE REVISAR LOS DATOS",A67)))</formula>
    </cfRule>
  </conditionalFormatting>
  <conditionalFormatting sqref="A58:S61">
    <cfRule type="containsBlanks" dxfId="70" priority="53">
      <formula>LEN(TRIM(A58))=0</formula>
    </cfRule>
    <cfRule type="containsErrors" dxfId="69" priority="54">
      <formula>ISERROR(A58)</formula>
    </cfRule>
  </conditionalFormatting>
  <conditionalFormatting sqref="A166:S167">
    <cfRule type="containsBlanks" dxfId="68" priority="95">
      <formula>LEN(TRIM(A166))=0</formula>
    </cfRule>
  </conditionalFormatting>
  <conditionalFormatting sqref="A169:S169">
    <cfRule type="containsBlanks" dxfId="67" priority="84">
      <formula>LEN(TRIM(A169))=0</formula>
    </cfRule>
  </conditionalFormatting>
  <conditionalFormatting sqref="A67:W67">
    <cfRule type="containsErrors" dxfId="66" priority="37">
      <formula>ISERROR(A67)</formula>
    </cfRule>
  </conditionalFormatting>
  <conditionalFormatting sqref="D16">
    <cfRule type="containsBlanks" dxfId="65" priority="89">
      <formula>LEN(TRIM(D16))=0</formula>
    </cfRule>
  </conditionalFormatting>
  <conditionalFormatting sqref="E19:E23 A68:E68 A69 A70:E70">
    <cfRule type="containsBlanks" dxfId="64" priority="85">
      <formula>LEN(TRIM(A19))=0</formula>
    </cfRule>
  </conditionalFormatting>
  <conditionalFormatting sqref="E28:G28 I28:J28 E30:G30">
    <cfRule type="containsBlanks" dxfId="63" priority="88">
      <formula>LEN(TRIM(E28))=0</formula>
    </cfRule>
  </conditionalFormatting>
  <conditionalFormatting sqref="E96:G96">
    <cfRule type="containsText" dxfId="62" priority="94" stopIfTrue="1" operator="containsText" text="Error">
      <formula>NOT(ISERROR(SEARCH("Error",E96)))</formula>
    </cfRule>
  </conditionalFormatting>
  <conditionalFormatting sqref="J63:W63">
    <cfRule type="cellIs" dxfId="61" priority="2" operator="equal">
      <formula>"No Se Puede Emitir Certificado. ¡ SE VERIFIQUE VIGENCIA DEL EQUIPO PATRON !"</formula>
    </cfRule>
  </conditionalFormatting>
  <conditionalFormatting sqref="O69:R69">
    <cfRule type="cellIs" dxfId="60" priority="36" operator="lessThan">
      <formula>$Q$22</formula>
    </cfRule>
    <cfRule type="containsBlanks" dxfId="59" priority="86">
      <formula>LEN(TRIM(O69))=0</formula>
    </cfRule>
  </conditionalFormatting>
  <conditionalFormatting sqref="Q20:Q22 A57:I57 M57">
    <cfRule type="containsBlanks" dxfId="58" priority="60">
      <formula>LEN(TRIM(A20))=0</formula>
    </cfRule>
  </conditionalFormatting>
  <conditionalFormatting sqref="Q57">
    <cfRule type="containsBlanks" dxfId="56" priority="59">
      <formula>LEN(TRIM(Q57))=0</formula>
    </cfRule>
    <cfRule type="containsErrors" dxfId="55" priority="61">
      <formula>ISERROR(Q57)</formula>
    </cfRule>
  </conditionalFormatting>
  <conditionalFormatting sqref="Q22:R22">
    <cfRule type="cellIs" dxfId="54" priority="35" operator="lessThan">
      <formula>$Q$21</formula>
    </cfRule>
  </conditionalFormatting>
  <conditionalFormatting sqref="T57:Y61">
    <cfRule type="containsBlanks" dxfId="50" priority="49">
      <formula>LEN(TRIM(T57))=0</formula>
    </cfRule>
    <cfRule type="containsErrors" dxfId="49" priority="50">
      <formula>ISERROR(T57)</formula>
    </cfRule>
  </conditionalFormatting>
  <conditionalFormatting sqref="Z144">
    <cfRule type="containsText" dxfId="44" priority="71" operator="containsText" text="Dentro de Alcance">
      <formula>NOT(ISERROR(SEARCH("Dentro de Alcance",Z144)))</formula>
    </cfRule>
  </conditionalFormatting>
  <conditionalFormatting sqref="Z149:AA149">
    <cfRule type="expression" dxfId="43" priority="4">
      <formula>$Z$147=""</formula>
    </cfRule>
  </conditionalFormatting>
  <conditionalFormatting sqref="AJ144">
    <cfRule type="containsText" dxfId="42" priority="3" operator="containsText" text="ok">
      <formula>NOT(ISERROR(SEARCH("ok",AJ144)))</formula>
    </cfRule>
  </conditionalFormatting>
  <conditionalFormatting sqref="AK126:AQ138">
    <cfRule type="expression" dxfId="41" priority="154">
      <formula>$Z$147=""</formula>
    </cfRule>
    <cfRule type="expression" dxfId="40" priority="155">
      <formula>"contara($AJ$126:$AJ$136)=0"</formula>
    </cfRule>
  </conditionalFormatting>
  <conditionalFormatting sqref="AK128:AQ128">
    <cfRule type="expression" dxfId="39" priority="22">
      <formula>$AJ$128=""</formula>
    </cfRule>
  </conditionalFormatting>
  <conditionalFormatting sqref="AK129:AQ129">
    <cfRule type="expression" dxfId="38" priority="20">
      <formula>$AJ$129=""</formula>
    </cfRule>
  </conditionalFormatting>
  <conditionalFormatting sqref="AK130:AQ130">
    <cfRule type="expression" dxfId="37" priority="19">
      <formula>$AJ$130=""</formula>
    </cfRule>
  </conditionalFormatting>
  <conditionalFormatting sqref="AK131:AQ131">
    <cfRule type="expression" dxfId="36" priority="18">
      <formula>$AJ$131=""</formula>
    </cfRule>
  </conditionalFormatting>
  <conditionalFormatting sqref="AK132:AQ132">
    <cfRule type="expression" dxfId="35" priority="17">
      <formula>$AJ$132=""</formula>
    </cfRule>
  </conditionalFormatting>
  <conditionalFormatting sqref="AK133:AQ133">
    <cfRule type="expression" dxfId="34" priority="16">
      <formula>$AJ$133=""</formula>
    </cfRule>
  </conditionalFormatting>
  <conditionalFormatting sqref="AK134:AQ134">
    <cfRule type="expression" dxfId="33" priority="15">
      <formula>$AJ$134=""</formula>
    </cfRule>
  </conditionalFormatting>
  <conditionalFormatting sqref="AK135:AQ135">
    <cfRule type="expression" dxfId="32" priority="14">
      <formula>$AJ$135=""</formula>
    </cfRule>
  </conditionalFormatting>
  <conditionalFormatting sqref="AK136:AQ136">
    <cfRule type="expression" dxfId="31" priority="13">
      <formula>$AJ$136=""</formula>
    </cfRule>
  </conditionalFormatting>
  <conditionalFormatting sqref="AK137:AQ137">
    <cfRule type="expression" dxfId="30" priority="12">
      <formula>$AJ$137=""</formula>
    </cfRule>
  </conditionalFormatting>
  <conditionalFormatting sqref="AK138:AQ138">
    <cfRule type="expression" dxfId="29" priority="10">
      <formula>$AJ$138=""</formula>
    </cfRule>
  </conditionalFormatting>
  <printOptions horizontalCentered="1" verticalCentered="1"/>
  <pageMargins left="0.39370078740157483" right="0.39370078740157483" top="1.6305511811023625" bottom="0.39370078740157483" header="0.19685039370078741" footer="7.874015748031496E-2"/>
  <pageSetup paperSize="9" scale="56" fitToHeight="3" orientation="portrait" r:id="rId1"/>
  <headerFooter>
    <oddHeader>&amp;L&amp;G&amp;C
        &amp;G</oddHeader>
    <oddFooter>&amp;C&amp;G</oddFooter>
  </headerFooter>
  <rowBreaks count="2" manualBreakCount="2">
    <brk id="74" max="24" man="1"/>
    <brk id="141" max="24" man="1"/>
  </rowBreaks>
  <colBreaks count="1" manualBreakCount="1">
    <brk id="25" min="6" max="196" man="1"/>
  </colBreaks>
  <ignoredErrors>
    <ignoredError sqref="AO128 AM128 AK128" evalError="1"/>
  </ignoredErrors>
  <drawing r:id="rId2"/>
  <legacyDrawing r:id="rId3"/>
  <legacyDrawingHF r:id="rId4"/>
  <oleObjects>
    <mc:AlternateContent xmlns:mc="http://schemas.openxmlformats.org/markup-compatibility/2006">
      <mc:Choice Requires="x14">
        <oleObject progId="PBrush" shapeId="3732501" r:id="rId5">
          <objectPr defaultSize="0" autoPict="0" r:id="rId6">
            <anchor moveWithCells="1" sizeWithCells="1">
              <from>
                <xdr:col>0</xdr:col>
                <xdr:colOff>38100</xdr:colOff>
                <xdr:row>0</xdr:row>
                <xdr:rowOff>66675</xdr:rowOff>
              </from>
              <to>
                <xdr:col>8</xdr:col>
                <xdr:colOff>38100</xdr:colOff>
                <xdr:row>1</xdr:row>
                <xdr:rowOff>142875</xdr:rowOff>
              </to>
            </anchor>
          </objectPr>
        </oleObject>
      </mc:Choice>
      <mc:Fallback>
        <oleObject progId="PBrush" shapeId="3732501" r:id="rId5"/>
      </mc:Fallback>
    </mc:AlternateContent>
    <mc:AlternateContent xmlns:mc="http://schemas.openxmlformats.org/markup-compatibility/2006">
      <mc:Choice Requires="x14">
        <oleObject progId="PBrush" shapeId="3732502" r:id="rId7">
          <objectPr defaultSize="0" autoPict="0" r:id="rId6">
            <anchor moveWithCells="1" sizeWithCells="1">
              <from>
                <xdr:col>0</xdr:col>
                <xdr:colOff>38100</xdr:colOff>
                <xdr:row>0</xdr:row>
                <xdr:rowOff>66675</xdr:rowOff>
              </from>
              <to>
                <xdr:col>8</xdr:col>
                <xdr:colOff>38100</xdr:colOff>
                <xdr:row>1</xdr:row>
                <xdr:rowOff>142875</xdr:rowOff>
              </to>
            </anchor>
          </objectPr>
        </oleObject>
      </mc:Choice>
      <mc:Fallback>
        <oleObject progId="PBrush" shapeId="3732502" r:id="rId7"/>
      </mc:Fallback>
    </mc:AlternateContent>
  </oleObjects>
  <extLst>
    <ext xmlns:x14="http://schemas.microsoft.com/office/spreadsheetml/2009/9/main" uri="{78C0D931-6437-407d-A8EE-F0AAD7539E65}">
      <x14:conditionalFormattings>
        <x14:conditionalFormatting xmlns:xm="http://schemas.microsoft.com/office/excel/2006/main">
          <x14:cfRule type="expression" priority="27" id="{1B8D8E5D-F697-40A8-A45D-188CC58797C7}">
            <xm:f>Formato!$S$20=""</xm:f>
            <x14:dxf>
              <font>
                <color theme="0"/>
              </font>
              <fill>
                <patternFill patternType="lightVertical"/>
              </fill>
            </x14:dxf>
          </x14:cfRule>
          <xm:sqref>Q28</xm:sqref>
        </x14:conditionalFormatting>
        <x14:conditionalFormatting xmlns:xm="http://schemas.microsoft.com/office/excel/2006/main">
          <x14:cfRule type="expression" priority="160" id="{5694CD54-89D5-4D22-8712-D406698B510F}">
            <xm:f>Formato!$A$200=Formato!$AL$76</xm:f>
            <x14:dxf>
              <font>
                <color theme="0"/>
              </font>
              <border>
                <right/>
                <top/>
                <bottom/>
                <vertical/>
                <horizontal/>
              </border>
            </x14:dxf>
          </x14:cfRule>
          <x14:cfRule type="expression" priority="161" id="{5510EF4A-B2C5-4691-B980-21FA2CE037CA}">
            <xm:f>Formato!$A$199=Formato!$AL$76</xm:f>
            <x14:dxf>
              <font>
                <color theme="0"/>
              </font>
              <border>
                <right/>
                <top/>
                <bottom/>
                <vertical/>
                <horizontal/>
              </border>
            </x14:dxf>
          </x14:cfRule>
          <xm:sqref>S105:T118 S125:T138</xm:sqref>
        </x14:conditionalFormatting>
        <x14:conditionalFormatting xmlns:xm="http://schemas.microsoft.com/office/excel/2006/main">
          <x14:cfRule type="expression" priority="26" id="{DC465FA1-2278-4F56-A52B-FE0AFDD29992}">
            <xm:f>Formato!$Y$20=""</xm:f>
            <x14:dxf>
              <font>
                <color theme="0"/>
              </font>
              <fill>
                <patternFill patternType="lightVertical"/>
              </fill>
            </x14:dxf>
          </x14:cfRule>
          <xm:sqref>T28</xm:sqref>
        </x14:conditionalFormatting>
        <x14:conditionalFormatting xmlns:xm="http://schemas.microsoft.com/office/excel/2006/main">
          <x14:cfRule type="expression" priority="31" id="{82E555D4-EEBB-4C85-A767-BF7B0DA08882}">
            <xm:f>Formato!$AA$37&lt;TODAY()</xm:f>
            <x14:dxf>
              <fill>
                <patternFill>
                  <bgColor rgb="FFFF0000"/>
                </patternFill>
              </fill>
            </x14:dxf>
          </x14:cfRule>
          <xm:sqref>T58:Y58</xm:sqref>
        </x14:conditionalFormatting>
        <x14:conditionalFormatting xmlns:xm="http://schemas.microsoft.com/office/excel/2006/main">
          <x14:cfRule type="expression" priority="30" id="{0ADD3884-8320-4972-BDB5-74315C7EDEDD}">
            <xm:f>Formato!$AA$38&lt;TODAY()</xm:f>
            <x14:dxf>
              <fill>
                <patternFill>
                  <bgColor rgb="FFFF0000"/>
                </patternFill>
              </fill>
            </x14:dxf>
          </x14:cfRule>
          <xm:sqref>T59:Y59</xm:sqref>
        </x14:conditionalFormatting>
        <x14:conditionalFormatting xmlns:xm="http://schemas.microsoft.com/office/excel/2006/main">
          <x14:cfRule type="expression" priority="1" id="{F6F57ECD-4E7E-4AAA-9DD6-A9F7D573B1D3}">
            <xm:f>Formato!$AA$39&lt;TODAY()</xm:f>
            <x14:dxf>
              <fill>
                <patternFill>
                  <bgColor rgb="FFFF0000"/>
                </patternFill>
              </fill>
            </x14:dxf>
          </x14:cfRule>
          <xm:sqref>T60:Y60</xm:sqref>
        </x14:conditionalFormatting>
        <x14:conditionalFormatting xmlns:xm="http://schemas.microsoft.com/office/excel/2006/main">
          <x14:cfRule type="expression" priority="28" id="{A5A12435-21EC-4B80-8144-A30199E5CF28}">
            <xm:f>Formato!$AA$40&lt;TODAY()</xm:f>
            <x14:dxf>
              <fill>
                <patternFill>
                  <bgColor rgb="FFFF0000"/>
                </patternFill>
              </fill>
            </x14:dxf>
          </x14:cfRule>
          <xm:sqref>T61:Y61</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2">
    <tabColor rgb="FFFFFF00"/>
  </sheetPr>
  <dimension ref="A1:CC94"/>
  <sheetViews>
    <sheetView showGridLines="0" view="pageBreakPreview" topLeftCell="T1" zoomScale="50" zoomScaleNormal="90" zoomScaleSheetLayoutView="50" workbookViewId="0">
      <selection activeCell="AT21" sqref="AT21"/>
    </sheetView>
  </sheetViews>
  <sheetFormatPr baseColWidth="10" defaultColWidth="11.42578125" defaultRowHeight="21"/>
  <cols>
    <col min="1" max="3" width="5.7109375" style="7" customWidth="1"/>
    <col min="4" max="4" width="9.140625" style="7" customWidth="1"/>
    <col min="5" max="5" width="5.7109375" style="7" customWidth="1"/>
    <col min="6" max="7" width="28.5703125" style="7" customWidth="1"/>
    <col min="8" max="18" width="29.7109375" style="7" customWidth="1"/>
    <col min="19" max="19" width="31.7109375" style="7" customWidth="1"/>
    <col min="20" max="20" width="30.5703125" style="7" customWidth="1"/>
    <col min="21" max="21" width="9.5703125" style="7" customWidth="1"/>
    <col min="22" max="22" width="8.42578125" style="7" customWidth="1"/>
    <col min="23" max="24" width="5.7109375" style="7" customWidth="1"/>
    <col min="25" max="25" width="11" style="7" customWidth="1"/>
    <col min="26" max="34" width="5.7109375" style="7" customWidth="1"/>
    <col min="35" max="35" width="16.7109375" style="7" customWidth="1"/>
    <col min="36" max="37" width="26.5703125" style="7" customWidth="1"/>
    <col min="38" max="38" width="49.85546875" style="7" customWidth="1"/>
    <col min="39" max="40" width="22.5703125" style="7" customWidth="1"/>
    <col min="41" max="52" width="20" style="7" customWidth="1"/>
    <col min="53" max="68" width="11.42578125" style="7"/>
    <col min="69" max="69" width="11.28515625" style="7" customWidth="1"/>
    <col min="70" max="70" width="42.28515625" style="7" customWidth="1"/>
    <col min="71" max="71" width="13" style="7" customWidth="1"/>
    <col min="72" max="72" width="13.85546875" style="7" customWidth="1"/>
    <col min="73" max="74" width="11.42578125" style="7"/>
    <col min="75" max="75" width="12.85546875" style="7" customWidth="1"/>
    <col min="76" max="16384" width="11.42578125" style="7"/>
  </cols>
  <sheetData>
    <row r="1" spans="1:81" ht="27" customHeight="1">
      <c r="A1" s="1507" t="s">
        <v>1231</v>
      </c>
      <c r="B1" s="1508"/>
      <c r="C1" s="1508"/>
      <c r="D1" s="1508"/>
      <c r="E1" s="1508"/>
      <c r="F1" s="1508"/>
      <c r="G1" s="1508"/>
      <c r="H1" s="1508"/>
      <c r="I1" s="1508"/>
      <c r="J1" s="1508"/>
      <c r="K1" s="1508"/>
      <c r="L1" s="1508"/>
      <c r="M1" s="1508"/>
      <c r="N1" s="1508"/>
      <c r="O1" s="1508"/>
      <c r="P1" s="1509"/>
      <c r="Q1" s="1507"/>
      <c r="R1" s="1508"/>
      <c r="S1" s="1508"/>
      <c r="T1" s="1508"/>
      <c r="U1" s="1508"/>
      <c r="V1" s="1508"/>
      <c r="W1" s="1508"/>
      <c r="X1" s="1509"/>
    </row>
    <row r="2" spans="1:81" ht="19.5" customHeight="1">
      <c r="A2" s="1532" t="s">
        <v>1232</v>
      </c>
      <c r="B2" s="1533"/>
      <c r="C2" s="1533"/>
      <c r="D2" s="1533"/>
      <c r="E2" s="1533"/>
      <c r="F2" s="1533" t="s">
        <v>1230</v>
      </c>
      <c r="G2" s="1533"/>
      <c r="H2" s="1532" t="s">
        <v>1237</v>
      </c>
      <c r="I2" s="1533"/>
      <c r="J2" s="1534" t="s">
        <v>1238</v>
      </c>
      <c r="K2" s="1534"/>
      <c r="L2" s="1534"/>
      <c r="M2" s="1534"/>
      <c r="N2" s="1534"/>
      <c r="O2" s="1534"/>
      <c r="P2" s="1535"/>
      <c r="Q2" s="1510"/>
      <c r="R2" s="1511"/>
      <c r="S2" s="1511"/>
      <c r="T2" s="1511"/>
      <c r="U2" s="1511"/>
      <c r="V2" s="1511"/>
      <c r="W2" s="1511"/>
      <c r="X2" s="1512"/>
      <c r="BQ2"/>
      <c r="BR2"/>
      <c r="BS2">
        <f>((0.34848*AVERAGE(Formato!U44:U45)+-0.009*AVERAGE(Formato!P44:P45)*EXP(0.061*AVERAGE(Formato!L44:L45)))/(273.15+AVERAGE(Formato!L44:L45)))/1000</f>
        <v>1.0498157031736681E-3</v>
      </c>
      <c r="BT2"/>
      <c r="BU2"/>
      <c r="BV2"/>
      <c r="BW2"/>
      <c r="BX2"/>
      <c r="BY2"/>
      <c r="BZ2" s="316" t="s">
        <v>1172</v>
      </c>
      <c r="CA2" s="316" t="s">
        <v>1178</v>
      </c>
      <c r="CB2" s="316" t="s">
        <v>1173</v>
      </c>
      <c r="CC2" s="316" t="s">
        <v>1178</v>
      </c>
    </row>
    <row r="3" spans="1:81" ht="19.5" customHeight="1">
      <c r="A3" s="1524" t="s">
        <v>1233</v>
      </c>
      <c r="B3" s="1067"/>
      <c r="C3" s="1067"/>
      <c r="D3" s="1067"/>
      <c r="E3" s="1067"/>
      <c r="F3" s="1067">
        <f>'Certificado de calibración'!D3</f>
        <v>0</v>
      </c>
      <c r="G3" s="1067"/>
      <c r="H3" s="1524" t="s">
        <v>1235</v>
      </c>
      <c r="I3" s="1067"/>
      <c r="J3" s="1528" t="s">
        <v>1236</v>
      </c>
      <c r="K3" s="1528"/>
      <c r="L3" s="1528"/>
      <c r="M3" s="1528"/>
      <c r="N3" s="1528"/>
      <c r="O3" s="1528"/>
      <c r="P3" s="1529"/>
      <c r="Q3" s="1510"/>
      <c r="R3" s="1511"/>
      <c r="S3" s="1511"/>
      <c r="T3" s="1511"/>
      <c r="U3" s="1511"/>
      <c r="V3" s="1511"/>
      <c r="W3" s="1511"/>
      <c r="X3" s="1512"/>
      <c r="BQ3" s="140" t="s">
        <v>1175</v>
      </c>
      <c r="BR3" t="s">
        <v>349</v>
      </c>
      <c r="BS3" s="353">
        <f>((0.34848*AVERAGE(Formato!U45)+-0.009*AVERAGE(Formato!P45)*EXP(0.061*AVERAGE(Formato!L45)))/(273.15+AVERAGE(Formato!L45)))/1000</f>
        <v>1.0488867049951798E-3</v>
      </c>
      <c r="BT3" t="s">
        <v>472</v>
      </c>
      <c r="BU3" t="s">
        <v>353</v>
      </c>
      <c r="BV3" s="892">
        <v>2.3999999999999998E-7</v>
      </c>
      <c r="BW3" t="str">
        <f>+BT3</f>
        <v>g/cm3</v>
      </c>
      <c r="BX3" s="474" t="s">
        <v>1167</v>
      </c>
      <c r="BY3" s="476"/>
      <c r="BZ3" s="316">
        <v>8600</v>
      </c>
      <c r="CA3" s="316">
        <f t="shared" ref="CA3:CA8" si="0">BZ3/1000</f>
        <v>8.6</v>
      </c>
      <c r="CB3" s="316">
        <v>85</v>
      </c>
      <c r="CC3" s="316">
        <f t="shared" ref="CC3:CC8" si="1">CB3/1000</f>
        <v>8.5000000000000006E-2</v>
      </c>
    </row>
    <row r="4" spans="1:81" ht="19.5" customHeight="1">
      <c r="A4" s="1525" t="s">
        <v>1234</v>
      </c>
      <c r="B4" s="1526"/>
      <c r="C4" s="1526"/>
      <c r="D4" s="1526"/>
      <c r="E4" s="1526"/>
      <c r="F4" s="1527">
        <v>45481</v>
      </c>
      <c r="G4" s="1527"/>
      <c r="H4" s="1525" t="s">
        <v>1234</v>
      </c>
      <c r="I4" s="1526"/>
      <c r="J4" s="1530">
        <v>45502</v>
      </c>
      <c r="K4" s="1530"/>
      <c r="L4" s="1530"/>
      <c r="M4" s="1530"/>
      <c r="N4" s="1530"/>
      <c r="O4" s="1530"/>
      <c r="P4" s="1531"/>
      <c r="Q4" s="1513"/>
      <c r="R4" s="1514"/>
      <c r="S4" s="1514"/>
      <c r="T4" s="1514"/>
      <c r="U4" s="1514"/>
      <c r="V4" s="1514"/>
      <c r="W4" s="1514"/>
      <c r="X4" s="1515"/>
      <c r="BQ4" s="140" t="s">
        <v>1176</v>
      </c>
      <c r="BR4" t="s">
        <v>350</v>
      </c>
      <c r="BS4">
        <f>1.2/1000</f>
        <v>1.1999999999999999E-3</v>
      </c>
      <c r="BT4" t="str">
        <f>+BT3</f>
        <v>g/cm3</v>
      </c>
      <c r="BU4" t="s">
        <v>353</v>
      </c>
      <c r="BV4">
        <f>+BV3</f>
        <v>2.3999999999999998E-7</v>
      </c>
      <c r="BW4" t="str">
        <f>+BT4</f>
        <v>g/cm3</v>
      </c>
      <c r="BX4" s="474" t="s">
        <v>1168</v>
      </c>
      <c r="BY4" s="476"/>
      <c r="BZ4" s="316">
        <v>8400</v>
      </c>
      <c r="CA4" s="316">
        <f t="shared" si="0"/>
        <v>8.4</v>
      </c>
      <c r="CB4" s="316">
        <v>85</v>
      </c>
      <c r="CC4" s="316">
        <f t="shared" si="1"/>
        <v>8.5000000000000006E-2</v>
      </c>
    </row>
    <row r="5" spans="1:81">
      <c r="BQ5" s="140" t="s">
        <v>1174</v>
      </c>
      <c r="BR5" t="s">
        <v>351</v>
      </c>
      <c r="BS5" s="353">
        <f>+VLOOKUP(Formato!I36,'Errores  Patrones'!AB4:AG25,6,0)</f>
        <v>7.95</v>
      </c>
      <c r="BT5" t="str">
        <f>+BT4</f>
        <v>g/cm3</v>
      </c>
      <c r="BU5" t="s">
        <v>353</v>
      </c>
      <c r="BV5" s="353">
        <f>VLOOKUP(BS5,CA3:CC8,3,FALSE)</f>
        <v>7.0000000000000007E-2</v>
      </c>
      <c r="BW5" t="str">
        <f>+BW4</f>
        <v>g/cm3</v>
      </c>
      <c r="BX5" s="475" t="s">
        <v>1166</v>
      </c>
      <c r="BY5" s="477"/>
      <c r="BZ5" s="473">
        <v>7950</v>
      </c>
      <c r="CA5" s="473">
        <f t="shared" si="0"/>
        <v>7.95</v>
      </c>
      <c r="CB5" s="473">
        <v>70</v>
      </c>
      <c r="CC5" s="473">
        <f t="shared" si="1"/>
        <v>7.0000000000000007E-2</v>
      </c>
    </row>
    <row r="6" spans="1:81">
      <c r="A6" s="1523" t="str">
        <f>CONCATENATE("PRESUPUESTO PARA ",'Certificado de calibración'!A1," ",'Certificado de calibración'!D2," v",'Certificado de calibración'!K2)</f>
        <v>PRESUPUESTO PARA   v</v>
      </c>
      <c r="B6" s="1523"/>
      <c r="C6" s="1523"/>
      <c r="D6" s="1523"/>
      <c r="E6" s="1523"/>
      <c r="F6" s="1523"/>
      <c r="G6" s="1523"/>
      <c r="H6" s="1523"/>
      <c r="I6" s="1523"/>
      <c r="J6" s="1523"/>
      <c r="K6" s="1523"/>
      <c r="L6" s="1523"/>
      <c r="M6" s="1523"/>
      <c r="N6" s="1523"/>
      <c r="O6" s="1523"/>
      <c r="P6" s="1523"/>
      <c r="AO6" s="7">
        <v>1</v>
      </c>
      <c r="AP6" s="7">
        <v>2</v>
      </c>
      <c r="AQ6" s="7">
        <v>3</v>
      </c>
      <c r="AR6" s="7">
        <v>4</v>
      </c>
      <c r="AS6" s="7">
        <v>5</v>
      </c>
      <c r="AT6" s="7">
        <v>6</v>
      </c>
      <c r="AU6" s="7">
        <v>7</v>
      </c>
      <c r="AV6" s="7">
        <v>8</v>
      </c>
      <c r="AW6" s="7">
        <v>9</v>
      </c>
      <c r="AX6" s="7">
        <v>10</v>
      </c>
      <c r="AY6" s="7">
        <v>11</v>
      </c>
      <c r="AZ6" s="7">
        <v>12</v>
      </c>
      <c r="BC6" s="7">
        <v>1</v>
      </c>
      <c r="BD6" s="7">
        <v>2</v>
      </c>
      <c r="BE6" s="7">
        <v>3</v>
      </c>
      <c r="BF6" s="7">
        <v>4</v>
      </c>
      <c r="BG6" s="7">
        <v>5</v>
      </c>
      <c r="BH6" s="7">
        <v>6</v>
      </c>
      <c r="BI6" s="7">
        <v>7</v>
      </c>
      <c r="BJ6" s="7">
        <v>8</v>
      </c>
      <c r="BK6" s="7">
        <v>9</v>
      </c>
      <c r="BL6" s="7">
        <v>10</v>
      </c>
      <c r="BM6" s="7">
        <v>11</v>
      </c>
      <c r="BN6" s="7">
        <v>12</v>
      </c>
      <c r="BQ6" s="140" t="s">
        <v>1177</v>
      </c>
      <c r="BR6" t="s">
        <v>352</v>
      </c>
      <c r="BS6">
        <v>8</v>
      </c>
      <c r="BT6" t="str">
        <f>+BT5</f>
        <v>g/cm3</v>
      </c>
      <c r="BU6" t="s">
        <v>353</v>
      </c>
      <c r="BV6">
        <f>70/1000</f>
        <v>7.0000000000000007E-2</v>
      </c>
      <c r="BW6" t="str">
        <f>+BW5</f>
        <v>g/cm3</v>
      </c>
      <c r="BX6" s="474" t="s">
        <v>1170</v>
      </c>
      <c r="BY6" s="476"/>
      <c r="BZ6" s="316">
        <v>7700</v>
      </c>
      <c r="CA6" s="316">
        <f t="shared" si="0"/>
        <v>7.7</v>
      </c>
      <c r="CB6" s="316">
        <v>200</v>
      </c>
      <c r="CC6" s="316">
        <f t="shared" si="1"/>
        <v>0.2</v>
      </c>
    </row>
    <row r="7" spans="1:81">
      <c r="BQ7"/>
      <c r="BR7"/>
      <c r="BS7"/>
      <c r="BT7"/>
      <c r="BU7"/>
      <c r="BV7"/>
      <c r="BW7"/>
      <c r="BX7" s="474" t="s">
        <v>1169</v>
      </c>
      <c r="BY7" s="476"/>
      <c r="BZ7" s="316">
        <v>7100</v>
      </c>
      <c r="CA7" s="316">
        <f t="shared" si="0"/>
        <v>7.1</v>
      </c>
      <c r="CB7" s="316">
        <v>300</v>
      </c>
      <c r="CC7" s="316">
        <f t="shared" si="1"/>
        <v>0.3</v>
      </c>
    </row>
    <row r="8" spans="1:81" ht="21.75" thickBot="1">
      <c r="AO8" s="879" t="s">
        <v>326</v>
      </c>
      <c r="BQ8"/>
      <c r="BR8"/>
      <c r="BS8"/>
      <c r="BT8"/>
      <c r="BU8"/>
      <c r="BV8"/>
      <c r="BW8"/>
      <c r="BX8" s="474" t="s">
        <v>1171</v>
      </c>
      <c r="BY8" s="476"/>
      <c r="BZ8" s="316">
        <v>2700</v>
      </c>
      <c r="CA8" s="316">
        <f t="shared" si="0"/>
        <v>2.7</v>
      </c>
      <c r="CB8" s="316">
        <v>65</v>
      </c>
      <c r="CC8" s="316">
        <f t="shared" si="1"/>
        <v>6.5000000000000002E-2</v>
      </c>
    </row>
    <row r="9" spans="1:81" ht="45" customHeight="1" thickBot="1">
      <c r="A9" s="1516" t="s">
        <v>22</v>
      </c>
      <c r="B9" s="1517"/>
      <c r="C9" s="1517"/>
      <c r="D9" s="1517"/>
      <c r="E9" s="1517"/>
      <c r="F9" s="1517"/>
      <c r="G9" s="231"/>
      <c r="H9" s="1521" t="str">
        <f>CONCATENATE("Cargas aplicadas"," ","(",Formato!$I$20,")")</f>
        <v>Cargas aplicadas (g)</v>
      </c>
      <c r="I9" s="1522"/>
      <c r="J9" s="1522"/>
      <c r="K9" s="1522"/>
      <c r="L9" s="1522"/>
      <c r="M9" s="1522"/>
      <c r="N9" s="1522"/>
      <c r="O9" s="1522"/>
      <c r="P9" s="1522"/>
      <c r="Q9" s="1522"/>
      <c r="R9" s="1522"/>
      <c r="S9" s="837"/>
      <c r="AO9" s="7">
        <f t="shared" ref="AO9:AY9" si="2">H10</f>
        <v>0.01</v>
      </c>
      <c r="AP9" s="7">
        <f t="shared" si="2"/>
        <v>4</v>
      </c>
      <c r="AQ9" s="7">
        <f t="shared" si="2"/>
        <v>8</v>
      </c>
      <c r="AR9" s="7">
        <f t="shared" si="2"/>
        <v>12</v>
      </c>
      <c r="AS9" s="7">
        <f t="shared" si="2"/>
        <v>15</v>
      </c>
      <c r="AT9" s="7">
        <f t="shared" si="2"/>
        <v>20</v>
      </c>
      <c r="AU9" s="7">
        <f t="shared" si="2"/>
        <v>25</v>
      </c>
      <c r="AV9" s="7">
        <f t="shared" si="2"/>
        <v>27</v>
      </c>
      <c r="AW9" s="7">
        <f t="shared" si="2"/>
        <v>30</v>
      </c>
      <c r="AX9" s="7">
        <f t="shared" si="2"/>
        <v>35</v>
      </c>
      <c r="AY9" s="7">
        <f t="shared" si="2"/>
        <v>40</v>
      </c>
      <c r="AZ9" s="7">
        <v>0</v>
      </c>
      <c r="BA9" s="7" t="str">
        <f>Formato!I20</f>
        <v>g</v>
      </c>
      <c r="BQ9"/>
      <c r="BR9"/>
      <c r="BS9"/>
      <c r="BT9"/>
      <c r="BU9"/>
      <c r="BV9"/>
      <c r="BW9"/>
      <c r="BX9"/>
      <c r="BY9"/>
      <c r="BZ9"/>
      <c r="CA9"/>
      <c r="CB9"/>
      <c r="CC9"/>
    </row>
    <row r="10" spans="1:81" ht="30" customHeight="1" thickBot="1">
      <c r="A10" s="1518"/>
      <c r="B10" s="1519"/>
      <c r="C10" s="1519"/>
      <c r="D10" s="1519"/>
      <c r="E10" s="1519"/>
      <c r="F10" s="1520"/>
      <c r="G10" s="232"/>
      <c r="H10" s="233">
        <f>IF(ISBLANK(Formato!T87),"",Formato!T87)</f>
        <v>0.01</v>
      </c>
      <c r="I10" s="234">
        <f>IF(ISBLANK(Formato!T92),"",Formato!T92)</f>
        <v>4</v>
      </c>
      <c r="J10" s="234">
        <f>IF(ISBLANK(Formato!T97),"",Formato!T97)</f>
        <v>8</v>
      </c>
      <c r="K10" s="234">
        <f>IF(ISBLANK(Formato!T102),"",Formato!T102)</f>
        <v>12</v>
      </c>
      <c r="L10" s="234">
        <f>IF(ISBLANK(Formato!T107),"",Formato!T107)</f>
        <v>15</v>
      </c>
      <c r="M10" s="234">
        <f>IF(ISBLANK(Formato!T112),"",Formato!T112)</f>
        <v>20</v>
      </c>
      <c r="N10" s="234">
        <f>IF(ISBLANK(Formato!T117),"",Formato!T117)</f>
        <v>25</v>
      </c>
      <c r="O10" s="234">
        <f>IF(ISBLANK(Formato!T122),"",Formato!T122)</f>
        <v>27</v>
      </c>
      <c r="P10" s="234">
        <f>IF(ISBLANK(Formato!T127),"",Formato!T127)</f>
        <v>30</v>
      </c>
      <c r="Q10" s="234">
        <f>IF(ISBLANK(Formato!T133),"",Formato!T133)</f>
        <v>35</v>
      </c>
      <c r="R10" s="448">
        <f>IF(ISBLANK(Formato!T139),"",Formato!T139)</f>
        <v>40</v>
      </c>
      <c r="S10" s="843">
        <f>IF(ISBLANK(Formato!T82),"",Formato!T82)</f>
        <v>0</v>
      </c>
      <c r="AO10" s="7">
        <f>IF(Formato!$I$20="g",AO9,IF(Formato!$I$20="mg",AO9/1000,IF(Formato!$I$20="kg",AO9*1000,)))</f>
        <v>0.01</v>
      </c>
      <c r="AP10" s="7">
        <f>IF(Formato!$I$20="g",AP9,IF(Formato!$I$20="mg",AP9/1000,IF(Formato!$I$20="kg",AP9*1000,)))</f>
        <v>4</v>
      </c>
      <c r="AQ10" s="7">
        <f>IF(Formato!$I$20="g",AQ9,IF(Formato!$I$20="mg",AQ9/1000,IF(Formato!$I$20="kg",AQ9*1000,)))</f>
        <v>8</v>
      </c>
      <c r="AR10" s="7">
        <f>IF(Formato!$I$20="g",AR9,IF(Formato!$I$20="mg",AR9/1000,IF(Formato!$I$20="kg",AR9*1000,)))</f>
        <v>12</v>
      </c>
      <c r="AS10" s="7">
        <f>IF(Formato!$I$20="g",AS9,IF(Formato!$I$20="mg",AS9/1000,IF(Formato!$I$20="kg",AS9*1000,)))</f>
        <v>15</v>
      </c>
      <c r="AT10" s="7">
        <f>IF(Formato!$I$20="g",AT9,IF(Formato!$I$20="mg",AT9/1000,IF(Formato!$I$20="kg",AT9*1000,)))</f>
        <v>20</v>
      </c>
      <c r="AU10" s="7">
        <f>IF(Formato!$I$20="g",AU9,IF(Formato!$I$20="mg",AU9/1000,IF(Formato!$I$20="kg",AU9*1000,)))</f>
        <v>25</v>
      </c>
      <c r="AV10" s="7">
        <f>IF(Formato!$I$20="g",AV9,IF(Formato!$I$20="mg",AV9/1000,IF(Formato!$I$20="kg",AV9*1000,)))</f>
        <v>27</v>
      </c>
      <c r="AW10" s="7">
        <f>IF(Formato!$I$20="g",AW9,IF(Formato!$I$20="mg",AW9/1000,IF(Formato!$I$20="kg",AW9*1000,)))</f>
        <v>30</v>
      </c>
      <c r="AX10" s="7">
        <f>IF(Formato!$I$20="g",AX9,IF(Formato!$I$20="mg",AX9/1000,IF(Formato!$I$20="kg",AX9*1000,)))</f>
        <v>35</v>
      </c>
      <c r="AY10" s="7">
        <f>IF(Formato!$I$20="g",AY9,IF(Formato!$I$20="mg",AY9/1000,IF(Formato!$I$20="kg",AY9*1000,)))</f>
        <v>40</v>
      </c>
      <c r="AZ10" s="7">
        <f>IF(Formato!$I$20="g",AZ9,IF(Formato!$I$20="mg",AZ9/1000,IF(Formato!$I$20="kg",AZ9*1000,)))</f>
        <v>0</v>
      </c>
      <c r="BA10" s="7" t="s">
        <v>0</v>
      </c>
      <c r="BQ10"/>
      <c r="BR10"/>
      <c r="BS10"/>
      <c r="BT10"/>
      <c r="BU10"/>
      <c r="BV10"/>
      <c r="BW10"/>
      <c r="BX10"/>
      <c r="BY10">
        <v>7.95</v>
      </c>
      <c r="BZ10">
        <f>VLOOKUP(BY10,CA3:CC8,3,FALSE)</f>
        <v>7.0000000000000007E-2</v>
      </c>
      <c r="CA10"/>
      <c r="CB10"/>
      <c r="CC10"/>
    </row>
    <row r="11" spans="1:81" ht="40.5" customHeight="1">
      <c r="A11" s="1539" t="s">
        <v>65</v>
      </c>
      <c r="B11" s="1540"/>
      <c r="C11" s="1540"/>
      <c r="D11" s="1540"/>
      <c r="E11" s="1540"/>
      <c r="F11" s="1540"/>
      <c r="G11" s="235" t="s">
        <v>296</v>
      </c>
      <c r="H11" s="85">
        <f>IF(ISBLANK(Formato!AE20),"",Formato!$AE$20)</f>
        <v>1.0000000000000001E-5</v>
      </c>
      <c r="I11" s="139">
        <f t="shared" ref="I11:Q11" si="3">+H11</f>
        <v>1.0000000000000001E-5</v>
      </c>
      <c r="J11" s="139">
        <f t="shared" si="3"/>
        <v>1.0000000000000001E-5</v>
      </c>
      <c r="K11" s="139">
        <f t="shared" si="3"/>
        <v>1.0000000000000001E-5</v>
      </c>
      <c r="L11" s="139">
        <f t="shared" si="3"/>
        <v>1.0000000000000001E-5</v>
      </c>
      <c r="M11" s="139">
        <f t="shared" si="3"/>
        <v>1.0000000000000001E-5</v>
      </c>
      <c r="N11" s="139">
        <f t="shared" si="3"/>
        <v>1.0000000000000001E-5</v>
      </c>
      <c r="O11" s="139">
        <f t="shared" si="3"/>
        <v>1.0000000000000001E-5</v>
      </c>
      <c r="P11" s="139">
        <f t="shared" si="3"/>
        <v>1.0000000000000001E-5</v>
      </c>
      <c r="Q11" s="139">
        <f t="shared" si="3"/>
        <v>1.0000000000000001E-5</v>
      </c>
      <c r="R11" s="449">
        <f>+Q11</f>
        <v>1.0000000000000001E-5</v>
      </c>
      <c r="S11" s="844">
        <f>R11</f>
        <v>1.0000000000000001E-5</v>
      </c>
      <c r="AI11" s="883" t="s">
        <v>1508</v>
      </c>
      <c r="AJ11" s="1503" t="s">
        <v>1497</v>
      </c>
      <c r="AK11" s="8"/>
      <c r="AL11" s="8"/>
      <c r="AM11" s="8" t="s">
        <v>1501</v>
      </c>
      <c r="AN11" s="8" t="s">
        <v>1503</v>
      </c>
      <c r="BQ11"/>
      <c r="BR11"/>
      <c r="BS11"/>
      <c r="BT11"/>
      <c r="BU11"/>
      <c r="BV11"/>
      <c r="BW11"/>
      <c r="BX11"/>
      <c r="BY11"/>
      <c r="BZ11"/>
      <c r="CA11"/>
      <c r="CB11"/>
      <c r="CC11"/>
    </row>
    <row r="12" spans="1:81" ht="40.5" customHeight="1">
      <c r="A12" s="1541"/>
      <c r="B12" s="1542"/>
      <c r="C12" s="1542"/>
      <c r="D12" s="1542"/>
      <c r="E12" s="1542"/>
      <c r="F12" s="1542"/>
      <c r="G12" s="236" t="s">
        <v>297</v>
      </c>
      <c r="H12" s="795">
        <f>IF(Formato!$E$17=Formato!$AZ$6,SQRT(12),SQRT(24))</f>
        <v>3.4641016151377544</v>
      </c>
      <c r="I12" s="84">
        <f>IF(Formato!$E$17=Formato!$AZ$6,SQRT(12),SQRT(24))</f>
        <v>3.4641016151377544</v>
      </c>
      <c r="J12" s="84">
        <f>IF(Formato!$E$17=Formato!$AZ$6,SQRT(12),SQRT(24))</f>
        <v>3.4641016151377544</v>
      </c>
      <c r="K12" s="84">
        <f>IF(Formato!$E$17=Formato!$AZ$6,SQRT(12),SQRT(24))</f>
        <v>3.4641016151377544</v>
      </c>
      <c r="L12" s="84">
        <f>IF(Formato!$E$17=Formato!$AZ$6,SQRT(12),SQRT(24))</f>
        <v>3.4641016151377544</v>
      </c>
      <c r="M12" s="84">
        <f>IF(Formato!$E$17=Formato!$AZ$6,SQRT(12),SQRT(24))</f>
        <v>3.4641016151377544</v>
      </c>
      <c r="N12" s="84">
        <f>IF(Formato!$E$17=Formato!$AZ$6,SQRT(12),SQRT(24))</f>
        <v>3.4641016151377544</v>
      </c>
      <c r="O12" s="84">
        <f>IF(Formato!$E$17=Formato!$AZ$6,SQRT(12),SQRT(24))</f>
        <v>3.4641016151377544</v>
      </c>
      <c r="P12" s="84">
        <f>IF(Formato!$E$17=Formato!$AZ$6,SQRT(12),SQRT(24))</f>
        <v>3.4641016151377544</v>
      </c>
      <c r="Q12" s="84">
        <f>IF(Formato!$E$17=Formato!$AZ$6,SQRT(12),SQRT(24))</f>
        <v>3.4641016151377544</v>
      </c>
      <c r="R12" s="796">
        <f>IF(Formato!$E$17=Formato!$AZ$6,SQRT(12),SQRT(24))</f>
        <v>3.4641016151377544</v>
      </c>
      <c r="S12" s="845">
        <f>IF(Formato!$E$17=Formato!$AZ$6,SQRT(12),SQRT(24))</f>
        <v>3.4641016151377544</v>
      </c>
      <c r="AI12" s="884"/>
      <c r="AJ12" s="1504"/>
      <c r="AL12" s="8"/>
      <c r="AM12" s="8" t="s">
        <v>1502</v>
      </c>
      <c r="AO12" s="877">
        <f t="shared" ref="AO12:AZ12" si="4">H11</f>
        <v>1.0000000000000001E-5</v>
      </c>
      <c r="AP12" s="877">
        <f t="shared" si="4"/>
        <v>1.0000000000000001E-5</v>
      </c>
      <c r="AQ12" s="877">
        <f t="shared" si="4"/>
        <v>1.0000000000000001E-5</v>
      </c>
      <c r="AR12" s="877">
        <f t="shared" si="4"/>
        <v>1.0000000000000001E-5</v>
      </c>
      <c r="AS12" s="877">
        <f t="shared" si="4"/>
        <v>1.0000000000000001E-5</v>
      </c>
      <c r="AT12" s="877">
        <f t="shared" si="4"/>
        <v>1.0000000000000001E-5</v>
      </c>
      <c r="AU12" s="877">
        <f t="shared" si="4"/>
        <v>1.0000000000000001E-5</v>
      </c>
      <c r="AV12" s="877">
        <f t="shared" si="4"/>
        <v>1.0000000000000001E-5</v>
      </c>
      <c r="AW12" s="877">
        <f t="shared" si="4"/>
        <v>1.0000000000000001E-5</v>
      </c>
      <c r="AX12" s="877">
        <f t="shared" si="4"/>
        <v>1.0000000000000001E-5</v>
      </c>
      <c r="AY12" s="877">
        <f t="shared" si="4"/>
        <v>1.0000000000000001E-5</v>
      </c>
      <c r="AZ12" s="877">
        <f t="shared" si="4"/>
        <v>1.0000000000000001E-5</v>
      </c>
      <c r="BQ12"/>
      <c r="BR12"/>
      <c r="BS12"/>
      <c r="BT12"/>
      <c r="BU12"/>
      <c r="BV12"/>
      <c r="BW12"/>
      <c r="BX12"/>
      <c r="BY12"/>
      <c r="BZ12"/>
      <c r="CA12"/>
      <c r="CB12"/>
      <c r="CC12"/>
    </row>
    <row r="13" spans="1:81" ht="40.5" customHeight="1" thickBot="1">
      <c r="A13" s="1543"/>
      <c r="B13" s="1544"/>
      <c r="C13" s="1544"/>
      <c r="D13" s="1544"/>
      <c r="E13" s="1544"/>
      <c r="F13" s="1544"/>
      <c r="G13" s="237" t="s">
        <v>1035</v>
      </c>
      <c r="H13" s="797">
        <f>H11/H12</f>
        <v>2.8867513459481293E-6</v>
      </c>
      <c r="I13" s="786">
        <f t="shared" ref="I13:R13" si="5">I11/I12</f>
        <v>2.8867513459481293E-6</v>
      </c>
      <c r="J13" s="786">
        <f t="shared" si="5"/>
        <v>2.8867513459481293E-6</v>
      </c>
      <c r="K13" s="786">
        <f t="shared" si="5"/>
        <v>2.8867513459481293E-6</v>
      </c>
      <c r="L13" s="786">
        <f t="shared" si="5"/>
        <v>2.8867513459481293E-6</v>
      </c>
      <c r="M13" s="786">
        <f t="shared" si="5"/>
        <v>2.8867513459481293E-6</v>
      </c>
      <c r="N13" s="786">
        <f t="shared" si="5"/>
        <v>2.8867513459481293E-6</v>
      </c>
      <c r="O13" s="786">
        <f t="shared" si="5"/>
        <v>2.8867513459481293E-6</v>
      </c>
      <c r="P13" s="786">
        <f t="shared" si="5"/>
        <v>2.8867513459481293E-6</v>
      </c>
      <c r="Q13" s="786">
        <f>Q11/Q12</f>
        <v>2.8867513459481293E-6</v>
      </c>
      <c r="R13" s="798">
        <f t="shared" si="5"/>
        <v>2.8867513459481293E-6</v>
      </c>
      <c r="S13" s="846">
        <f>S11/S12</f>
        <v>2.8867513459481293E-6</v>
      </c>
      <c r="T13" s="7">
        <f t="shared" ref="T13:AD13" si="6">POWER(H13,4)/100</f>
        <v>6.9444444444444502E-25</v>
      </c>
      <c r="U13" s="7">
        <f t="shared" si="6"/>
        <v>6.9444444444444502E-25</v>
      </c>
      <c r="V13" s="7">
        <f t="shared" si="6"/>
        <v>6.9444444444444502E-25</v>
      </c>
      <c r="W13" s="7">
        <f t="shared" si="6"/>
        <v>6.9444444444444502E-25</v>
      </c>
      <c r="X13" s="7">
        <f t="shared" si="6"/>
        <v>6.9444444444444502E-25</v>
      </c>
      <c r="Y13" s="7">
        <f t="shared" si="6"/>
        <v>6.9444444444444502E-25</v>
      </c>
      <c r="Z13" s="7">
        <f t="shared" si="6"/>
        <v>6.9444444444444502E-25</v>
      </c>
      <c r="AA13" s="7">
        <f t="shared" si="6"/>
        <v>6.9444444444444502E-25</v>
      </c>
      <c r="AB13" s="7">
        <f t="shared" si="6"/>
        <v>6.9444444444444502E-25</v>
      </c>
      <c r="AC13" s="7">
        <f t="shared" si="6"/>
        <v>6.9444444444444502E-25</v>
      </c>
      <c r="AD13" s="7">
        <f t="shared" si="6"/>
        <v>6.9444444444444502E-25</v>
      </c>
      <c r="AI13" s="884" t="s">
        <v>1507</v>
      </c>
      <c r="AJ13" s="1504"/>
      <c r="AK13" s="887" t="s">
        <v>1498</v>
      </c>
      <c r="AL13" s="8"/>
      <c r="AM13" s="8"/>
      <c r="AN13" s="8" t="s">
        <v>1504</v>
      </c>
      <c r="AO13" s="8">
        <f>AO12/SQRT(12)</f>
        <v>2.8867513459481293E-6</v>
      </c>
      <c r="AP13" s="8"/>
      <c r="AQ13" s="8"/>
      <c r="AR13" s="8"/>
      <c r="AS13" s="8"/>
      <c r="AT13" s="8"/>
      <c r="AU13" s="8"/>
      <c r="AV13" s="8"/>
      <c r="AW13" s="8"/>
      <c r="AX13" s="8"/>
      <c r="AY13" s="8"/>
      <c r="AZ13" s="8"/>
      <c r="BQ13"/>
      <c r="BR13"/>
      <c r="BS13"/>
      <c r="BT13"/>
      <c r="BU13"/>
      <c r="BV13"/>
      <c r="BW13"/>
      <c r="BX13"/>
      <c r="BY13"/>
      <c r="BZ13"/>
      <c r="CA13"/>
      <c r="CB13"/>
      <c r="CC13"/>
    </row>
    <row r="14" spans="1:81" ht="63" customHeight="1">
      <c r="A14" s="1539" t="s">
        <v>65</v>
      </c>
      <c r="B14" s="1540"/>
      <c r="C14" s="1540"/>
      <c r="D14" s="1540"/>
      <c r="E14" s="1540"/>
      <c r="F14" s="1540"/>
      <c r="G14" s="235" t="s">
        <v>296</v>
      </c>
      <c r="H14" s="795">
        <f>+H11</f>
        <v>1.0000000000000001E-5</v>
      </c>
      <c r="I14" s="84">
        <f t="shared" ref="I14:R14" si="7">+I11</f>
        <v>1.0000000000000001E-5</v>
      </c>
      <c r="J14" s="84">
        <f t="shared" si="7"/>
        <v>1.0000000000000001E-5</v>
      </c>
      <c r="K14" s="84">
        <f t="shared" si="7"/>
        <v>1.0000000000000001E-5</v>
      </c>
      <c r="L14" s="84">
        <f t="shared" si="7"/>
        <v>1.0000000000000001E-5</v>
      </c>
      <c r="M14" s="84">
        <f t="shared" si="7"/>
        <v>1.0000000000000001E-5</v>
      </c>
      <c r="N14" s="84">
        <f t="shared" si="7"/>
        <v>1.0000000000000001E-5</v>
      </c>
      <c r="O14" s="84">
        <f t="shared" si="7"/>
        <v>1.0000000000000001E-5</v>
      </c>
      <c r="P14" s="84">
        <f t="shared" si="7"/>
        <v>1.0000000000000001E-5</v>
      </c>
      <c r="Q14" s="84">
        <f>+Q11</f>
        <v>1.0000000000000001E-5</v>
      </c>
      <c r="R14" s="796">
        <f t="shared" si="7"/>
        <v>1.0000000000000001E-5</v>
      </c>
      <c r="S14" s="845">
        <f>+S11</f>
        <v>1.0000000000000001E-5</v>
      </c>
      <c r="AI14" s="884" t="s">
        <v>1507</v>
      </c>
      <c r="AJ14" s="1504"/>
      <c r="AK14" s="887" t="s">
        <v>1499</v>
      </c>
      <c r="AN14" s="8" t="s">
        <v>1504</v>
      </c>
      <c r="AO14" s="8">
        <f>AO12/SQRT(12)</f>
        <v>2.8867513459481293E-6</v>
      </c>
      <c r="AP14" s="8"/>
      <c r="AQ14" s="8"/>
      <c r="AR14" s="8"/>
      <c r="AS14" s="8"/>
      <c r="AT14" s="8"/>
      <c r="AU14" s="8"/>
      <c r="AV14" s="8"/>
      <c r="AW14" s="8"/>
      <c r="AX14" s="8"/>
      <c r="AY14" s="8"/>
      <c r="AZ14" s="8"/>
      <c r="BQ14"/>
      <c r="BR14"/>
      <c r="BS14"/>
      <c r="BT14"/>
      <c r="BU14"/>
      <c r="BV14"/>
      <c r="BW14"/>
      <c r="BX14"/>
      <c r="BY14"/>
      <c r="BZ14"/>
      <c r="CA14"/>
      <c r="CB14"/>
      <c r="CC14"/>
    </row>
    <row r="15" spans="1:81" ht="63" customHeight="1">
      <c r="A15" s="1541"/>
      <c r="B15" s="1542"/>
      <c r="C15" s="1542"/>
      <c r="D15" s="1542"/>
      <c r="E15" s="1542"/>
      <c r="F15" s="1542"/>
      <c r="G15" s="236" t="s">
        <v>297</v>
      </c>
      <c r="H15" s="795">
        <f>+H12</f>
        <v>3.4641016151377544</v>
      </c>
      <c r="I15" s="84">
        <f t="shared" ref="I15:R15" si="8">+I12</f>
        <v>3.4641016151377544</v>
      </c>
      <c r="J15" s="84">
        <f t="shared" si="8"/>
        <v>3.4641016151377544</v>
      </c>
      <c r="K15" s="84">
        <f t="shared" si="8"/>
        <v>3.4641016151377544</v>
      </c>
      <c r="L15" s="84">
        <f t="shared" si="8"/>
        <v>3.4641016151377544</v>
      </c>
      <c r="M15" s="84">
        <f t="shared" si="8"/>
        <v>3.4641016151377544</v>
      </c>
      <c r="N15" s="84">
        <f t="shared" si="8"/>
        <v>3.4641016151377544</v>
      </c>
      <c r="O15" s="84">
        <f t="shared" si="8"/>
        <v>3.4641016151377544</v>
      </c>
      <c r="P15" s="84">
        <f t="shared" si="8"/>
        <v>3.4641016151377544</v>
      </c>
      <c r="Q15" s="84">
        <f>+Q12</f>
        <v>3.4641016151377544</v>
      </c>
      <c r="R15" s="796">
        <f t="shared" si="8"/>
        <v>3.4641016151377544</v>
      </c>
      <c r="S15" s="845">
        <f>+S12</f>
        <v>3.4641016151377544</v>
      </c>
      <c r="AJ15" s="885"/>
      <c r="AK15" s="1505" t="s">
        <v>1509</v>
      </c>
      <c r="AL15" s="8"/>
      <c r="AM15" s="8" t="s">
        <v>1500</v>
      </c>
      <c r="AO15" s="878">
        <f>H17</f>
        <v>8.366600265024016E-6</v>
      </c>
      <c r="AP15" s="8"/>
      <c r="AQ15" s="8"/>
      <c r="AR15" s="8"/>
      <c r="AS15" s="8"/>
      <c r="AT15" s="8"/>
      <c r="AU15" s="8"/>
      <c r="AV15" s="8"/>
      <c r="AW15" s="8"/>
      <c r="AX15" s="8"/>
      <c r="AY15" s="8"/>
      <c r="AZ15" s="8"/>
      <c r="BQ15"/>
      <c r="BR15"/>
      <c r="BS15"/>
      <c r="BT15"/>
      <c r="BU15"/>
      <c r="BV15"/>
      <c r="BW15"/>
      <c r="BX15"/>
      <c r="BY15"/>
      <c r="BZ15"/>
      <c r="CA15"/>
      <c r="CB15"/>
      <c r="CC15"/>
    </row>
    <row r="16" spans="1:81" ht="63" customHeight="1" thickBot="1">
      <c r="A16" s="1543"/>
      <c r="B16" s="1544"/>
      <c r="C16" s="1544"/>
      <c r="D16" s="1544"/>
      <c r="E16" s="1544"/>
      <c r="F16" s="1544"/>
      <c r="G16" s="237" t="s">
        <v>1035</v>
      </c>
      <c r="H16" s="797">
        <f>+H13</f>
        <v>2.8867513459481293E-6</v>
      </c>
      <c r="I16" s="786">
        <f>+I13</f>
        <v>2.8867513459481293E-6</v>
      </c>
      <c r="J16" s="786">
        <f t="shared" ref="J16:R16" si="9">+J13</f>
        <v>2.8867513459481293E-6</v>
      </c>
      <c r="K16" s="786">
        <f t="shared" si="9"/>
        <v>2.8867513459481293E-6</v>
      </c>
      <c r="L16" s="786">
        <f t="shared" si="9"/>
        <v>2.8867513459481293E-6</v>
      </c>
      <c r="M16" s="786">
        <f t="shared" si="9"/>
        <v>2.8867513459481293E-6</v>
      </c>
      <c r="N16" s="786">
        <f t="shared" si="9"/>
        <v>2.8867513459481293E-6</v>
      </c>
      <c r="O16" s="786">
        <f t="shared" si="9"/>
        <v>2.8867513459481293E-6</v>
      </c>
      <c r="P16" s="786">
        <f>+P13</f>
        <v>2.8867513459481293E-6</v>
      </c>
      <c r="Q16" s="786">
        <f>+Q13</f>
        <v>2.8867513459481293E-6</v>
      </c>
      <c r="R16" s="798">
        <f t="shared" si="9"/>
        <v>2.8867513459481293E-6</v>
      </c>
      <c r="S16" s="846">
        <f>+S13</f>
        <v>2.8867513459481293E-6</v>
      </c>
      <c r="T16" s="7">
        <f t="shared" ref="T16:AD16" si="10">POWER(H16,4)/100</f>
        <v>6.9444444444444502E-25</v>
      </c>
      <c r="U16" s="7">
        <f t="shared" si="10"/>
        <v>6.9444444444444502E-25</v>
      </c>
      <c r="V16" s="7">
        <f t="shared" si="10"/>
        <v>6.9444444444444502E-25</v>
      </c>
      <c r="W16" s="7">
        <f t="shared" si="10"/>
        <v>6.9444444444444502E-25</v>
      </c>
      <c r="X16" s="7">
        <f t="shared" si="10"/>
        <v>6.9444444444444502E-25</v>
      </c>
      <c r="Y16" s="7">
        <f t="shared" si="10"/>
        <v>6.9444444444444502E-25</v>
      </c>
      <c r="Z16" s="7">
        <f t="shared" si="10"/>
        <v>6.9444444444444502E-25</v>
      </c>
      <c r="AA16" s="7">
        <f t="shared" si="10"/>
        <v>6.9444444444444502E-25</v>
      </c>
      <c r="AB16" s="7">
        <f t="shared" si="10"/>
        <v>6.9444444444444502E-25</v>
      </c>
      <c r="AC16" s="7">
        <f t="shared" si="10"/>
        <v>6.9444444444444502E-25</v>
      </c>
      <c r="AD16" s="7">
        <f t="shared" si="10"/>
        <v>6.9444444444444502E-25</v>
      </c>
      <c r="AI16" s="884" t="s">
        <v>1506</v>
      </c>
      <c r="AJ16" s="885"/>
      <c r="AK16" s="1506"/>
      <c r="AL16" s="8"/>
      <c r="AM16" s="8"/>
      <c r="AN16" s="8" t="s">
        <v>1505</v>
      </c>
      <c r="AO16" s="878">
        <f>AO15</f>
        <v>8.366600265024016E-6</v>
      </c>
      <c r="AP16" s="8"/>
      <c r="AQ16" s="8"/>
      <c r="AR16" s="8"/>
      <c r="AS16" s="8"/>
      <c r="AT16" s="8"/>
      <c r="AU16" s="8"/>
      <c r="AV16" s="8"/>
      <c r="AW16" s="8"/>
      <c r="AX16" s="8"/>
      <c r="AY16" s="8"/>
      <c r="AZ16" s="8"/>
      <c r="BQ16"/>
      <c r="BR16"/>
      <c r="BS16"/>
      <c r="BT16"/>
      <c r="BU16"/>
      <c r="BV16"/>
      <c r="BW16"/>
      <c r="BX16"/>
      <c r="BY16"/>
      <c r="BZ16"/>
      <c r="CA16"/>
      <c r="CB16"/>
      <c r="CC16"/>
    </row>
    <row r="17" spans="1:81" ht="39" customHeight="1">
      <c r="A17" s="1559" t="s">
        <v>66</v>
      </c>
      <c r="B17" s="1560"/>
      <c r="C17" s="1560"/>
      <c r="D17" s="1560"/>
      <c r="E17" s="1560"/>
      <c r="F17" s="1560"/>
      <c r="G17" s="178"/>
      <c r="H17" s="799">
        <f>Formato!$H$95</f>
        <v>8.366600265024016E-6</v>
      </c>
      <c r="I17" s="787">
        <f>Formato!$H$95</f>
        <v>8.366600265024016E-6</v>
      </c>
      <c r="J17" s="787">
        <f>Formato!$H$95</f>
        <v>8.366600265024016E-6</v>
      </c>
      <c r="K17" s="787">
        <f>Formato!$H$95</f>
        <v>8.366600265024016E-6</v>
      </c>
      <c r="L17" s="787">
        <f>Formato!$H$95</f>
        <v>8.366600265024016E-6</v>
      </c>
      <c r="M17" s="787">
        <f>Formato!$H$95</f>
        <v>8.366600265024016E-6</v>
      </c>
      <c r="N17" s="787">
        <f>Formato!$H$95</f>
        <v>8.366600265024016E-6</v>
      </c>
      <c r="O17" s="787">
        <f>Formato!$H$95</f>
        <v>8.366600265024016E-6</v>
      </c>
      <c r="P17" s="787">
        <f>Formato!$H$95</f>
        <v>8.366600265024016E-6</v>
      </c>
      <c r="Q17" s="787">
        <f>Formato!$H$95</f>
        <v>8.366600265024016E-6</v>
      </c>
      <c r="R17" s="800">
        <f>Formato!$H$95</f>
        <v>8.366600265024016E-6</v>
      </c>
      <c r="S17" s="847">
        <f>Formato!$H$95</f>
        <v>8.366600265024016E-6</v>
      </c>
      <c r="AJ17" s="885"/>
      <c r="AK17" s="1502" t="s">
        <v>1510</v>
      </c>
      <c r="AL17" s="8"/>
      <c r="AM17" s="881" t="s">
        <v>1512</v>
      </c>
      <c r="AN17" s="8"/>
      <c r="AO17" s="878">
        <f>H20</f>
        <v>1.9999999999242847E-7</v>
      </c>
      <c r="AP17" s="8"/>
      <c r="AQ17" s="8"/>
      <c r="AR17" s="8"/>
      <c r="AS17" s="8"/>
      <c r="AT17" s="8"/>
      <c r="AU17" s="8"/>
      <c r="AV17" s="8"/>
      <c r="AW17" s="8"/>
      <c r="AX17" s="8"/>
      <c r="AY17" s="8"/>
      <c r="AZ17" s="8"/>
      <c r="BQ17"/>
      <c r="BR17" s="299" t="s">
        <v>1062</v>
      </c>
      <c r="BS17" s="178"/>
      <c r="BT17" s="178"/>
      <c r="BU17"/>
      <c r="BV17"/>
      <c r="BW17"/>
      <c r="BX17"/>
      <c r="BY17"/>
      <c r="BZ17"/>
      <c r="CA17"/>
      <c r="CB17"/>
      <c r="CC17"/>
    </row>
    <row r="18" spans="1:81" ht="39" customHeight="1">
      <c r="A18" s="1561"/>
      <c r="B18" s="1562"/>
      <c r="C18" s="1562"/>
      <c r="D18" s="1562"/>
      <c r="E18" s="1562"/>
      <c r="F18" s="1562"/>
      <c r="G18" s="311"/>
      <c r="H18" s="801">
        <f>SQRT(COUNT(Formato!B84:E93))</f>
        <v>2.2360679774997898</v>
      </c>
      <c r="I18" s="788">
        <f>SQRT(COUNT(Formato!B84:E93))</f>
        <v>2.2360679774997898</v>
      </c>
      <c r="J18" s="788">
        <f>SQRT(COUNT(Formato!B84:E93))</f>
        <v>2.2360679774997898</v>
      </c>
      <c r="K18" s="788">
        <f>SQRT(COUNT(Formato!B84:E93))</f>
        <v>2.2360679774997898</v>
      </c>
      <c r="L18" s="788">
        <f>SQRT(COUNT(Formato!B84:E93))</f>
        <v>2.2360679774997898</v>
      </c>
      <c r="M18" s="788">
        <f>SQRT(COUNT(Formato!B84:E93))</f>
        <v>2.2360679774997898</v>
      </c>
      <c r="N18" s="788">
        <f>SQRT(COUNT(Formato!B84:E93))</f>
        <v>2.2360679774997898</v>
      </c>
      <c r="O18" s="788">
        <f>SQRT(COUNT(Formato!B84:E93))</f>
        <v>2.2360679774997898</v>
      </c>
      <c r="P18" s="788">
        <f>SQRT(COUNT(Formato!B84:E93))</f>
        <v>2.2360679774997898</v>
      </c>
      <c r="Q18" s="788">
        <f>SQRT(COUNT(Formato!B84:E93))</f>
        <v>2.2360679774997898</v>
      </c>
      <c r="R18" s="802">
        <f>SQRT(COUNT(Formato!B84:E93))</f>
        <v>2.2360679774997898</v>
      </c>
      <c r="S18" s="848">
        <f>SQRT(COUNT(Formato!M84:P93))</f>
        <v>0</v>
      </c>
      <c r="AJ18" s="885"/>
      <c r="AK18" s="1502"/>
      <c r="AL18" s="8"/>
      <c r="AM18" s="8" t="s">
        <v>1513</v>
      </c>
      <c r="AO18" s="882">
        <f>Formato!$K$65</f>
        <v>20</v>
      </c>
      <c r="AP18" s="8"/>
      <c r="AQ18" s="8"/>
      <c r="AR18" s="8"/>
      <c r="AS18" s="8"/>
      <c r="AT18" s="8"/>
      <c r="AU18" s="8"/>
      <c r="AV18" s="8"/>
      <c r="AW18" s="8"/>
      <c r="AX18" s="8"/>
      <c r="AY18" s="8"/>
      <c r="AZ18" s="8"/>
      <c r="BQ18"/>
      <c r="BR18" s="178" t="s">
        <v>1052</v>
      </c>
      <c r="BS18" s="178"/>
      <c r="BT18" s="178"/>
      <c r="BU18"/>
      <c r="BV18" s="298" t="s">
        <v>1055</v>
      </c>
      <c r="BW18"/>
      <c r="BX18"/>
      <c r="BY18"/>
      <c r="BZ18"/>
      <c r="CA18"/>
      <c r="CB18"/>
      <c r="CC18"/>
    </row>
    <row r="19" spans="1:81" ht="39" customHeight="1" thickBot="1">
      <c r="A19" s="1563"/>
      <c r="B19" s="1564"/>
      <c r="C19" s="1564"/>
      <c r="D19" s="1564"/>
      <c r="E19" s="1564"/>
      <c r="F19" s="1564"/>
      <c r="G19" s="312" t="s">
        <v>1035</v>
      </c>
      <c r="H19" s="803">
        <f>H17</f>
        <v>8.366600265024016E-6</v>
      </c>
      <c r="I19" s="789">
        <f t="shared" ref="I19:R19" si="11">I17</f>
        <v>8.366600265024016E-6</v>
      </c>
      <c r="J19" s="789">
        <f t="shared" si="11"/>
        <v>8.366600265024016E-6</v>
      </c>
      <c r="K19" s="789">
        <f t="shared" si="11"/>
        <v>8.366600265024016E-6</v>
      </c>
      <c r="L19" s="789">
        <f t="shared" si="11"/>
        <v>8.366600265024016E-6</v>
      </c>
      <c r="M19" s="789">
        <f t="shared" si="11"/>
        <v>8.366600265024016E-6</v>
      </c>
      <c r="N19" s="789">
        <f t="shared" si="11"/>
        <v>8.366600265024016E-6</v>
      </c>
      <c r="O19" s="789">
        <f t="shared" si="11"/>
        <v>8.366600265024016E-6</v>
      </c>
      <c r="P19" s="789">
        <f t="shared" si="11"/>
        <v>8.366600265024016E-6</v>
      </c>
      <c r="Q19" s="789">
        <f t="shared" si="11"/>
        <v>8.366600265024016E-6</v>
      </c>
      <c r="R19" s="804">
        <f t="shared" si="11"/>
        <v>8.366600265024016E-6</v>
      </c>
      <c r="S19" s="849">
        <f>S17</f>
        <v>8.366600265024016E-6</v>
      </c>
      <c r="T19" s="7">
        <f t="shared" ref="T19:AD19" si="12">POWER(H19,4)/4</f>
        <v>1.2249999998144976E-21</v>
      </c>
      <c r="U19" s="7">
        <f t="shared" si="12"/>
        <v>1.2249999998144976E-21</v>
      </c>
      <c r="V19" s="7">
        <f t="shared" si="12"/>
        <v>1.2249999998144976E-21</v>
      </c>
      <c r="W19" s="7">
        <f t="shared" si="12"/>
        <v>1.2249999998144976E-21</v>
      </c>
      <c r="X19" s="7">
        <f t="shared" si="12"/>
        <v>1.2249999998144976E-21</v>
      </c>
      <c r="Y19" s="7">
        <f t="shared" si="12"/>
        <v>1.2249999998144976E-21</v>
      </c>
      <c r="Z19" s="7">
        <f t="shared" si="12"/>
        <v>1.2249999998144976E-21</v>
      </c>
      <c r="AA19" s="7">
        <f t="shared" si="12"/>
        <v>1.2249999998144976E-21</v>
      </c>
      <c r="AB19" s="7">
        <f t="shared" si="12"/>
        <v>1.2249999998144976E-21</v>
      </c>
      <c r="AC19" s="7">
        <f t="shared" si="12"/>
        <v>1.2249999998144976E-21</v>
      </c>
      <c r="AD19" s="7">
        <f t="shared" si="12"/>
        <v>1.2249999998144976E-21</v>
      </c>
      <c r="AI19" s="7" t="s">
        <v>1511</v>
      </c>
      <c r="AJ19" s="886"/>
      <c r="AK19" s="1502"/>
      <c r="AL19" s="8"/>
      <c r="AM19" s="8"/>
      <c r="AN19" s="8" t="s">
        <v>1504</v>
      </c>
      <c r="AO19" s="8">
        <f>AO17/(2*AO18)/SQRT(3)</f>
        <v>2.8867513458388433E-9</v>
      </c>
      <c r="AP19" s="8"/>
      <c r="AQ19" s="8"/>
      <c r="AR19" s="8"/>
      <c r="AS19" s="8"/>
      <c r="AT19" s="8"/>
      <c r="AU19" s="8"/>
      <c r="AV19" s="8"/>
      <c r="AW19" s="8"/>
      <c r="AX19" s="8"/>
      <c r="AY19" s="8"/>
      <c r="AZ19" s="8"/>
      <c r="BQ19"/>
      <c r="BR19" s="178"/>
      <c r="BS19" s="178"/>
      <c r="BT19" s="178"/>
      <c r="BU19"/>
      <c r="BV19" s="298"/>
      <c r="BW19"/>
      <c r="BX19"/>
      <c r="BY19"/>
      <c r="BZ19"/>
      <c r="CA19"/>
      <c r="CB19"/>
      <c r="CC19"/>
    </row>
    <row r="20" spans="1:81" ht="51.75" customHeight="1">
      <c r="A20" s="1539" t="s">
        <v>67</v>
      </c>
      <c r="B20" s="1540"/>
      <c r="C20" s="1540"/>
      <c r="D20" s="1540"/>
      <c r="E20" s="1540"/>
      <c r="F20" s="1540"/>
      <c r="G20" s="235" t="s">
        <v>296</v>
      </c>
      <c r="H20" s="87">
        <f>+IF(H10="","",H10*Formato!$H$75)</f>
        <v>1.9999999999242847E-7</v>
      </c>
      <c r="I20" s="86">
        <f>+IF(I10="","",I10*Formato!$H$75)</f>
        <v>7.9999999996971383E-5</v>
      </c>
      <c r="J20" s="86">
        <f>+IF(J10="","",J10*Formato!$H$75)</f>
        <v>1.5999999999394277E-4</v>
      </c>
      <c r="K20" s="86">
        <f>+IF(K10="","",K10*Formato!$H$75)</f>
        <v>2.3999999999091415E-4</v>
      </c>
      <c r="L20" s="86">
        <f>+IF(L10="","",L10*Formato!$H$75)</f>
        <v>2.9999999998864268E-4</v>
      </c>
      <c r="M20" s="86">
        <f>+IF(M10="","",M10*Formato!$H$75)</f>
        <v>3.9999999998485691E-4</v>
      </c>
      <c r="N20" s="86">
        <f>+IF(N10="","",N10*Formato!$H$75)</f>
        <v>4.9999999998107114E-4</v>
      </c>
      <c r="O20" s="86">
        <f>+IF(O10="","",O10*Formato!$H$75)</f>
        <v>5.3999999997955683E-4</v>
      </c>
      <c r="P20" s="86">
        <f>+IF(P10="","",P10*Formato!$H$75)</f>
        <v>5.9999999997728537E-4</v>
      </c>
      <c r="Q20" s="86">
        <f>+IF(Q10="","",Q10*Formato!$H$75)</f>
        <v>6.999999999734996E-4</v>
      </c>
      <c r="R20" s="450">
        <f>+IF(R10="","",R10*Formato!$H$75)</f>
        <v>7.9999999996971383E-4</v>
      </c>
      <c r="S20" s="850">
        <f>+IF(S10="","",S10*Formato!$H$75)</f>
        <v>0</v>
      </c>
      <c r="AI20" s="7" t="s">
        <v>1515</v>
      </c>
      <c r="AJ20" s="888" t="s">
        <v>1514</v>
      </c>
      <c r="AK20" s="1498" t="s">
        <v>1516</v>
      </c>
      <c r="AL20" s="8"/>
      <c r="AM20" s="8" t="s">
        <v>1518</v>
      </c>
      <c r="AN20" s="8"/>
      <c r="AO20" s="878">
        <f>H23</f>
        <v>2.7E-6</v>
      </c>
      <c r="AP20" s="8"/>
      <c r="AQ20" s="8"/>
      <c r="AR20" s="8"/>
      <c r="AS20" s="8"/>
      <c r="AT20" s="8"/>
      <c r="AU20" s="8"/>
      <c r="AV20" s="8"/>
      <c r="AW20" s="8"/>
      <c r="AX20" s="8"/>
      <c r="AY20" s="8"/>
      <c r="AZ20" s="8"/>
      <c r="BQ20"/>
      <c r="BR20" s="178"/>
      <c r="BS20" s="178"/>
      <c r="BT20" s="178"/>
      <c r="BU20"/>
      <c r="BV20"/>
      <c r="BW20"/>
      <c r="BX20"/>
      <c r="BY20"/>
      <c r="BZ20"/>
      <c r="CA20"/>
      <c r="CB20"/>
      <c r="CC20"/>
    </row>
    <row r="21" spans="1:81" ht="51.75" customHeight="1">
      <c r="A21" s="1541"/>
      <c r="B21" s="1542"/>
      <c r="C21" s="1542"/>
      <c r="D21" s="1542"/>
      <c r="E21" s="1542"/>
      <c r="F21" s="1542"/>
      <c r="G21" s="236" t="s">
        <v>297</v>
      </c>
      <c r="H21" s="87">
        <f>(2*Formato!$K$65*SQRT(3))</f>
        <v>69.282032302755084</v>
      </c>
      <c r="I21" s="86">
        <f>(2*Formato!$K$65*SQRT(3))</f>
        <v>69.282032302755084</v>
      </c>
      <c r="J21" s="86">
        <f>(2*Formato!$K$65*SQRT(3))</f>
        <v>69.282032302755084</v>
      </c>
      <c r="K21" s="86">
        <f>(2*Formato!$K$65*SQRT(3))</f>
        <v>69.282032302755084</v>
      </c>
      <c r="L21" s="86">
        <f>(2*Formato!$K$65*SQRT(3))</f>
        <v>69.282032302755084</v>
      </c>
      <c r="M21" s="86">
        <f>(2*Formato!$K$65*SQRT(3))</f>
        <v>69.282032302755084</v>
      </c>
      <c r="N21" s="86">
        <f>(2*Formato!$K$65*SQRT(3))</f>
        <v>69.282032302755084</v>
      </c>
      <c r="O21" s="86">
        <f>(2*Formato!$K$65*SQRT(3))</f>
        <v>69.282032302755084</v>
      </c>
      <c r="P21" s="86">
        <f>(2*Formato!$K$65*SQRT(3))</f>
        <v>69.282032302755084</v>
      </c>
      <c r="Q21" s="86">
        <f>(2*Formato!$K$65*SQRT(3))</f>
        <v>69.282032302755084</v>
      </c>
      <c r="R21" s="450">
        <f>(2*Formato!$K$65*SQRT(3))</f>
        <v>69.282032302755084</v>
      </c>
      <c r="S21" s="850">
        <f>(2*Formato!$K$65*SQRT(3))</f>
        <v>69.282032302755084</v>
      </c>
      <c r="AI21" s="7" t="s">
        <v>1517</v>
      </c>
      <c r="AK21" s="1499"/>
      <c r="AL21" s="8"/>
      <c r="AM21" s="8"/>
      <c r="AN21" s="8" t="s">
        <v>1505</v>
      </c>
      <c r="AO21" s="8">
        <f>AO20/2</f>
        <v>1.35E-6</v>
      </c>
      <c r="AP21" s="8"/>
      <c r="AQ21" s="8"/>
      <c r="AR21" s="8"/>
      <c r="AS21" s="8"/>
      <c r="AT21" s="8"/>
      <c r="AU21" s="8"/>
      <c r="AV21" s="8"/>
      <c r="AW21" s="8"/>
      <c r="AX21" s="8"/>
      <c r="AY21" s="8"/>
      <c r="AZ21" s="8"/>
      <c r="BQ21"/>
      <c r="BR21" s="178" t="s">
        <v>1051</v>
      </c>
      <c r="BS21" s="178"/>
      <c r="BT21" s="178"/>
      <c r="BU21"/>
      <c r="BV21"/>
      <c r="BW21"/>
      <c r="BX21"/>
      <c r="BY21"/>
      <c r="BZ21"/>
      <c r="CA21"/>
      <c r="CB21"/>
      <c r="CC21"/>
    </row>
    <row r="22" spans="1:81" ht="51.75" customHeight="1" thickBot="1">
      <c r="A22" s="1557"/>
      <c r="B22" s="1558"/>
      <c r="C22" s="1558"/>
      <c r="D22" s="1558"/>
      <c r="E22" s="1558"/>
      <c r="F22" s="1558"/>
      <c r="G22" s="237" t="s">
        <v>1035</v>
      </c>
      <c r="H22" s="805">
        <f>H20/H21</f>
        <v>2.8867513458388433E-9</v>
      </c>
      <c r="I22" s="790">
        <f>I20/I21</f>
        <v>1.1547005383355373E-6</v>
      </c>
      <c r="J22" s="790">
        <f t="shared" ref="J22:R22" si="13">J20/J21</f>
        <v>2.3094010766710745E-6</v>
      </c>
      <c r="K22" s="790">
        <f t="shared" si="13"/>
        <v>3.464101615006612E-6</v>
      </c>
      <c r="L22" s="790">
        <f t="shared" si="13"/>
        <v>4.3301270187582654E-6</v>
      </c>
      <c r="M22" s="790">
        <f t="shared" si="13"/>
        <v>5.7735026916776869E-6</v>
      </c>
      <c r="N22" s="790">
        <f t="shared" si="13"/>
        <v>7.2168783645971084E-6</v>
      </c>
      <c r="O22" s="790">
        <f t="shared" si="13"/>
        <v>7.7942286337648765E-6</v>
      </c>
      <c r="P22" s="790">
        <f t="shared" si="13"/>
        <v>8.6602540375165308E-6</v>
      </c>
      <c r="Q22" s="790">
        <f>Q20/Q21</f>
        <v>1.0103629710435952E-5</v>
      </c>
      <c r="R22" s="806">
        <f t="shared" si="13"/>
        <v>1.1547005383355374E-5</v>
      </c>
      <c r="S22" s="851">
        <f>S20/S21</f>
        <v>0</v>
      </c>
      <c r="T22" s="7">
        <f t="shared" ref="T22:AD22" si="14">POWER(H22,4)/100</f>
        <v>6.9444444433928434E-37</v>
      </c>
      <c r="U22" s="7">
        <f t="shared" si="14"/>
        <v>1.777777777508568E-26</v>
      </c>
      <c r="V22" s="7">
        <f t="shared" si="14"/>
        <v>2.8444444440137088E-25</v>
      </c>
      <c r="W22" s="7">
        <f t="shared" si="14"/>
        <v>1.4399999997819401E-24</v>
      </c>
      <c r="X22" s="7">
        <f t="shared" si="14"/>
        <v>3.5156249994676288E-24</v>
      </c>
      <c r="Y22" s="7">
        <f t="shared" si="14"/>
        <v>1.1111111109428554E-23</v>
      </c>
      <c r="Z22" s="7">
        <f t="shared" si="14"/>
        <v>2.7126736107003304E-23</v>
      </c>
      <c r="AA22" s="7">
        <f t="shared" si="14"/>
        <v>3.6905624994411354E-23</v>
      </c>
      <c r="AB22" s="7">
        <f t="shared" si="14"/>
        <v>5.6249999991482061E-23</v>
      </c>
      <c r="AC22" s="7">
        <f t="shared" si="14"/>
        <v>1.0421006942866391E-22</v>
      </c>
      <c r="AD22" s="7">
        <f t="shared" si="14"/>
        <v>1.7777777775085687E-22</v>
      </c>
      <c r="AK22" s="1498" t="s">
        <v>1519</v>
      </c>
      <c r="AL22" s="8"/>
      <c r="AM22" s="8" t="s">
        <v>1518</v>
      </c>
      <c r="AO22" s="889">
        <f>H26</f>
        <v>2.7E-6</v>
      </c>
      <c r="AP22" s="8"/>
      <c r="AQ22" s="8"/>
      <c r="AR22" s="8"/>
      <c r="AS22" s="8"/>
      <c r="AT22" s="8"/>
      <c r="AU22" s="8"/>
      <c r="AV22" s="8"/>
      <c r="AW22" s="8"/>
      <c r="AX22" s="8"/>
      <c r="AY22" s="8"/>
      <c r="AZ22" s="8"/>
      <c r="BQ22"/>
      <c r="BR22" s="178"/>
      <c r="BS22" s="178"/>
      <c r="BT22" s="178"/>
      <c r="BU22"/>
      <c r="BV22"/>
      <c r="BW22"/>
      <c r="BX22"/>
      <c r="BY22"/>
      <c r="BZ22"/>
      <c r="CA22"/>
      <c r="CB22"/>
      <c r="CC22"/>
    </row>
    <row r="23" spans="1:81" s="8" customFormat="1" ht="37.5" customHeight="1">
      <c r="A23" s="1565" t="s">
        <v>68</v>
      </c>
      <c r="B23" s="1566"/>
      <c r="C23" s="1566"/>
      <c r="D23" s="1566"/>
      <c r="E23" s="1567"/>
      <c r="F23" s="1571" t="s">
        <v>119</v>
      </c>
      <c r="G23" s="235" t="s">
        <v>296</v>
      </c>
      <c r="H23" s="87">
        <f>+IF(Calculos!I23="","",Calculos!I23)</f>
        <v>2.7E-6</v>
      </c>
      <c r="I23" s="86">
        <f>+IF(Calculos!I28="","",Calculos!I28)</f>
        <v>2.5999999999999998E-5</v>
      </c>
      <c r="J23" s="86">
        <f>+IF(Calculos!I33="","",Calculos!I33)</f>
        <v>3.9999999999999996E-5</v>
      </c>
      <c r="K23" s="86">
        <f>+IF(Calculos!I38="","",Calculos!I38)</f>
        <v>3.3000000000000003E-5</v>
      </c>
      <c r="L23" s="86">
        <f>+IF(Calculos!I43="","",Calculos!I43)</f>
        <v>3.7000000000000005E-5</v>
      </c>
      <c r="M23" s="86">
        <f>+IF(Calculos!I48="","",Calculos!I48)</f>
        <v>2.6999999999999999E-5</v>
      </c>
      <c r="N23" s="86">
        <f>+IF(Calculos!I53="","",Calculos!I53)</f>
        <v>4.3999999999999999E-5</v>
      </c>
      <c r="O23" s="86">
        <f>+IF(Calculos!I58="","",Calculos!I58)</f>
        <v>5.6999999999999996E-5</v>
      </c>
      <c r="P23" s="86">
        <f>+IF(Calculos!I63="","",Calculos!I63)</f>
        <v>4.7000000000000004E-5</v>
      </c>
      <c r="Q23" s="86">
        <f>+IF(Calculos!I69="","",Calculos!I69)</f>
        <v>6.4000000000000011E-5</v>
      </c>
      <c r="R23" s="450">
        <f>+IF(Calculos!I75="","",Calculos!I75)</f>
        <v>5.3999999999999998E-5</v>
      </c>
      <c r="S23" s="850">
        <v>0</v>
      </c>
      <c r="T23" s="7"/>
      <c r="U23" s="7"/>
      <c r="V23" s="7"/>
      <c r="W23" s="7"/>
      <c r="X23" s="7"/>
      <c r="Y23" s="7"/>
      <c r="Z23" s="7"/>
      <c r="AA23" s="7"/>
      <c r="AB23" s="7"/>
      <c r="AC23" s="7"/>
      <c r="AD23" s="7"/>
      <c r="AI23" s="8" t="s">
        <v>1520</v>
      </c>
      <c r="AK23" s="1499"/>
      <c r="AN23" s="8" t="s">
        <v>1504</v>
      </c>
      <c r="AO23" s="8">
        <f>AO22/SQRT(3)</f>
        <v>1.5588457268119896E-6</v>
      </c>
      <c r="BQ23"/>
      <c r="BR23"/>
      <c r="BS23"/>
      <c r="BT23"/>
      <c r="BU23"/>
      <c r="BV23"/>
      <c r="BW23"/>
      <c r="BX23"/>
      <c r="BY23"/>
      <c r="BZ23"/>
      <c r="CA23"/>
      <c r="CB23"/>
      <c r="CC23"/>
    </row>
    <row r="24" spans="1:81" s="8" customFormat="1" ht="37.5" customHeight="1">
      <c r="A24" s="1568"/>
      <c r="B24" s="1569"/>
      <c r="C24" s="1569"/>
      <c r="D24" s="1569"/>
      <c r="E24" s="1570"/>
      <c r="F24" s="1572"/>
      <c r="G24" s="236" t="s">
        <v>297</v>
      </c>
      <c r="H24" s="87">
        <f>+IF(Calculos!J23="","",Calculos!J23)</f>
        <v>2</v>
      </c>
      <c r="I24" s="86">
        <f>+IF(Calculos!J28="","",Calculos!J28)</f>
        <v>2</v>
      </c>
      <c r="J24" s="86">
        <f>+IF(Calculos!J33="","",Calculos!J33)</f>
        <v>2</v>
      </c>
      <c r="K24" s="86">
        <f>+IF(Calculos!J38="","",Calculos!J38)</f>
        <v>2</v>
      </c>
      <c r="L24" s="86">
        <f>+IF(Calculos!J43="","",Calculos!J43)</f>
        <v>2</v>
      </c>
      <c r="M24" s="86">
        <f>+IF(Calculos!J48="","",Calculos!J48)</f>
        <v>2</v>
      </c>
      <c r="N24" s="86">
        <f>+IF(Calculos!J53="","",Calculos!J53)</f>
        <v>2</v>
      </c>
      <c r="O24" s="86">
        <f>+IF(Calculos!J58="","",Calculos!J58)</f>
        <v>2</v>
      </c>
      <c r="P24" s="86">
        <f>+IF(Calculos!J63="","",Calculos!J63)</f>
        <v>2</v>
      </c>
      <c r="Q24" s="86">
        <f>+IF(Calculos!J69="","",Calculos!J69)</f>
        <v>2</v>
      </c>
      <c r="R24" s="450">
        <f>+IF(Calculos!J75="","",Calculos!J75)</f>
        <v>2</v>
      </c>
      <c r="S24" s="850">
        <v>2</v>
      </c>
      <c r="T24" s="7"/>
      <c r="U24" s="7"/>
      <c r="V24" s="7"/>
      <c r="W24" s="7"/>
      <c r="X24" s="7"/>
      <c r="Y24" s="7"/>
      <c r="Z24" s="7"/>
      <c r="AA24" s="7"/>
      <c r="AB24" s="7"/>
      <c r="AC24" s="7"/>
      <c r="AD24" s="7"/>
      <c r="AK24" s="1498" t="s">
        <v>1472</v>
      </c>
      <c r="AL24" s="880"/>
      <c r="AM24" s="880" t="s">
        <v>1521</v>
      </c>
      <c r="AO24" s="890">
        <f>H29</f>
        <v>0</v>
      </c>
      <c r="BQ24"/>
      <c r="BR24" s="1500" t="s">
        <v>1056</v>
      </c>
      <c r="BS24" s="1501" t="str">
        <f>CONCATENATE("Cargas aplicadas"," ","(",Formato!$I$20,")")</f>
        <v>Cargas aplicadas (g)</v>
      </c>
      <c r="BT24" s="1501"/>
      <c r="BU24" s="1501"/>
      <c r="BV24" s="1501"/>
      <c r="BW24" s="1501"/>
      <c r="BX24" s="1501"/>
      <c r="BY24" s="1501"/>
      <c r="BZ24" s="1501"/>
      <c r="CA24" s="1501"/>
      <c r="CB24" s="1501"/>
      <c r="CC24" s="1501"/>
    </row>
    <row r="25" spans="1:81" s="8" customFormat="1" ht="37.5" customHeight="1" thickBot="1">
      <c r="A25" s="1568"/>
      <c r="B25" s="1569"/>
      <c r="C25" s="1569"/>
      <c r="D25" s="1569"/>
      <c r="E25" s="1570"/>
      <c r="F25" s="1573"/>
      <c r="G25" s="237" t="s">
        <v>1035</v>
      </c>
      <c r="H25" s="807">
        <f>IF(H23="N.A", "N.A",H23/H24)</f>
        <v>1.35E-6</v>
      </c>
      <c r="I25" s="785">
        <f>IF(I23="N.A", "N.A",I23/I24)</f>
        <v>1.2999999999999999E-5</v>
      </c>
      <c r="J25" s="785">
        <f t="shared" ref="J25:P25" si="15">IF(J23="N.A", "N.A",J23/J24)</f>
        <v>1.9999999999999998E-5</v>
      </c>
      <c r="K25" s="785">
        <f t="shared" si="15"/>
        <v>1.6500000000000001E-5</v>
      </c>
      <c r="L25" s="785">
        <f t="shared" si="15"/>
        <v>1.8500000000000002E-5</v>
      </c>
      <c r="M25" s="785">
        <f t="shared" si="15"/>
        <v>1.3499999999999999E-5</v>
      </c>
      <c r="N25" s="785">
        <f>IF(N23="N.A", "N.A",N23/N24)</f>
        <v>2.1999999999999999E-5</v>
      </c>
      <c r="O25" s="785">
        <f t="shared" si="15"/>
        <v>2.8499999999999998E-5</v>
      </c>
      <c r="P25" s="785">
        <f t="shared" si="15"/>
        <v>2.3500000000000002E-5</v>
      </c>
      <c r="Q25" s="785">
        <f>IF(Q23="N.A", "N.A",Q23/Q24)</f>
        <v>3.2000000000000005E-5</v>
      </c>
      <c r="R25" s="808">
        <f>IF(R23="N.A", "N.A",R23/R24)</f>
        <v>2.6999999999999999E-5</v>
      </c>
      <c r="S25" s="852">
        <f>IF(S23="N.A", "N.A",S23/S24)</f>
        <v>0</v>
      </c>
      <c r="T25" s="7">
        <f t="shared" ref="T25:AD25" si="16">POWER(H25,4)/100</f>
        <v>3.3215062499999996E-26</v>
      </c>
      <c r="U25" s="7">
        <f t="shared" si="16"/>
        <v>2.8560999999999995E-22</v>
      </c>
      <c r="V25" s="7">
        <f t="shared" si="16"/>
        <v>1.5999999999999991E-21</v>
      </c>
      <c r="W25" s="7">
        <f t="shared" si="16"/>
        <v>7.4120062500000009E-22</v>
      </c>
      <c r="X25" s="7">
        <f t="shared" si="16"/>
        <v>1.1713506250000005E-21</v>
      </c>
      <c r="Y25" s="7">
        <f t="shared" si="16"/>
        <v>3.3215062499999996E-22</v>
      </c>
      <c r="Z25" s="7">
        <f t="shared" si="16"/>
        <v>2.34256E-21</v>
      </c>
      <c r="AA25" s="7">
        <f t="shared" si="16"/>
        <v>6.5975006249999979E-21</v>
      </c>
      <c r="AB25" s="7">
        <f t="shared" si="16"/>
        <v>3.0498006250000017E-21</v>
      </c>
      <c r="AC25" s="7">
        <f t="shared" si="16"/>
        <v>1.0485760000000009E-20</v>
      </c>
      <c r="AD25" s="7">
        <f t="shared" si="16"/>
        <v>5.3144099999999994E-21</v>
      </c>
      <c r="AK25" s="1499"/>
      <c r="AN25" s="8" t="s">
        <v>1505</v>
      </c>
      <c r="AO25" s="8">
        <f>AO24/1</f>
        <v>0</v>
      </c>
      <c r="BQ25"/>
      <c r="BR25" s="1500"/>
      <c r="BS25" s="293" t="str">
        <f>'Estimación de la Incertidumbre'!BX8</f>
        <v>Aluminio</v>
      </c>
      <c r="BT25" s="293">
        <f>'Estimación de la Incertidumbre'!BY8</f>
        <v>0</v>
      </c>
      <c r="BU25" s="293">
        <f>'Estimación de la Incertidumbre'!BZ8</f>
        <v>2700</v>
      </c>
      <c r="BV25" s="293">
        <f>'Estimación de la Incertidumbre'!CA8</f>
        <v>2.7</v>
      </c>
      <c r="BW25" s="293">
        <f>'Estimación de la Incertidumbre'!CB8</f>
        <v>65</v>
      </c>
      <c r="BX25" s="293">
        <f>'Estimación de la Incertidumbre'!CC8</f>
        <v>6.5000000000000002E-2</v>
      </c>
      <c r="BY25" s="293">
        <f>'Estimación de la Incertidumbre'!CD8</f>
        <v>0</v>
      </c>
      <c r="BZ25" s="293">
        <f>'Estimación de la Incertidumbre'!CE8</f>
        <v>0</v>
      </c>
      <c r="CA25" s="293">
        <f>'Estimación de la Incertidumbre'!CF8</f>
        <v>0</v>
      </c>
      <c r="CB25" s="293">
        <f>'Estimación de la Incertidumbre'!CG8</f>
        <v>0</v>
      </c>
      <c r="CC25" s="293">
        <f>'Estimación de la Incertidumbre'!CH8</f>
        <v>0</v>
      </c>
    </row>
    <row r="26" spans="1:81" s="8" customFormat="1" ht="37.5" customHeight="1" thickBot="1">
      <c r="A26" s="1548" t="s">
        <v>69</v>
      </c>
      <c r="B26" s="1549"/>
      <c r="C26" s="1549"/>
      <c r="D26" s="1549"/>
      <c r="E26" s="1550"/>
      <c r="F26" s="1554" t="s">
        <v>119</v>
      </c>
      <c r="G26" s="302" t="s">
        <v>298</v>
      </c>
      <c r="H26" s="809">
        <f>+IF(Calculos!K23="","",Calculos!K23)</f>
        <v>2.7E-6</v>
      </c>
      <c r="I26" s="86">
        <f>+IF(Calculos!K28="","",Calculos!K28)</f>
        <v>2.5999999999999998E-5</v>
      </c>
      <c r="J26" s="86">
        <f>+IF(Calculos!K33="","",Calculos!K33)</f>
        <v>3.9999999999999996E-5</v>
      </c>
      <c r="K26" s="86">
        <f>+IF(Calculos!K38="","",Calculos!K38)</f>
        <v>3.3000000000000003E-5</v>
      </c>
      <c r="L26" s="86">
        <f>+IF(Calculos!K43="","",Calculos!K43)</f>
        <v>3.7000000000000005E-5</v>
      </c>
      <c r="M26" s="86">
        <f>+IF(Calculos!K48="","",Calculos!K48)</f>
        <v>2.6999999999999999E-5</v>
      </c>
      <c r="N26" s="86">
        <f>+IF(Calculos!K53="","",Calculos!K53)</f>
        <v>4.3999999999999999E-5</v>
      </c>
      <c r="O26" s="86">
        <f>+IF(Calculos!K58="","",Calculos!K58)</f>
        <v>5.6999999999999996E-5</v>
      </c>
      <c r="P26" s="86">
        <f>+IF(Calculos!K63="","",Calculos!K63)</f>
        <v>4.7000000000000004E-5</v>
      </c>
      <c r="Q26" s="86">
        <f>+IF(Calculos!K69="","",Calculos!K69)</f>
        <v>6.4000000000000011E-5</v>
      </c>
      <c r="R26" s="450">
        <f>+IF(Calculos!K75="","",Calculos!K75)</f>
        <v>5.3999999999999998E-5</v>
      </c>
      <c r="S26" s="853">
        <v>0</v>
      </c>
      <c r="T26" s="7"/>
      <c r="U26" s="7"/>
      <c r="V26" s="7"/>
      <c r="W26" s="7"/>
      <c r="X26" s="7"/>
      <c r="Y26" s="7"/>
      <c r="Z26" s="7"/>
      <c r="AA26" s="7"/>
      <c r="AB26" s="7"/>
      <c r="AC26" s="7"/>
      <c r="AD26" s="7"/>
      <c r="AI26" s="8" t="s">
        <v>1522</v>
      </c>
      <c r="AK26" s="1498" t="s">
        <v>324</v>
      </c>
      <c r="BQ26"/>
      <c r="BR26" s="1500" t="s">
        <v>1057</v>
      </c>
      <c r="BS26" s="1501" t="s">
        <v>1058</v>
      </c>
      <c r="BT26" s="1501"/>
      <c r="BU26" s="1501"/>
      <c r="BV26" s="1501"/>
      <c r="BW26" s="1501"/>
      <c r="BX26" s="1501"/>
      <c r="BY26" s="1501"/>
      <c r="BZ26" s="1501"/>
      <c r="CA26" s="1501"/>
      <c r="CB26" s="1501"/>
      <c r="CC26" s="1501"/>
    </row>
    <row r="27" spans="1:81" s="8" customFormat="1" ht="37.5" customHeight="1">
      <c r="A27" s="1551"/>
      <c r="B27" s="1552"/>
      <c r="C27" s="1552"/>
      <c r="D27" s="1552"/>
      <c r="E27" s="1553"/>
      <c r="F27" s="1555"/>
      <c r="G27" s="302" t="s">
        <v>1063</v>
      </c>
      <c r="H27" s="758">
        <f>IF(ISBLANK($H$10),"",SQRT(3))</f>
        <v>1.7320508075688772</v>
      </c>
      <c r="I27" s="757">
        <f>IF(ISBLANK($H$10),"",SQRT(3))</f>
        <v>1.7320508075688772</v>
      </c>
      <c r="J27" s="757">
        <f t="shared" ref="J27:R27" si="17">IF(ISBLANK($H$10),"",SQRT(3))</f>
        <v>1.7320508075688772</v>
      </c>
      <c r="K27" s="757">
        <f t="shared" si="17"/>
        <v>1.7320508075688772</v>
      </c>
      <c r="L27" s="757">
        <f t="shared" si="17"/>
        <v>1.7320508075688772</v>
      </c>
      <c r="M27" s="757">
        <f t="shared" si="17"/>
        <v>1.7320508075688772</v>
      </c>
      <c r="N27" s="757">
        <f t="shared" si="17"/>
        <v>1.7320508075688772</v>
      </c>
      <c r="O27" s="757">
        <f t="shared" si="17"/>
        <v>1.7320508075688772</v>
      </c>
      <c r="P27" s="757">
        <f t="shared" si="17"/>
        <v>1.7320508075688772</v>
      </c>
      <c r="Q27" s="757">
        <f t="shared" si="17"/>
        <v>1.7320508075688772</v>
      </c>
      <c r="R27" s="759">
        <f t="shared" si="17"/>
        <v>1.7320508075688772</v>
      </c>
      <c r="S27" s="854">
        <f>IF(ISBLANK($H$10),"",SQRT(3))</f>
        <v>1.7320508075688772</v>
      </c>
      <c r="T27" s="7"/>
      <c r="U27" s="7"/>
      <c r="V27" s="7"/>
      <c r="W27" s="7"/>
      <c r="X27" s="7"/>
      <c r="Y27" s="7"/>
      <c r="Z27" s="7"/>
      <c r="AA27" s="7"/>
      <c r="AB27" s="7"/>
      <c r="AC27" s="7"/>
      <c r="AD27" s="7"/>
      <c r="AK27" s="1499"/>
      <c r="BQ27"/>
      <c r="BR27" s="1500"/>
      <c r="BS27" s="760">
        <f>IF(Formato!$I$20="g",Formato!CN85,IF(Formato!$I$20="mg",Formato!CN85/1000,IF(Formato!$I$20="kg",Formato!CN85*1000,)))</f>
        <v>0</v>
      </c>
      <c r="BT27" s="760">
        <f>IF(Formato!$I$20="g",Formato!CN90,IF(Formato!$I$20="mg",Formato!CN90/1000,IF(Formato!$I$20="kg",Formato!CN90*1000,)))</f>
        <v>0</v>
      </c>
      <c r="BU27" s="760">
        <f>IF(Formato!$I$20="g",Formato!CN95,IF(Formato!$I$20="mg",Formato!CN95/1000,IF(Formato!$I$20="kg",Formato!CN95*1000,)))</f>
        <v>0</v>
      </c>
      <c r="BV27" s="760">
        <f>IF(Formato!$I$20="g",Formato!CN100,IF(Formato!$I$20="mg",Formato!CN100/1000,IF(Formato!$I$20="kg",Formato!CN100*1000,)))</f>
        <v>0</v>
      </c>
      <c r="BW27" s="760">
        <f>IF(Formato!$I$20="g",Formato!CN105,IF(Formato!$I$20="mg",Formato!CN105/1000,IF(Formato!$I$20="kg",Formato!CN105*1000,)))</f>
        <v>0</v>
      </c>
      <c r="BX27" s="760">
        <f>IF(Formato!$I$20="g",Formato!CN110,IF(Formato!$I$20="mg",Formato!CN110/1000,IF(Formato!$I$20="kg",Formato!CN110*1000,)))</f>
        <v>0</v>
      </c>
      <c r="BY27" s="760">
        <f>IF(Formato!$I$20="g",Formato!CN115,IF(Formato!$I$20="mg",Formato!CN115/1000,IF(Formato!$I$20="kg",Formato!CN115*1000,)))</f>
        <v>0</v>
      </c>
      <c r="BZ27" s="760">
        <f>IF(Formato!$I$20="g",Formato!CN120,IF(Formato!$I$20="mg",Formato!CN120/1000,IF(Formato!$I$20="kg",Formato!CN120*1000,)))</f>
        <v>0</v>
      </c>
      <c r="CA27" s="760">
        <f>IF(Formato!$I$20="g",Formato!CN125,IF(Formato!$I$20="mg",Formato!CN125/1000,IF(Formato!$I$20="kg",Formato!CN125*1000,)))</f>
        <v>0</v>
      </c>
      <c r="CB27" s="760">
        <f>IF(Formato!$I$20="g",Formato!CN131,IF(Formato!$I$20="mg",Formato!CN131/1000,IF(Formato!$I$20="kg",Formato!CN131*1000,)))</f>
        <v>0</v>
      </c>
      <c r="CC27" s="760">
        <f>IF(Formato!$I$20="g",Formato!CN137,IF(Formato!$I$20="mg",Formato!CN137/1000,IF(Formato!$I$20="kg",Formato!CN137*1000,)))</f>
        <v>0</v>
      </c>
    </row>
    <row r="28" spans="1:81" s="8" customFormat="1" ht="37.5" customHeight="1" thickBot="1">
      <c r="A28" s="1551"/>
      <c r="B28" s="1552"/>
      <c r="C28" s="1552"/>
      <c r="D28" s="1552"/>
      <c r="E28" s="1553"/>
      <c r="F28" s="1556"/>
      <c r="G28" s="303"/>
      <c r="H28" s="807">
        <f>+H26/H27</f>
        <v>1.5588457268119896E-6</v>
      </c>
      <c r="I28" s="785">
        <f>+I26/I27</f>
        <v>1.501110699893027E-5</v>
      </c>
      <c r="J28" s="785">
        <f t="shared" ref="J28:R28" si="18">+J26/J27</f>
        <v>2.3094010767585031E-5</v>
      </c>
      <c r="K28" s="785">
        <f t="shared" si="18"/>
        <v>1.9052558883257653E-5</v>
      </c>
      <c r="L28" s="785">
        <f t="shared" si="18"/>
        <v>2.1361959960016156E-5</v>
      </c>
      <c r="M28" s="785">
        <f t="shared" si="18"/>
        <v>1.5588457268119894E-5</v>
      </c>
      <c r="N28" s="785">
        <f t="shared" si="18"/>
        <v>2.5403411844343534E-5</v>
      </c>
      <c r="O28" s="785">
        <f t="shared" si="18"/>
        <v>3.2908965343808671E-5</v>
      </c>
      <c r="P28" s="785">
        <f t="shared" si="18"/>
        <v>2.7135462651912414E-5</v>
      </c>
      <c r="Q28" s="785">
        <f>+Q26/Q27</f>
        <v>3.6950417228136057E-5</v>
      </c>
      <c r="R28" s="808">
        <f t="shared" si="18"/>
        <v>3.1176914536239789E-5</v>
      </c>
      <c r="S28" s="852">
        <f>+S26/S27</f>
        <v>0</v>
      </c>
      <c r="T28" s="7">
        <f t="shared" ref="T28:AD28" si="19">POWER(H28,4)/100</f>
        <v>5.9049000000000002E-26</v>
      </c>
      <c r="U28" s="7">
        <f t="shared" si="19"/>
        <v>5.0775111111111122E-22</v>
      </c>
      <c r="V28" s="7">
        <f t="shared" si="19"/>
        <v>2.8444444444444445E-21</v>
      </c>
      <c r="W28" s="7">
        <f t="shared" si="19"/>
        <v>1.3176900000000005E-21</v>
      </c>
      <c r="X28" s="7">
        <f t="shared" si="19"/>
        <v>2.0824011111111118E-21</v>
      </c>
      <c r="Y28" s="7">
        <f t="shared" si="19"/>
        <v>5.9048999999999993E-22</v>
      </c>
      <c r="Z28" s="7">
        <f t="shared" si="19"/>
        <v>4.1645511111111113E-21</v>
      </c>
      <c r="AA28" s="7">
        <f t="shared" si="19"/>
        <v>1.1728890000000002E-20</v>
      </c>
      <c r="AB28" s="7">
        <f t="shared" si="19"/>
        <v>5.4218677777777799E-21</v>
      </c>
      <c r="AC28" s="7">
        <f t="shared" si="19"/>
        <v>1.8641351111111132E-20</v>
      </c>
      <c r="AD28" s="7">
        <f t="shared" si="19"/>
        <v>9.4478399999999988E-21</v>
      </c>
      <c r="BQ28"/>
      <c r="BR28" s="300" t="s">
        <v>1059</v>
      </c>
      <c r="BS28" s="389">
        <v>0</v>
      </c>
      <c r="BT28" s="389" t="str">
        <f>IF(Formato!BY18=0,"",Calculos!CB26)</f>
        <v/>
      </c>
      <c r="BU28" s="389" t="str">
        <f>IF(Formato!BY18=0,"",Calculos!CB31)</f>
        <v/>
      </c>
      <c r="BV28" s="389" t="str">
        <f>IF(Formato!BY18=0,"",Calculos!CB36)</f>
        <v/>
      </c>
      <c r="BW28" s="389" t="str">
        <f>IF(Formato!BY18=0,"",Calculos!CB41)</f>
        <v/>
      </c>
      <c r="BX28" s="389" t="str">
        <f>IF(Formato!BY18=0,"",Calculos!CB46)</f>
        <v/>
      </c>
      <c r="BY28" s="389" t="str">
        <f>IF(Formato!BY18=0,"",Calculos!CB51)</f>
        <v/>
      </c>
      <c r="BZ28" s="389" t="str">
        <f>IF(Formato!BY18=0,"",Calculos!CB56)</f>
        <v/>
      </c>
      <c r="CA28" s="389" t="str">
        <f>IF(Formato!BY18=0,"",Calculos!CB61)</f>
        <v/>
      </c>
      <c r="CB28" s="389" t="str">
        <f>IF(Formato!BY18=0,"",Calculos!CB67)</f>
        <v/>
      </c>
      <c r="CC28" s="389" t="str">
        <f>IF(Formato!BY18=0,"",Calculos!CB73)</f>
        <v/>
      </c>
    </row>
    <row r="29" spans="1:81" s="8" customFormat="1" ht="22.5" customHeight="1">
      <c r="A29" s="1548" t="s">
        <v>1463</v>
      </c>
      <c r="B29" s="1549"/>
      <c r="C29" s="1549"/>
      <c r="D29" s="1549"/>
      <c r="E29" s="1550"/>
      <c r="F29" s="779"/>
      <c r="G29" s="782" t="s">
        <v>1471</v>
      </c>
      <c r="H29" s="807">
        <v>0</v>
      </c>
      <c r="I29" s="785">
        <v>0</v>
      </c>
      <c r="J29" s="785">
        <v>0</v>
      </c>
      <c r="K29" s="785">
        <v>0</v>
      </c>
      <c r="L29" s="785">
        <v>0</v>
      </c>
      <c r="M29" s="785">
        <v>0</v>
      </c>
      <c r="N29" s="785">
        <v>0</v>
      </c>
      <c r="O29" s="785">
        <v>0</v>
      </c>
      <c r="P29" s="785">
        <v>0</v>
      </c>
      <c r="Q29" s="785">
        <v>0</v>
      </c>
      <c r="R29" s="808">
        <v>0</v>
      </c>
      <c r="S29" s="852">
        <v>0</v>
      </c>
      <c r="T29" s="7"/>
      <c r="U29" s="7"/>
      <c r="V29" s="7"/>
      <c r="W29" s="7"/>
      <c r="X29" s="7"/>
      <c r="Y29" s="7"/>
      <c r="Z29" s="7"/>
      <c r="AA29" s="7"/>
      <c r="AB29" s="7"/>
      <c r="AC29" s="7"/>
      <c r="AD29" s="7"/>
      <c r="BQ29"/>
      <c r="BR29" s="300" t="s">
        <v>1060</v>
      </c>
      <c r="BS29" s="293">
        <f>$C$6</f>
        <v>0</v>
      </c>
      <c r="BT29" s="293">
        <f t="shared" ref="BT29:CC29" si="20">$C$6</f>
        <v>0</v>
      </c>
      <c r="BU29" s="293">
        <f t="shared" si="20"/>
        <v>0</v>
      </c>
      <c r="BV29" s="293">
        <f t="shared" si="20"/>
        <v>0</v>
      </c>
      <c r="BW29" s="293">
        <f t="shared" si="20"/>
        <v>0</v>
      </c>
      <c r="BX29" s="293">
        <f>$C$6</f>
        <v>0</v>
      </c>
      <c r="BY29" s="293">
        <f>$C$6</f>
        <v>0</v>
      </c>
      <c r="BZ29" s="293">
        <f t="shared" si="20"/>
        <v>0</v>
      </c>
      <c r="CA29" s="293">
        <f t="shared" si="20"/>
        <v>0</v>
      </c>
      <c r="CB29" s="293">
        <f t="shared" si="20"/>
        <v>0</v>
      </c>
      <c r="CC29" s="293">
        <f t="shared" si="20"/>
        <v>0</v>
      </c>
    </row>
    <row r="30" spans="1:81" s="8" customFormat="1" ht="22.5" customHeight="1" thickBot="1">
      <c r="A30" s="1551"/>
      <c r="B30" s="1552"/>
      <c r="C30" s="1552"/>
      <c r="D30" s="1552"/>
      <c r="E30" s="1553"/>
      <c r="F30" s="780"/>
      <c r="G30" s="783" t="s">
        <v>1462</v>
      </c>
      <c r="H30" s="807">
        <v>1</v>
      </c>
      <c r="I30" s="785">
        <v>1</v>
      </c>
      <c r="J30" s="785">
        <v>1</v>
      </c>
      <c r="K30" s="785">
        <v>1</v>
      </c>
      <c r="L30" s="785">
        <v>1</v>
      </c>
      <c r="M30" s="785">
        <v>1</v>
      </c>
      <c r="N30" s="785">
        <v>1</v>
      </c>
      <c r="O30" s="785">
        <v>1</v>
      </c>
      <c r="P30" s="785">
        <v>1</v>
      </c>
      <c r="Q30" s="785">
        <v>1</v>
      </c>
      <c r="R30" s="808">
        <v>1</v>
      </c>
      <c r="S30" s="852">
        <v>1</v>
      </c>
      <c r="T30" s="7"/>
      <c r="U30" s="7"/>
      <c r="V30" s="7"/>
      <c r="W30" s="7"/>
      <c r="X30" s="7"/>
      <c r="Y30" s="7"/>
      <c r="Z30" s="7"/>
      <c r="AA30" s="7"/>
      <c r="AB30" s="7"/>
      <c r="AC30" s="7"/>
      <c r="AD30" s="7"/>
      <c r="BQ30"/>
      <c r="BR30" s="304" t="s">
        <v>1061</v>
      </c>
      <c r="BS30" s="305">
        <f>$C$8</f>
        <v>0</v>
      </c>
      <c r="BT30" s="305">
        <f t="shared" ref="BT30:CC30" si="21">$C$8</f>
        <v>0</v>
      </c>
      <c r="BU30" s="305">
        <f t="shared" si="21"/>
        <v>0</v>
      </c>
      <c r="BV30" s="305">
        <f t="shared" si="21"/>
        <v>0</v>
      </c>
      <c r="BW30" s="305">
        <f t="shared" si="21"/>
        <v>0</v>
      </c>
      <c r="BX30" s="305">
        <f t="shared" si="21"/>
        <v>0</v>
      </c>
      <c r="BY30" s="305">
        <f t="shared" si="21"/>
        <v>0</v>
      </c>
      <c r="BZ30" s="305">
        <f t="shared" si="21"/>
        <v>0</v>
      </c>
      <c r="CA30" s="305">
        <f t="shared" si="21"/>
        <v>0</v>
      </c>
      <c r="CB30" s="305">
        <f t="shared" si="21"/>
        <v>0</v>
      </c>
      <c r="CC30" s="305">
        <f t="shared" si="21"/>
        <v>0</v>
      </c>
    </row>
    <row r="31" spans="1:81" s="8" customFormat="1" ht="22.5" customHeight="1" thickBot="1">
      <c r="A31" s="1574"/>
      <c r="B31" s="1575"/>
      <c r="C31" s="1575"/>
      <c r="D31" s="1575"/>
      <c r="E31" s="1576"/>
      <c r="F31" s="781"/>
      <c r="G31" s="784" t="s">
        <v>1035</v>
      </c>
      <c r="H31" s="807">
        <f>H29/H30</f>
        <v>0</v>
      </c>
      <c r="I31" s="785">
        <f t="shared" ref="I31:R31" si="22">I29/I30</f>
        <v>0</v>
      </c>
      <c r="J31" s="785">
        <f t="shared" si="22"/>
        <v>0</v>
      </c>
      <c r="K31" s="785">
        <f t="shared" si="22"/>
        <v>0</v>
      </c>
      <c r="L31" s="785">
        <f t="shared" si="22"/>
        <v>0</v>
      </c>
      <c r="M31" s="785">
        <f t="shared" si="22"/>
        <v>0</v>
      </c>
      <c r="N31" s="785">
        <f t="shared" si="22"/>
        <v>0</v>
      </c>
      <c r="O31" s="785">
        <f t="shared" si="22"/>
        <v>0</v>
      </c>
      <c r="P31" s="785">
        <f t="shared" si="22"/>
        <v>0</v>
      </c>
      <c r="Q31" s="785">
        <f t="shared" si="22"/>
        <v>0</v>
      </c>
      <c r="R31" s="808">
        <f t="shared" si="22"/>
        <v>0</v>
      </c>
      <c r="S31" s="852">
        <f>S29/S30</f>
        <v>0</v>
      </c>
      <c r="T31" s="7">
        <f t="shared" ref="T31:AD31" si="23">POWER(H31,4)/100</f>
        <v>0</v>
      </c>
      <c r="U31" s="7">
        <f t="shared" si="23"/>
        <v>0</v>
      </c>
      <c r="V31" s="7">
        <f t="shared" si="23"/>
        <v>0</v>
      </c>
      <c r="W31" s="7">
        <f t="shared" si="23"/>
        <v>0</v>
      </c>
      <c r="X31" s="7">
        <f t="shared" si="23"/>
        <v>0</v>
      </c>
      <c r="Y31" s="7">
        <f t="shared" si="23"/>
        <v>0</v>
      </c>
      <c r="Z31" s="7">
        <f t="shared" si="23"/>
        <v>0</v>
      </c>
      <c r="AA31" s="7">
        <f t="shared" si="23"/>
        <v>0</v>
      </c>
      <c r="AB31" s="7">
        <f t="shared" si="23"/>
        <v>0</v>
      </c>
      <c r="AC31" s="7">
        <f t="shared" si="23"/>
        <v>0</v>
      </c>
      <c r="AD31" s="7">
        <f t="shared" si="23"/>
        <v>0</v>
      </c>
      <c r="BQ31"/>
      <c r="BR31" s="296" t="s">
        <v>1053</v>
      </c>
      <c r="BS31" s="893">
        <f t="shared" ref="BS31:CC31" si="24">SQRT(((($BV$3^2)*((1/$BS$5)-(1/8))^2))+(($BS$3-0.0012)^2*($BV$5^2/$BS$5^4)))*AO10</f>
        <v>1.6736580629156549E-9</v>
      </c>
      <c r="BT31" s="893">
        <f t="shared" si="24"/>
        <v>6.6946322516626199E-7</v>
      </c>
      <c r="BU31" s="893">
        <f t="shared" si="24"/>
        <v>1.338926450332524E-6</v>
      </c>
      <c r="BV31" s="893">
        <f t="shared" si="24"/>
        <v>2.008389675498786E-6</v>
      </c>
      <c r="BW31" s="893">
        <f t="shared" si="24"/>
        <v>2.5104870943734826E-6</v>
      </c>
      <c r="BX31" s="893">
        <f t="shared" si="24"/>
        <v>3.34731612583131E-6</v>
      </c>
      <c r="BY31" s="893">
        <f t="shared" si="24"/>
        <v>4.1841451572891378E-6</v>
      </c>
      <c r="BZ31" s="893">
        <f t="shared" si="24"/>
        <v>4.5188767698722686E-6</v>
      </c>
      <c r="CA31" s="893">
        <f t="shared" si="24"/>
        <v>5.0209741887469652E-6</v>
      </c>
      <c r="CB31" s="893">
        <f t="shared" si="24"/>
        <v>5.8578032202047925E-6</v>
      </c>
      <c r="CC31" s="893">
        <f t="shared" si="24"/>
        <v>6.6946322516626199E-6</v>
      </c>
    </row>
    <row r="32" spans="1:81" s="8" customFormat="1" ht="42.75" customHeight="1" thickBot="1">
      <c r="A32" s="1548" t="s">
        <v>70</v>
      </c>
      <c r="B32" s="1549"/>
      <c r="C32" s="1549"/>
      <c r="D32" s="1549"/>
      <c r="E32" s="1550"/>
      <c r="F32" s="1578" t="s">
        <v>119</v>
      </c>
      <c r="G32" s="301"/>
      <c r="H32" s="891">
        <f>IF(Formato!$AE$42="A. Instrumento fue ajustado inmediatamente antes de la calibración.",'Incertidumbre  Empuje'!C33,'Incertidumbre  Empuje'!C34)</f>
        <v>2.173080398643283E-9</v>
      </c>
      <c r="I32" s="792">
        <f>IF(Formato!$AE$42="A. Instrumento fue ajustado inmediatamente antes de la calibración.",'Incertidumbre  Empuje'!D33,'Incertidumbre  Empuje'!D34)</f>
        <v>8.6923215945731315E-7</v>
      </c>
      <c r="J32" s="792">
        <f>IF(Formato!$AE$42="A. Instrumento fue ajustado inmediatamente antes de la calibración.",'Incertidumbre  Empuje'!E33,'Incertidumbre  Empuje'!E34)</f>
        <v>1.7384643189146263E-6</v>
      </c>
      <c r="K32" s="792">
        <f>IF(Formato!$AE$42="A. Instrumento fue ajustado inmediatamente antes de la calibración.",'Incertidumbre  Empuje'!F33,'Incertidumbre  Empuje'!F34)</f>
        <v>2.6076964783719395E-6</v>
      </c>
      <c r="L32" s="792">
        <f>IF(Formato!$AE$42="A. Instrumento fue ajustado inmediatamente antes de la calibración.",'Incertidumbre  Empuje'!G33,'Incertidumbre  Empuje'!G34)</f>
        <v>3.2596227710453228E-6</v>
      </c>
      <c r="M32" s="792">
        <f>IF(Formato!$AE$42="A. Instrumento fue ajustado inmediatamente antes de la calibración.",'Incertidumbre  Empuje'!H33,'Incertidumbre  Empuje'!H34)</f>
        <v>4.3461607972865656E-6</v>
      </c>
      <c r="N32" s="792">
        <f>IF(Formato!$AE$42="A. Instrumento fue ajustado inmediatamente antes de la calibración.",'Incertidumbre  Empuje'!I33,'Incertidumbre  Empuje'!I34)</f>
        <v>5.4327031696886061E-6</v>
      </c>
      <c r="O32" s="792">
        <f>IF(Formato!$AE$42="A. Instrumento fue ajustado inmediatamente antes de la calibración.",'Incertidumbre  Empuje'!J33,'Incertidumbre  Empuje'!J34)</f>
        <v>5.8673192494172624E-6</v>
      </c>
      <c r="P32" s="792">
        <f>IF(Formato!$AE$42="A. Instrumento fue ajustado inmediatamente antes de la calibración.",'Incertidumbre  Empuje'!K33,'Incertidumbre  Empuje'!K34)</f>
        <v>6.5192433690102468E-6</v>
      </c>
      <c r="Q32" s="792">
        <f>IF(Formato!$AE$42="A. Instrumento fue ajustado inmediatamente antes de la calibración.",'Incertidumbre  Empuje'!M33,'Incertidumbre  Empuje'!L34)</f>
        <v>7.6057857414122873E-6</v>
      </c>
      <c r="R32" s="810">
        <f>IF(Formato!$AE$42="A. Instrumento fue ajustado inmediatamente antes de la calibración.",'Incertidumbre  Empuje'!N33,'Incertidumbre  Empuje'!M34)</f>
        <v>8.6923259407339289E-6</v>
      </c>
      <c r="S32" s="855">
        <v>0</v>
      </c>
      <c r="T32" s="7"/>
      <c r="U32" s="7"/>
      <c r="V32" s="7"/>
      <c r="W32" s="7"/>
      <c r="X32" s="7"/>
      <c r="Y32" s="7"/>
      <c r="Z32" s="7"/>
      <c r="AA32" s="7"/>
      <c r="AB32" s="7"/>
      <c r="AC32" s="7"/>
      <c r="AD32" s="7"/>
      <c r="BQ32"/>
      <c r="BR32" s="297" t="s">
        <v>1054</v>
      </c>
      <c r="BS32" s="894">
        <f t="shared" ref="BS32:CC32" si="25">SQRT((($BV$3^2/$BS$5^2)+(($BS$3-0.0012)^2)*($BV$5^2/$BS$5^4)))*AO10</f>
        <v>1.7006655717789669E-9</v>
      </c>
      <c r="BT32" s="894">
        <f t="shared" si="25"/>
        <v>6.8026622871158673E-7</v>
      </c>
      <c r="BU32" s="894">
        <f t="shared" si="25"/>
        <v>1.3605324574231735E-6</v>
      </c>
      <c r="BV32" s="894">
        <f t="shared" si="25"/>
        <v>2.0407986861347601E-6</v>
      </c>
      <c r="BW32" s="894">
        <f t="shared" si="25"/>
        <v>2.5509983576684501E-6</v>
      </c>
      <c r="BX32" s="894">
        <f t="shared" si="25"/>
        <v>3.4013311435579338E-6</v>
      </c>
      <c r="BY32" s="894">
        <f t="shared" si="25"/>
        <v>4.2516639294474174E-6</v>
      </c>
      <c r="BZ32" s="894">
        <f t="shared" si="25"/>
        <v>4.5917970438032102E-6</v>
      </c>
      <c r="CA32" s="894">
        <f t="shared" si="25"/>
        <v>5.1019967153369002E-6</v>
      </c>
      <c r="CB32" s="894">
        <f t="shared" si="25"/>
        <v>5.9523295012263839E-6</v>
      </c>
      <c r="CC32" s="894">
        <f t="shared" si="25"/>
        <v>6.8026622871158675E-6</v>
      </c>
    </row>
    <row r="33" spans="1:30" s="8" customFormat="1" ht="42.75" customHeight="1" thickBot="1">
      <c r="A33" s="1551"/>
      <c r="B33" s="1552"/>
      <c r="C33" s="1552"/>
      <c r="D33" s="1552"/>
      <c r="E33" s="1553"/>
      <c r="F33" s="1581"/>
      <c r="G33" s="237" t="s">
        <v>1035</v>
      </c>
      <c r="H33" s="807">
        <f>H32</f>
        <v>2.173080398643283E-9</v>
      </c>
      <c r="I33" s="785">
        <f>I32</f>
        <v>8.6923215945731315E-7</v>
      </c>
      <c r="J33" s="785">
        <f>J32</f>
        <v>1.7384643189146263E-6</v>
      </c>
      <c r="K33" s="785">
        <f t="shared" ref="K33:R33" si="26">K32</f>
        <v>2.6076964783719395E-6</v>
      </c>
      <c r="L33" s="785">
        <f t="shared" si="26"/>
        <v>3.2596227710453228E-6</v>
      </c>
      <c r="M33" s="785">
        <f t="shared" si="26"/>
        <v>4.3461607972865656E-6</v>
      </c>
      <c r="N33" s="785">
        <f t="shared" si="26"/>
        <v>5.4327031696886061E-6</v>
      </c>
      <c r="O33" s="785">
        <f t="shared" si="26"/>
        <v>5.8673192494172624E-6</v>
      </c>
      <c r="P33" s="785">
        <f t="shared" si="26"/>
        <v>6.5192433690102468E-6</v>
      </c>
      <c r="Q33" s="785">
        <f>Q32</f>
        <v>7.6057857414122873E-6</v>
      </c>
      <c r="R33" s="808">
        <f t="shared" si="26"/>
        <v>8.6923259407339289E-6</v>
      </c>
      <c r="S33" s="852">
        <f>S32</f>
        <v>0</v>
      </c>
      <c r="T33" s="7">
        <f t="shared" ref="T33:AD33" si="27">POWER(H33,4)/100</f>
        <v>2.2299913466247605E-37</v>
      </c>
      <c r="U33" s="7">
        <f t="shared" si="27"/>
        <v>5.708777847359385E-27</v>
      </c>
      <c r="V33" s="7">
        <f t="shared" si="27"/>
        <v>9.134044555775016E-26</v>
      </c>
      <c r="W33" s="7">
        <f t="shared" si="27"/>
        <v>4.6241100563611031E-25</v>
      </c>
      <c r="X33" s="7">
        <f t="shared" si="27"/>
        <v>1.128936129720113E-24</v>
      </c>
      <c r="Y33" s="7">
        <f t="shared" si="27"/>
        <v>3.5679861545996158E-24</v>
      </c>
      <c r="Z33" s="7">
        <f t="shared" si="27"/>
        <v>8.7109176352072499E-24</v>
      </c>
      <c r="AA33" s="7">
        <f t="shared" si="27"/>
        <v>1.1851105869593716E-23</v>
      </c>
      <c r="AB33" s="7">
        <f t="shared" si="27"/>
        <v>1.806295399157914E-23</v>
      </c>
      <c r="AC33" s="7">
        <f t="shared" si="27"/>
        <v>3.3463884134056562E-23</v>
      </c>
      <c r="AD33" s="7">
        <f t="shared" si="27"/>
        <v>5.708789264923644E-23</v>
      </c>
    </row>
    <row r="34" spans="1:30" s="8" customFormat="1" ht="37.5" customHeight="1">
      <c r="A34" s="1582" t="s">
        <v>123</v>
      </c>
      <c r="B34" s="1583"/>
      <c r="C34" s="1583"/>
      <c r="D34" s="1583"/>
      <c r="E34" s="1584"/>
      <c r="F34" s="1578" t="s">
        <v>145</v>
      </c>
      <c r="G34" s="235" t="s">
        <v>296</v>
      </c>
      <c r="H34" s="811">
        <f>+IF(Calculos!G23="","",Calculos!G23)</f>
        <v>0</v>
      </c>
      <c r="I34" s="791">
        <f>+IF(Calculos!G28="","",Calculos!G28)</f>
        <v>0</v>
      </c>
      <c r="J34" s="791">
        <f>+IF(Calculos!G33="","",Calculos!G33)</f>
        <v>0</v>
      </c>
      <c r="K34" s="791">
        <f>+IF(Calculos!G38="","",Calculos!G38)</f>
        <v>-1.0000000000000001E-5</v>
      </c>
      <c r="L34" s="791">
        <f>+IF(Calculos!G43="","",Calculos!G43)</f>
        <v>-1.0000000000000001E-5</v>
      </c>
      <c r="M34" s="791">
        <f>+IF(Calculos!G48="","",Calculos!G48)</f>
        <v>-1.0000000000000001E-5</v>
      </c>
      <c r="N34" s="791">
        <f>+IF(Calculos!G53="","",Calculos!G53)</f>
        <v>-1.0000000000000001E-5</v>
      </c>
      <c r="O34" s="791">
        <f>+IF(Calculos!G58="","",Calculos!G58)</f>
        <v>-1.0000000000000001E-5</v>
      </c>
      <c r="P34" s="791">
        <f>+IF(Calculos!G63="","",Calculos!G63)</f>
        <v>-2.0000000000000002E-5</v>
      </c>
      <c r="Q34" s="791">
        <f>+IF(Calculos!G69="","",Calculos!G69)</f>
        <v>-2.0000000000000002E-5</v>
      </c>
      <c r="R34" s="812">
        <f>+IF(Calculos!G75="","",Calculos!G75)</f>
        <v>-2.0000000000000002E-5</v>
      </c>
      <c r="S34" s="856">
        <v>0</v>
      </c>
    </row>
    <row r="35" spans="1:30" s="8" customFormat="1" ht="37.5" customHeight="1">
      <c r="A35" s="1585"/>
      <c r="B35" s="1586"/>
      <c r="C35" s="1586"/>
      <c r="D35" s="1586"/>
      <c r="E35" s="1587"/>
      <c r="F35" s="1579"/>
      <c r="G35" s="236" t="s">
        <v>297</v>
      </c>
      <c r="H35" s="811">
        <f>SQRT(3)</f>
        <v>1.7320508075688772</v>
      </c>
      <c r="I35" s="793">
        <f>SQRT(3)</f>
        <v>1.7320508075688772</v>
      </c>
      <c r="J35" s="793">
        <f>SQRT(3)</f>
        <v>1.7320508075688772</v>
      </c>
      <c r="K35" s="793">
        <f t="shared" ref="K35:R35" si="28">SQRT(3)</f>
        <v>1.7320508075688772</v>
      </c>
      <c r="L35" s="793">
        <f t="shared" si="28"/>
        <v>1.7320508075688772</v>
      </c>
      <c r="M35" s="793">
        <f t="shared" si="28"/>
        <v>1.7320508075688772</v>
      </c>
      <c r="N35" s="793">
        <f t="shared" si="28"/>
        <v>1.7320508075688772</v>
      </c>
      <c r="O35" s="793">
        <f t="shared" si="28"/>
        <v>1.7320508075688772</v>
      </c>
      <c r="P35" s="793">
        <f t="shared" si="28"/>
        <v>1.7320508075688772</v>
      </c>
      <c r="Q35" s="793">
        <f t="shared" si="28"/>
        <v>1.7320508075688772</v>
      </c>
      <c r="R35" s="813">
        <f t="shared" si="28"/>
        <v>1.7320508075688772</v>
      </c>
      <c r="S35" s="856">
        <f>SQRT(3)</f>
        <v>1.7320508075688772</v>
      </c>
    </row>
    <row r="36" spans="1:30" s="8" customFormat="1" ht="37.5" customHeight="1" thickBot="1">
      <c r="A36" s="1588"/>
      <c r="B36" s="1589"/>
      <c r="C36" s="1589"/>
      <c r="D36" s="1589"/>
      <c r="E36" s="1590"/>
      <c r="F36" s="1580"/>
      <c r="G36" s="237" t="s">
        <v>1035</v>
      </c>
      <c r="H36" s="807">
        <f>H34/H35</f>
        <v>0</v>
      </c>
      <c r="I36" s="785">
        <f>I34/I35</f>
        <v>0</v>
      </c>
      <c r="J36" s="785">
        <f>J34/J35</f>
        <v>0</v>
      </c>
      <c r="K36" s="785">
        <f t="shared" ref="K36:R36" si="29">K34/K35</f>
        <v>-5.7735026918962587E-6</v>
      </c>
      <c r="L36" s="785">
        <f t="shared" si="29"/>
        <v>-5.7735026918962587E-6</v>
      </c>
      <c r="M36" s="785">
        <f t="shared" si="29"/>
        <v>-5.7735026918962587E-6</v>
      </c>
      <c r="N36" s="785">
        <f t="shared" si="29"/>
        <v>-5.7735026918962587E-6</v>
      </c>
      <c r="O36" s="785">
        <f t="shared" si="29"/>
        <v>-5.7735026918962587E-6</v>
      </c>
      <c r="P36" s="785">
        <f t="shared" si="29"/>
        <v>-1.1547005383792517E-5</v>
      </c>
      <c r="Q36" s="785">
        <f>Q34/Q35</f>
        <v>-1.1547005383792517E-5</v>
      </c>
      <c r="R36" s="808">
        <f t="shared" si="29"/>
        <v>-1.1547005383792517E-5</v>
      </c>
      <c r="S36" s="852">
        <f>S34/S35</f>
        <v>0</v>
      </c>
      <c r="T36" s="7">
        <f t="shared" ref="T36:AD36" si="30">POWER(H36,4)/100</f>
        <v>0</v>
      </c>
      <c r="U36" s="7">
        <f t="shared" si="30"/>
        <v>0</v>
      </c>
      <c r="V36" s="7">
        <f t="shared" si="30"/>
        <v>0</v>
      </c>
      <c r="W36" s="7">
        <f t="shared" si="30"/>
        <v>1.111111111111112E-23</v>
      </c>
      <c r="X36" s="7">
        <f t="shared" si="30"/>
        <v>1.111111111111112E-23</v>
      </c>
      <c r="Y36" s="7">
        <f t="shared" si="30"/>
        <v>1.111111111111112E-23</v>
      </c>
      <c r="Z36" s="7">
        <f t="shared" si="30"/>
        <v>1.111111111111112E-23</v>
      </c>
      <c r="AA36" s="7">
        <f t="shared" si="30"/>
        <v>1.111111111111112E-23</v>
      </c>
      <c r="AB36" s="7">
        <f t="shared" si="30"/>
        <v>1.7777777777777792E-22</v>
      </c>
      <c r="AC36" s="7">
        <f t="shared" si="30"/>
        <v>1.7777777777777792E-22</v>
      </c>
      <c r="AD36" s="7">
        <f t="shared" si="30"/>
        <v>1.7777777777777792E-22</v>
      </c>
    </row>
    <row r="37" spans="1:30" s="8" customFormat="1" ht="41.25" customHeight="1" thickBot="1">
      <c r="A37" s="1591" t="s">
        <v>72</v>
      </c>
      <c r="B37" s="1592"/>
      <c r="C37" s="1592"/>
      <c r="D37" s="1592"/>
      <c r="E37" s="1592"/>
      <c r="F37" s="238" t="s">
        <v>119</v>
      </c>
      <c r="G37" s="239"/>
      <c r="H37" s="805">
        <f>SQRT(SUMSQ(H13,H16,H19,H22,H25,H28,H31,H33,H36))</f>
        <v>9.5351549393273282E-6</v>
      </c>
      <c r="I37" s="790">
        <f>SQRT(SUMSQ(I13,I16,I19,I22,I25,I28,I31,I33,I36))</f>
        <v>2.1979283379468204E-5</v>
      </c>
      <c r="J37" s="790">
        <f t="shared" ref="J37:R37" si="31">SQRT(SUMSQ(J13,J16,J19,J22,J25,J28,J31,J33,J36))</f>
        <v>3.2067983901638849E-5</v>
      </c>
      <c r="K37" s="790">
        <f t="shared" si="31"/>
        <v>2.7821755532624192E-5</v>
      </c>
      <c r="L37" s="790">
        <f t="shared" si="31"/>
        <v>3.078893427736873E-5</v>
      </c>
      <c r="M37" s="790">
        <f t="shared" si="31"/>
        <v>2.4443249518044443E-5</v>
      </c>
      <c r="N37" s="790">
        <f t="shared" si="31"/>
        <v>3.6481926078366091E-5</v>
      </c>
      <c r="O37" s="790">
        <f t="shared" si="31"/>
        <v>4.5939366943447126E-5</v>
      </c>
      <c r="P37" s="790">
        <f t="shared" si="31"/>
        <v>4.03247302213758E-5</v>
      </c>
      <c r="Q37" s="790">
        <f t="shared" si="31"/>
        <v>5.2623803011545151E-5</v>
      </c>
      <c r="R37" s="806">
        <f t="shared" si="31"/>
        <v>4.6150729827142429E-5</v>
      </c>
      <c r="S37" s="851">
        <f>SQRT(SUMSQ(S13,S16,S19,S22,S25,S28,S31,S33,S36))</f>
        <v>9.3094933622279686E-6</v>
      </c>
    </row>
    <row r="38" spans="1:30" s="8" customFormat="1" ht="41.25" customHeight="1" thickBot="1">
      <c r="A38" s="1591" t="s">
        <v>120</v>
      </c>
      <c r="B38" s="1592"/>
      <c r="C38" s="1592"/>
      <c r="D38" s="1592"/>
      <c r="E38" s="1593"/>
      <c r="F38" s="238" t="s">
        <v>119</v>
      </c>
      <c r="G38" s="239"/>
      <c r="H38" s="814">
        <f>+POWER(H37,4)/(POWER(H13,4)/100+POWER(H16,4)/100+POWER(H19,4)/(COUNT(Formato!$B$84:$E$93)-1)+POWER(H22,4)/100+POWER(H25,4)/100+POWER(H28,4)/100+POWER(H31,4)/100+POWER(H33,4)/100+POWER(H36,4)/100)</f>
        <v>6.739848567396689</v>
      </c>
      <c r="I38" s="794">
        <f>+POWER(I37,4)/(POWER(I13,4)/100+POWER(I16,4)/100+POWER(I19,4)/(COUNT(Formato!$B$84:$E$93)-1)+POWER(I22,4)/100+POWER(I25,4)/100+POWER(I28,4)/100+POWER(I31,4)/100+POWER(I33,4)/100+POWER(I36,4)/100)</f>
        <v>115.54507712122968</v>
      </c>
      <c r="J38" s="794">
        <f>+POWER(J37,4)/(POWER(J13,4)/100+POWER(J16,4)/100+POWER(J19,4)/(COUNT(Formato!$B$84:$E$93)-1)+POWER(J22,4)/100+POWER(J25,4)/100+POWER(J28,4)/100+POWER(J31,4)/100+POWER(J33,4)/100+POWER(J36,4)/100)</f>
        <v>186.47085667115036</v>
      </c>
      <c r="K38" s="794">
        <f>+POWER(K37,4)/(POWER(K13,4)/100+POWER(K16,4)/100+POWER(K19,4)/(COUNT(Formato!$B$84:$E$93)-1)+POWER(K22,4)/100+POWER(K25,4)/100+POWER(K28,4)/100+POWER(K31,4)/100+POWER(K33,4)/100+POWER(K36,4)/100)</f>
        <v>181.65563861697152</v>
      </c>
      <c r="L38" s="794">
        <f>+POWER(L37,4)/(POWER(L13,4)/100+POWER(L16,4)/100+POWER(L19,4)/(COUNT(Formato!$B$84:$E$93)-1)+POWER(L22,4)/100+POWER(L25,4)/100+POWER(L28,4)/100+POWER(L31,4)/100+POWER(L33,4)/100+POWER(L36,4)/100)</f>
        <v>199.87677849598006</v>
      </c>
      <c r="M38" s="794">
        <f>+POWER(M37,4)/(POWER(M13,4)/100+POWER(M16,4)/100+POWER(M19,4)/(COUNT(Formato!$B$84:$E$93)-1)+POWER(M22,4)/100+POWER(M25,4)/100+POWER(M28,4)/100+POWER(M31,4)/100+POWER(M33,4)/100+POWER(M36,4)/100)</f>
        <v>164.13927154598773</v>
      </c>
      <c r="N38" s="794">
        <f>+POWER(N37,4)/(POWER(N13,4)/100+POWER(N16,4)/100+POWER(N19,4)/(COUNT(Formato!$B$84:$E$93)-1)+POWER(N22,4)/100+POWER(N25,4)/100+POWER(N28,4)/100+POWER(N31,4)/100+POWER(N33,4)/100+POWER(N36,4)/100)</f>
        <v>227.6703047651792</v>
      </c>
      <c r="O38" s="794">
        <f>+POWER(O37,4)/(POWER(O13,4)/100+POWER(O16,4)/100+POWER(O19,4)/(COUNT(Formato!$B$84:$E$93)-1)+POWER(O22,4)/100+POWER(O25,4)/100+POWER(O28,4)/100+POWER(O31,4)/100+POWER(O33,4)/100+POWER(O36,4)/100)</f>
        <v>227.09303015640529</v>
      </c>
      <c r="P38" s="794">
        <f>+POWER(P37,4)/(POWER(P13,4)/100+POWER(P16,4)/100+POWER(P19,4)/(COUNT(Formato!$B$84:$E$93)-1)+POWER(P22,4)/100+POWER(P25,4)/100+POWER(P28,4)/100+POWER(P31,4)/100+POWER(P33,4)/100+POWER(P36,4)/100)</f>
        <v>265.73963902136705</v>
      </c>
      <c r="Q38" s="794">
        <f>+POWER(Q37,4)/(POWER(Q13,4)/100+POWER(Q16,4)/100+POWER(Q19,4)/(COUNT(Formato!$B$84:$E$93)-1)+POWER(Q22,4)/100+POWER(Q25,4)/100+POWER(Q28,4)/100+POWER(Q31,4)/100+POWER(Q33,4)/100+POWER(Q36,4)/100)</f>
        <v>250.05180263084694</v>
      </c>
      <c r="R38" s="815">
        <f>+POWER(R37,4)/(POWER(R13,4)/100+POWER(R16,4)/100+POWER(R19,4)/(COUNT(Formato!$B$84:$E$93)-1)+POWER(R22,4)/100+POWER(R25,4)/100+POWER(R28,4)/100+POWER(R31,4)/100+POWER(R33,4)/100+POWER(R36,4)/100)</f>
        <v>276.59000910988965</v>
      </c>
      <c r="S38" s="857">
        <f>+POWER(S37,4)/(POWER(S13,4)/100+POWER(S16,4)/100+POWER(S19,4)/(COUNT(Formato!$B$84:$E$93)-1)+POWER(S22,4)/100+POWER(S25,4)/100+POWER(S28,4)/100+POWER(S31,4)/100+POWER(S33,4)/100+POWER(S36,4)/100)</f>
        <v>6.124575311615585</v>
      </c>
      <c r="T38" s="8">
        <f t="shared" ref="T38:AD38" si="32">POWER(H41,4)/SUM(T10:T36)</f>
        <v>6.739848567396689</v>
      </c>
      <c r="U38" s="8">
        <f t="shared" si="32"/>
        <v>115.54507712122968</v>
      </c>
      <c r="V38" s="8">
        <f t="shared" si="32"/>
        <v>186.47085667115036</v>
      </c>
      <c r="W38" s="8">
        <f t="shared" si="32"/>
        <v>181.65563861697152</v>
      </c>
      <c r="X38" s="8">
        <f t="shared" si="32"/>
        <v>199.87677849598006</v>
      </c>
      <c r="Y38" s="8">
        <f t="shared" si="32"/>
        <v>164.13927154598773</v>
      </c>
      <c r="Z38" s="8">
        <f t="shared" si="32"/>
        <v>227.6703047651792</v>
      </c>
      <c r="AA38" s="8">
        <f t="shared" si="32"/>
        <v>227.09303015640529</v>
      </c>
      <c r="AB38" s="8">
        <f t="shared" si="32"/>
        <v>265.73963902136705</v>
      </c>
      <c r="AC38" s="8">
        <f t="shared" si="32"/>
        <v>250.05180263084694</v>
      </c>
      <c r="AD38" s="8">
        <f t="shared" si="32"/>
        <v>276.59000910988965</v>
      </c>
    </row>
    <row r="39" spans="1:30" s="8" customFormat="1" ht="41.25" customHeight="1">
      <c r="A39" s="1536" t="s">
        <v>1049</v>
      </c>
      <c r="B39" s="1537"/>
      <c r="C39" s="1537"/>
      <c r="D39" s="1537"/>
      <c r="E39" s="1538"/>
      <c r="F39" s="238" t="s">
        <v>119</v>
      </c>
      <c r="G39" s="239"/>
      <c r="H39" s="816">
        <f t="shared" ref="H39:R39" si="33">ROUND((TINV(0.0455,H38)),2)</f>
        <v>2.52</v>
      </c>
      <c r="I39" s="410">
        <f t="shared" si="33"/>
        <v>2.02</v>
      </c>
      <c r="J39" s="410">
        <f t="shared" si="33"/>
        <v>2.0099999999999998</v>
      </c>
      <c r="K39" s="410">
        <f t="shared" si="33"/>
        <v>2.0099999999999998</v>
      </c>
      <c r="L39" s="410">
        <f t="shared" si="33"/>
        <v>2.0099999999999998</v>
      </c>
      <c r="M39" s="410">
        <f t="shared" si="33"/>
        <v>2.02</v>
      </c>
      <c r="N39" s="410">
        <f t="shared" si="33"/>
        <v>2.0099999999999998</v>
      </c>
      <c r="O39" s="410">
        <f t="shared" si="33"/>
        <v>2.0099999999999998</v>
      </c>
      <c r="P39" s="410">
        <f t="shared" si="33"/>
        <v>2.0099999999999998</v>
      </c>
      <c r="Q39" s="410">
        <f>ROUND((TINV(0.0455,Q38)),2)</f>
        <v>2.0099999999999998</v>
      </c>
      <c r="R39" s="817">
        <f t="shared" si="33"/>
        <v>2.0099999999999998</v>
      </c>
      <c r="S39" s="858">
        <f>ROUND((TINV(0.0455,S38)),2)</f>
        <v>2.52</v>
      </c>
      <c r="T39" s="8">
        <f>ROUND((TINV(0.0455,T38)),2)</f>
        <v>2.52</v>
      </c>
      <c r="U39" s="8">
        <f t="shared" ref="U39:AD39" si="34">ROUND((TINV(0.0455,U38)),2)</f>
        <v>2.02</v>
      </c>
      <c r="V39" s="8">
        <f t="shared" si="34"/>
        <v>2.0099999999999998</v>
      </c>
      <c r="W39" s="8">
        <f t="shared" si="34"/>
        <v>2.0099999999999998</v>
      </c>
      <c r="X39" s="8">
        <f t="shared" si="34"/>
        <v>2.0099999999999998</v>
      </c>
      <c r="Y39" s="8">
        <f t="shared" si="34"/>
        <v>2.02</v>
      </c>
      <c r="Z39" s="8">
        <f t="shared" si="34"/>
        <v>2.0099999999999998</v>
      </c>
      <c r="AA39" s="8">
        <f t="shared" si="34"/>
        <v>2.0099999999999998</v>
      </c>
      <c r="AB39" s="8">
        <f t="shared" si="34"/>
        <v>2.0099999999999998</v>
      </c>
      <c r="AC39" s="8">
        <f t="shared" si="34"/>
        <v>2.0099999999999998</v>
      </c>
      <c r="AD39" s="8">
        <f t="shared" si="34"/>
        <v>2.0099999999999998</v>
      </c>
    </row>
    <row r="40" spans="1:30" s="8" customFormat="1" ht="41.25" customHeight="1" thickBot="1">
      <c r="A40" s="1545" t="s">
        <v>24</v>
      </c>
      <c r="B40" s="1546"/>
      <c r="C40" s="1546"/>
      <c r="D40" s="1546"/>
      <c r="E40" s="1547"/>
      <c r="F40" s="54" t="s">
        <v>146</v>
      </c>
      <c r="G40" s="83"/>
      <c r="H40" s="818">
        <f t="shared" ref="H40:R40" si="35">H37*H39</f>
        <v>2.4028590447104866E-5</v>
      </c>
      <c r="I40" s="819">
        <f t="shared" si="35"/>
        <v>4.4398152426525772E-5</v>
      </c>
      <c r="J40" s="819">
        <f t="shared" si="35"/>
        <v>6.4456647642294077E-5</v>
      </c>
      <c r="K40" s="819">
        <f t="shared" si="35"/>
        <v>5.5921728620574623E-5</v>
      </c>
      <c r="L40" s="819">
        <f t="shared" si="35"/>
        <v>6.1885757897511143E-5</v>
      </c>
      <c r="M40" s="819">
        <f t="shared" si="35"/>
        <v>4.9375364026449772E-5</v>
      </c>
      <c r="N40" s="819">
        <f>N37*N39</f>
        <v>7.3328671417515837E-5</v>
      </c>
      <c r="O40" s="819">
        <f t="shared" si="35"/>
        <v>9.2338127556328709E-5</v>
      </c>
      <c r="P40" s="819">
        <f t="shared" si="35"/>
        <v>8.1052707744965345E-5</v>
      </c>
      <c r="Q40" s="819">
        <f>Q37*Q39</f>
        <v>1.0577384405320574E-4</v>
      </c>
      <c r="R40" s="820">
        <f t="shared" si="35"/>
        <v>9.2762966952556278E-5</v>
      </c>
      <c r="S40" s="859">
        <f>S37*S39</f>
        <v>2.3459923272814481E-5</v>
      </c>
      <c r="T40" s="1"/>
    </row>
    <row r="41" spans="1:30" s="9" customFormat="1" ht="35.1" customHeight="1">
      <c r="A41" s="1577"/>
      <c r="B41" s="1577"/>
      <c r="C41" s="1577"/>
      <c r="D41" s="1577"/>
      <c r="E41" s="1577"/>
      <c r="F41" s="1577"/>
      <c r="G41" s="82"/>
      <c r="H41" s="26">
        <f>SQRT(SUMSQ(H31,H13,H16,H19,H22,H25,H28,H33,H36))</f>
        <v>9.5351549393273282E-6</v>
      </c>
      <c r="I41" s="26">
        <f t="shared" ref="I41:S41" si="36">SQRT(SUMSQ(I31,I13,I16,I19,I22,I25,I28,I33,I36))</f>
        <v>2.1979283379468204E-5</v>
      </c>
      <c r="J41" s="26">
        <f t="shared" si="36"/>
        <v>3.2067983901638849E-5</v>
      </c>
      <c r="K41" s="26">
        <f t="shared" si="36"/>
        <v>2.7821755532624192E-5</v>
      </c>
      <c r="L41" s="26">
        <f t="shared" si="36"/>
        <v>3.078893427736873E-5</v>
      </c>
      <c r="M41" s="26">
        <f t="shared" si="36"/>
        <v>2.4443249518044443E-5</v>
      </c>
      <c r="N41" s="26">
        <f t="shared" si="36"/>
        <v>3.6481926078366091E-5</v>
      </c>
      <c r="O41" s="26">
        <f t="shared" si="36"/>
        <v>4.5939366943447126E-5</v>
      </c>
      <c r="P41" s="26">
        <f t="shared" si="36"/>
        <v>4.03247302213758E-5</v>
      </c>
      <c r="Q41" s="26">
        <f t="shared" si="36"/>
        <v>5.2623803011545151E-5</v>
      </c>
      <c r="R41" s="26">
        <f t="shared" si="36"/>
        <v>4.6150729827142429E-5</v>
      </c>
      <c r="S41" s="26">
        <f t="shared" si="36"/>
        <v>9.3094933622279686E-6</v>
      </c>
      <c r="T41" s="1"/>
    </row>
    <row r="42" spans="1:30">
      <c r="F42" s="7" t="s">
        <v>326</v>
      </c>
      <c r="H42" s="7">
        <f t="shared" ref="H42:R42" si="37">+H10</f>
        <v>0.01</v>
      </c>
      <c r="I42" s="7">
        <f t="shared" si="37"/>
        <v>4</v>
      </c>
      <c r="J42" s="7">
        <f t="shared" si="37"/>
        <v>8</v>
      </c>
      <c r="K42" s="7">
        <f t="shared" si="37"/>
        <v>12</v>
      </c>
      <c r="L42" s="7">
        <f t="shared" si="37"/>
        <v>15</v>
      </c>
      <c r="M42" s="7">
        <f t="shared" si="37"/>
        <v>20</v>
      </c>
      <c r="N42" s="7">
        <f t="shared" si="37"/>
        <v>25</v>
      </c>
      <c r="O42" s="7">
        <f t="shared" si="37"/>
        <v>27</v>
      </c>
      <c r="P42" s="7">
        <f t="shared" si="37"/>
        <v>30</v>
      </c>
      <c r="Q42" s="7">
        <f>+Q10</f>
        <v>35</v>
      </c>
      <c r="R42" s="7">
        <f t="shared" si="37"/>
        <v>40</v>
      </c>
      <c r="S42" s="7">
        <f t="shared" ref="S42" si="38">+S10</f>
        <v>0</v>
      </c>
    </row>
    <row r="43" spans="1:30">
      <c r="F43" s="7" t="s">
        <v>319</v>
      </c>
      <c r="H43" s="7">
        <f t="shared" ref="H43:R43" si="39">+H11</f>
        <v>1.0000000000000001E-5</v>
      </c>
      <c r="I43" s="7">
        <f t="shared" si="39"/>
        <v>1.0000000000000001E-5</v>
      </c>
      <c r="J43" s="7">
        <f t="shared" si="39"/>
        <v>1.0000000000000001E-5</v>
      </c>
      <c r="K43" s="7">
        <f t="shared" si="39"/>
        <v>1.0000000000000001E-5</v>
      </c>
      <c r="L43" s="7">
        <f t="shared" si="39"/>
        <v>1.0000000000000001E-5</v>
      </c>
      <c r="M43" s="7">
        <f t="shared" si="39"/>
        <v>1.0000000000000001E-5</v>
      </c>
      <c r="N43" s="7">
        <f t="shared" si="39"/>
        <v>1.0000000000000001E-5</v>
      </c>
      <c r="O43" s="7">
        <f t="shared" si="39"/>
        <v>1.0000000000000001E-5</v>
      </c>
      <c r="P43" s="7">
        <f t="shared" si="39"/>
        <v>1.0000000000000001E-5</v>
      </c>
      <c r="Q43" s="7">
        <f>+Q11</f>
        <v>1.0000000000000001E-5</v>
      </c>
      <c r="R43" s="7">
        <f t="shared" si="39"/>
        <v>1.0000000000000001E-5</v>
      </c>
      <c r="S43" s="7">
        <f t="shared" ref="S43" si="40">+S11</f>
        <v>1.0000000000000001E-5</v>
      </c>
    </row>
    <row r="44" spans="1:30">
      <c r="F44" s="7" t="s">
        <v>320</v>
      </c>
      <c r="H44" s="7">
        <f t="shared" ref="H44:R44" si="41">+H14</f>
        <v>1.0000000000000001E-5</v>
      </c>
      <c r="I44" s="88">
        <f t="shared" si="41"/>
        <v>1.0000000000000001E-5</v>
      </c>
      <c r="J44" s="7">
        <f t="shared" si="41"/>
        <v>1.0000000000000001E-5</v>
      </c>
      <c r="K44" s="7">
        <f t="shared" si="41"/>
        <v>1.0000000000000001E-5</v>
      </c>
      <c r="L44" s="7">
        <f t="shared" si="41"/>
        <v>1.0000000000000001E-5</v>
      </c>
      <c r="M44" s="7">
        <f t="shared" si="41"/>
        <v>1.0000000000000001E-5</v>
      </c>
      <c r="N44" s="7">
        <f t="shared" si="41"/>
        <v>1.0000000000000001E-5</v>
      </c>
      <c r="O44" s="7">
        <f t="shared" si="41"/>
        <v>1.0000000000000001E-5</v>
      </c>
      <c r="P44" s="7">
        <f t="shared" si="41"/>
        <v>1.0000000000000001E-5</v>
      </c>
      <c r="Q44" s="7">
        <f>+Q14</f>
        <v>1.0000000000000001E-5</v>
      </c>
      <c r="R44" s="7">
        <f t="shared" si="41"/>
        <v>1.0000000000000001E-5</v>
      </c>
      <c r="S44" s="7">
        <f t="shared" ref="S44" si="42">+S14</f>
        <v>1.0000000000000001E-5</v>
      </c>
    </row>
    <row r="45" spans="1:30">
      <c r="F45" s="7" t="s">
        <v>321</v>
      </c>
      <c r="H45" s="7">
        <f t="shared" ref="H45:R45" si="43">+H17</f>
        <v>8.366600265024016E-6</v>
      </c>
      <c r="I45" s="76">
        <f t="shared" si="43"/>
        <v>8.366600265024016E-6</v>
      </c>
      <c r="J45" s="7">
        <f t="shared" si="43"/>
        <v>8.366600265024016E-6</v>
      </c>
      <c r="K45" s="7">
        <f t="shared" si="43"/>
        <v>8.366600265024016E-6</v>
      </c>
      <c r="L45" s="7">
        <f t="shared" si="43"/>
        <v>8.366600265024016E-6</v>
      </c>
      <c r="M45" s="7">
        <f t="shared" si="43"/>
        <v>8.366600265024016E-6</v>
      </c>
      <c r="N45" s="7">
        <f t="shared" si="43"/>
        <v>8.366600265024016E-6</v>
      </c>
      <c r="O45" s="7">
        <f t="shared" si="43"/>
        <v>8.366600265024016E-6</v>
      </c>
      <c r="P45" s="7">
        <f t="shared" si="43"/>
        <v>8.366600265024016E-6</v>
      </c>
      <c r="Q45" s="7">
        <f>+Q17</f>
        <v>8.366600265024016E-6</v>
      </c>
      <c r="R45" s="7">
        <f t="shared" si="43"/>
        <v>8.366600265024016E-6</v>
      </c>
      <c r="S45" s="7">
        <f t="shared" ref="S45" si="44">+S17</f>
        <v>8.366600265024016E-6</v>
      </c>
    </row>
    <row r="46" spans="1:30">
      <c r="F46" s="7" t="s">
        <v>322</v>
      </c>
      <c r="H46" s="185">
        <f t="shared" ref="H46:R46" si="45">+H22</f>
        <v>2.8867513458388433E-9</v>
      </c>
      <c r="I46" s="185">
        <f t="shared" si="45"/>
        <v>1.1547005383355373E-6</v>
      </c>
      <c r="J46" s="185">
        <f t="shared" si="45"/>
        <v>2.3094010766710745E-6</v>
      </c>
      <c r="K46" s="185">
        <f t="shared" si="45"/>
        <v>3.464101615006612E-6</v>
      </c>
      <c r="L46" s="185">
        <f t="shared" si="45"/>
        <v>4.3301270187582654E-6</v>
      </c>
      <c r="M46" s="185">
        <f t="shared" si="45"/>
        <v>5.7735026916776869E-6</v>
      </c>
      <c r="N46" s="185">
        <f t="shared" si="45"/>
        <v>7.2168783645971084E-6</v>
      </c>
      <c r="O46" s="185">
        <f t="shared" si="45"/>
        <v>7.7942286337648765E-6</v>
      </c>
      <c r="P46" s="185">
        <f t="shared" si="45"/>
        <v>8.6602540375165308E-6</v>
      </c>
      <c r="Q46" s="185">
        <f>+Q22</f>
        <v>1.0103629710435952E-5</v>
      </c>
      <c r="R46" s="185">
        <f t="shared" si="45"/>
        <v>1.1547005383355374E-5</v>
      </c>
      <c r="S46" s="185">
        <f t="shared" ref="S46" si="46">+S22</f>
        <v>0</v>
      </c>
    </row>
    <row r="47" spans="1:30">
      <c r="F47" s="7" t="s">
        <v>323</v>
      </c>
      <c r="H47" s="60">
        <f t="shared" ref="H47:R47" si="47">+H25</f>
        <v>1.35E-6</v>
      </c>
      <c r="I47" s="60">
        <f t="shared" si="47"/>
        <v>1.2999999999999999E-5</v>
      </c>
      <c r="J47" s="60">
        <f t="shared" si="47"/>
        <v>1.9999999999999998E-5</v>
      </c>
      <c r="K47" s="60">
        <f t="shared" si="47"/>
        <v>1.6500000000000001E-5</v>
      </c>
      <c r="L47" s="60">
        <f t="shared" si="47"/>
        <v>1.8500000000000002E-5</v>
      </c>
      <c r="M47" s="60">
        <f t="shared" si="47"/>
        <v>1.3499999999999999E-5</v>
      </c>
      <c r="N47" s="60">
        <f t="shared" si="47"/>
        <v>2.1999999999999999E-5</v>
      </c>
      <c r="O47" s="60">
        <f t="shared" si="47"/>
        <v>2.8499999999999998E-5</v>
      </c>
      <c r="P47" s="60">
        <f t="shared" si="47"/>
        <v>2.3500000000000002E-5</v>
      </c>
      <c r="Q47" s="60">
        <f>+Q25</f>
        <v>3.2000000000000005E-5</v>
      </c>
      <c r="R47" s="60">
        <f t="shared" si="47"/>
        <v>2.6999999999999999E-5</v>
      </c>
      <c r="S47" s="60">
        <f t="shared" ref="S47" si="48">+S25</f>
        <v>0</v>
      </c>
    </row>
    <row r="48" spans="1:30">
      <c r="F48" s="7" t="s">
        <v>298</v>
      </c>
      <c r="H48" s="61">
        <f t="shared" ref="H48:R48" si="49">+H28</f>
        <v>1.5588457268119896E-6</v>
      </c>
      <c r="I48" s="61">
        <f t="shared" si="49"/>
        <v>1.501110699893027E-5</v>
      </c>
      <c r="J48" s="61">
        <f t="shared" si="49"/>
        <v>2.3094010767585031E-5</v>
      </c>
      <c r="K48" s="61">
        <f t="shared" si="49"/>
        <v>1.9052558883257653E-5</v>
      </c>
      <c r="L48" s="61">
        <f t="shared" si="49"/>
        <v>2.1361959960016156E-5</v>
      </c>
      <c r="M48" s="61">
        <f t="shared" si="49"/>
        <v>1.5588457268119894E-5</v>
      </c>
      <c r="N48" s="61">
        <f t="shared" si="49"/>
        <v>2.5403411844343534E-5</v>
      </c>
      <c r="O48" s="61">
        <f t="shared" si="49"/>
        <v>3.2908965343808671E-5</v>
      </c>
      <c r="P48" s="61">
        <f t="shared" si="49"/>
        <v>2.7135462651912414E-5</v>
      </c>
      <c r="Q48" s="61">
        <f>+Q28</f>
        <v>3.6950417228136057E-5</v>
      </c>
      <c r="R48" s="61">
        <f t="shared" si="49"/>
        <v>3.1176914536239789E-5</v>
      </c>
      <c r="S48" s="61">
        <f t="shared" ref="S48" si="50">+S28</f>
        <v>0</v>
      </c>
    </row>
    <row r="49" spans="4:19">
      <c r="F49" s="7" t="s">
        <v>324</v>
      </c>
      <c r="H49" s="62">
        <f>+H33</f>
        <v>2.173080398643283E-9</v>
      </c>
      <c r="I49" s="62">
        <f>+I33</f>
        <v>8.6923215945731315E-7</v>
      </c>
      <c r="J49" s="62">
        <f t="shared" ref="J49:R49" si="51">+J33</f>
        <v>1.7384643189146263E-6</v>
      </c>
      <c r="K49" s="62">
        <f t="shared" si="51"/>
        <v>2.6076964783719395E-6</v>
      </c>
      <c r="L49" s="62">
        <f t="shared" si="51"/>
        <v>3.2596227710453228E-6</v>
      </c>
      <c r="M49" s="62">
        <f t="shared" si="51"/>
        <v>4.3461607972865656E-6</v>
      </c>
      <c r="N49" s="62">
        <f t="shared" si="51"/>
        <v>5.4327031696886061E-6</v>
      </c>
      <c r="O49" s="62">
        <f t="shared" si="51"/>
        <v>5.8673192494172624E-6</v>
      </c>
      <c r="P49" s="62">
        <f t="shared" si="51"/>
        <v>6.5192433690102468E-6</v>
      </c>
      <c r="Q49" s="62">
        <f>+Q33</f>
        <v>7.6057857414122873E-6</v>
      </c>
      <c r="R49" s="62">
        <f t="shared" si="51"/>
        <v>8.6923259407339289E-6</v>
      </c>
      <c r="S49" s="62">
        <f t="shared" ref="S49" si="52">+S33</f>
        <v>0</v>
      </c>
    </row>
    <row r="50" spans="4:19">
      <c r="F50" s="7" t="s">
        <v>325</v>
      </c>
      <c r="H50" s="63">
        <f>+H36</f>
        <v>0</v>
      </c>
      <c r="I50" s="63">
        <f>+I36</f>
        <v>0</v>
      </c>
      <c r="J50" s="63">
        <f t="shared" ref="J50:P50" si="53">+J36</f>
        <v>0</v>
      </c>
      <c r="K50" s="63">
        <f t="shared" si="53"/>
        <v>-5.7735026918962587E-6</v>
      </c>
      <c r="L50" s="63">
        <f t="shared" si="53"/>
        <v>-5.7735026918962587E-6</v>
      </c>
      <c r="M50" s="63">
        <f t="shared" si="53"/>
        <v>-5.7735026918962587E-6</v>
      </c>
      <c r="N50" s="63">
        <f t="shared" si="53"/>
        <v>-5.7735026918962587E-6</v>
      </c>
      <c r="O50" s="63">
        <f t="shared" si="53"/>
        <v>-5.7735026918962587E-6</v>
      </c>
      <c r="P50" s="63">
        <f t="shared" si="53"/>
        <v>-1.1547005383792517E-5</v>
      </c>
      <c r="Q50" s="63">
        <f>+Q36</f>
        <v>-1.1547005383792517E-5</v>
      </c>
      <c r="R50" s="63">
        <f>+R36</f>
        <v>-1.1547005383792517E-5</v>
      </c>
      <c r="S50" s="63">
        <f>+S36</f>
        <v>0</v>
      </c>
    </row>
    <row r="51" spans="4:19">
      <c r="F51" s="7" t="s">
        <v>1472</v>
      </c>
      <c r="H51" s="821">
        <f>H31</f>
        <v>0</v>
      </c>
      <c r="I51" s="821">
        <f>I31</f>
        <v>0</v>
      </c>
      <c r="J51" s="821">
        <f t="shared" ref="J51:R51" si="54">J31</f>
        <v>0</v>
      </c>
      <c r="K51" s="821">
        <f t="shared" si="54"/>
        <v>0</v>
      </c>
      <c r="L51" s="821">
        <f t="shared" si="54"/>
        <v>0</v>
      </c>
      <c r="M51" s="821">
        <f t="shared" si="54"/>
        <v>0</v>
      </c>
      <c r="N51" s="821">
        <f t="shared" si="54"/>
        <v>0</v>
      </c>
      <c r="O51" s="821">
        <f t="shared" si="54"/>
        <v>0</v>
      </c>
      <c r="P51" s="821">
        <f t="shared" si="54"/>
        <v>0</v>
      </c>
      <c r="Q51" s="821">
        <f t="shared" si="54"/>
        <v>0</v>
      </c>
      <c r="R51" s="821">
        <f t="shared" si="54"/>
        <v>0</v>
      </c>
      <c r="S51" s="821">
        <f t="shared" ref="S51" si="55">S31</f>
        <v>0</v>
      </c>
    </row>
    <row r="52" spans="4:19">
      <c r="D52" s="7">
        <f>+H42</f>
        <v>0.01</v>
      </c>
      <c r="I52" s="596">
        <f>+I42</f>
        <v>4</v>
      </c>
      <c r="L52" s="596">
        <f>+J42</f>
        <v>8</v>
      </c>
      <c r="O52" s="596">
        <f>+K42</f>
        <v>12</v>
      </c>
      <c r="S52" s="596">
        <f>+L42</f>
        <v>15</v>
      </c>
    </row>
    <row r="64" spans="4:19">
      <c r="D64" s="7">
        <f>+M42</f>
        <v>20</v>
      </c>
      <c r="I64" s="596">
        <f>+N42</f>
        <v>25</v>
      </c>
      <c r="L64" s="596">
        <f>+O42</f>
        <v>27</v>
      </c>
      <c r="O64" s="596">
        <f>+P42</f>
        <v>30</v>
      </c>
      <c r="S64" s="596">
        <f>+R42</f>
        <v>40</v>
      </c>
    </row>
    <row r="85" spans="1:27">
      <c r="A85" s="1594" t="s">
        <v>1473</v>
      </c>
      <c r="B85" s="1595"/>
      <c r="C85" s="1595"/>
      <c r="D85" s="1595"/>
      <c r="E85" s="1595"/>
      <c r="F85" s="1595"/>
      <c r="G85" s="1595"/>
      <c r="H85" s="1595"/>
      <c r="I85" s="1595"/>
      <c r="J85" s="1595"/>
      <c r="K85" s="1595"/>
      <c r="L85" s="1595"/>
      <c r="M85" s="1595"/>
      <c r="N85" s="1595"/>
      <c r="O85" s="1595"/>
      <c r="P85" s="1595"/>
      <c r="Q85" s="1595"/>
      <c r="R85" s="1595"/>
      <c r="S85" s="1595"/>
      <c r="T85" s="1595"/>
      <c r="U85" s="1595"/>
      <c r="V85" s="1596"/>
    </row>
    <row r="86" spans="1:27">
      <c r="A86" s="1600" t="s">
        <v>1071</v>
      </c>
      <c r="B86" s="1600"/>
      <c r="C86" s="1600"/>
      <c r="D86" s="1600" t="s">
        <v>1072</v>
      </c>
      <c r="E86" s="1600"/>
      <c r="F86" s="1600"/>
      <c r="G86" s="1600"/>
      <c r="H86" s="1600"/>
      <c r="I86" s="1600"/>
      <c r="J86" s="1600"/>
      <c r="K86" s="1600"/>
      <c r="L86" s="1600"/>
      <c r="M86" s="1600"/>
      <c r="N86" s="1600"/>
      <c r="O86" s="1600"/>
      <c r="P86" s="1600"/>
      <c r="Q86" s="1600"/>
      <c r="R86" s="1600"/>
      <c r="S86" s="1600" t="s">
        <v>1073</v>
      </c>
      <c r="T86" s="1600"/>
      <c r="U86" s="1600"/>
      <c r="V86" s="1600"/>
      <c r="W86" s="10"/>
      <c r="X86" s="10"/>
      <c r="Y86" s="10"/>
      <c r="Z86" s="10"/>
      <c r="AA86" s="10"/>
    </row>
    <row r="87" spans="1:27" ht="21" customHeight="1">
      <c r="A87" s="1599">
        <v>3</v>
      </c>
      <c r="B87" s="1599"/>
      <c r="C87" s="1599"/>
      <c r="D87" s="1597" t="s">
        <v>1474</v>
      </c>
      <c r="E87" s="1597"/>
      <c r="F87" s="1597"/>
      <c r="G87" s="1597"/>
      <c r="H87" s="1597"/>
      <c r="I87" s="1597"/>
      <c r="J87" s="1597"/>
      <c r="K87" s="1597"/>
      <c r="L87" s="1597"/>
      <c r="M87" s="1597"/>
      <c r="N87" s="1597"/>
      <c r="O87" s="1597"/>
      <c r="P87" s="1597"/>
      <c r="Q87" s="1597"/>
      <c r="R87" s="1597"/>
      <c r="S87" s="1598">
        <v>45482</v>
      </c>
      <c r="T87" s="1598"/>
      <c r="U87" s="1598"/>
      <c r="V87" s="1598"/>
      <c r="W87" s="10"/>
      <c r="X87" s="10"/>
      <c r="Y87" s="10"/>
      <c r="Z87" s="10"/>
      <c r="AA87" s="10"/>
    </row>
    <row r="88" spans="1:27" ht="21" customHeight="1">
      <c r="A88" s="1599">
        <v>2</v>
      </c>
      <c r="B88" s="1599"/>
      <c r="C88" s="1599"/>
      <c r="D88" s="1597" t="s">
        <v>1475</v>
      </c>
      <c r="E88" s="1597"/>
      <c r="F88" s="1597"/>
      <c r="G88" s="1597"/>
      <c r="H88" s="1597"/>
      <c r="I88" s="1597"/>
      <c r="J88" s="1597"/>
      <c r="K88" s="1597"/>
      <c r="L88" s="1597"/>
      <c r="M88" s="1597"/>
      <c r="N88" s="1597"/>
      <c r="O88" s="1597"/>
      <c r="P88" s="1597"/>
      <c r="Q88" s="1597"/>
      <c r="R88" s="1597"/>
      <c r="S88" s="1598">
        <v>44231</v>
      </c>
      <c r="T88" s="1598"/>
      <c r="U88" s="1598"/>
      <c r="V88" s="1598"/>
      <c r="W88" s="314"/>
      <c r="X88" s="10"/>
      <c r="Y88" s="10"/>
      <c r="Z88" s="10"/>
      <c r="AA88" s="10"/>
    </row>
    <row r="89" spans="1:27">
      <c r="A89" s="1599" t="s">
        <v>424</v>
      </c>
      <c r="B89" s="1599"/>
      <c r="C89" s="1599"/>
      <c r="D89" s="1597" t="s">
        <v>1476</v>
      </c>
      <c r="E89" s="1597"/>
      <c r="F89" s="1597"/>
      <c r="G89" s="1597"/>
      <c r="H89" s="1597"/>
      <c r="I89" s="1597"/>
      <c r="J89" s="1597"/>
      <c r="K89" s="1597"/>
      <c r="L89" s="1597"/>
      <c r="M89" s="1597"/>
      <c r="N89" s="1597"/>
      <c r="O89" s="1597"/>
      <c r="P89" s="1597"/>
      <c r="Q89" s="1597"/>
      <c r="R89" s="1597"/>
      <c r="S89" s="1598">
        <v>43665</v>
      </c>
      <c r="T89" s="1598"/>
      <c r="U89" s="1598"/>
      <c r="V89" s="1598"/>
      <c r="W89" s="10"/>
      <c r="X89" s="10"/>
      <c r="Y89" s="10"/>
      <c r="Z89" s="10"/>
      <c r="AA89" s="10"/>
    </row>
    <row r="90" spans="1:27">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sheetData>
  <sheetProtection algorithmName="SHA-512" hashValue="JHizRfIVoWElFbrTmnAYan3xeuMrT3VTj6dG3Rgks3ROFSW+dWG0yOWHZQ+aLo9Ar6iD8tseg3GEn4b8I3YxXg==" saltValue="aXFC72pEPIuJD3c8TQYMcA==" spinCount="100000" sheet="1" objects="1" scenarios="1"/>
  <mergeCells count="59">
    <mergeCell ref="A85:V85"/>
    <mergeCell ref="D89:R89"/>
    <mergeCell ref="S89:V89"/>
    <mergeCell ref="A89:C89"/>
    <mergeCell ref="D86:R86"/>
    <mergeCell ref="S86:V86"/>
    <mergeCell ref="A88:C88"/>
    <mergeCell ref="D88:R88"/>
    <mergeCell ref="S88:V88"/>
    <mergeCell ref="A87:C87"/>
    <mergeCell ref="D87:R87"/>
    <mergeCell ref="S87:V87"/>
    <mergeCell ref="A86:C86"/>
    <mergeCell ref="A41:F41"/>
    <mergeCell ref="F34:F36"/>
    <mergeCell ref="A32:E33"/>
    <mergeCell ref="F32:F33"/>
    <mergeCell ref="A34:E36"/>
    <mergeCell ref="A37:E37"/>
    <mergeCell ref="A38:E38"/>
    <mergeCell ref="J2:P2"/>
    <mergeCell ref="A39:E39"/>
    <mergeCell ref="A14:F16"/>
    <mergeCell ref="A40:E40"/>
    <mergeCell ref="A26:E28"/>
    <mergeCell ref="F26:F28"/>
    <mergeCell ref="A20:F22"/>
    <mergeCell ref="A17:F19"/>
    <mergeCell ref="A23:E25"/>
    <mergeCell ref="F23:F25"/>
    <mergeCell ref="A11:F13"/>
    <mergeCell ref="A29:E31"/>
    <mergeCell ref="Q1:X4"/>
    <mergeCell ref="A9:F10"/>
    <mergeCell ref="H9:R9"/>
    <mergeCell ref="A6:P6"/>
    <mergeCell ref="A3:E3"/>
    <mergeCell ref="A4:E4"/>
    <mergeCell ref="F3:G3"/>
    <mergeCell ref="F4:G4"/>
    <mergeCell ref="H3:I3"/>
    <mergeCell ref="H4:I4"/>
    <mergeCell ref="J3:P3"/>
    <mergeCell ref="J4:P4"/>
    <mergeCell ref="A1:P1"/>
    <mergeCell ref="A2:E2"/>
    <mergeCell ref="F2:G2"/>
    <mergeCell ref="H2:I2"/>
    <mergeCell ref="AK17:AK19"/>
    <mergeCell ref="AK20:AK21"/>
    <mergeCell ref="AK22:AK23"/>
    <mergeCell ref="AK24:AK25"/>
    <mergeCell ref="AJ11:AJ14"/>
    <mergeCell ref="AK15:AK16"/>
    <mergeCell ref="AK26:AK27"/>
    <mergeCell ref="BR24:BR25"/>
    <mergeCell ref="BS24:CC24"/>
    <mergeCell ref="BR26:BR27"/>
    <mergeCell ref="BS26:CC26"/>
  </mergeCells>
  <phoneticPr fontId="50" type="noConversion"/>
  <pageMargins left="0.7" right="0.7" top="0.75" bottom="0.75" header="0.3" footer="0.3"/>
  <pageSetup paperSize="9" scale="16" orientation="portrait" r:id="rId1"/>
  <ignoredErrors>
    <ignoredError sqref="J2" numberStoredAsText="1"/>
    <ignoredError sqref="H31:R31" evalError="1"/>
  </ignoredErrors>
  <drawing r:id="rId2"/>
  <legacyDrawing r:id="rId3"/>
  <oleObjects>
    <mc:AlternateContent xmlns:mc="http://schemas.openxmlformats.org/markup-compatibility/2006">
      <mc:Choice Requires="x14">
        <oleObject progId="PBrush" shapeId="2610593" r:id="rId4">
          <objectPr defaultSize="0" autoPict="0" r:id="rId5">
            <anchor moveWithCells="1" sizeWithCells="1">
              <from>
                <xdr:col>16</xdr:col>
                <xdr:colOff>1581150</xdr:colOff>
                <xdr:row>0</xdr:row>
                <xdr:rowOff>66675</xdr:rowOff>
              </from>
              <to>
                <xdr:col>19</xdr:col>
                <xdr:colOff>1019175</xdr:colOff>
                <xdr:row>3</xdr:row>
                <xdr:rowOff>123825</xdr:rowOff>
              </to>
            </anchor>
          </objectPr>
        </oleObject>
      </mc:Choice>
      <mc:Fallback>
        <oleObject progId="PBrush" shapeId="2610593"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tabColor rgb="FFFFFF00"/>
  </sheetPr>
  <dimension ref="A1:X48"/>
  <sheetViews>
    <sheetView view="pageBreakPreview" topLeftCell="A7" zoomScaleNormal="100" zoomScaleSheetLayoutView="100" workbookViewId="0">
      <selection activeCell="N14" sqref="N14"/>
    </sheetView>
  </sheetViews>
  <sheetFormatPr baseColWidth="10" defaultRowHeight="15"/>
  <cols>
    <col min="2" max="2" width="37.85546875" customWidth="1"/>
    <col min="3" max="3" width="12" bestFit="1" customWidth="1"/>
    <col min="5" max="5" width="12" bestFit="1" customWidth="1"/>
    <col min="6" max="6" width="13.28515625" customWidth="1"/>
  </cols>
  <sheetData>
    <row r="1" spans="1:24" ht="15.75">
      <c r="A1" s="1601" t="s">
        <v>1068</v>
      </c>
      <c r="B1" s="1601"/>
      <c r="C1" s="1601"/>
      <c r="D1" s="1601"/>
      <c r="E1" s="1601"/>
      <c r="F1" s="1601"/>
      <c r="G1" s="1601"/>
      <c r="H1" s="1601"/>
      <c r="I1" s="1601"/>
      <c r="J1" s="1601"/>
      <c r="K1" s="1601"/>
      <c r="L1" s="1601"/>
      <c r="M1" s="1601"/>
      <c r="N1" s="1601"/>
      <c r="O1" s="1601"/>
      <c r="P1" s="1601"/>
      <c r="Q1" s="1601"/>
      <c r="R1" s="1602"/>
      <c r="S1" s="1603"/>
      <c r="T1" s="1603"/>
      <c r="U1" s="1603"/>
      <c r="V1" s="1603"/>
      <c r="W1" s="1603"/>
      <c r="X1" s="1604"/>
    </row>
    <row r="2" spans="1:24">
      <c r="A2" s="1610" t="s">
        <v>1069</v>
      </c>
      <c r="B2" s="1610"/>
      <c r="C2" s="1610"/>
      <c r="D2" s="1610"/>
      <c r="E2" s="1610"/>
      <c r="F2" s="1610"/>
      <c r="G2" s="1610"/>
      <c r="H2" s="1610" t="s">
        <v>1070</v>
      </c>
      <c r="I2" s="1610"/>
      <c r="J2" s="1610"/>
      <c r="K2" s="1610"/>
      <c r="L2" s="1610"/>
      <c r="M2" s="1610"/>
      <c r="N2" s="1610"/>
      <c r="O2" s="1610"/>
      <c r="P2" s="1610"/>
      <c r="Q2" s="1610"/>
      <c r="R2" s="1605"/>
      <c r="S2" s="1138"/>
      <c r="T2" s="1138"/>
      <c r="U2" s="1138"/>
      <c r="V2" s="1138"/>
      <c r="W2" s="1138"/>
      <c r="X2" s="1606"/>
    </row>
    <row r="3" spans="1:24" ht="50.25" customHeight="1">
      <c r="A3" s="1611" t="s">
        <v>1075</v>
      </c>
      <c r="B3" s="1611"/>
      <c r="C3" s="1611"/>
      <c r="D3" s="1611"/>
      <c r="E3" s="1611"/>
      <c r="F3" s="1611"/>
      <c r="G3" s="1611"/>
      <c r="H3" s="1611" t="s">
        <v>1076</v>
      </c>
      <c r="I3" s="1611"/>
      <c r="J3" s="1611"/>
      <c r="K3" s="1611"/>
      <c r="L3" s="1611"/>
      <c r="M3" s="1611"/>
      <c r="N3" s="1611"/>
      <c r="O3" s="1611"/>
      <c r="P3" s="1611"/>
      <c r="Q3" s="1611"/>
      <c r="R3" s="1607"/>
      <c r="S3" s="1608"/>
      <c r="T3" s="1608"/>
      <c r="U3" s="1608"/>
      <c r="V3" s="1608"/>
      <c r="W3" s="1608"/>
      <c r="X3" s="1609"/>
    </row>
    <row r="4" spans="1:24">
      <c r="J4" s="316" t="s">
        <v>1172</v>
      </c>
      <c r="K4" s="316" t="s">
        <v>1178</v>
      </c>
      <c r="L4" s="316" t="s">
        <v>1173</v>
      </c>
      <c r="M4" s="316" t="s">
        <v>1178</v>
      </c>
    </row>
    <row r="5" spans="1:24" ht="18">
      <c r="A5" s="140" t="s">
        <v>1175</v>
      </c>
      <c r="B5" t="s">
        <v>349</v>
      </c>
      <c r="C5" s="895">
        <f>+Calculos!H7</f>
        <v>1.0491546936799967E-3</v>
      </c>
      <c r="D5" t="str">
        <f>+Calculos!H3</f>
        <v>g/cm3</v>
      </c>
      <c r="E5" t="s">
        <v>353</v>
      </c>
      <c r="F5" s="895">
        <f>+'Densidad  del Aire'!H22/1000</f>
        <v>1.1047574297322575E-6</v>
      </c>
      <c r="G5" t="str">
        <f>+D5</f>
        <v>g/cm3</v>
      </c>
      <c r="H5" s="474" t="s">
        <v>1167</v>
      </c>
      <c r="I5" s="476"/>
      <c r="J5" s="316">
        <v>8600</v>
      </c>
      <c r="K5" s="316">
        <f t="shared" ref="K5:K10" si="0">J5/1000</f>
        <v>8.6</v>
      </c>
      <c r="L5" s="316">
        <v>85</v>
      </c>
      <c r="M5" s="316">
        <f t="shared" ref="M5:M10" si="1">L5/1000</f>
        <v>8.5000000000000006E-2</v>
      </c>
    </row>
    <row r="6" spans="1:24" ht="18">
      <c r="A6" s="140" t="s">
        <v>1176</v>
      </c>
      <c r="B6" t="s">
        <v>350</v>
      </c>
      <c r="C6">
        <f>1.2/1000</f>
        <v>1.1999999999999999E-3</v>
      </c>
      <c r="D6" t="str">
        <f>+D5</f>
        <v>g/cm3</v>
      </c>
      <c r="E6" t="s">
        <v>353</v>
      </c>
      <c r="F6">
        <f>+F5</f>
        <v>1.1047574297322575E-6</v>
      </c>
      <c r="G6" t="str">
        <f>+D6</f>
        <v>g/cm3</v>
      </c>
      <c r="H6" s="474" t="s">
        <v>1168</v>
      </c>
      <c r="I6" s="476"/>
      <c r="J6" s="316">
        <v>8400</v>
      </c>
      <c r="K6" s="316">
        <f t="shared" si="0"/>
        <v>8.4</v>
      </c>
      <c r="L6" s="316">
        <v>85</v>
      </c>
      <c r="M6" s="316">
        <f t="shared" si="1"/>
        <v>8.5000000000000006E-2</v>
      </c>
    </row>
    <row r="7" spans="1:24">
      <c r="A7" s="140" t="s">
        <v>1174</v>
      </c>
      <c r="B7" t="s">
        <v>351</v>
      </c>
      <c r="C7" s="353">
        <f>+VLOOKUP(Formato!I36,'Errores  Patrones'!AB4:AG25,6,0)</f>
        <v>7.95</v>
      </c>
      <c r="D7" t="str">
        <f>+D6</f>
        <v>g/cm3</v>
      </c>
      <c r="E7" t="s">
        <v>353</v>
      </c>
      <c r="F7" s="353">
        <f>VLOOKUP(C7,K5:M10,3,FALSE)</f>
        <v>7.0000000000000007E-2</v>
      </c>
      <c r="G7" t="str">
        <f>+G6</f>
        <v>g/cm3</v>
      </c>
      <c r="H7" s="475" t="s">
        <v>1166</v>
      </c>
      <c r="I7" s="477"/>
      <c r="J7" s="473">
        <v>7950</v>
      </c>
      <c r="K7" s="473">
        <f t="shared" si="0"/>
        <v>7.95</v>
      </c>
      <c r="L7" s="473">
        <v>70</v>
      </c>
      <c r="M7" s="473">
        <f t="shared" si="1"/>
        <v>7.0000000000000007E-2</v>
      </c>
    </row>
    <row r="8" spans="1:24" ht="18">
      <c r="A8" s="140" t="s">
        <v>1177</v>
      </c>
      <c r="B8" t="s">
        <v>352</v>
      </c>
      <c r="C8">
        <v>8</v>
      </c>
      <c r="D8" t="str">
        <f>+D7</f>
        <v>g/cm3</v>
      </c>
      <c r="E8" t="s">
        <v>353</v>
      </c>
      <c r="F8">
        <f>70/1000</f>
        <v>7.0000000000000007E-2</v>
      </c>
      <c r="G8" t="str">
        <f>+G7</f>
        <v>g/cm3</v>
      </c>
      <c r="H8" s="474" t="s">
        <v>1170</v>
      </c>
      <c r="I8" s="476"/>
      <c r="J8" s="316">
        <v>7700</v>
      </c>
      <c r="K8" s="316">
        <f t="shared" si="0"/>
        <v>7.7</v>
      </c>
      <c r="L8" s="316">
        <v>200</v>
      </c>
      <c r="M8" s="316">
        <f t="shared" si="1"/>
        <v>0.2</v>
      </c>
    </row>
    <row r="9" spans="1:24">
      <c r="H9" s="474" t="s">
        <v>1169</v>
      </c>
      <c r="I9" s="476"/>
      <c r="J9" s="316">
        <v>7100</v>
      </c>
      <c r="K9" s="316">
        <f t="shared" si="0"/>
        <v>7.1</v>
      </c>
      <c r="L9" s="316">
        <v>300</v>
      </c>
      <c r="M9" s="316">
        <f t="shared" si="1"/>
        <v>0.3</v>
      </c>
    </row>
    <row r="10" spans="1:24">
      <c r="H10" s="474" t="s">
        <v>1171</v>
      </c>
      <c r="I10" s="476"/>
      <c r="J10" s="316">
        <v>2700</v>
      </c>
      <c r="K10" s="316">
        <f t="shared" si="0"/>
        <v>2.7</v>
      </c>
      <c r="L10" s="316">
        <v>65</v>
      </c>
      <c r="M10" s="316">
        <f t="shared" si="1"/>
        <v>6.5000000000000002E-2</v>
      </c>
    </row>
    <row r="12" spans="1:24">
      <c r="I12">
        <v>7.95</v>
      </c>
      <c r="J12">
        <f>VLOOKUP(I12,K5:M10,3,FALSE)</f>
        <v>7.0000000000000007E-2</v>
      </c>
    </row>
    <row r="19" spans="2:13">
      <c r="B19" s="299" t="s">
        <v>1062</v>
      </c>
      <c r="C19" s="178"/>
      <c r="D19" s="178"/>
    </row>
    <row r="20" spans="2:13">
      <c r="B20" s="178" t="s">
        <v>1052</v>
      </c>
      <c r="C20" s="178"/>
      <c r="D20" s="178"/>
      <c r="F20" s="298" t="s">
        <v>1055</v>
      </c>
    </row>
    <row r="21" spans="2:13">
      <c r="B21" s="178"/>
      <c r="C21" s="178"/>
      <c r="D21" s="178"/>
      <c r="F21" s="298"/>
    </row>
    <row r="22" spans="2:13">
      <c r="B22" s="178"/>
      <c r="C22" s="178"/>
      <c r="D22" s="178"/>
    </row>
    <row r="23" spans="2:13">
      <c r="B23" s="178" t="s">
        <v>1051</v>
      </c>
      <c r="C23" s="178"/>
      <c r="D23" s="178"/>
    </row>
    <row r="24" spans="2:13">
      <c r="B24" s="178"/>
      <c r="C24" s="178"/>
      <c r="D24" s="178"/>
    </row>
    <row r="25" spans="2:13" ht="9" customHeight="1"/>
    <row r="26" spans="2:13">
      <c r="B26" s="1500" t="s">
        <v>1056</v>
      </c>
      <c r="C26" s="1501" t="str">
        <f>CONCATENATE("Cargas aplicadas"," ","(",Formato!$I$20,")")</f>
        <v>Cargas aplicadas (g)</v>
      </c>
      <c r="D26" s="1501"/>
      <c r="E26" s="1501"/>
      <c r="F26" s="1501"/>
      <c r="G26" s="1501"/>
      <c r="H26" s="1501"/>
      <c r="I26" s="1501"/>
      <c r="J26" s="1501"/>
      <c r="K26" s="1501"/>
      <c r="L26" s="1501"/>
      <c r="M26" s="1501"/>
    </row>
    <row r="27" spans="2:13">
      <c r="B27" s="1500"/>
      <c r="C27" s="293">
        <f>'Estimación de la Incertidumbre'!H10</f>
        <v>0.01</v>
      </c>
      <c r="D27" s="293">
        <f>'Estimación de la Incertidumbre'!I10</f>
        <v>4</v>
      </c>
      <c r="E27" s="293">
        <f>'Estimación de la Incertidumbre'!J10</f>
        <v>8</v>
      </c>
      <c r="F27" s="293">
        <f>'Estimación de la Incertidumbre'!K10</f>
        <v>12</v>
      </c>
      <c r="G27" s="293">
        <f>'Estimación de la Incertidumbre'!L10</f>
        <v>15</v>
      </c>
      <c r="H27" s="293">
        <f>'Estimación de la Incertidumbre'!M10</f>
        <v>20</v>
      </c>
      <c r="I27" s="293">
        <f>'Estimación de la Incertidumbre'!N10</f>
        <v>25</v>
      </c>
      <c r="J27" s="293">
        <f>'Estimación de la Incertidumbre'!O10</f>
        <v>27</v>
      </c>
      <c r="K27" s="293">
        <f>'Estimación de la Incertidumbre'!P10</f>
        <v>30</v>
      </c>
      <c r="L27" s="293">
        <f>'Estimación de la Incertidumbre'!Q10</f>
        <v>35</v>
      </c>
      <c r="M27" s="293">
        <f>'Estimación de la Incertidumbre'!R10</f>
        <v>40</v>
      </c>
    </row>
    <row r="28" spans="2:13">
      <c r="B28" s="1500" t="s">
        <v>1057</v>
      </c>
      <c r="C28" s="1501" t="s">
        <v>1058</v>
      </c>
      <c r="D28" s="1501"/>
      <c r="E28" s="1501"/>
      <c r="F28" s="1501"/>
      <c r="G28" s="1501"/>
      <c r="H28" s="1501"/>
      <c r="I28" s="1501"/>
      <c r="J28" s="1501"/>
      <c r="K28" s="1501"/>
      <c r="L28" s="1501"/>
      <c r="M28" s="1501"/>
    </row>
    <row r="29" spans="2:13">
      <c r="B29" s="1500"/>
      <c r="C29" s="760">
        <f>IF(Formato!$I$20="g",Formato!X87,IF(Formato!$I$20="mg",Formato!X87/1000,IF(Formato!$I$20="kg",Formato!X87*1000,)))</f>
        <v>0.01</v>
      </c>
      <c r="D29" s="760">
        <f>IF(Formato!$I$20="g",Formato!X92,IF(Formato!$I$20="mg",Formato!X92/1000,IF(Formato!$I$20="kg",Formato!X92*1000,)))</f>
        <v>4</v>
      </c>
      <c r="E29" s="760">
        <f>IF(Formato!$I$20="g",Formato!X97,IF(Formato!$I$20="mg",Formato!X97/1000,IF(Formato!$I$20="kg",Formato!X97*1000,)))</f>
        <v>8</v>
      </c>
      <c r="F29" s="760">
        <f>IF(Formato!$I$20="g",Formato!X102,IF(Formato!$I$20="mg",Formato!X102/1000,IF(Formato!$I$20="kg",Formato!X102*1000,)))</f>
        <v>12</v>
      </c>
      <c r="G29" s="760">
        <f>IF(Formato!$I$20="g",Formato!X107,IF(Formato!$I$20="mg",Formato!X107/1000,IF(Formato!$I$20="kg",Formato!X107*1000,)))</f>
        <v>15.00001</v>
      </c>
      <c r="H29" s="760">
        <f>IF(Formato!$I$20="g",Formato!X112,IF(Formato!$I$20="mg",Formato!X112/1000,IF(Formato!$I$20="kg",Formato!X112*1000,)))</f>
        <v>20</v>
      </c>
      <c r="I29" s="760">
        <f>IF(Formato!$I$20="g",Formato!X117,IF(Formato!$I$20="mg",Formato!X117/1000,IF(Formato!$I$20="kg",Formato!X117*1000,)))</f>
        <v>25.00001</v>
      </c>
      <c r="J29" s="760">
        <f>IF(Formato!$I$20="g",Formato!X122,IF(Formato!$I$20="mg",Formato!X122/1000,IF(Formato!$I$20="kg",Formato!X122*1000,)))</f>
        <v>27.00001</v>
      </c>
      <c r="K29" s="760">
        <f>IF(Formato!$I$20="g",Formato!X127,IF(Formato!$I$20="mg",Formato!X127/1000,IF(Formato!$I$20="kg",Formato!X127*1000,)))</f>
        <v>30.00001</v>
      </c>
      <c r="L29" s="760">
        <f>IF(Formato!$I$20="g",Formato!X133,IF(Formato!$I$20="mg",Formato!X133/1000,IF(Formato!$I$20="kg",Formato!X133*1000,)))</f>
        <v>35.000019999999999</v>
      </c>
      <c r="M29" s="760">
        <f>IF(Formato!$I$20="g",Formato!X139,IF(Formato!$I$20="mg",Formato!X139/1000,IF(Formato!$I$20="kg",Formato!X139*1000,)))</f>
        <v>40.000019999999999</v>
      </c>
    </row>
    <row r="30" spans="2:13">
      <c r="B30" s="300" t="s">
        <v>1059</v>
      </c>
      <c r="C30" s="389">
        <v>0</v>
      </c>
      <c r="D30" s="389">
        <f>IF(Formato!I20=0,"",Calculos!L28)</f>
        <v>0.02</v>
      </c>
      <c r="E30" s="389">
        <f>IF(Formato!I20=0,"",Calculos!L33)</f>
        <v>0.04</v>
      </c>
      <c r="F30" s="389">
        <f>IF(Formato!I20=0,"",Calculos!L38)</f>
        <v>1.01E-2</v>
      </c>
      <c r="G30" s="389">
        <f>IF(Formato!I20=0,"",Calculos!L43)</f>
        <v>2.5100000000000001E-2</v>
      </c>
      <c r="H30" s="389">
        <f>IF(Formato!I20=0,"",Calculos!L48)</f>
        <v>1.2E-4</v>
      </c>
      <c r="I30" s="389">
        <f>IF(Formato!I20=0,"",Calculos!L53)</f>
        <v>2.512E-2</v>
      </c>
      <c r="J30" s="389">
        <f>IF(Formato!I20=0,"",Calculos!L58)</f>
        <v>3.5119999999999998E-2</v>
      </c>
      <c r="K30" s="389">
        <f>IF(Formato!I20=0,"",Calculos!L63)</f>
        <v>2.2000000000000001E-4</v>
      </c>
      <c r="L30" s="389">
        <f>IF(Formato!I20=0,"",Calculos!L69)</f>
        <v>2.5220000000000003E-2</v>
      </c>
      <c r="M30" s="389">
        <f>IF(Formato!I20=0,"",Calculos!L75)</f>
        <v>2.4000000000000001E-4</v>
      </c>
    </row>
    <row r="31" spans="2:13">
      <c r="B31" s="300" t="s">
        <v>1060</v>
      </c>
      <c r="C31" s="293">
        <f>$C$6</f>
        <v>1.1999999999999999E-3</v>
      </c>
      <c r="D31" s="293">
        <f t="shared" ref="D31:M31" si="2">$C$6</f>
        <v>1.1999999999999999E-3</v>
      </c>
      <c r="E31" s="293">
        <f t="shared" si="2"/>
        <v>1.1999999999999999E-3</v>
      </c>
      <c r="F31" s="293">
        <f t="shared" si="2"/>
        <v>1.1999999999999999E-3</v>
      </c>
      <c r="G31" s="293">
        <f t="shared" si="2"/>
        <v>1.1999999999999999E-3</v>
      </c>
      <c r="H31" s="293">
        <f>$C$6</f>
        <v>1.1999999999999999E-3</v>
      </c>
      <c r="I31" s="293">
        <f>$C$6</f>
        <v>1.1999999999999999E-3</v>
      </c>
      <c r="J31" s="293">
        <f t="shared" si="2"/>
        <v>1.1999999999999999E-3</v>
      </c>
      <c r="K31" s="293">
        <f t="shared" si="2"/>
        <v>1.1999999999999999E-3</v>
      </c>
      <c r="L31" s="293">
        <f t="shared" si="2"/>
        <v>1.1999999999999999E-3</v>
      </c>
      <c r="M31" s="293">
        <f t="shared" si="2"/>
        <v>1.1999999999999999E-3</v>
      </c>
    </row>
    <row r="32" spans="2:13" ht="15.75" thickBot="1">
      <c r="B32" s="304" t="s">
        <v>1061</v>
      </c>
      <c r="C32" s="305">
        <f>$C$8</f>
        <v>8</v>
      </c>
      <c r="D32" s="305">
        <f t="shared" ref="D32:M32" si="3">$C$8</f>
        <v>8</v>
      </c>
      <c r="E32" s="305">
        <f t="shared" si="3"/>
        <v>8</v>
      </c>
      <c r="F32" s="305">
        <f t="shared" si="3"/>
        <v>8</v>
      </c>
      <c r="G32" s="305">
        <f t="shared" si="3"/>
        <v>8</v>
      </c>
      <c r="H32" s="305">
        <f t="shared" si="3"/>
        <v>8</v>
      </c>
      <c r="I32" s="305">
        <f t="shared" si="3"/>
        <v>8</v>
      </c>
      <c r="J32" s="305">
        <f t="shared" si="3"/>
        <v>8</v>
      </c>
      <c r="K32" s="305">
        <f t="shared" si="3"/>
        <v>8</v>
      </c>
      <c r="L32" s="305">
        <f t="shared" si="3"/>
        <v>8</v>
      </c>
      <c r="M32" s="305">
        <f t="shared" si="3"/>
        <v>8</v>
      </c>
    </row>
    <row r="33" spans="1:22" ht="26.25" thickBot="1">
      <c r="B33" s="296" t="s">
        <v>1053</v>
      </c>
      <c r="C33" s="294">
        <f>SQRT(((($F$5^2)*((1/$C$7)-(1/8))^2))+(($C$5-0.0012)^2*($F$7^2/$C$7^4)))*C29</f>
        <v>1.6707114628614334E-9</v>
      </c>
      <c r="D33" s="294">
        <f>SQRT(((($F$5^2)*((1/$C$7)-(1/8))^2))+(($C$5-0.0012)^2*($F$7^2/$C$7^4)))*D29</f>
        <v>6.6828458514457339E-7</v>
      </c>
      <c r="E33" s="294">
        <f t="shared" ref="E33:M33" si="4">SQRT(((($F$5^2)*((1/$C$7)-(1/8))^2))+(($C$5-0.0012)^2*($F$7^2/$C$7^4)))*E29</f>
        <v>1.3365691702891468E-6</v>
      </c>
      <c r="F33" s="294">
        <f t="shared" si="4"/>
        <v>2.00485375543372E-6</v>
      </c>
      <c r="G33" s="294">
        <f t="shared" si="4"/>
        <v>2.5060688650036131E-6</v>
      </c>
      <c r="H33" s="294">
        <f t="shared" si="4"/>
        <v>3.3414229257228672E-6</v>
      </c>
      <c r="I33" s="294">
        <f t="shared" si="4"/>
        <v>4.1767803278650467E-6</v>
      </c>
      <c r="J33" s="294">
        <f t="shared" si="4"/>
        <v>4.510922620437333E-6</v>
      </c>
      <c r="K33" s="294">
        <f t="shared" si="4"/>
        <v>5.012136059295763E-6</v>
      </c>
      <c r="L33" s="294">
        <f t="shared" si="4"/>
        <v>5.8474934614379425E-6</v>
      </c>
      <c r="M33" s="294">
        <f t="shared" si="4"/>
        <v>6.6828491928686597E-6</v>
      </c>
    </row>
    <row r="34" spans="1:22" ht="26.25" thickBot="1">
      <c r="B34" s="297" t="s">
        <v>1054</v>
      </c>
      <c r="C34" s="295">
        <f>SQRT((($F$5^2/$C$7^2)+(($C$5-0.0012)^2)*($F$7^2/$C$7^4)))*C29</f>
        <v>2.173080398643283E-9</v>
      </c>
      <c r="D34" s="295">
        <f>SQRT((($F$5^2/$C$7^2)+(($C$5-0.0012)^2)*($F$7^2/$C$7^4)))*D29</f>
        <v>8.6923215945731315E-7</v>
      </c>
      <c r="E34" s="295">
        <f t="shared" ref="E34:M34" si="5">SQRT((($F$5^2/$C$7^2)+(($C$5-0.0012)^2)*($F$7^2/$C$7^4)))*E29</f>
        <v>1.7384643189146263E-6</v>
      </c>
      <c r="F34" s="295">
        <f t="shared" si="5"/>
        <v>2.6076964783719395E-6</v>
      </c>
      <c r="G34" s="295">
        <f t="shared" si="5"/>
        <v>3.2596227710453228E-6</v>
      </c>
      <c r="H34" s="295">
        <f t="shared" si="5"/>
        <v>4.3461607972865656E-6</v>
      </c>
      <c r="I34" s="295">
        <f t="shared" si="5"/>
        <v>5.4327031696886061E-6</v>
      </c>
      <c r="J34" s="295">
        <f t="shared" si="5"/>
        <v>5.8673192494172624E-6</v>
      </c>
      <c r="K34" s="295">
        <f t="shared" si="5"/>
        <v>6.5192433690102468E-6</v>
      </c>
      <c r="L34" s="295">
        <f t="shared" si="5"/>
        <v>7.6057857414122873E-6</v>
      </c>
      <c r="M34" s="295">
        <f t="shared" si="5"/>
        <v>8.6923259407339289E-6</v>
      </c>
    </row>
    <row r="45" spans="1:22" ht="15.75">
      <c r="A45" s="1382" t="s">
        <v>1071</v>
      </c>
      <c r="B45" s="1382"/>
      <c r="C45" s="1382"/>
      <c r="D45" s="1382" t="s">
        <v>1072</v>
      </c>
      <c r="E45" s="1382"/>
      <c r="F45" s="1382"/>
      <c r="G45" s="1382"/>
      <c r="H45" s="1382"/>
      <c r="I45" s="1382"/>
      <c r="J45" s="1382"/>
      <c r="K45" s="1382"/>
      <c r="L45" s="1382"/>
      <c r="M45" s="1382"/>
      <c r="N45" s="1382"/>
      <c r="O45" s="1382"/>
      <c r="P45" s="1382"/>
      <c r="Q45" s="1382"/>
      <c r="R45" s="1382"/>
      <c r="S45" s="1382" t="s">
        <v>1073</v>
      </c>
      <c r="T45" s="1382"/>
      <c r="U45" s="1382"/>
      <c r="V45" s="1382"/>
    </row>
    <row r="46" spans="1:22" ht="15.75">
      <c r="A46" s="1387">
        <v>4</v>
      </c>
      <c r="B46" s="1387"/>
      <c r="C46" s="1387"/>
      <c r="D46" s="1378" t="s">
        <v>1074</v>
      </c>
      <c r="E46" s="1378"/>
      <c r="F46" s="1378"/>
      <c r="G46" s="1378"/>
      <c r="H46" s="1378"/>
      <c r="I46" s="1378"/>
      <c r="J46" s="1378"/>
      <c r="K46" s="1378"/>
      <c r="L46" s="1378"/>
      <c r="M46" s="1378"/>
      <c r="N46" s="1378"/>
      <c r="O46" s="1378"/>
      <c r="P46" s="1378"/>
      <c r="Q46" s="1378"/>
      <c r="R46" s="1378"/>
      <c r="S46" s="1445">
        <v>44231</v>
      </c>
      <c r="T46" s="1445"/>
      <c r="U46" s="1445"/>
      <c r="V46" s="1445"/>
    </row>
    <row r="47" spans="1:22" ht="15.75">
      <c r="A47" s="1387">
        <v>3</v>
      </c>
      <c r="B47" s="1387"/>
      <c r="C47" s="1387"/>
      <c r="D47" s="1378" t="s">
        <v>1036</v>
      </c>
      <c r="E47" s="1378"/>
      <c r="F47" s="1378"/>
      <c r="G47" s="1378"/>
      <c r="H47" s="1378"/>
      <c r="I47" s="1378"/>
      <c r="J47" s="1378"/>
      <c r="K47" s="1378"/>
      <c r="L47" s="1378"/>
      <c r="M47" s="1378"/>
      <c r="N47" s="1378"/>
      <c r="O47" s="1378"/>
      <c r="P47" s="1378"/>
      <c r="Q47" s="1378"/>
      <c r="R47" s="1378"/>
      <c r="S47" s="1445">
        <v>43670</v>
      </c>
      <c r="T47" s="1445"/>
      <c r="U47" s="1445"/>
      <c r="V47" s="1445"/>
    </row>
    <row r="48" spans="1:22" ht="15.75">
      <c r="A48" s="1387">
        <v>2</v>
      </c>
      <c r="B48" s="1387"/>
      <c r="C48" s="1387"/>
      <c r="D48" s="1378" t="s">
        <v>1014</v>
      </c>
      <c r="E48" s="1378"/>
      <c r="F48" s="1378"/>
      <c r="G48" s="1378"/>
      <c r="H48" s="1378"/>
      <c r="I48" s="1378"/>
      <c r="J48" s="1378"/>
      <c r="K48" s="1378"/>
      <c r="L48" s="1378"/>
      <c r="M48" s="1378"/>
      <c r="N48" s="1378"/>
      <c r="O48" s="1378"/>
      <c r="P48" s="1378"/>
      <c r="Q48" s="1378"/>
      <c r="R48" s="1378"/>
      <c r="S48" s="1445">
        <v>43495</v>
      </c>
      <c r="T48" s="1445"/>
      <c r="U48" s="1445"/>
      <c r="V48" s="1445"/>
    </row>
  </sheetData>
  <sheetProtection algorithmName="SHA-512" hashValue="UKX6Z2fymeQNbO1ZnSV4GxTSBGlCkj3yb3dhxdTdP37hln/O3y2OaGsYRFGcLxr08LWK/2Lu9UkvCilK+SEU4w==" saltValue="neC/s4GZypKLRGSbkeq+3g==" spinCount="100000" sheet="1" objects="1" scenarios="1"/>
  <mergeCells count="22">
    <mergeCell ref="A48:C48"/>
    <mergeCell ref="D48:R48"/>
    <mergeCell ref="S48:V48"/>
    <mergeCell ref="A1:Q1"/>
    <mergeCell ref="R1:X3"/>
    <mergeCell ref="A2:G2"/>
    <mergeCell ref="H2:Q2"/>
    <mergeCell ref="A3:G3"/>
    <mergeCell ref="H3:Q3"/>
    <mergeCell ref="S45:V45"/>
    <mergeCell ref="A46:C46"/>
    <mergeCell ref="D46:R46"/>
    <mergeCell ref="S46:V46"/>
    <mergeCell ref="A47:C47"/>
    <mergeCell ref="D47:R47"/>
    <mergeCell ref="S47:V47"/>
    <mergeCell ref="C26:M26"/>
    <mergeCell ref="C28:M28"/>
    <mergeCell ref="B26:B27"/>
    <mergeCell ref="B28:B29"/>
    <mergeCell ref="A45:C45"/>
    <mergeCell ref="D45:R45"/>
  </mergeCells>
  <pageMargins left="0.7" right="0.7" top="0.75" bottom="0.75" header="0.3" footer="0.3"/>
  <pageSetup paperSize="9" scale="49" orientation="portrait" r:id="rId1"/>
  <colBreaks count="1" manualBreakCount="1">
    <brk id="13" max="50" man="1"/>
  </colBreaks>
  <drawing r:id="rId2"/>
  <legacyDrawing r:id="rId3"/>
  <oleObjects>
    <mc:AlternateContent xmlns:mc="http://schemas.openxmlformats.org/markup-compatibility/2006">
      <mc:Choice Requires="x14">
        <oleObject progId="PBrush" shapeId="5015584" r:id="rId4">
          <objectPr defaultSize="0" autoPict="0" r:id="rId5">
            <anchor moveWithCells="1" sizeWithCells="1">
              <from>
                <xdr:col>18</xdr:col>
                <xdr:colOff>285750</xdr:colOff>
                <xdr:row>1</xdr:row>
                <xdr:rowOff>19050</xdr:rowOff>
              </from>
              <to>
                <xdr:col>20</xdr:col>
                <xdr:colOff>304800</xdr:colOff>
                <xdr:row>2</xdr:row>
                <xdr:rowOff>371475</xdr:rowOff>
              </to>
            </anchor>
          </objectPr>
        </oleObject>
      </mc:Choice>
      <mc:Fallback>
        <oleObject progId="PBrush" shapeId="5015584"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92D050"/>
  </sheetPr>
  <dimension ref="A1:AZ150"/>
  <sheetViews>
    <sheetView view="pageBreakPreview" topLeftCell="A94" zoomScale="70" zoomScaleNormal="100" zoomScaleSheetLayoutView="70" workbookViewId="0">
      <selection activeCell="AP100" sqref="AP100"/>
    </sheetView>
  </sheetViews>
  <sheetFormatPr baseColWidth="10" defaultColWidth="11.42578125" defaultRowHeight="15"/>
  <cols>
    <col min="1" max="1" width="6.7109375" style="3" customWidth="1"/>
    <col min="2" max="2" width="4.7109375" style="3" customWidth="1"/>
    <col min="3" max="3" width="6.28515625" style="3" customWidth="1"/>
    <col min="4" max="6" width="4.7109375" style="3" customWidth="1"/>
    <col min="7" max="7" width="7.85546875" style="3" customWidth="1"/>
    <col min="8" max="10" width="4.7109375" style="3" customWidth="1"/>
    <col min="11" max="11" width="8.42578125" style="3" customWidth="1"/>
    <col min="12" max="13" width="4.7109375" style="3" customWidth="1"/>
    <col min="14" max="14" width="9.5703125" style="3" customWidth="1"/>
    <col min="15" max="15" width="4.7109375" style="3" customWidth="1"/>
    <col min="16" max="16" width="5.7109375" style="3" customWidth="1"/>
    <col min="17" max="18" width="4.7109375" style="3" customWidth="1"/>
    <col min="19" max="19" width="7.42578125" style="3" customWidth="1"/>
    <col min="20" max="20" width="4.7109375" style="3" customWidth="1"/>
    <col min="21" max="21" width="8" style="3" customWidth="1"/>
    <col min="22" max="22" width="7.5703125" style="3" customWidth="1"/>
    <col min="23" max="23" width="11.28515625" style="3" customWidth="1"/>
    <col min="24" max="28" width="4.7109375" style="3" customWidth="1"/>
    <col min="29" max="29" width="5.85546875" style="3" customWidth="1"/>
    <col min="30" max="30" width="4.7109375" style="3" customWidth="1"/>
    <col min="31" max="31" width="11.42578125" style="3" customWidth="1"/>
    <col min="32" max="33" width="6.5703125" style="3" customWidth="1"/>
    <col min="34" max="38" width="5.5703125" style="3" hidden="1" customWidth="1"/>
    <col min="39" max="39" width="7.85546875" style="3" hidden="1" customWidth="1"/>
    <col min="40" max="40" width="13.85546875" style="3" hidden="1" customWidth="1"/>
    <col min="41" max="41" width="13.85546875" style="3" customWidth="1"/>
    <col min="42" max="42" width="22.140625" style="3" customWidth="1"/>
    <col min="43" max="43" width="5.28515625" style="3" customWidth="1"/>
    <col min="44" max="16384" width="11.42578125" style="3"/>
  </cols>
  <sheetData>
    <row r="1" spans="1:39" ht="23.25" customHeight="1">
      <c r="A1" s="102"/>
    </row>
    <row r="2" spans="1:39" ht="23.25" customHeight="1">
      <c r="A2" s="102"/>
      <c r="AJ2" s="3" t="s">
        <v>152</v>
      </c>
    </row>
    <row r="3" spans="1:39" ht="23.25" customHeight="1">
      <c r="AJ3" s="3" t="s">
        <v>153</v>
      </c>
    </row>
    <row r="4" spans="1:39" ht="23.25" customHeight="1">
      <c r="AJ4" s="3" t="s">
        <v>360</v>
      </c>
    </row>
    <row r="5" spans="1:39" ht="9" customHeight="1" thickBot="1"/>
    <row r="6" spans="1:39" ht="21.75" customHeight="1" thickBot="1">
      <c r="A6" s="1130" t="s">
        <v>87</v>
      </c>
      <c r="B6" s="1130"/>
      <c r="C6" s="1130"/>
      <c r="D6" s="1130"/>
      <c r="E6" s="1130"/>
      <c r="F6" s="1130"/>
      <c r="G6" s="1130"/>
      <c r="H6" s="1130"/>
      <c r="I6" s="1224"/>
      <c r="J6" s="1225"/>
      <c r="K6" s="1225"/>
      <c r="L6" s="1225"/>
      <c r="M6" s="1225"/>
      <c r="N6" s="1225"/>
      <c r="O6" s="1225"/>
      <c r="P6" s="1226"/>
      <c r="R6" s="1130" t="s">
        <v>37</v>
      </c>
      <c r="S6" s="1130"/>
      <c r="T6" s="1130"/>
      <c r="U6" s="1130"/>
      <c r="V6" s="1130"/>
      <c r="W6" s="1130"/>
      <c r="X6" s="1130"/>
      <c r="Z6" s="1612"/>
      <c r="AA6" s="1613"/>
      <c r="AB6" s="1613"/>
      <c r="AC6" s="1613"/>
      <c r="AD6" s="1613"/>
      <c r="AE6" s="1613"/>
      <c r="AF6" s="1614"/>
      <c r="AG6" s="103"/>
      <c r="AJ6" s="3" t="s">
        <v>305</v>
      </c>
    </row>
    <row r="7" spans="1:39" ht="21.75" customHeight="1" thickBot="1">
      <c r="A7" s="1130" t="s">
        <v>111</v>
      </c>
      <c r="B7" s="1130"/>
      <c r="C7" s="1130"/>
      <c r="D7" s="1130"/>
      <c r="E7" s="1130"/>
      <c r="F7" s="1130"/>
      <c r="G7" s="1130"/>
      <c r="H7" s="1130"/>
      <c r="I7" s="1615"/>
      <c r="J7" s="1616"/>
      <c r="K7" s="1616"/>
      <c r="L7" s="1616"/>
      <c r="M7" s="1616"/>
      <c r="N7" s="1616"/>
      <c r="O7" s="1616"/>
      <c r="P7" s="1617"/>
      <c r="R7" s="1130" t="s">
        <v>112</v>
      </c>
      <c r="S7" s="1130"/>
      <c r="T7" s="1130"/>
      <c r="U7" s="1130"/>
      <c r="V7" s="1130"/>
      <c r="W7" s="1130"/>
      <c r="X7" s="1130"/>
      <c r="Z7" s="1618">
        <f>S38</f>
        <v>0</v>
      </c>
      <c r="AA7" s="1619"/>
      <c r="AB7" s="1619"/>
      <c r="AC7" s="1619"/>
      <c r="AD7" s="1619"/>
      <c r="AE7" s="1619"/>
      <c r="AF7" s="1620"/>
      <c r="AG7" s="103"/>
      <c r="AJ7" s="3" t="s">
        <v>306</v>
      </c>
    </row>
    <row r="8" spans="1:39" ht="21.75" customHeight="1" thickBot="1">
      <c r="A8" s="992" t="s">
        <v>35</v>
      </c>
      <c r="B8" s="992"/>
      <c r="C8" s="992"/>
      <c r="D8" s="992"/>
      <c r="E8" s="992"/>
      <c r="F8" s="992"/>
      <c r="G8" s="992"/>
      <c r="H8" s="992"/>
      <c r="I8" s="1623"/>
      <c r="J8" s="1624"/>
      <c r="K8" s="1624"/>
      <c r="L8" s="1624"/>
      <c r="M8" s="1624"/>
      <c r="N8" s="1624"/>
      <c r="O8" s="1624"/>
      <c r="P8" s="1625"/>
      <c r="R8" s="992" t="s">
        <v>36</v>
      </c>
      <c r="S8" s="992"/>
      <c r="T8" s="992"/>
      <c r="U8" s="992"/>
      <c r="V8" s="992"/>
      <c r="W8" s="992"/>
      <c r="X8" s="992"/>
      <c r="Z8" s="1626">
        <f>+AE100</f>
        <v>0</v>
      </c>
      <c r="AA8" s="1627"/>
      <c r="AB8" s="1627"/>
      <c r="AC8" s="1627"/>
      <c r="AD8" s="1627"/>
      <c r="AE8" s="1627"/>
      <c r="AF8" s="1628"/>
      <c r="AG8" s="104"/>
    </row>
    <row r="9" spans="1:39" ht="14.25" customHeight="1" thickBot="1">
      <c r="A9" s="1167" t="s">
        <v>38</v>
      </c>
      <c r="B9" s="1167"/>
      <c r="C9" s="1167"/>
      <c r="D9" s="1629"/>
      <c r="E9" s="1629"/>
      <c r="F9" s="1629"/>
      <c r="G9" s="1629"/>
      <c r="H9" s="1629"/>
      <c r="I9" s="1629"/>
      <c r="J9" s="1629"/>
      <c r="K9" s="1629"/>
      <c r="L9" s="1629"/>
      <c r="M9" s="1167"/>
      <c r="N9" s="1167"/>
      <c r="O9" s="1167"/>
      <c r="P9" s="1629"/>
      <c r="Q9" s="1629"/>
      <c r="R9" s="1629"/>
      <c r="S9" s="1629"/>
      <c r="T9" s="1629"/>
      <c r="U9" s="1629"/>
      <c r="V9" s="1629"/>
      <c r="W9" s="1629"/>
      <c r="X9" s="1167"/>
      <c r="Y9" s="1167"/>
      <c r="Z9" s="1167"/>
      <c r="AA9" s="1629"/>
      <c r="AB9" s="1629"/>
      <c r="AC9" s="1629"/>
      <c r="AD9" s="1629"/>
      <c r="AE9" s="1629"/>
      <c r="AF9" s="1629"/>
      <c r="AG9" s="1629"/>
    </row>
    <row r="10" spans="1:39" ht="26.25" customHeight="1" thickBot="1">
      <c r="A10" s="1630" t="s">
        <v>88</v>
      </c>
      <c r="B10" s="1631"/>
      <c r="C10" s="1631"/>
      <c r="D10" s="1224"/>
      <c r="E10" s="1225"/>
      <c r="F10" s="1225"/>
      <c r="G10" s="1225"/>
      <c r="H10" s="1225"/>
      <c r="I10" s="1225"/>
      <c r="J10" s="1225"/>
      <c r="K10" s="1225"/>
      <c r="L10" s="1226"/>
      <c r="M10" s="1631" t="s">
        <v>17</v>
      </c>
      <c r="N10" s="1631"/>
      <c r="O10" s="1631"/>
      <c r="P10" s="1632"/>
      <c r="Q10" s="1633"/>
      <c r="R10" s="1633"/>
      <c r="S10" s="1633"/>
      <c r="T10" s="1633"/>
      <c r="U10" s="1633"/>
      <c r="V10" s="1633"/>
      <c r="W10" s="1634"/>
      <c r="X10" s="1631" t="s">
        <v>89</v>
      </c>
      <c r="Y10" s="1631"/>
      <c r="Z10" s="1631"/>
      <c r="AA10" s="1224"/>
      <c r="AB10" s="1225"/>
      <c r="AC10" s="1225"/>
      <c r="AD10" s="1225"/>
      <c r="AE10" s="1225"/>
      <c r="AF10" s="1225"/>
      <c r="AG10" s="1226"/>
    </row>
    <row r="11" spans="1:39" ht="8.25" customHeight="1">
      <c r="A11" s="164"/>
      <c r="B11" s="164"/>
      <c r="C11" s="164"/>
      <c r="D11" s="166"/>
      <c r="E11" s="166"/>
      <c r="F11" s="166"/>
      <c r="G11" s="166"/>
      <c r="H11" s="166"/>
      <c r="I11" s="166"/>
      <c r="J11" s="166"/>
      <c r="K11" s="166"/>
      <c r="L11" s="166"/>
      <c r="M11" s="164"/>
      <c r="N11" s="164"/>
      <c r="O11" s="164"/>
      <c r="P11" s="166"/>
      <c r="Q11" s="166"/>
      <c r="R11" s="166"/>
      <c r="S11" s="166"/>
      <c r="T11" s="166"/>
      <c r="U11" s="166"/>
      <c r="V11" s="166"/>
      <c r="W11" s="166"/>
      <c r="X11" s="164"/>
      <c r="Y11" s="164"/>
      <c r="Z11" s="164"/>
      <c r="AA11" s="166"/>
      <c r="AB11" s="166"/>
      <c r="AC11" s="166"/>
      <c r="AD11" s="166"/>
      <c r="AE11" s="166"/>
      <c r="AF11" s="166"/>
      <c r="AG11" s="166"/>
    </row>
    <row r="12" spans="1:39" ht="12.75" customHeight="1" thickBot="1">
      <c r="A12" s="1167" t="s">
        <v>39</v>
      </c>
      <c r="B12" s="1167"/>
      <c r="C12" s="1167"/>
      <c r="D12" s="1629"/>
      <c r="E12" s="1629"/>
      <c r="F12" s="1629"/>
      <c r="G12" s="1629"/>
      <c r="H12" s="1629"/>
      <c r="I12" s="1629"/>
      <c r="J12" s="1629"/>
      <c r="K12" s="1629"/>
      <c r="L12" s="1629"/>
      <c r="M12" s="1629"/>
      <c r="N12" s="1167"/>
      <c r="O12" s="1167"/>
      <c r="P12" s="1167"/>
      <c r="Q12" s="1629"/>
      <c r="R12" s="1629"/>
      <c r="S12" s="1629"/>
      <c r="T12" s="1629"/>
      <c r="U12" s="1629"/>
      <c r="V12" s="1629"/>
      <c r="W12" s="1629"/>
      <c r="X12" s="1167"/>
      <c r="Y12" s="1167"/>
      <c r="Z12" s="1629"/>
      <c r="AA12" s="1629"/>
      <c r="AB12" s="1629"/>
      <c r="AC12" s="1629"/>
      <c r="AD12" s="1629"/>
      <c r="AE12" s="1629"/>
      <c r="AF12" s="1629"/>
      <c r="AG12" s="1629"/>
    </row>
    <row r="13" spans="1:39" ht="23.25" customHeight="1" thickBot="1">
      <c r="A13" s="1630" t="s">
        <v>74</v>
      </c>
      <c r="B13" s="1631"/>
      <c r="C13" s="1631"/>
      <c r="D13" s="1224"/>
      <c r="E13" s="1225"/>
      <c r="F13" s="1225"/>
      <c r="G13" s="1225"/>
      <c r="H13" s="1225"/>
      <c r="I13" s="1225"/>
      <c r="J13" s="1225"/>
      <c r="K13" s="1225"/>
      <c r="L13" s="1225"/>
      <c r="M13" s="1226"/>
      <c r="N13" s="1631" t="s">
        <v>13</v>
      </c>
      <c r="O13" s="1631"/>
      <c r="P13" s="1631"/>
      <c r="Q13" s="1224"/>
      <c r="R13" s="1225"/>
      <c r="S13" s="1225"/>
      <c r="T13" s="1225"/>
      <c r="U13" s="1225"/>
      <c r="V13" s="1225"/>
      <c r="W13" s="1226"/>
      <c r="X13" s="1631" t="s">
        <v>12</v>
      </c>
      <c r="Y13" s="1631"/>
      <c r="Z13" s="1224"/>
      <c r="AA13" s="1225"/>
      <c r="AB13" s="1225"/>
      <c r="AC13" s="1225"/>
      <c r="AD13" s="1225"/>
      <c r="AE13" s="1225"/>
      <c r="AF13" s="1225"/>
      <c r="AG13" s="1226"/>
    </row>
    <row r="14" spans="1:39" ht="23.25" customHeight="1" thickBot="1">
      <c r="A14" s="1635" t="s">
        <v>29</v>
      </c>
      <c r="B14" s="1636"/>
      <c r="C14" s="1636"/>
      <c r="D14" s="1636"/>
      <c r="E14" s="1224"/>
      <c r="F14" s="1225"/>
      <c r="G14" s="1225"/>
      <c r="H14" s="1225"/>
      <c r="I14" s="1225"/>
      <c r="J14" s="1225"/>
      <c r="K14" s="1225"/>
      <c r="L14" s="1225"/>
      <c r="M14" s="1226"/>
      <c r="N14" s="1637" t="s">
        <v>90</v>
      </c>
      <c r="O14" s="1637"/>
      <c r="P14" s="1637"/>
      <c r="Q14" s="1278"/>
      <c r="R14" s="1279"/>
      <c r="S14" s="1279"/>
      <c r="T14" s="1279"/>
      <c r="U14" s="1279"/>
      <c r="V14" s="1279"/>
      <c r="W14" s="1280"/>
      <c r="X14" s="1636" t="s">
        <v>14</v>
      </c>
      <c r="Y14" s="1636"/>
      <c r="Z14" s="1224"/>
      <c r="AA14" s="1225"/>
      <c r="AB14" s="1225"/>
      <c r="AC14" s="1225"/>
      <c r="AD14" s="1225"/>
      <c r="AE14" s="1225"/>
      <c r="AF14" s="1225"/>
      <c r="AG14" s="1226"/>
    </row>
    <row r="15" spans="1:39" ht="18" customHeight="1" thickBot="1">
      <c r="A15" s="1629" t="s">
        <v>91</v>
      </c>
      <c r="B15" s="1629"/>
      <c r="C15" s="1629"/>
      <c r="D15" s="1629"/>
      <c r="E15" s="1629"/>
      <c r="F15" s="1629"/>
      <c r="G15" s="1629"/>
      <c r="H15" s="1629"/>
      <c r="I15" s="1629"/>
      <c r="J15" s="1629"/>
      <c r="K15" s="1629"/>
      <c r="L15" s="1629"/>
      <c r="M15" s="1629"/>
      <c r="N15" s="1629"/>
      <c r="O15" s="1629"/>
      <c r="P15" s="1629"/>
      <c r="Q15" s="1629"/>
      <c r="R15" s="1629"/>
      <c r="S15" s="1629"/>
      <c r="T15" s="1629"/>
      <c r="U15" s="1629"/>
      <c r="V15" s="1629"/>
      <c r="W15" s="1629"/>
      <c r="X15" s="1629"/>
      <c r="Y15" s="1629"/>
      <c r="Z15" s="1629"/>
      <c r="AA15" s="1629"/>
      <c r="AB15" s="1629"/>
      <c r="AC15" s="1629"/>
      <c r="AD15" s="1629"/>
      <c r="AE15" s="1629"/>
      <c r="AF15" s="1629"/>
      <c r="AG15" s="1629"/>
      <c r="AM15" s="3" t="s">
        <v>183</v>
      </c>
    </row>
    <row r="16" spans="1:39" ht="26.25" customHeight="1" thickBot="1">
      <c r="A16" s="1638" t="s">
        <v>148</v>
      </c>
      <c r="B16" s="1639"/>
      <c r="C16" s="1639"/>
      <c r="D16" s="1640"/>
      <c r="E16" s="1267"/>
      <c r="F16" s="1268"/>
      <c r="G16" s="1268"/>
      <c r="H16" s="1269"/>
      <c r="I16" s="95"/>
      <c r="J16" s="1641" t="s">
        <v>50</v>
      </c>
      <c r="K16" s="1642"/>
      <c r="L16" s="1270"/>
      <c r="M16" s="1271"/>
      <c r="N16" s="201">
        <f>I16</f>
        <v>0</v>
      </c>
      <c r="O16" s="1639" t="s">
        <v>55</v>
      </c>
      <c r="P16" s="1639"/>
      <c r="Q16" s="1639"/>
      <c r="R16" s="1640"/>
      <c r="S16" s="944"/>
      <c r="T16" s="1002"/>
      <c r="U16" s="945"/>
      <c r="V16" s="171">
        <f>I16</f>
        <v>0</v>
      </c>
      <c r="W16" s="1641" t="s">
        <v>50</v>
      </c>
      <c r="X16" s="1642"/>
      <c r="Y16" s="1643"/>
      <c r="Z16" s="1644"/>
      <c r="AA16" s="201">
        <f>I16</f>
        <v>0</v>
      </c>
      <c r="AB16" s="1639" t="s">
        <v>393</v>
      </c>
      <c r="AC16" s="1639"/>
      <c r="AD16" s="1640"/>
      <c r="AE16" s="210"/>
      <c r="AF16" s="201">
        <f>I16</f>
        <v>0</v>
      </c>
      <c r="AG16" s="164"/>
      <c r="AH16" s="106" t="str">
        <f>+IF(MID(AE16,3,1)="","--",1)</f>
        <v>--</v>
      </c>
      <c r="AI16" s="106" t="str">
        <f>+IF(MID(AE16,4,1)="","--",1)</f>
        <v>--</v>
      </c>
      <c r="AJ16" s="107" t="str">
        <f>+IF(MID(AE16,5,1)="","--",1)</f>
        <v>--</v>
      </c>
      <c r="AK16" s="107" t="str">
        <f>+IF(MID(AE16,6,1)="","--",1)</f>
        <v>--</v>
      </c>
      <c r="AL16" s="107" t="str">
        <f>+IF(MID(AE16,7,1)="","--",1)</f>
        <v>--</v>
      </c>
      <c r="AM16" s="107">
        <f>+COUNT(AH16:AL16)</f>
        <v>0</v>
      </c>
    </row>
    <row r="17" spans="1:42" ht="23.25" customHeight="1" thickBot="1">
      <c r="A17" s="1639" t="s">
        <v>394</v>
      </c>
      <c r="B17" s="1639"/>
      <c r="C17" s="1639"/>
      <c r="D17" s="1639"/>
      <c r="E17" s="1647"/>
      <c r="F17" s="1635"/>
      <c r="G17" s="1122"/>
      <c r="H17" s="1117"/>
      <c r="I17" s="1117"/>
      <c r="J17" s="1117"/>
      <c r="K17" s="1117"/>
      <c r="L17" s="1117"/>
      <c r="M17" s="1118"/>
      <c r="N17" s="1648" t="s">
        <v>395</v>
      </c>
      <c r="O17" s="1639"/>
      <c r="P17" s="1639"/>
      <c r="Q17" s="1639"/>
      <c r="R17" s="1639"/>
      <c r="S17" s="1635"/>
      <c r="T17" s="1122"/>
      <c r="U17" s="1117"/>
      <c r="V17" s="1117"/>
      <c r="W17" s="1117"/>
      <c r="X17" s="1117"/>
      <c r="Y17" s="1117"/>
      <c r="Z17" s="1118"/>
      <c r="AA17" s="1649" t="s">
        <v>57</v>
      </c>
      <c r="AB17" s="1650"/>
      <c r="AC17" s="1650"/>
      <c r="AD17" s="1651"/>
      <c r="AE17" s="91"/>
      <c r="AF17" s="201">
        <f>AF16</f>
        <v>0</v>
      </c>
      <c r="AG17" s="108"/>
    </row>
    <row r="18" spans="1:42" ht="15" customHeight="1" thickBot="1">
      <c r="A18" s="30" t="s">
        <v>31</v>
      </c>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75">
        <f>IF(AE16=1,0,ABS(LEN(AE16)-2))</f>
        <v>2</v>
      </c>
      <c r="AG18" s="30"/>
    </row>
    <row r="19" spans="1:42" ht="16.5" customHeight="1">
      <c r="A19" s="1652" t="s">
        <v>62</v>
      </c>
      <c r="B19" s="1653"/>
      <c r="C19" s="1653"/>
      <c r="D19" s="1653"/>
      <c r="E19" s="1653"/>
      <c r="F19" s="1653"/>
      <c r="G19" s="1653"/>
      <c r="H19" s="1653"/>
      <c r="I19" s="1653"/>
      <c r="J19" s="1653"/>
      <c r="K19" s="1653"/>
      <c r="L19" s="1653"/>
      <c r="M19" s="1653"/>
      <c r="N19" s="1653"/>
      <c r="O19" s="1653"/>
      <c r="P19" s="1653"/>
      <c r="Q19" s="1653"/>
      <c r="R19" s="1653"/>
      <c r="S19" s="1653"/>
      <c r="T19" s="1653"/>
      <c r="U19" s="1653"/>
      <c r="V19" s="1653"/>
      <c r="W19" s="1654"/>
      <c r="X19" s="1658" t="s">
        <v>32</v>
      </c>
      <c r="Y19" s="1658"/>
      <c r="Z19" s="1659" t="s">
        <v>33</v>
      </c>
      <c r="AA19" s="1660"/>
      <c r="AB19" s="1660"/>
      <c r="AC19" s="1660"/>
      <c r="AD19" s="1660"/>
      <c r="AE19" s="1661"/>
      <c r="AF19" s="1661"/>
      <c r="AG19" s="1662"/>
      <c r="AH19" s="109"/>
    </row>
    <row r="20" spans="1:42" ht="12" customHeight="1" thickBot="1">
      <c r="A20" s="1655"/>
      <c r="B20" s="1656"/>
      <c r="C20" s="1656"/>
      <c r="D20" s="1656"/>
      <c r="E20" s="1656"/>
      <c r="F20" s="1656"/>
      <c r="G20" s="1656"/>
      <c r="H20" s="1656"/>
      <c r="I20" s="1656"/>
      <c r="J20" s="1656"/>
      <c r="K20" s="1656"/>
      <c r="L20" s="1656"/>
      <c r="M20" s="1656"/>
      <c r="N20" s="1656"/>
      <c r="O20" s="1656"/>
      <c r="P20" s="1656"/>
      <c r="Q20" s="1656"/>
      <c r="R20" s="1656"/>
      <c r="S20" s="1656"/>
      <c r="T20" s="1656"/>
      <c r="U20" s="1656"/>
      <c r="V20" s="1656"/>
      <c r="W20" s="1657"/>
      <c r="X20" s="96" t="s">
        <v>58</v>
      </c>
      <c r="Y20" s="96" t="s">
        <v>59</v>
      </c>
      <c r="Z20" s="1663"/>
      <c r="AA20" s="1661"/>
      <c r="AB20" s="1661"/>
      <c r="AC20" s="1661"/>
      <c r="AD20" s="1661"/>
      <c r="AE20" s="1661"/>
      <c r="AF20" s="1661"/>
      <c r="AG20" s="1662"/>
      <c r="AH20" s="28"/>
      <c r="AI20" s="28"/>
      <c r="AJ20" s="28"/>
      <c r="AK20" s="28"/>
      <c r="AL20" s="28"/>
    </row>
    <row r="21" spans="1:42" s="28" customFormat="1" ht="21.75" customHeight="1" thickBot="1">
      <c r="A21" s="1645" t="s">
        <v>60</v>
      </c>
      <c r="B21" s="1645"/>
      <c r="C21" s="1645"/>
      <c r="D21" s="1645"/>
      <c r="E21" s="1645"/>
      <c r="F21" s="1645"/>
      <c r="G21" s="1645"/>
      <c r="H21" s="1645"/>
      <c r="I21" s="1645"/>
      <c r="J21" s="1645"/>
      <c r="K21" s="1645"/>
      <c r="L21" s="1645"/>
      <c r="M21" s="1645"/>
      <c r="N21" s="1645"/>
      <c r="O21" s="1645"/>
      <c r="P21" s="1645"/>
      <c r="Q21" s="1645"/>
      <c r="R21" s="1645"/>
      <c r="S21" s="1645"/>
      <c r="T21" s="1645"/>
      <c r="U21" s="1645"/>
      <c r="V21" s="1645"/>
      <c r="W21" s="1646"/>
      <c r="X21" s="97"/>
      <c r="Y21" s="97"/>
      <c r="Z21" s="1089"/>
      <c r="AA21" s="1090"/>
      <c r="AB21" s="1090"/>
      <c r="AC21" s="1090"/>
      <c r="AD21" s="1090"/>
      <c r="AE21" s="1090"/>
      <c r="AF21" s="1090"/>
      <c r="AG21" s="1091"/>
      <c r="AI21" s="3"/>
      <c r="AJ21" s="3"/>
      <c r="AK21" s="3"/>
      <c r="AL21" s="3"/>
    </row>
    <row r="22" spans="1:42" s="28" customFormat="1" ht="21.75" customHeight="1" thickBot="1">
      <c r="A22" s="1645" t="s">
        <v>64</v>
      </c>
      <c r="B22" s="1645"/>
      <c r="C22" s="1645"/>
      <c r="D22" s="1645"/>
      <c r="E22" s="1645"/>
      <c r="F22" s="1645"/>
      <c r="G22" s="1645"/>
      <c r="H22" s="1645"/>
      <c r="I22" s="1645"/>
      <c r="J22" s="1645"/>
      <c r="K22" s="1645"/>
      <c r="L22" s="1645"/>
      <c r="M22" s="1645"/>
      <c r="N22" s="1645"/>
      <c r="O22" s="1645"/>
      <c r="P22" s="1645"/>
      <c r="Q22" s="1645"/>
      <c r="R22" s="1645"/>
      <c r="S22" s="1645"/>
      <c r="T22" s="1645"/>
      <c r="U22" s="1645"/>
      <c r="V22" s="1645"/>
      <c r="W22" s="1646"/>
      <c r="X22" s="97"/>
      <c r="Y22" s="97"/>
      <c r="Z22" s="1095"/>
      <c r="AA22" s="1096"/>
      <c r="AB22" s="1096"/>
      <c r="AC22" s="1096"/>
      <c r="AD22" s="1096"/>
      <c r="AE22" s="1096"/>
      <c r="AF22" s="1096"/>
      <c r="AG22" s="1097"/>
    </row>
    <row r="23" spans="1:42" s="28" customFormat="1" ht="21.75" customHeight="1" thickBot="1">
      <c r="A23" s="1645" t="s">
        <v>61</v>
      </c>
      <c r="B23" s="1645"/>
      <c r="C23" s="1645"/>
      <c r="D23" s="1645"/>
      <c r="E23" s="1645"/>
      <c r="F23" s="1645"/>
      <c r="G23" s="1645"/>
      <c r="H23" s="1645"/>
      <c r="I23" s="1645"/>
      <c r="J23" s="1645"/>
      <c r="K23" s="1645"/>
      <c r="L23" s="1645"/>
      <c r="M23" s="1645"/>
      <c r="N23" s="1645"/>
      <c r="O23" s="1645"/>
      <c r="P23" s="1645"/>
      <c r="Q23" s="1645"/>
      <c r="R23" s="1645"/>
      <c r="S23" s="1645"/>
      <c r="T23" s="1645"/>
      <c r="U23" s="1645"/>
      <c r="V23" s="1645"/>
      <c r="W23" s="1646"/>
      <c r="X23" s="97"/>
      <c r="Y23" s="97"/>
      <c r="Z23" s="1095"/>
      <c r="AA23" s="1096"/>
      <c r="AB23" s="1096"/>
      <c r="AC23" s="1096"/>
      <c r="AD23" s="1096"/>
      <c r="AE23" s="1096"/>
      <c r="AF23" s="1096"/>
      <c r="AG23" s="1097"/>
    </row>
    <row r="24" spans="1:42" s="28" customFormat="1" ht="27.75" customHeight="1" thickBot="1">
      <c r="A24" s="1675" t="s">
        <v>195</v>
      </c>
      <c r="B24" s="1675"/>
      <c r="C24" s="1675"/>
      <c r="D24" s="1675"/>
      <c r="E24" s="1675"/>
      <c r="F24" s="1675"/>
      <c r="G24" s="1675"/>
      <c r="H24" s="1675"/>
      <c r="I24" s="1675"/>
      <c r="J24" s="1675"/>
      <c r="K24" s="1675"/>
      <c r="L24" s="1675"/>
      <c r="M24" s="1675"/>
      <c r="N24" s="1675"/>
      <c r="O24" s="1675"/>
      <c r="P24" s="1675"/>
      <c r="Q24" s="1675"/>
      <c r="R24" s="1675"/>
      <c r="S24" s="1675"/>
      <c r="T24" s="1675"/>
      <c r="U24" s="1675"/>
      <c r="V24" s="1675"/>
      <c r="W24" s="1673"/>
      <c r="X24" s="97"/>
      <c r="Y24" s="97"/>
      <c r="Z24" s="1095"/>
      <c r="AA24" s="1096"/>
      <c r="AB24" s="1096"/>
      <c r="AC24" s="1096"/>
      <c r="AD24" s="1096"/>
      <c r="AE24" s="1096"/>
      <c r="AF24" s="1096"/>
      <c r="AG24" s="1097"/>
    </row>
    <row r="25" spans="1:42" s="28" customFormat="1" ht="21.75" customHeight="1" thickBot="1">
      <c r="A25" s="1645" t="s">
        <v>149</v>
      </c>
      <c r="B25" s="1645"/>
      <c r="C25" s="1645"/>
      <c r="D25" s="1645"/>
      <c r="E25" s="1645"/>
      <c r="F25" s="1645"/>
      <c r="G25" s="1645"/>
      <c r="H25" s="1645"/>
      <c r="I25" s="1645"/>
      <c r="J25" s="1645"/>
      <c r="K25" s="1645"/>
      <c r="L25" s="1645"/>
      <c r="M25" s="1645"/>
      <c r="N25" s="1645"/>
      <c r="O25" s="1645"/>
      <c r="P25" s="1645"/>
      <c r="Q25" s="1645"/>
      <c r="R25" s="1645"/>
      <c r="S25" s="1645"/>
      <c r="T25" s="1645"/>
      <c r="U25" s="1645"/>
      <c r="V25" s="1645"/>
      <c r="W25" s="1646"/>
      <c r="X25" s="97"/>
      <c r="Y25" s="97"/>
      <c r="Z25" s="1077"/>
      <c r="AA25" s="1078"/>
      <c r="AB25" s="1078"/>
      <c r="AC25" s="1078"/>
      <c r="AD25" s="1078"/>
      <c r="AE25" s="1078"/>
      <c r="AF25" s="1078"/>
      <c r="AG25" s="1079"/>
    </row>
    <row r="26" spans="1:42" s="28" customFormat="1" ht="21.75" customHeight="1" thickBot="1">
      <c r="A26" s="1645" t="s">
        <v>63</v>
      </c>
      <c r="B26" s="1645"/>
      <c r="C26" s="1645"/>
      <c r="D26" s="1645"/>
      <c r="E26" s="1645"/>
      <c r="F26" s="1645"/>
      <c r="G26" s="1645"/>
      <c r="H26" s="1645"/>
      <c r="I26" s="1645"/>
      <c r="J26" s="1645"/>
      <c r="K26" s="1645"/>
      <c r="L26" s="1645"/>
      <c r="M26" s="1645"/>
      <c r="N26" s="1645"/>
      <c r="O26" s="1645"/>
      <c r="P26" s="1645"/>
      <c r="Q26" s="1645"/>
      <c r="R26" s="1645"/>
      <c r="S26" s="1645"/>
      <c r="T26" s="1645"/>
      <c r="U26" s="1645"/>
      <c r="V26" s="1645"/>
      <c r="W26" s="1646"/>
      <c r="X26" s="97"/>
      <c r="Y26" s="97"/>
      <c r="Z26" s="1077"/>
      <c r="AA26" s="1078"/>
      <c r="AB26" s="1078"/>
      <c r="AC26" s="1078"/>
      <c r="AD26" s="1078"/>
      <c r="AE26" s="1078"/>
      <c r="AF26" s="1078"/>
      <c r="AG26" s="1079"/>
    </row>
    <row r="27" spans="1:42" s="28" customFormat="1" ht="27.75" customHeight="1" thickBot="1">
      <c r="A27" s="1673" t="s">
        <v>196</v>
      </c>
      <c r="B27" s="1674"/>
      <c r="C27" s="1674"/>
      <c r="D27" s="1674"/>
      <c r="E27" s="1674"/>
      <c r="F27" s="1674"/>
      <c r="G27" s="1674"/>
      <c r="H27" s="1674"/>
      <c r="I27" s="1674"/>
      <c r="J27" s="1674"/>
      <c r="K27" s="1674"/>
      <c r="L27" s="1674"/>
      <c r="M27" s="1674"/>
      <c r="N27" s="1674"/>
      <c r="O27" s="1674"/>
      <c r="P27" s="1674"/>
      <c r="Q27" s="1674"/>
      <c r="R27" s="1674"/>
      <c r="S27" s="1674"/>
      <c r="T27" s="1674"/>
      <c r="U27" s="1674"/>
      <c r="V27" s="1674"/>
      <c r="W27" s="1674"/>
      <c r="X27" s="97"/>
      <c r="Y27" s="97"/>
      <c r="Z27" s="1092"/>
      <c r="AA27" s="1093"/>
      <c r="AB27" s="1093"/>
      <c r="AC27" s="1093"/>
      <c r="AD27" s="1093"/>
      <c r="AE27" s="1093"/>
      <c r="AF27" s="1093"/>
      <c r="AG27" s="1094"/>
    </row>
    <row r="28" spans="1:42" ht="6.75" customHeight="1"/>
    <row r="29" spans="1:42" ht="13.5" customHeight="1">
      <c r="A29" s="1816" t="s">
        <v>294</v>
      </c>
      <c r="B29" s="1816"/>
      <c r="C29" s="1816"/>
      <c r="D29" s="1816"/>
      <c r="E29" s="1816"/>
      <c r="F29" s="1816"/>
      <c r="G29" s="1816"/>
      <c r="H29" s="1816"/>
      <c r="I29" s="206"/>
      <c r="J29" s="1684" t="s">
        <v>92</v>
      </c>
      <c r="K29" s="1684"/>
      <c r="L29" s="1684"/>
      <c r="M29" s="1684"/>
      <c r="N29" s="1684"/>
      <c r="O29" s="1684"/>
      <c r="P29" s="1684"/>
      <c r="Q29" s="1684"/>
      <c r="R29" s="1684"/>
      <c r="S29" s="1684"/>
      <c r="T29" s="1684"/>
      <c r="U29" s="1684"/>
      <c r="V29" s="1684"/>
      <c r="AE29" s="21"/>
      <c r="AF29" s="21"/>
      <c r="AG29" s="21"/>
    </row>
    <row r="30" spans="1:42" ht="27.75" customHeight="1" thickBot="1">
      <c r="A30" s="1664" t="s">
        <v>15</v>
      </c>
      <c r="B30" s="1665"/>
      <c r="C30" s="1666"/>
      <c r="D30" s="1664" t="s">
        <v>8</v>
      </c>
      <c r="E30" s="1665"/>
      <c r="F30" s="1665"/>
      <c r="G30" s="1665"/>
      <c r="H30" s="1666"/>
      <c r="I30" s="208"/>
      <c r="J30" s="1685" t="s">
        <v>43</v>
      </c>
      <c r="K30" s="1685"/>
      <c r="L30" s="1685"/>
      <c r="M30" s="1685"/>
      <c r="N30" s="1686" t="s">
        <v>42</v>
      </c>
      <c r="O30" s="1686"/>
      <c r="P30" s="1686"/>
      <c r="Q30" s="1686"/>
      <c r="R30" s="1686" t="s">
        <v>97</v>
      </c>
      <c r="S30" s="1686"/>
      <c r="T30" s="1686"/>
      <c r="U30" s="1686"/>
      <c r="V30" s="1686"/>
      <c r="W30" s="1687" t="s">
        <v>147</v>
      </c>
      <c r="X30" s="1687"/>
      <c r="Y30" s="1687"/>
      <c r="AA30" s="16" t="s">
        <v>108</v>
      </c>
      <c r="AB30" s="16"/>
      <c r="AC30" s="16"/>
      <c r="AD30" s="16"/>
      <c r="AP30" s="110"/>
    </row>
    <row r="31" spans="1:42" ht="30" customHeight="1" thickBot="1">
      <c r="A31" s="1667" t="s">
        <v>228</v>
      </c>
      <c r="B31" s="1668"/>
      <c r="C31" s="1669"/>
      <c r="D31" s="1670" t="str">
        <f>IF(A31="","",VLOOKUP(A31,AG127:AI131,2,FALSE))</f>
        <v>KIT DE MASAS PATRON F1</v>
      </c>
      <c r="E31" s="1671"/>
      <c r="F31" s="1671"/>
      <c r="G31" s="1671"/>
      <c r="H31" s="1672"/>
      <c r="I31" s="209"/>
      <c r="J31" s="1677" t="s">
        <v>40</v>
      </c>
      <c r="K31" s="1677"/>
      <c r="L31" s="1677"/>
      <c r="M31" s="1678"/>
      <c r="N31" s="1679"/>
      <c r="O31" s="1680"/>
      <c r="P31" s="1680"/>
      <c r="Q31" s="1681"/>
      <c r="R31" s="1055"/>
      <c r="S31" s="1056"/>
      <c r="T31" s="1056"/>
      <c r="U31" s="1056"/>
      <c r="V31" s="1057"/>
      <c r="W31" s="1688"/>
      <c r="X31" s="1687"/>
      <c r="Y31" s="1687"/>
      <c r="AA31" s="1677" t="s">
        <v>82</v>
      </c>
      <c r="AB31" s="1677"/>
      <c r="AC31" s="1676" t="str">
        <f>CONCATENATE("Indicación del instrumento"," ","( ",$I$16, "  )" )</f>
        <v>Indicación del instrumento (   )</v>
      </c>
      <c r="AD31" s="1676"/>
      <c r="AE31" s="1676"/>
      <c r="AF31" s="1676"/>
      <c r="AJ31" s="99"/>
    </row>
    <row r="32" spans="1:42" ht="30" customHeight="1">
      <c r="A32" s="207" t="s">
        <v>992</v>
      </c>
      <c r="B32" s="207"/>
      <c r="C32" s="207"/>
      <c r="D32" s="1670" t="str">
        <f>IF(A32="","",VLOOKUP(A32,AG128:AI132,2,FALSE))</f>
        <v>PESA INDIVIDUAL DE 5 kg</v>
      </c>
      <c r="E32" s="1671"/>
      <c r="F32" s="1671"/>
      <c r="G32" s="1671"/>
      <c r="H32" s="1672"/>
      <c r="I32" s="209"/>
      <c r="J32" s="1677" t="s">
        <v>41</v>
      </c>
      <c r="K32" s="1677"/>
      <c r="L32" s="1677"/>
      <c r="M32" s="1677"/>
      <c r="N32" s="1693" t="str">
        <f>IF(ISBLANK(E101),"OJO",E101)</f>
        <v>OJO</v>
      </c>
      <c r="O32" s="1694"/>
      <c r="P32" s="1694"/>
      <c r="Q32" s="1695"/>
      <c r="R32" s="1696" t="str">
        <f>IF(ISBLANK(I101),"OJO",I101)</f>
        <v>OJO</v>
      </c>
      <c r="S32" s="1696"/>
      <c r="T32" s="1696"/>
      <c r="U32" s="1696"/>
      <c r="V32" s="1696"/>
      <c r="W32" s="1697"/>
      <c r="X32" s="1697"/>
      <c r="Y32" s="1697"/>
      <c r="AA32" s="1651">
        <v>1</v>
      </c>
      <c r="AB32" s="1682"/>
      <c r="AC32" s="1683"/>
      <c r="AD32" s="1683"/>
      <c r="AE32" s="1683"/>
      <c r="AF32" s="1683"/>
    </row>
    <row r="33" spans="1:52" ht="24" customHeight="1">
      <c r="J33" s="1689" t="s">
        <v>303</v>
      </c>
      <c r="K33" s="1689"/>
      <c r="L33" s="1689"/>
      <c r="M33" s="1689"/>
      <c r="N33" s="1689"/>
      <c r="O33" s="1689"/>
      <c r="P33" s="1689"/>
      <c r="Q33" s="1689"/>
      <c r="R33" s="1689"/>
      <c r="S33" s="1689"/>
      <c r="T33" s="1689"/>
      <c r="U33" s="1689"/>
      <c r="V33" s="1689"/>
      <c r="W33" s="1689"/>
      <c r="X33" s="1689"/>
      <c r="Y33" s="1689"/>
      <c r="AA33" s="1651">
        <v>2</v>
      </c>
      <c r="AB33" s="1682"/>
      <c r="AC33" s="1683"/>
      <c r="AD33" s="1683"/>
      <c r="AE33" s="1683"/>
      <c r="AF33" s="1683"/>
    </row>
    <row r="34" spans="1:52" ht="29.25" customHeight="1" thickBot="1">
      <c r="J34" s="1690" t="s">
        <v>151</v>
      </c>
      <c r="K34" s="1690"/>
      <c r="L34" s="1690"/>
      <c r="M34" s="1690"/>
      <c r="N34" s="1690"/>
      <c r="O34" s="1690"/>
      <c r="P34" s="1690"/>
      <c r="Q34" s="1690"/>
      <c r="R34" s="1690"/>
      <c r="S34" s="1690"/>
      <c r="T34" s="1690"/>
      <c r="U34" s="1690"/>
      <c r="V34" s="1690"/>
      <c r="W34" s="1691"/>
      <c r="X34" s="1691"/>
      <c r="Y34" s="172" t="s">
        <v>153</v>
      </c>
      <c r="AA34" s="1651">
        <v>3</v>
      </c>
      <c r="AB34" s="1682"/>
      <c r="AC34" s="1683"/>
      <c r="AD34" s="1683"/>
      <c r="AE34" s="1683"/>
      <c r="AF34" s="1683"/>
    </row>
    <row r="35" spans="1:52" ht="19.5" customHeight="1" thickBot="1">
      <c r="J35" s="1689" t="s">
        <v>168</v>
      </c>
      <c r="K35" s="1689"/>
      <c r="L35" s="1689"/>
      <c r="M35" s="1689"/>
      <c r="N35" s="1689"/>
      <c r="O35" s="1689"/>
      <c r="P35" s="1689"/>
      <c r="Q35" s="1689"/>
      <c r="R35" s="1689"/>
      <c r="S35" s="1689"/>
      <c r="T35" s="1689"/>
      <c r="U35" s="1689"/>
      <c r="V35" s="1692"/>
      <c r="W35" s="1073" t="str">
        <f>+IF(Y34="SI","SOLICITAR CERTIFICADO DE LAS PESAS","---")</f>
        <v>---</v>
      </c>
      <c r="X35" s="1074"/>
      <c r="Y35" s="173" t="s">
        <v>307</v>
      </c>
    </row>
    <row r="36" spans="1:52" ht="21.75" customHeight="1">
      <c r="J36" s="1702" t="s">
        <v>315</v>
      </c>
      <c r="K36" s="1702"/>
      <c r="L36" s="1702"/>
      <c r="M36" s="1702"/>
      <c r="N36" s="1702"/>
      <c r="O36" s="1702"/>
      <c r="P36" s="1702"/>
      <c r="Q36" s="1702"/>
      <c r="R36" s="1702"/>
      <c r="S36" s="1702"/>
      <c r="T36" s="1684"/>
      <c r="U36" s="1684"/>
      <c r="V36" s="1702"/>
    </row>
    <row r="37" spans="1:52" ht="24.75" customHeight="1" thickBot="1">
      <c r="J37" s="1703" t="str">
        <f>+CONCATENATE("Carga aplicada ","(",I16,")")</f>
        <v>Carga aplicada ()</v>
      </c>
      <c r="K37" s="1704"/>
      <c r="L37" s="1704"/>
      <c r="M37" s="1705"/>
      <c r="N37" s="1706" t="s">
        <v>156</v>
      </c>
      <c r="O37" s="1707"/>
      <c r="P37" s="1707"/>
      <c r="Q37" s="1707"/>
      <c r="R37" s="1708"/>
      <c r="S37" s="1686" t="s">
        <v>112</v>
      </c>
      <c r="T37" s="1686"/>
      <c r="U37" s="1686"/>
      <c r="V37" s="166"/>
      <c r="AV37" s="166"/>
      <c r="AW37" s="166"/>
      <c r="AX37" s="166"/>
      <c r="AY37" s="166"/>
      <c r="AZ37" s="166"/>
    </row>
    <row r="38" spans="1:52" ht="15" customHeight="1" thickBot="1">
      <c r="J38" s="1709"/>
      <c r="K38" s="1710"/>
      <c r="L38" s="1710"/>
      <c r="M38" s="1711"/>
      <c r="N38" s="995"/>
      <c r="O38" s="1003"/>
      <c r="P38" s="1003"/>
      <c r="Q38" s="1003"/>
      <c r="R38" s="996"/>
      <c r="S38" s="1254"/>
      <c r="T38" s="1255"/>
      <c r="U38" s="1256"/>
      <c r="V38" s="166"/>
      <c r="AV38" s="166"/>
      <c r="AW38" s="166"/>
      <c r="AX38" s="166"/>
      <c r="AY38" s="166"/>
      <c r="AZ38" s="166"/>
    </row>
    <row r="39" spans="1:52" ht="30" customHeight="1">
      <c r="J39" s="3" t="s">
        <v>155</v>
      </c>
      <c r="N39" s="111"/>
      <c r="O39" s="111"/>
      <c r="P39" s="111"/>
      <c r="Q39" s="111"/>
      <c r="R39" s="111"/>
      <c r="S39" s="165"/>
      <c r="T39" s="165"/>
      <c r="U39" s="165"/>
      <c r="V39" s="166"/>
      <c r="AU39" s="21"/>
      <c r="AV39" s="21"/>
      <c r="AW39" s="21"/>
      <c r="AX39" s="21"/>
    </row>
    <row r="40" spans="1:52" ht="11.25" customHeight="1">
      <c r="H40" s="165"/>
      <c r="I40" s="165"/>
      <c r="J40" s="165"/>
      <c r="X40" s="166"/>
      <c r="Y40" s="166"/>
    </row>
    <row r="41" spans="1:52" ht="15.75" customHeight="1">
      <c r="A41" s="1629" t="s">
        <v>93</v>
      </c>
      <c r="B41" s="1629"/>
      <c r="C41" s="1629"/>
      <c r="D41" s="1629"/>
      <c r="E41" s="1629"/>
      <c r="F41" s="1629"/>
      <c r="G41" s="1629"/>
      <c r="H41" s="1629"/>
      <c r="I41" s="1629"/>
      <c r="J41" s="16"/>
      <c r="K41" s="16"/>
      <c r="L41" s="16"/>
      <c r="M41" s="16"/>
      <c r="N41" s="16"/>
      <c r="O41" s="16"/>
      <c r="P41" s="16"/>
      <c r="Q41" s="16"/>
      <c r="R41" s="16"/>
      <c r="S41" s="16"/>
      <c r="T41" s="16"/>
      <c r="U41" s="16"/>
      <c r="V41" s="16"/>
      <c r="W41" s="16"/>
      <c r="X41" s="16"/>
      <c r="Y41" s="16"/>
      <c r="Z41" s="16"/>
    </row>
    <row r="42" spans="1:52" ht="5.25" customHeight="1">
      <c r="A42" s="1130"/>
      <c r="B42" s="1130"/>
      <c r="C42" s="1130"/>
      <c r="D42" s="1130"/>
      <c r="E42" s="1130"/>
      <c r="F42" s="1130"/>
      <c r="G42" s="1130"/>
      <c r="H42" s="1130"/>
      <c r="I42" s="1130"/>
      <c r="J42" s="1130"/>
      <c r="K42" s="1130"/>
      <c r="L42" s="1130"/>
      <c r="M42" s="1130"/>
      <c r="N42" s="1130"/>
      <c r="O42" s="1130"/>
      <c r="P42" s="1130"/>
      <c r="Q42" s="1130"/>
      <c r="R42" s="1130"/>
      <c r="S42" s="1130"/>
      <c r="T42" s="1130"/>
      <c r="U42" s="1130"/>
      <c r="V42" s="1130"/>
      <c r="W42" s="1130"/>
      <c r="X42" s="1130"/>
      <c r="Y42" s="1130"/>
      <c r="Z42" s="1130"/>
      <c r="AA42" s="1130"/>
      <c r="AB42" s="1130"/>
      <c r="AC42" s="1130"/>
      <c r="AD42" s="1130"/>
      <c r="AE42" s="1130"/>
      <c r="AF42" s="1130"/>
      <c r="AG42" s="1130"/>
    </row>
    <row r="43" spans="1:52" ht="11.25" customHeight="1" thickBot="1">
      <c r="A43" s="16"/>
      <c r="B43" s="1698" t="s">
        <v>51</v>
      </c>
      <c r="C43" s="1698"/>
      <c r="D43" s="1698"/>
      <c r="E43" s="1698"/>
      <c r="F43" s="1698"/>
      <c r="G43" s="1698"/>
      <c r="H43" s="1698"/>
      <c r="I43" s="1698"/>
      <c r="J43" s="1698"/>
      <c r="Q43" s="1699" t="s">
        <v>95</v>
      </c>
      <c r="R43" s="1699"/>
      <c r="S43" s="1699"/>
      <c r="T43" s="1699"/>
      <c r="U43" s="1699"/>
      <c r="V43" s="1699"/>
      <c r="W43" s="1699"/>
      <c r="X43" s="1699"/>
      <c r="Y43" s="1699"/>
      <c r="Z43" s="1699"/>
    </row>
    <row r="44" spans="1:52" ht="24.75" customHeight="1" thickBot="1">
      <c r="B44" s="1130" t="s">
        <v>56</v>
      </c>
      <c r="C44" s="1130"/>
      <c r="D44" s="1130"/>
      <c r="E44" s="1130"/>
      <c r="F44" s="1130"/>
      <c r="G44" s="1130"/>
      <c r="H44" s="1700"/>
      <c r="I44" s="1701"/>
      <c r="J44" s="174">
        <f>I16</f>
        <v>0</v>
      </c>
      <c r="L44" s="1032"/>
      <c r="M44" s="1032"/>
      <c r="Q44" s="1699"/>
      <c r="R44" s="1699"/>
      <c r="S44" s="1699"/>
      <c r="T44" s="1699"/>
      <c r="U44" s="1699"/>
      <c r="V44" s="1699"/>
      <c r="W44" s="1699"/>
      <c r="X44" s="1699"/>
      <c r="Y44" s="1699"/>
      <c r="Z44" s="1699"/>
    </row>
    <row r="45" spans="1:52" ht="7.5" customHeight="1">
      <c r="G45" s="170"/>
      <c r="Q45" s="1699"/>
      <c r="R45" s="1699"/>
      <c r="S45" s="1699"/>
      <c r="T45" s="1699"/>
      <c r="U45" s="1699"/>
      <c r="V45" s="1699"/>
      <c r="W45" s="1699"/>
      <c r="X45" s="1699"/>
      <c r="Y45" s="1699"/>
      <c r="Z45" s="1699"/>
    </row>
    <row r="46" spans="1:52" ht="24.75" customHeight="1">
      <c r="A46" s="1721" t="s">
        <v>94</v>
      </c>
      <c r="B46" s="1722"/>
      <c r="C46" s="1722"/>
      <c r="D46" s="1723"/>
      <c r="E46" s="1689" t="str">
        <f>CONCATENATE("Indicación del instrumento","  ","(",$I$16,")  ")</f>
        <v xml:space="preserve">Indicación del instrumento  ()  </v>
      </c>
      <c r="F46" s="1689"/>
      <c r="G46" s="1689"/>
      <c r="H46" s="1689"/>
      <c r="I46" s="1689"/>
      <c r="J46" s="1677" t="str">
        <f>CONCATENATE("Retorno a Cero "," ","(",$I$16," )")</f>
        <v>Retorno a Cero  ( )</v>
      </c>
      <c r="K46" s="1677"/>
      <c r="L46" s="1677"/>
      <c r="M46" s="1677"/>
      <c r="O46" s="1730" t="s">
        <v>52</v>
      </c>
      <c r="P46" s="1051"/>
      <c r="Q46" s="1051"/>
      <c r="R46" s="1051"/>
      <c r="S46" s="1051"/>
      <c r="T46" s="1051"/>
      <c r="U46" s="1051"/>
      <c r="V46" s="1051"/>
      <c r="W46" s="1051"/>
      <c r="X46" s="1051"/>
      <c r="Y46" s="1051"/>
      <c r="AD46" s="16"/>
    </row>
    <row r="47" spans="1:52" ht="15.75" customHeight="1">
      <c r="A47" s="1724"/>
      <c r="B47" s="1725"/>
      <c r="C47" s="1725"/>
      <c r="D47" s="1726"/>
      <c r="E47" s="1727"/>
      <c r="F47" s="1727"/>
      <c r="G47" s="1727"/>
      <c r="H47" s="1727"/>
      <c r="I47" s="1727"/>
      <c r="J47" s="1677"/>
      <c r="K47" s="1677"/>
      <c r="L47" s="1677"/>
      <c r="M47" s="1677"/>
      <c r="O47" s="1677" t="s">
        <v>109</v>
      </c>
      <c r="P47" s="1731" t="str">
        <f>CONCATENATE("Cargas aplicadas"," ","(",$I$16, ")")</f>
        <v>Cargas aplicadas ()</v>
      </c>
      <c r="Q47" s="1731"/>
      <c r="R47" s="1731"/>
      <c r="S47" s="1731"/>
      <c r="T47" s="1731"/>
      <c r="U47" s="1731"/>
      <c r="V47" s="1731"/>
      <c r="W47" s="1731"/>
      <c r="X47" s="1731"/>
      <c r="Y47" s="1731"/>
      <c r="Z47" s="1731"/>
      <c r="AA47" s="1731"/>
      <c r="AB47" s="1741" t="s">
        <v>1002</v>
      </c>
      <c r="AC47" s="1741"/>
      <c r="AD47" s="1741"/>
      <c r="AE47" s="1741"/>
      <c r="AF47" s="1741"/>
      <c r="AG47" s="1741"/>
    </row>
    <row r="48" spans="1:52" ht="23.25" customHeight="1">
      <c r="A48" s="1651">
        <v>1</v>
      </c>
      <c r="B48" s="1682"/>
      <c r="C48" s="1682"/>
      <c r="D48" s="1682"/>
      <c r="E48" s="1720"/>
      <c r="F48" s="1720"/>
      <c r="G48" s="1720"/>
      <c r="H48" s="1720"/>
      <c r="I48" s="1720"/>
      <c r="J48" s="1728">
        <v>0</v>
      </c>
      <c r="K48" s="1729"/>
      <c r="L48" s="1729"/>
      <c r="M48" s="1729"/>
      <c r="O48" s="1678"/>
      <c r="P48" s="1738">
        <v>100</v>
      </c>
      <c r="Q48" s="1738"/>
      <c r="R48" s="1738"/>
      <c r="S48" s="1738"/>
      <c r="T48" s="1738"/>
      <c r="U48" s="1738"/>
      <c r="V48" s="1738">
        <v>1000</v>
      </c>
      <c r="W48" s="1738"/>
      <c r="X48" s="1738"/>
      <c r="Y48" s="1738"/>
      <c r="Z48" s="1738"/>
      <c r="AA48" s="1738"/>
      <c r="AB48" s="1749" t="s">
        <v>997</v>
      </c>
      <c r="AC48" s="1749"/>
      <c r="AD48" s="1697"/>
      <c r="AE48" s="1697"/>
      <c r="AF48" s="1750" t="s">
        <v>161</v>
      </c>
      <c r="AG48" s="1750"/>
    </row>
    <row r="49" spans="1:33" ht="26.25" customHeight="1">
      <c r="A49" s="1651">
        <v>2</v>
      </c>
      <c r="B49" s="1682"/>
      <c r="C49" s="1682"/>
      <c r="D49" s="1682"/>
      <c r="E49" s="1720"/>
      <c r="F49" s="1720"/>
      <c r="G49" s="1720"/>
      <c r="H49" s="1720"/>
      <c r="I49" s="1720"/>
      <c r="J49" s="1046">
        <v>0</v>
      </c>
      <c r="K49" s="1719"/>
      <c r="L49" s="1719"/>
      <c r="M49" s="1719"/>
      <c r="O49" s="1677"/>
      <c r="P49" s="1739" t="str">
        <f>CONCATENATE("Indicación"," ","(",$I$16,")")</f>
        <v>Indicación ()</v>
      </c>
      <c r="Q49" s="1739"/>
      <c r="R49" s="1739"/>
      <c r="S49" s="1739"/>
      <c r="T49" s="1740" t="str">
        <f>CONCATENATE("Retorno a Cero "," ","(",$I$16," )")</f>
        <v>Retorno a Cero  ( )</v>
      </c>
      <c r="U49" s="1740"/>
      <c r="V49" s="1739" t="str">
        <f>CONCATENATE("Indicación"," ","(",$I$16,")")</f>
        <v>Indicación ()</v>
      </c>
      <c r="W49" s="1739"/>
      <c r="X49" s="1739"/>
      <c r="Y49" s="1739"/>
      <c r="Z49" s="1740" t="str">
        <f>CONCATENATE("Retorno a Cero "," ","(",$I$16," )")</f>
        <v>Retorno a Cero  ( )</v>
      </c>
      <c r="AA49" s="1740"/>
      <c r="AB49" s="1749" t="s">
        <v>999</v>
      </c>
      <c r="AC49" s="1749"/>
      <c r="AD49" s="1697"/>
      <c r="AE49" s="1697"/>
      <c r="AF49" s="1750" t="s">
        <v>1001</v>
      </c>
      <c r="AG49" s="1750"/>
    </row>
    <row r="50" spans="1:33" ht="23.25" customHeight="1">
      <c r="A50" s="1651">
        <v>3</v>
      </c>
      <c r="B50" s="1682"/>
      <c r="C50" s="1682"/>
      <c r="D50" s="1682"/>
      <c r="E50" s="1720"/>
      <c r="F50" s="1720"/>
      <c r="G50" s="1720"/>
      <c r="H50" s="1720"/>
      <c r="I50" s="1720"/>
      <c r="J50" s="1046">
        <v>0</v>
      </c>
      <c r="K50" s="1719"/>
      <c r="L50" s="1719"/>
      <c r="M50" s="1719"/>
      <c r="O50" s="198">
        <v>1</v>
      </c>
      <c r="P50" s="1679"/>
      <c r="Q50" s="1680"/>
      <c r="R50" s="1680"/>
      <c r="S50" s="1737"/>
      <c r="T50" s="1679">
        <v>0</v>
      </c>
      <c r="U50" s="1737"/>
      <c r="V50" s="1679"/>
      <c r="W50" s="1680"/>
      <c r="X50" s="1680"/>
      <c r="Y50" s="1737"/>
      <c r="Z50" s="1045">
        <v>0</v>
      </c>
      <c r="AA50" s="1046"/>
      <c r="AB50" s="1749" t="s">
        <v>998</v>
      </c>
      <c r="AC50" s="1749"/>
      <c r="AD50" s="1697"/>
      <c r="AE50" s="1697"/>
      <c r="AF50" s="1750" t="s">
        <v>161</v>
      </c>
      <c r="AG50" s="1750"/>
    </row>
    <row r="51" spans="1:33" ht="23.25" customHeight="1">
      <c r="A51" s="1651">
        <v>4</v>
      </c>
      <c r="B51" s="1682"/>
      <c r="C51" s="1682"/>
      <c r="D51" s="1682"/>
      <c r="E51" s="1720"/>
      <c r="F51" s="1720"/>
      <c r="G51" s="1720"/>
      <c r="H51" s="1720"/>
      <c r="I51" s="1720"/>
      <c r="J51" s="1046">
        <v>0</v>
      </c>
      <c r="K51" s="1719"/>
      <c r="L51" s="1719"/>
      <c r="M51" s="1719"/>
      <c r="O51" s="198">
        <v>2</v>
      </c>
      <c r="P51" s="1679"/>
      <c r="Q51" s="1680"/>
      <c r="R51" s="1680"/>
      <c r="S51" s="1737"/>
      <c r="T51" s="1679">
        <v>0</v>
      </c>
      <c r="U51" s="1737"/>
      <c r="V51" s="1679"/>
      <c r="W51" s="1680"/>
      <c r="X51" s="1680"/>
      <c r="Y51" s="1737"/>
      <c r="Z51" s="1045">
        <v>0</v>
      </c>
      <c r="AA51" s="1046"/>
      <c r="AB51" s="1749" t="s">
        <v>1000</v>
      </c>
      <c r="AC51" s="1749"/>
      <c r="AD51" s="1697"/>
      <c r="AE51" s="1697"/>
      <c r="AF51" s="1750" t="s">
        <v>1001</v>
      </c>
      <c r="AG51" s="1750"/>
    </row>
    <row r="52" spans="1:33" ht="23.25" customHeight="1">
      <c r="A52" s="1650">
        <v>5</v>
      </c>
      <c r="B52" s="1650"/>
      <c r="C52" s="1650"/>
      <c r="D52" s="1651"/>
      <c r="E52" s="1720"/>
      <c r="F52" s="1720"/>
      <c r="G52" s="1720"/>
      <c r="H52" s="1720"/>
      <c r="I52" s="1720"/>
      <c r="J52" s="1046">
        <v>0</v>
      </c>
      <c r="K52" s="1719"/>
      <c r="L52" s="1719"/>
      <c r="M52" s="1719"/>
      <c r="O52" s="198">
        <v>3</v>
      </c>
      <c r="P52" s="1679"/>
      <c r="Q52" s="1680"/>
      <c r="R52" s="1680"/>
      <c r="S52" s="1737"/>
      <c r="T52" s="1679">
        <v>0</v>
      </c>
      <c r="U52" s="1737"/>
      <c r="V52" s="1679"/>
      <c r="W52" s="1680"/>
      <c r="X52" s="1680"/>
      <c r="Y52" s="1737"/>
      <c r="Z52" s="1045">
        <v>0</v>
      </c>
      <c r="AA52" s="1046"/>
      <c r="AB52" s="21"/>
      <c r="AC52" s="21"/>
    </row>
    <row r="53" spans="1:33" ht="23.25" customHeight="1">
      <c r="A53" s="1650">
        <v>1</v>
      </c>
      <c r="B53" s="1650"/>
      <c r="C53" s="1650"/>
      <c r="D53" s="1651"/>
      <c r="E53" s="1819"/>
      <c r="F53" s="1820"/>
      <c r="G53" s="1820"/>
      <c r="H53" s="1820"/>
      <c r="I53" s="1820"/>
      <c r="J53" s="1046">
        <v>0</v>
      </c>
      <c r="K53" s="1719"/>
      <c r="L53" s="1719"/>
      <c r="M53" s="1719"/>
      <c r="O53" s="198">
        <v>4</v>
      </c>
      <c r="P53" s="1679"/>
      <c r="Q53" s="1680"/>
      <c r="R53" s="1680"/>
      <c r="S53" s="1737"/>
      <c r="T53" s="1679">
        <v>0</v>
      </c>
      <c r="U53" s="1737"/>
      <c r="V53" s="1679"/>
      <c r="W53" s="1680"/>
      <c r="X53" s="1680"/>
      <c r="Y53" s="1737"/>
      <c r="Z53" s="1045">
        <v>0</v>
      </c>
      <c r="AA53" s="1046"/>
      <c r="AB53" s="21"/>
      <c r="AC53" s="21"/>
    </row>
    <row r="54" spans="1:33" ht="33" customHeight="1">
      <c r="A54" s="1827" t="str">
        <f>CONCATENATE("Dif. Máxima "," ","(",[1]Formato!$I$18, ")")</f>
        <v>Dif. Máxima  (g)</v>
      </c>
      <c r="B54" s="1827"/>
      <c r="C54" s="1827"/>
      <c r="D54" s="1827"/>
      <c r="E54" s="1828">
        <f>+IF((MAX(E48:I53)-H44)&gt;ABS(MIN(E48:I53)-H44),(MAX(E48:I53)-H44),ABS(MIN(E48:I53)-H44))</f>
        <v>0</v>
      </c>
      <c r="F54" s="1828"/>
      <c r="G54" s="1828"/>
      <c r="H54" s="1828"/>
      <c r="I54" s="1828"/>
      <c r="J54" s="28"/>
      <c r="K54" s="28"/>
      <c r="L54" s="28"/>
      <c r="M54" s="28"/>
      <c r="O54" s="198">
        <v>5</v>
      </c>
      <c r="P54" s="1679"/>
      <c r="Q54" s="1680"/>
      <c r="R54" s="1680"/>
      <c r="S54" s="1737"/>
      <c r="T54" s="1679">
        <v>0</v>
      </c>
      <c r="U54" s="1737"/>
      <c r="V54" s="1679"/>
      <c r="W54" s="1680"/>
      <c r="X54" s="1680"/>
      <c r="Y54" s="1737"/>
      <c r="Z54" s="1045">
        <v>0</v>
      </c>
      <c r="AA54" s="1046"/>
      <c r="AB54" s="21"/>
      <c r="AC54" s="21"/>
    </row>
    <row r="55" spans="1:33" ht="22.5" customHeight="1">
      <c r="A55" s="203"/>
      <c r="B55" s="203"/>
      <c r="C55" s="203"/>
      <c r="D55" s="203"/>
      <c r="E55" s="204"/>
      <c r="F55" s="204"/>
      <c r="G55" s="204"/>
      <c r="H55" s="204"/>
      <c r="I55" s="204"/>
      <c r="J55" s="28"/>
      <c r="K55" s="1817" t="s">
        <v>996</v>
      </c>
      <c r="L55" s="1817"/>
      <c r="M55" s="1817"/>
      <c r="N55" s="1817"/>
      <c r="O55" s="198">
        <v>6</v>
      </c>
      <c r="P55" s="1679"/>
      <c r="Q55" s="1680"/>
      <c r="R55" s="1680"/>
      <c r="S55" s="1737"/>
      <c r="T55" s="1679">
        <v>0</v>
      </c>
      <c r="U55" s="1737"/>
      <c r="V55" s="1679"/>
      <c r="W55" s="1680"/>
      <c r="X55" s="1680"/>
      <c r="Y55" s="1737"/>
      <c r="Z55" s="1045">
        <v>0</v>
      </c>
      <c r="AA55" s="1046"/>
      <c r="AB55" s="21"/>
      <c r="AC55" s="21"/>
    </row>
    <row r="56" spans="1:33" ht="22.5" customHeight="1">
      <c r="A56" s="112"/>
      <c r="B56" s="113"/>
      <c r="C56" s="113"/>
      <c r="D56" s="113"/>
      <c r="E56" s="113"/>
      <c r="F56" s="113"/>
      <c r="G56" s="113"/>
      <c r="H56" s="113"/>
      <c r="I56" s="113"/>
      <c r="J56" s="114"/>
      <c r="K56" s="1818"/>
      <c r="L56" s="1818"/>
      <c r="M56" s="1818"/>
      <c r="N56" s="1818"/>
      <c r="O56" s="198">
        <v>7</v>
      </c>
      <c r="P56" s="1679"/>
      <c r="Q56" s="1680"/>
      <c r="R56" s="1680"/>
      <c r="S56" s="1737"/>
      <c r="T56" s="1679">
        <v>0</v>
      </c>
      <c r="U56" s="1737"/>
      <c r="V56" s="1679"/>
      <c r="W56" s="1680"/>
      <c r="X56" s="1680"/>
      <c r="Y56" s="1737"/>
      <c r="Z56" s="1045">
        <v>0</v>
      </c>
      <c r="AA56" s="1046"/>
      <c r="AB56" s="21"/>
      <c r="AC56" s="21"/>
    </row>
    <row r="57" spans="1:33" ht="22.5" customHeight="1">
      <c r="A57" s="115"/>
      <c r="B57" s="169"/>
      <c r="C57" s="169"/>
      <c r="D57" s="169"/>
      <c r="E57" s="169"/>
      <c r="J57" s="116"/>
      <c r="K57" s="188" t="s">
        <v>1004</v>
      </c>
      <c r="L57" s="1621"/>
      <c r="M57" s="1622"/>
      <c r="N57" s="188" t="s">
        <v>161</v>
      </c>
      <c r="O57" s="198">
        <v>8</v>
      </c>
      <c r="P57" s="1679"/>
      <c r="Q57" s="1680"/>
      <c r="R57" s="1680"/>
      <c r="S57" s="1737"/>
      <c r="T57" s="1679">
        <v>0</v>
      </c>
      <c r="U57" s="1737"/>
      <c r="V57" s="1679"/>
      <c r="W57" s="1680"/>
      <c r="X57" s="1680"/>
      <c r="Y57" s="1737"/>
      <c r="Z57" s="1045">
        <v>0</v>
      </c>
      <c r="AA57" s="1046"/>
      <c r="AB57" s="21"/>
      <c r="AC57" s="21"/>
    </row>
    <row r="58" spans="1:33" ht="22.5" customHeight="1">
      <c r="A58" s="115"/>
      <c r="B58" s="169"/>
      <c r="C58" s="169"/>
      <c r="D58" s="169"/>
      <c r="E58" s="169"/>
      <c r="J58" s="116"/>
      <c r="K58" s="188" t="s">
        <v>999</v>
      </c>
      <c r="L58" s="1621"/>
      <c r="M58" s="1622"/>
      <c r="N58" s="188" t="s">
        <v>1001</v>
      </c>
      <c r="O58" s="198">
        <v>9</v>
      </c>
      <c r="P58" s="1679"/>
      <c r="Q58" s="1680"/>
      <c r="R58" s="1680"/>
      <c r="S58" s="1737"/>
      <c r="T58" s="1679">
        <v>0</v>
      </c>
      <c r="U58" s="1737"/>
      <c r="V58" s="1679"/>
      <c r="W58" s="1680"/>
      <c r="X58" s="1680"/>
      <c r="Y58" s="1737"/>
      <c r="Z58" s="1045">
        <v>0</v>
      </c>
      <c r="AA58" s="1046"/>
      <c r="AB58" s="21"/>
      <c r="AC58" s="21"/>
    </row>
    <row r="59" spans="1:33" ht="22.5" customHeight="1" thickBot="1">
      <c r="A59" s="115"/>
      <c r="B59" s="169"/>
      <c r="C59" s="169"/>
      <c r="D59" s="169"/>
      <c r="E59" s="169"/>
      <c r="J59" s="116"/>
      <c r="K59" s="188" t="s">
        <v>998</v>
      </c>
      <c r="L59" s="1621"/>
      <c r="M59" s="1622"/>
      <c r="N59" s="188" t="s">
        <v>161</v>
      </c>
      <c r="O59" s="198">
        <v>10</v>
      </c>
      <c r="P59" s="1679"/>
      <c r="Q59" s="1680"/>
      <c r="R59" s="1680"/>
      <c r="S59" s="1737"/>
      <c r="T59" s="1679">
        <v>0</v>
      </c>
      <c r="U59" s="1737"/>
      <c r="V59" s="1679"/>
      <c r="W59" s="1680"/>
      <c r="X59" s="1680"/>
      <c r="Y59" s="1737"/>
      <c r="Z59" s="1045">
        <v>0</v>
      </c>
      <c r="AA59" s="1046"/>
      <c r="AB59" s="21"/>
      <c r="AC59" s="21"/>
    </row>
    <row r="60" spans="1:33" ht="27" customHeight="1" thickBot="1">
      <c r="A60" s="115"/>
      <c r="B60" s="169"/>
      <c r="C60" s="179"/>
      <c r="D60" s="169"/>
      <c r="E60" s="169"/>
      <c r="H60" s="205"/>
      <c r="J60" s="116"/>
      <c r="K60" s="188" t="s">
        <v>1000</v>
      </c>
      <c r="L60" s="1621"/>
      <c r="M60" s="1622"/>
      <c r="N60" s="188" t="s">
        <v>1001</v>
      </c>
      <c r="O60" s="197" t="s">
        <v>355</v>
      </c>
      <c r="P60" s="1746" t="e">
        <f>IF(P48="","",STDEVA(P50:S59))</f>
        <v>#DIV/0!</v>
      </c>
      <c r="Q60" s="1747"/>
      <c r="R60" s="1747"/>
      <c r="S60" s="1748"/>
      <c r="T60" s="1755" t="s">
        <v>356</v>
      </c>
      <c r="U60" s="1756"/>
      <c r="V60" s="1757" t="e">
        <f>IF(V48="","",STDEVA(V50:Y59))</f>
        <v>#DIV/0!</v>
      </c>
      <c r="W60" s="1758"/>
      <c r="X60" s="1758"/>
      <c r="Y60" s="1759"/>
      <c r="Z60" s="167"/>
      <c r="AA60" s="167"/>
      <c r="AB60" s="21"/>
      <c r="AC60" s="21"/>
    </row>
    <row r="61" spans="1:33" ht="7.5" customHeight="1">
      <c r="A61" s="117"/>
      <c r="B61" s="90"/>
      <c r="C61" s="90"/>
      <c r="D61" s="90"/>
      <c r="E61" s="90"/>
      <c r="F61" s="89"/>
      <c r="G61" s="89"/>
      <c r="H61" s="89"/>
      <c r="I61" s="89"/>
      <c r="J61" s="118"/>
      <c r="K61" s="31"/>
    </row>
    <row r="62" spans="1:33" ht="22.5" customHeight="1">
      <c r="A62" s="1821" t="s">
        <v>304</v>
      </c>
      <c r="B62" s="1822"/>
      <c r="C62" s="1822"/>
      <c r="D62" s="1822"/>
      <c r="E62" s="1822"/>
      <c r="F62" s="1822"/>
      <c r="G62" s="1822"/>
      <c r="H62" s="1822"/>
      <c r="I62" s="1822"/>
      <c r="J62" s="1823"/>
      <c r="K62" s="31"/>
    </row>
    <row r="63" spans="1:33" ht="22.5" customHeight="1">
      <c r="A63" s="1824"/>
      <c r="B63" s="1825"/>
      <c r="C63" s="1825"/>
      <c r="D63" s="1825"/>
      <c r="E63" s="1825"/>
      <c r="F63" s="1825"/>
      <c r="G63" s="1825"/>
      <c r="H63" s="1825"/>
      <c r="I63" s="1825"/>
      <c r="J63" s="1826"/>
      <c r="K63" s="165"/>
    </row>
    <row r="64" spans="1:33" ht="27.75" customHeight="1" thickBot="1">
      <c r="A64" s="1142" t="s">
        <v>53</v>
      </c>
      <c r="B64" s="1142"/>
      <c r="C64" s="1142"/>
      <c r="D64" s="1142"/>
      <c r="E64" s="1142"/>
      <c r="F64" s="1142"/>
      <c r="G64" s="1142"/>
      <c r="H64" s="1142"/>
      <c r="I64" s="1142"/>
      <c r="J64" s="1142"/>
      <c r="K64" s="1142"/>
      <c r="L64" s="1142"/>
      <c r="M64" s="1142"/>
      <c r="N64" s="1142"/>
      <c r="O64" s="1142"/>
      <c r="P64" s="1142"/>
      <c r="Q64" s="1142"/>
      <c r="R64" s="1142"/>
      <c r="S64" s="1142"/>
      <c r="T64" s="1142"/>
      <c r="U64" s="1142"/>
      <c r="V64" s="1142"/>
      <c r="W64" s="1142"/>
      <c r="X64" s="1142"/>
      <c r="Y64" s="1142"/>
      <c r="Z64" s="1142"/>
      <c r="AA64" s="1142"/>
      <c r="AB64" s="1142"/>
      <c r="AC64" s="1142"/>
      <c r="AD64" s="1142"/>
      <c r="AE64" s="1142"/>
      <c r="AF64" s="31"/>
      <c r="AG64" s="31"/>
    </row>
    <row r="65" spans="1:33" ht="27.75" customHeight="1">
      <c r="A65" s="1732" t="s">
        <v>71</v>
      </c>
      <c r="B65" s="1685"/>
      <c r="C65" s="1686" t="s">
        <v>289</v>
      </c>
      <c r="D65" s="1685" t="str">
        <f>CONCATENATE("Valor nominal "," ","(",$I$16," )")</f>
        <v>Valor nominal  ( )</v>
      </c>
      <c r="E65" s="1685"/>
      <c r="F65" s="1685"/>
      <c r="G65" s="1685" t="s">
        <v>358</v>
      </c>
      <c r="H65" s="1706" t="str">
        <f>CONCATENATE("Indicacion del Instrumento "," ","(",$I$16," )")</f>
        <v>Indicacion del Instrumento  ( )</v>
      </c>
      <c r="I65" s="1707"/>
      <c r="J65" s="1707"/>
      <c r="K65" s="1708"/>
      <c r="L65" s="1685" t="str">
        <f>CONCATENATE("Retorno a Cero "," ","(",$I$16," )")</f>
        <v>Retorno a Cero  ( )</v>
      </c>
      <c r="M65" s="1685"/>
      <c r="N65" s="1685"/>
      <c r="O65" s="1738" t="s">
        <v>357</v>
      </c>
      <c r="P65" s="1738"/>
      <c r="Q65" s="1732" t="s">
        <v>71</v>
      </c>
      <c r="R65" s="1685"/>
      <c r="S65" s="1686" t="s">
        <v>289</v>
      </c>
      <c r="T65" s="1685" t="str">
        <f>CONCATENATE("Valor nominal "," ","(",$I$16," )")</f>
        <v>Valor nominal  ( )</v>
      </c>
      <c r="U65" s="1685"/>
      <c r="V65" s="1685"/>
      <c r="W65" s="1685" t="s">
        <v>358</v>
      </c>
      <c r="X65" s="1706" t="str">
        <f>CONCATENATE("Indicacion del Instrumento "," ","(",$I$16," )")</f>
        <v>Indicacion del Instrumento  ( )</v>
      </c>
      <c r="Y65" s="1707"/>
      <c r="Z65" s="1707"/>
      <c r="AA65" s="1708"/>
      <c r="AB65" s="1685" t="str">
        <f>CONCATENATE("Retorno a Cero "," ","(",$I$16," )")</f>
        <v>Retorno a Cero  ( )</v>
      </c>
      <c r="AC65" s="1685"/>
      <c r="AD65" s="1685"/>
      <c r="AE65" s="1763" t="s">
        <v>357</v>
      </c>
      <c r="AF65" s="31"/>
      <c r="AG65" s="31"/>
    </row>
    <row r="66" spans="1:33" ht="27.75" customHeight="1" thickBot="1">
      <c r="A66" s="1732"/>
      <c r="B66" s="1685"/>
      <c r="C66" s="1733"/>
      <c r="D66" s="1686"/>
      <c r="E66" s="1686"/>
      <c r="F66" s="1686"/>
      <c r="G66" s="1685"/>
      <c r="H66" s="1734"/>
      <c r="I66" s="1735"/>
      <c r="J66" s="1735"/>
      <c r="K66" s="1736"/>
      <c r="L66" s="1685"/>
      <c r="M66" s="1685"/>
      <c r="N66" s="1685"/>
      <c r="O66" s="1738"/>
      <c r="P66" s="1738"/>
      <c r="Q66" s="1732"/>
      <c r="R66" s="1685"/>
      <c r="S66" s="1733"/>
      <c r="T66" s="1686"/>
      <c r="U66" s="1686"/>
      <c r="V66" s="1686"/>
      <c r="W66" s="1685"/>
      <c r="X66" s="1734"/>
      <c r="Y66" s="1735"/>
      <c r="Z66" s="1735"/>
      <c r="AA66" s="1736"/>
      <c r="AB66" s="1685"/>
      <c r="AC66" s="1685"/>
      <c r="AD66" s="1685"/>
      <c r="AE66" s="1764"/>
      <c r="AF66" s="31"/>
      <c r="AG66" s="31"/>
    </row>
    <row r="67" spans="1:33" ht="27.75" customHeight="1" thickBot="1">
      <c r="A67" s="1703">
        <v>1</v>
      </c>
      <c r="B67" s="1704"/>
      <c r="C67" s="100"/>
      <c r="D67" s="1717"/>
      <c r="E67" s="1718"/>
      <c r="F67" s="98"/>
      <c r="G67" s="119">
        <f>IF(ISBLANK(O67),0,Calculos!E44)</f>
        <v>0</v>
      </c>
      <c r="H67" s="79"/>
      <c r="I67" s="80"/>
      <c r="J67" s="80"/>
      <c r="K67" s="81"/>
      <c r="L67" s="1770"/>
      <c r="M67" s="1767"/>
      <c r="N67" s="1767"/>
      <c r="O67" s="1814"/>
      <c r="P67" s="1815"/>
      <c r="Q67" s="1704">
        <v>2</v>
      </c>
      <c r="R67" s="1704"/>
      <c r="S67" s="100"/>
      <c r="T67" s="1715"/>
      <c r="U67" s="1716"/>
      <c r="V67" s="98"/>
      <c r="W67" s="187">
        <f>IF(ISBLANK(AE67),0,Calculos!E19)</f>
        <v>0</v>
      </c>
      <c r="X67" s="77"/>
      <c r="Y67" s="78"/>
      <c r="Z67" s="78"/>
      <c r="AA67" s="78"/>
      <c r="AB67" s="1745"/>
      <c r="AC67" s="1745"/>
      <c r="AD67" s="1745"/>
      <c r="AE67" s="180"/>
      <c r="AF67" s="31"/>
      <c r="AG67" s="31"/>
    </row>
    <row r="68" spans="1:33" ht="27.75" customHeight="1" thickBot="1">
      <c r="A68" s="1769"/>
      <c r="B68" s="1712"/>
      <c r="C68" s="100"/>
      <c r="D68" s="1717"/>
      <c r="E68" s="1718"/>
      <c r="F68" s="98"/>
      <c r="G68" s="119">
        <f>IF(ISBLANK(O68),0,Calculos!E45)</f>
        <v>0</v>
      </c>
      <c r="H68" s="79"/>
      <c r="I68" s="80"/>
      <c r="J68" s="80"/>
      <c r="K68" s="81"/>
      <c r="L68" s="1771"/>
      <c r="M68" s="1768"/>
      <c r="N68" s="1768"/>
      <c r="O68" s="1742"/>
      <c r="P68" s="1743"/>
      <c r="Q68" s="1712"/>
      <c r="R68" s="1712"/>
      <c r="S68" s="100"/>
      <c r="T68" s="1717"/>
      <c r="U68" s="1718"/>
      <c r="V68" s="98"/>
      <c r="W68" s="187">
        <f>IF(ISBLANK(AE68),0,Calculos!E20)</f>
        <v>0</v>
      </c>
      <c r="X68" s="79"/>
      <c r="Y68" s="80"/>
      <c r="Z68" s="80"/>
      <c r="AA68" s="80"/>
      <c r="AB68" s="1745"/>
      <c r="AC68" s="1745"/>
      <c r="AD68" s="1745"/>
      <c r="AE68" s="180"/>
      <c r="AF68" s="31"/>
      <c r="AG68" s="31"/>
    </row>
    <row r="69" spans="1:33" ht="27.75" customHeight="1" thickBot="1">
      <c r="A69" s="1769"/>
      <c r="B69" s="1712"/>
      <c r="C69" s="100"/>
      <c r="D69" s="1717"/>
      <c r="E69" s="1718"/>
      <c r="F69" s="98"/>
      <c r="G69" s="119">
        <f>IF(ISBLANK(O69),0,Calculos!E46)</f>
        <v>0</v>
      </c>
      <c r="H69" s="79"/>
      <c r="I69" s="80"/>
      <c r="J69" s="80"/>
      <c r="K69" s="81"/>
      <c r="L69" s="1771"/>
      <c r="M69" s="1768"/>
      <c r="N69" s="1768"/>
      <c r="O69" s="1742"/>
      <c r="P69" s="1743"/>
      <c r="Q69" s="1712"/>
      <c r="R69" s="1712"/>
      <c r="S69" s="100"/>
      <c r="T69" s="1717"/>
      <c r="U69" s="1718"/>
      <c r="V69" s="98"/>
      <c r="W69" s="187">
        <f>IF(ISBLANK(AE69),0,Calculos!E21)</f>
        <v>0</v>
      </c>
      <c r="X69" s="79"/>
      <c r="Y69" s="80"/>
      <c r="Z69" s="80"/>
      <c r="AA69" s="80"/>
      <c r="AB69" s="1745"/>
      <c r="AC69" s="1745"/>
      <c r="AD69" s="1745"/>
      <c r="AE69" s="180"/>
      <c r="AF69" s="31"/>
      <c r="AG69" s="31"/>
    </row>
    <row r="70" spans="1:33" ht="27.75" customHeight="1" thickBot="1">
      <c r="A70" s="1769"/>
      <c r="B70" s="1712"/>
      <c r="C70" s="100"/>
      <c r="D70" s="1717"/>
      <c r="E70" s="1718"/>
      <c r="F70" s="98"/>
      <c r="G70" s="119">
        <f>IF(ISBLANK(O70),0,Calculos!E47)</f>
        <v>0</v>
      </c>
      <c r="H70" s="79"/>
      <c r="I70" s="80"/>
      <c r="J70" s="80"/>
      <c r="K70" s="81"/>
      <c r="L70" s="1772"/>
      <c r="M70" s="1773"/>
      <c r="N70" s="1773"/>
      <c r="O70" s="1742"/>
      <c r="P70" s="1743"/>
      <c r="Q70" s="1712"/>
      <c r="R70" s="1712"/>
      <c r="S70" s="100"/>
      <c r="T70" s="1717"/>
      <c r="U70" s="1718"/>
      <c r="V70" s="98"/>
      <c r="W70" s="187">
        <f>IF(ISBLANK(AE70),0,Calculos!E22)</f>
        <v>0</v>
      </c>
      <c r="X70" s="79"/>
      <c r="Y70" s="80"/>
      <c r="Z70" s="80"/>
      <c r="AA70" s="80"/>
      <c r="AB70" s="1762"/>
      <c r="AC70" s="1762"/>
      <c r="AD70" s="1762"/>
      <c r="AE70" s="180"/>
      <c r="AF70" s="31"/>
      <c r="AG70" s="31"/>
    </row>
    <row r="71" spans="1:33" ht="27.75" customHeight="1" thickBot="1">
      <c r="A71" s="1766"/>
      <c r="B71" s="1714"/>
      <c r="C71" s="55" t="s">
        <v>295</v>
      </c>
      <c r="D71" s="1751" t="str">
        <f>IF(COUNT(D67:E70)=0,"",D67+D68+D69+D70)</f>
        <v/>
      </c>
      <c r="E71" s="1752"/>
      <c r="F71" s="120"/>
      <c r="G71" s="121">
        <f>IF(COUNT(G67:G70)=0,"",G67+G68+G69+G70)</f>
        <v>0</v>
      </c>
      <c r="H71" s="1744"/>
      <c r="I71" s="1744"/>
      <c r="J71" s="1744"/>
      <c r="K71" s="1744"/>
      <c r="L71" s="1744">
        <v>0</v>
      </c>
      <c r="M71" s="1744"/>
      <c r="N71" s="1715"/>
      <c r="O71" s="1742"/>
      <c r="P71" s="1743"/>
      <c r="Q71" s="1713"/>
      <c r="R71" s="1714"/>
      <c r="S71" s="55" t="s">
        <v>295</v>
      </c>
      <c r="T71" s="1751" t="str">
        <f>IF(COUNT(T67:U70)=0,"",T67+T68+T69+T70)</f>
        <v/>
      </c>
      <c r="U71" s="1752"/>
      <c r="V71" s="181"/>
      <c r="W71" s="182">
        <f>IF(COUNT(W67:W70)=0,"",W67+W68+W69+W70)</f>
        <v>0</v>
      </c>
      <c r="X71" s="1744"/>
      <c r="Y71" s="1744"/>
      <c r="Z71" s="1744"/>
      <c r="AA71" s="1744"/>
      <c r="AB71" s="1744">
        <v>0</v>
      </c>
      <c r="AC71" s="1744"/>
      <c r="AD71" s="1715"/>
      <c r="AE71" s="189"/>
      <c r="AF71" s="31"/>
      <c r="AG71" s="31"/>
    </row>
    <row r="72" spans="1:33" ht="27.75" customHeight="1" thickBot="1">
      <c r="A72" s="1703">
        <v>3</v>
      </c>
      <c r="B72" s="1704"/>
      <c r="C72" s="100"/>
      <c r="D72" s="1717"/>
      <c r="E72" s="1718"/>
      <c r="F72" s="98"/>
      <c r="G72" s="119">
        <f>IF(ISBLANK(O72),0,Calculos!E49)</f>
        <v>0</v>
      </c>
      <c r="H72" s="79"/>
      <c r="I72" s="80"/>
      <c r="J72" s="80"/>
      <c r="K72" s="81"/>
      <c r="L72" s="1770"/>
      <c r="M72" s="1767"/>
      <c r="N72" s="1767"/>
      <c r="O72" s="1742"/>
      <c r="P72" s="1743"/>
      <c r="Q72" s="1704">
        <v>4</v>
      </c>
      <c r="R72" s="1704"/>
      <c r="S72" s="100"/>
      <c r="T72" s="1715"/>
      <c r="U72" s="1760"/>
      <c r="V72" s="98"/>
      <c r="W72" s="200">
        <f>IF(ISBLANK(AE72),0,Calculos!E24)</f>
        <v>0</v>
      </c>
      <c r="X72" s="80"/>
      <c r="Y72" s="80"/>
      <c r="Z72" s="80"/>
      <c r="AA72" s="80"/>
      <c r="AB72" s="1761"/>
      <c r="AC72" s="1761"/>
      <c r="AD72" s="1761"/>
      <c r="AE72" s="180"/>
      <c r="AF72" s="31"/>
      <c r="AG72" s="31"/>
    </row>
    <row r="73" spans="1:33" ht="27.75" customHeight="1" thickBot="1">
      <c r="A73" s="1769"/>
      <c r="B73" s="1712"/>
      <c r="C73" s="100"/>
      <c r="D73" s="1717"/>
      <c r="E73" s="1718"/>
      <c r="F73" s="98"/>
      <c r="G73" s="119">
        <f>IF(ISBLANK(O73),0,Calculos!E50)</f>
        <v>0</v>
      </c>
      <c r="H73" s="79"/>
      <c r="I73" s="80"/>
      <c r="J73" s="80"/>
      <c r="K73" s="81"/>
      <c r="L73" s="1771"/>
      <c r="M73" s="1768"/>
      <c r="N73" s="1768"/>
      <c r="O73" s="1742"/>
      <c r="P73" s="1743"/>
      <c r="Q73" s="1712"/>
      <c r="R73" s="1712"/>
      <c r="S73" s="100"/>
      <c r="T73" s="1717"/>
      <c r="U73" s="1718"/>
      <c r="V73" s="183"/>
      <c r="W73" s="186">
        <f>IF(ISBLANK(AE73),0,Calculos!E25)</f>
        <v>0</v>
      </c>
      <c r="X73" s="79"/>
      <c r="Y73" s="80"/>
      <c r="Z73" s="80"/>
      <c r="AA73" s="80"/>
      <c r="AB73" s="1745"/>
      <c r="AC73" s="1745"/>
      <c r="AD73" s="1745"/>
      <c r="AE73" s="180"/>
      <c r="AF73" s="31"/>
      <c r="AG73" s="31"/>
    </row>
    <row r="74" spans="1:33" ht="27.75" customHeight="1" thickBot="1">
      <c r="A74" s="1769"/>
      <c r="B74" s="1712"/>
      <c r="C74" s="100"/>
      <c r="D74" s="1717"/>
      <c r="E74" s="1718"/>
      <c r="F74" s="98"/>
      <c r="G74" s="119">
        <f>IF(ISBLANK(O74),0,Calculos!E51)</f>
        <v>0</v>
      </c>
      <c r="H74" s="79"/>
      <c r="I74" s="80"/>
      <c r="J74" s="80"/>
      <c r="K74" s="81"/>
      <c r="L74" s="1771"/>
      <c r="M74" s="1768"/>
      <c r="N74" s="1768"/>
      <c r="O74" s="1742"/>
      <c r="P74" s="1743"/>
      <c r="Q74" s="1712"/>
      <c r="R74" s="1712"/>
      <c r="S74" s="100"/>
      <c r="T74" s="1717"/>
      <c r="U74" s="1718"/>
      <c r="V74" s="98"/>
      <c r="W74" s="187">
        <f>IF(ISBLANK(AE74),0,Calculos!E26)</f>
        <v>0</v>
      </c>
      <c r="X74" s="79"/>
      <c r="Y74" s="80"/>
      <c r="Z74" s="80"/>
      <c r="AA74" s="80"/>
      <c r="AB74" s="1745"/>
      <c r="AC74" s="1745"/>
      <c r="AD74" s="1745"/>
      <c r="AE74" s="180"/>
      <c r="AF74" s="31"/>
      <c r="AG74" s="31"/>
    </row>
    <row r="75" spans="1:33" ht="27.75" customHeight="1" thickBot="1">
      <c r="A75" s="1769"/>
      <c r="B75" s="1712"/>
      <c r="C75" s="100"/>
      <c r="D75" s="1717"/>
      <c r="E75" s="1718"/>
      <c r="F75" s="98"/>
      <c r="G75" s="119">
        <f>IF(ISBLANK(O75),0,Calculos!E52)</f>
        <v>0</v>
      </c>
      <c r="H75" s="79"/>
      <c r="I75" s="80"/>
      <c r="J75" s="80"/>
      <c r="K75" s="81"/>
      <c r="L75" s="1772"/>
      <c r="M75" s="1773"/>
      <c r="N75" s="1773"/>
      <c r="O75" s="1742"/>
      <c r="P75" s="1743"/>
      <c r="Q75" s="1712"/>
      <c r="R75" s="1712"/>
      <c r="S75" s="100"/>
      <c r="T75" s="1717"/>
      <c r="U75" s="1718"/>
      <c r="V75" s="98"/>
      <c r="W75" s="187">
        <f>IF(ISBLANK(AE75),0,Calculos!E27)</f>
        <v>0</v>
      </c>
      <c r="X75" s="79"/>
      <c r="Y75" s="80"/>
      <c r="Z75" s="80"/>
      <c r="AA75" s="80"/>
      <c r="AB75" s="1745"/>
      <c r="AC75" s="1745"/>
      <c r="AD75" s="1745"/>
      <c r="AE75" s="180"/>
      <c r="AF75" s="31"/>
      <c r="AG75" s="31"/>
    </row>
    <row r="76" spans="1:33" ht="27.75" customHeight="1" thickBot="1">
      <c r="A76" s="1766"/>
      <c r="B76" s="1714"/>
      <c r="C76" s="55" t="s">
        <v>295</v>
      </c>
      <c r="D76" s="1751" t="str">
        <f>IF(COUNT(D72:E75)=0,"",D72+D73+D74+D75)</f>
        <v/>
      </c>
      <c r="E76" s="1752"/>
      <c r="F76" s="120"/>
      <c r="G76" s="121">
        <f>IF(COUNT(G72:G75)=0,"",G72+G73+G74+G75)</f>
        <v>0</v>
      </c>
      <c r="H76" s="1744"/>
      <c r="I76" s="1744"/>
      <c r="J76" s="1744"/>
      <c r="K76" s="1744"/>
      <c r="L76" s="1744">
        <v>0</v>
      </c>
      <c r="M76" s="1744"/>
      <c r="N76" s="1715"/>
      <c r="O76" s="1753"/>
      <c r="P76" s="1754"/>
      <c r="Q76" s="1713"/>
      <c r="R76" s="1714"/>
      <c r="S76" s="55" t="s">
        <v>295</v>
      </c>
      <c r="T76" s="1751" t="str">
        <f>IF(COUNT(T72:U75)=0,"",T72+T73+T74+T75)</f>
        <v/>
      </c>
      <c r="U76" s="1752"/>
      <c r="V76" s="120"/>
      <c r="W76" s="121">
        <f>IF(COUNT(W72:W75)=0,"",W72+W73+W74+W75)</f>
        <v>0</v>
      </c>
      <c r="X76" s="1744"/>
      <c r="Y76" s="1744"/>
      <c r="Z76" s="1744"/>
      <c r="AA76" s="1744"/>
      <c r="AB76" s="1744">
        <v>0</v>
      </c>
      <c r="AC76" s="1744"/>
      <c r="AD76" s="1715"/>
      <c r="AE76" s="189"/>
      <c r="AF76" s="31"/>
      <c r="AG76" s="31"/>
    </row>
    <row r="77" spans="1:33" ht="27.75" customHeight="1" thickBot="1">
      <c r="A77" s="1703">
        <v>5</v>
      </c>
      <c r="B77" s="1704"/>
      <c r="C77" s="100"/>
      <c r="D77" s="1717"/>
      <c r="E77" s="1718"/>
      <c r="F77" s="98"/>
      <c r="G77" s="119">
        <f>IF(ISBLANK(O77),0,Calculos!E54)</f>
        <v>0</v>
      </c>
      <c r="H77" s="79"/>
      <c r="I77" s="80"/>
      <c r="J77" s="80"/>
      <c r="K77" s="81"/>
      <c r="L77" s="1770"/>
      <c r="M77" s="1767"/>
      <c r="N77" s="1767"/>
      <c r="O77" s="1742"/>
      <c r="P77" s="1743"/>
      <c r="Q77" s="1704">
        <v>6</v>
      </c>
      <c r="R77" s="1704"/>
      <c r="S77" s="100"/>
      <c r="T77" s="1715"/>
      <c r="U77" s="1716"/>
      <c r="V77" s="98"/>
      <c r="W77" s="187">
        <f>IF(ISBLANK(AE77),0,Calculos!E29)</f>
        <v>0</v>
      </c>
      <c r="X77" s="79"/>
      <c r="Y77" s="80"/>
      <c r="Z77" s="80"/>
      <c r="AA77" s="80"/>
      <c r="AB77" s="1745"/>
      <c r="AC77" s="1745"/>
      <c r="AD77" s="1745"/>
      <c r="AE77" s="184"/>
      <c r="AF77" s="31"/>
      <c r="AG77" s="31"/>
    </row>
    <row r="78" spans="1:33" ht="27.75" customHeight="1" thickBot="1">
      <c r="A78" s="1769"/>
      <c r="B78" s="1712"/>
      <c r="C78" s="100"/>
      <c r="D78" s="1717"/>
      <c r="E78" s="1718"/>
      <c r="F78" s="98"/>
      <c r="G78" s="119">
        <f>IF(ISBLANK(O78),0,Calculos!E55)</f>
        <v>0</v>
      </c>
      <c r="H78" s="79"/>
      <c r="I78" s="80"/>
      <c r="J78" s="80"/>
      <c r="K78" s="81"/>
      <c r="L78" s="1771"/>
      <c r="M78" s="1768"/>
      <c r="N78" s="1768"/>
      <c r="O78" s="1742"/>
      <c r="P78" s="1743"/>
      <c r="Q78" s="1712"/>
      <c r="R78" s="1712"/>
      <c r="S78" s="100"/>
      <c r="T78" s="1715"/>
      <c r="U78" s="1716"/>
      <c r="V78" s="98"/>
      <c r="W78" s="187">
        <f>IF(ISBLANK(AE78),0,Calculos!E30)</f>
        <v>0</v>
      </c>
      <c r="X78" s="79"/>
      <c r="Y78" s="80"/>
      <c r="Z78" s="80"/>
      <c r="AA78" s="80"/>
      <c r="AB78" s="1745"/>
      <c r="AC78" s="1745"/>
      <c r="AD78" s="1745"/>
      <c r="AE78" s="184"/>
      <c r="AF78" s="31"/>
      <c r="AG78" s="31"/>
    </row>
    <row r="79" spans="1:33" ht="27.75" customHeight="1" thickBot="1">
      <c r="A79" s="1769"/>
      <c r="B79" s="1712"/>
      <c r="C79" s="100"/>
      <c r="D79" s="1717"/>
      <c r="E79" s="1718"/>
      <c r="F79" s="98"/>
      <c r="G79" s="119">
        <f>IF(ISBLANK(O79),0,Calculos!E56)</f>
        <v>0</v>
      </c>
      <c r="H79" s="79"/>
      <c r="I79" s="80"/>
      <c r="J79" s="80"/>
      <c r="K79" s="81"/>
      <c r="L79" s="1771"/>
      <c r="M79" s="1768"/>
      <c r="N79" s="1768"/>
      <c r="O79" s="1742"/>
      <c r="P79" s="1743"/>
      <c r="Q79" s="1712"/>
      <c r="R79" s="1712"/>
      <c r="S79" s="100"/>
      <c r="T79" s="1717"/>
      <c r="U79" s="1718"/>
      <c r="V79" s="98"/>
      <c r="W79" s="187">
        <f>IF(ISBLANK(AE79),0,Calculos!E31)</f>
        <v>0</v>
      </c>
      <c r="X79" s="79"/>
      <c r="Y79" s="80"/>
      <c r="Z79" s="80"/>
      <c r="AA79" s="80"/>
      <c r="AB79" s="1745"/>
      <c r="AC79" s="1745"/>
      <c r="AD79" s="1745"/>
      <c r="AE79" s="184"/>
      <c r="AF79" s="31"/>
      <c r="AG79" s="31"/>
    </row>
    <row r="80" spans="1:33" ht="27.75" customHeight="1" thickBot="1">
      <c r="A80" s="1769"/>
      <c r="B80" s="1712"/>
      <c r="C80" s="100"/>
      <c r="D80" s="1717"/>
      <c r="E80" s="1718"/>
      <c r="F80" s="98"/>
      <c r="G80" s="119">
        <f>IF(ISBLANK(O80),0,Calculos!E57)</f>
        <v>0</v>
      </c>
      <c r="H80" s="79"/>
      <c r="I80" s="80"/>
      <c r="J80" s="80"/>
      <c r="K80" s="81"/>
      <c r="L80" s="1772"/>
      <c r="M80" s="1773"/>
      <c r="N80" s="1773"/>
      <c r="O80" s="1742"/>
      <c r="P80" s="1743"/>
      <c r="Q80" s="1712"/>
      <c r="R80" s="1712"/>
      <c r="S80" s="100"/>
      <c r="T80" s="1717"/>
      <c r="U80" s="1718"/>
      <c r="V80" s="98"/>
      <c r="W80" s="187">
        <f>IF(ISBLANK(AE80),0,Calculos!E32)</f>
        <v>0</v>
      </c>
      <c r="X80" s="79"/>
      <c r="Y80" s="80"/>
      <c r="Z80" s="80"/>
      <c r="AA80" s="80"/>
      <c r="AB80" s="1745"/>
      <c r="AC80" s="1745"/>
      <c r="AD80" s="1745"/>
      <c r="AE80" s="184"/>
      <c r="AF80" s="31"/>
      <c r="AG80" s="31"/>
    </row>
    <row r="81" spans="1:33" ht="27.75" customHeight="1" thickBot="1">
      <c r="A81" s="1766"/>
      <c r="B81" s="1714"/>
      <c r="C81" s="55" t="s">
        <v>295</v>
      </c>
      <c r="D81" s="1751" t="str">
        <f>IF(COUNT(D77:E80)=0,"",D77+D78+D79+D80)</f>
        <v/>
      </c>
      <c r="E81" s="1752"/>
      <c r="F81" s="120"/>
      <c r="G81" s="121">
        <f>IF(COUNT(G77:G80)=0,"",G77+G78+G79+G80)</f>
        <v>0</v>
      </c>
      <c r="H81" s="1744"/>
      <c r="I81" s="1744"/>
      <c r="J81" s="1744"/>
      <c r="K81" s="1744"/>
      <c r="L81" s="1744">
        <v>0</v>
      </c>
      <c r="M81" s="1744"/>
      <c r="N81" s="1715"/>
      <c r="O81" s="1742"/>
      <c r="P81" s="1743"/>
      <c r="Q81" s="1713"/>
      <c r="R81" s="1714"/>
      <c r="S81" s="55" t="s">
        <v>295</v>
      </c>
      <c r="T81" s="1751" t="str">
        <f>IF(COUNT(T77:U80)=0,"",T77+T78+T79+T80)</f>
        <v/>
      </c>
      <c r="U81" s="1752"/>
      <c r="V81" s="120"/>
      <c r="W81" s="121">
        <f>IF(COUNT(W77:W80)=0,"",W77+W78+W79+W80)</f>
        <v>0</v>
      </c>
      <c r="X81" s="1744"/>
      <c r="Y81" s="1744"/>
      <c r="Z81" s="1744"/>
      <c r="AA81" s="1744"/>
      <c r="AB81" s="1744">
        <v>0</v>
      </c>
      <c r="AC81" s="1744"/>
      <c r="AD81" s="1715"/>
      <c r="AE81" s="189"/>
      <c r="AF81" s="31"/>
      <c r="AG81" s="31"/>
    </row>
    <row r="82" spans="1:33" ht="27.75" customHeight="1" thickBot="1">
      <c r="A82" s="1703">
        <v>7</v>
      </c>
      <c r="B82" s="1704"/>
      <c r="C82" s="100"/>
      <c r="D82" s="1717"/>
      <c r="E82" s="1718"/>
      <c r="F82" s="98"/>
      <c r="G82" s="119">
        <f>IF(ISBLANK(O82),0,Calculos!E59)</f>
        <v>0</v>
      </c>
      <c r="H82" s="79"/>
      <c r="I82" s="80"/>
      <c r="J82" s="80"/>
      <c r="K82" s="81"/>
      <c r="L82" s="1770"/>
      <c r="M82" s="1767"/>
      <c r="N82" s="1767"/>
      <c r="O82" s="1742"/>
      <c r="P82" s="1743"/>
      <c r="Q82" s="1704">
        <v>8</v>
      </c>
      <c r="R82" s="1704"/>
      <c r="S82" s="100"/>
      <c r="T82" s="1717"/>
      <c r="U82" s="1718"/>
      <c r="V82" s="98"/>
      <c r="W82" s="187">
        <f>IF(ISBLANK(AE82),0,Calculos!E34)</f>
        <v>0</v>
      </c>
      <c r="X82" s="79"/>
      <c r="Y82" s="80"/>
      <c r="Z82" s="80"/>
      <c r="AA82" s="80"/>
      <c r="AB82" s="1745"/>
      <c r="AC82" s="1745"/>
      <c r="AD82" s="1745"/>
      <c r="AE82" s="184"/>
      <c r="AF82" s="31"/>
      <c r="AG82" s="31"/>
    </row>
    <row r="83" spans="1:33" ht="27.75" customHeight="1" thickBot="1">
      <c r="A83" s="1769"/>
      <c r="B83" s="1712"/>
      <c r="C83" s="100"/>
      <c r="D83" s="1717"/>
      <c r="E83" s="1718"/>
      <c r="F83" s="98"/>
      <c r="G83" s="119">
        <f>IF(ISBLANK(O83),0,Calculos!E60)</f>
        <v>0</v>
      </c>
      <c r="H83" s="79"/>
      <c r="I83" s="80"/>
      <c r="J83" s="80"/>
      <c r="K83" s="81"/>
      <c r="L83" s="1771"/>
      <c r="M83" s="1768"/>
      <c r="N83" s="1768"/>
      <c r="O83" s="1742"/>
      <c r="P83" s="1743"/>
      <c r="Q83" s="1712"/>
      <c r="R83" s="1712"/>
      <c r="S83" s="100"/>
      <c r="T83" s="1717"/>
      <c r="U83" s="1718"/>
      <c r="V83" s="98"/>
      <c r="W83" s="187">
        <f>IF(ISBLANK(AE83),0,Calculos!E35)</f>
        <v>0</v>
      </c>
      <c r="X83" s="79"/>
      <c r="Y83" s="80"/>
      <c r="Z83" s="80"/>
      <c r="AA83" s="80"/>
      <c r="AB83" s="1745"/>
      <c r="AC83" s="1745"/>
      <c r="AD83" s="1745"/>
      <c r="AE83" s="184"/>
      <c r="AF83" s="31"/>
      <c r="AG83" s="31"/>
    </row>
    <row r="84" spans="1:33" ht="27.75" customHeight="1" thickBot="1">
      <c r="A84" s="1769"/>
      <c r="B84" s="1712"/>
      <c r="C84" s="100"/>
      <c r="D84" s="1717"/>
      <c r="E84" s="1718"/>
      <c r="F84" s="98"/>
      <c r="G84" s="119">
        <f>IF(ISBLANK(O84),0,Calculos!E61)</f>
        <v>0</v>
      </c>
      <c r="H84" s="79"/>
      <c r="I84" s="80"/>
      <c r="J84" s="80"/>
      <c r="K84" s="81"/>
      <c r="L84" s="1771"/>
      <c r="M84" s="1768"/>
      <c r="N84" s="1768"/>
      <c r="O84" s="1742"/>
      <c r="P84" s="1743"/>
      <c r="Q84" s="1712"/>
      <c r="R84" s="1712"/>
      <c r="S84" s="100"/>
      <c r="T84" s="1717"/>
      <c r="U84" s="1718"/>
      <c r="V84" s="98"/>
      <c r="W84" s="187">
        <f>IF(ISBLANK(AE84),0,Calculos!E36)</f>
        <v>0</v>
      </c>
      <c r="X84" s="79"/>
      <c r="Y84" s="80"/>
      <c r="Z84" s="80"/>
      <c r="AA84" s="80"/>
      <c r="AB84" s="1745"/>
      <c r="AC84" s="1745"/>
      <c r="AD84" s="1745"/>
      <c r="AE84" s="184"/>
      <c r="AF84" s="31"/>
      <c r="AG84" s="31"/>
    </row>
    <row r="85" spans="1:33" ht="27.75" customHeight="1" thickBot="1">
      <c r="A85" s="1769"/>
      <c r="B85" s="1712"/>
      <c r="C85" s="100"/>
      <c r="D85" s="1717"/>
      <c r="E85" s="1718"/>
      <c r="F85" s="98"/>
      <c r="G85" s="119">
        <f>IF(ISBLANK(O85),0,Calculos!E62)</f>
        <v>0</v>
      </c>
      <c r="H85" s="79"/>
      <c r="I85" s="80"/>
      <c r="J85" s="80"/>
      <c r="K85" s="81"/>
      <c r="L85" s="1772"/>
      <c r="M85" s="1773"/>
      <c r="N85" s="1773"/>
      <c r="O85" s="1742"/>
      <c r="P85" s="1743"/>
      <c r="Q85" s="1712"/>
      <c r="R85" s="1712"/>
      <c r="S85" s="100"/>
      <c r="T85" s="1717"/>
      <c r="U85" s="1718"/>
      <c r="V85" s="98"/>
      <c r="W85" s="187">
        <f>IF(ISBLANK(AE85),0,Calculos!E37)</f>
        <v>0</v>
      </c>
      <c r="X85" s="79"/>
      <c r="Y85" s="80"/>
      <c r="Z85" s="80"/>
      <c r="AA85" s="80"/>
      <c r="AB85" s="1745"/>
      <c r="AC85" s="1745"/>
      <c r="AD85" s="1745"/>
      <c r="AE85" s="184"/>
      <c r="AF85" s="31"/>
      <c r="AG85" s="31"/>
    </row>
    <row r="86" spans="1:33" ht="27.75" customHeight="1" thickBot="1">
      <c r="A86" s="1766"/>
      <c r="B86" s="1714"/>
      <c r="C86" s="55" t="s">
        <v>295</v>
      </c>
      <c r="D86" s="1751" t="str">
        <f>IF(COUNT(D82:E85)=0,"",D82+D83+D84+D85)</f>
        <v/>
      </c>
      <c r="E86" s="1752"/>
      <c r="F86" s="120"/>
      <c r="G86" s="121">
        <f>IF(COUNT(G82:G85)=0,"",G82+G83+G84+G85)</f>
        <v>0</v>
      </c>
      <c r="H86" s="1744"/>
      <c r="I86" s="1744"/>
      <c r="J86" s="1744"/>
      <c r="K86" s="1744"/>
      <c r="L86" s="1744">
        <v>0</v>
      </c>
      <c r="M86" s="1744"/>
      <c r="N86" s="1715"/>
      <c r="O86" s="1742"/>
      <c r="P86" s="1743"/>
      <c r="Q86" s="1713"/>
      <c r="R86" s="1714"/>
      <c r="S86" s="55" t="s">
        <v>295</v>
      </c>
      <c r="T86" s="1751" t="str">
        <f>IF(COUNT(T82:U85)=0,"",T82+T83+T84+T85)</f>
        <v/>
      </c>
      <c r="U86" s="1752"/>
      <c r="V86" s="120"/>
      <c r="W86" s="121">
        <f>IF(COUNT(W82:W85)=0,"",W82+W83+W84+W85)</f>
        <v>0</v>
      </c>
      <c r="X86" s="1744"/>
      <c r="Y86" s="1744"/>
      <c r="Z86" s="1744"/>
      <c r="AA86" s="1744"/>
      <c r="AB86" s="1744">
        <v>0</v>
      </c>
      <c r="AC86" s="1744"/>
      <c r="AD86" s="1715"/>
      <c r="AE86" s="189"/>
      <c r="AF86" s="31"/>
      <c r="AG86" s="31"/>
    </row>
    <row r="87" spans="1:33" ht="27.75" customHeight="1" thickBot="1">
      <c r="A87" s="1703">
        <v>9</v>
      </c>
      <c r="B87" s="1704"/>
      <c r="C87" s="100"/>
      <c r="D87" s="1717"/>
      <c r="E87" s="1718"/>
      <c r="F87" s="98"/>
      <c r="G87" s="119">
        <f>IF(ISBLANK(O87),0,Calculos!E64)</f>
        <v>0</v>
      </c>
      <c r="H87" s="79"/>
      <c r="I87" s="80"/>
      <c r="J87" s="80"/>
      <c r="K87" s="81"/>
      <c r="L87" s="1770"/>
      <c r="M87" s="1767"/>
      <c r="N87" s="1767"/>
      <c r="O87" s="1742"/>
      <c r="P87" s="1743"/>
      <c r="Q87" s="1704">
        <v>10</v>
      </c>
      <c r="R87" s="1704"/>
      <c r="S87" s="100"/>
      <c r="T87" s="1717"/>
      <c r="U87" s="1718"/>
      <c r="V87" s="98"/>
      <c r="W87" s="119">
        <f>IF(ISBLANK(AE87),0,Calculos!E39)</f>
        <v>0</v>
      </c>
      <c r="X87" s="79"/>
      <c r="Y87" s="80"/>
      <c r="Z87" s="80"/>
      <c r="AA87" s="81"/>
      <c r="AB87" s="1767"/>
      <c r="AC87" s="1767"/>
      <c r="AD87" s="1767"/>
      <c r="AE87" s="138"/>
      <c r="AF87" s="31"/>
      <c r="AG87" s="31"/>
    </row>
    <row r="88" spans="1:33" ht="27.75" customHeight="1" thickBot="1">
      <c r="A88" s="1769"/>
      <c r="B88" s="1712"/>
      <c r="C88" s="100"/>
      <c r="D88" s="1717"/>
      <c r="E88" s="1718"/>
      <c r="F88" s="98"/>
      <c r="G88" s="119">
        <f>IF(ISBLANK(O88),0,Calculos!E65)</f>
        <v>0</v>
      </c>
      <c r="H88" s="79"/>
      <c r="I88" s="80"/>
      <c r="J88" s="80"/>
      <c r="K88" s="81"/>
      <c r="L88" s="1771"/>
      <c r="M88" s="1768"/>
      <c r="N88" s="1768"/>
      <c r="O88" s="1742"/>
      <c r="P88" s="1743"/>
      <c r="Q88" s="1712"/>
      <c r="R88" s="1712"/>
      <c r="S88" s="100"/>
      <c r="T88" s="1717"/>
      <c r="U88" s="1718"/>
      <c r="V88" s="98"/>
      <c r="W88" s="119">
        <f>IF(ISBLANK(AE88),0,Calculos!E40)</f>
        <v>0</v>
      </c>
      <c r="X88" s="79"/>
      <c r="Y88" s="80"/>
      <c r="Z88" s="80"/>
      <c r="AA88" s="81"/>
      <c r="AB88" s="1768"/>
      <c r="AC88" s="1768"/>
      <c r="AD88" s="1768"/>
      <c r="AE88" s="138"/>
      <c r="AF88" s="31"/>
      <c r="AG88" s="31"/>
    </row>
    <row r="89" spans="1:33" ht="27.75" customHeight="1" thickBot="1">
      <c r="A89" s="1769"/>
      <c r="B89" s="1712"/>
      <c r="C89" s="100"/>
      <c r="D89" s="1717"/>
      <c r="E89" s="1718"/>
      <c r="F89" s="98"/>
      <c r="G89" s="119">
        <f>IF(ISBLANK(O89),0,Calculos!E66)</f>
        <v>0</v>
      </c>
      <c r="H89" s="79"/>
      <c r="I89" s="80"/>
      <c r="J89" s="80"/>
      <c r="K89" s="81"/>
      <c r="L89" s="1771"/>
      <c r="M89" s="1768"/>
      <c r="N89" s="1768"/>
      <c r="O89" s="1742"/>
      <c r="P89" s="1743"/>
      <c r="Q89" s="1712"/>
      <c r="R89" s="1712"/>
      <c r="S89" s="100"/>
      <c r="T89" s="1717"/>
      <c r="U89" s="1718"/>
      <c r="V89" s="98"/>
      <c r="W89" s="119">
        <f>IF(ISBLANK(AE89),0,Calculos!E41)</f>
        <v>0</v>
      </c>
      <c r="X89" s="79"/>
      <c r="Y89" s="80"/>
      <c r="Z89" s="80"/>
      <c r="AA89" s="81"/>
      <c r="AB89" s="1768"/>
      <c r="AC89" s="1768"/>
      <c r="AD89" s="1768"/>
      <c r="AE89" s="138"/>
      <c r="AF89" s="31"/>
      <c r="AG89" s="31"/>
    </row>
    <row r="90" spans="1:33" ht="27.75" customHeight="1" thickBot="1">
      <c r="A90" s="1769"/>
      <c r="B90" s="1712"/>
      <c r="C90" s="100"/>
      <c r="D90" s="1717"/>
      <c r="E90" s="1718"/>
      <c r="F90" s="98"/>
      <c r="G90" s="119">
        <f>IF(ISBLANK(O90),0,Calculos!E67)</f>
        <v>0</v>
      </c>
      <c r="H90" s="79"/>
      <c r="I90" s="80"/>
      <c r="J90" s="80"/>
      <c r="K90" s="81"/>
      <c r="L90" s="1771"/>
      <c r="M90" s="1768"/>
      <c r="N90" s="1768"/>
      <c r="O90" s="1742"/>
      <c r="P90" s="1743"/>
      <c r="Q90" s="1712"/>
      <c r="R90" s="1712"/>
      <c r="S90" s="100"/>
      <c r="T90" s="1717"/>
      <c r="U90" s="1718"/>
      <c r="V90" s="98"/>
      <c r="W90" s="119">
        <f>IF(ISBLANK(AE90),0,Calculos!E42)</f>
        <v>0</v>
      </c>
      <c r="X90" s="79"/>
      <c r="Y90" s="80"/>
      <c r="Z90" s="80"/>
      <c r="AA90" s="81"/>
      <c r="AB90" s="1768"/>
      <c r="AC90" s="1768"/>
      <c r="AD90" s="1768"/>
      <c r="AE90" s="138"/>
      <c r="AF90" s="31"/>
    </row>
    <row r="91" spans="1:33" ht="27.75" customHeight="1" thickBot="1">
      <c r="A91" s="1769"/>
      <c r="B91" s="1712"/>
      <c r="C91" s="100"/>
      <c r="D91" s="1717"/>
      <c r="E91" s="1718"/>
      <c r="F91" s="98"/>
      <c r="G91" s="119">
        <f>IF(ISBLANK(O91),0,Calculos!E68)</f>
        <v>0</v>
      </c>
      <c r="H91" s="79"/>
      <c r="I91" s="80"/>
      <c r="J91" s="80"/>
      <c r="K91" s="81"/>
      <c r="L91" s="1772"/>
      <c r="M91" s="1773"/>
      <c r="N91" s="1773"/>
      <c r="O91" s="1742"/>
      <c r="P91" s="1743"/>
      <c r="Q91" s="1766"/>
      <c r="R91" s="1714"/>
      <c r="S91" s="55" t="s">
        <v>295</v>
      </c>
      <c r="T91" s="1751" t="str">
        <f>IF(COUNT(T87:U90)=0,"",T87+T88+T89+T90)</f>
        <v/>
      </c>
      <c r="U91" s="1752"/>
      <c r="V91" s="120"/>
      <c r="W91" s="121">
        <f>IF(COUNT(W87:W90)=0,"",W87+W88+W89+W90)</f>
        <v>0</v>
      </c>
      <c r="X91" s="1744"/>
      <c r="Y91" s="1744"/>
      <c r="Z91" s="1744"/>
      <c r="AA91" s="1744"/>
      <c r="AB91" s="1744">
        <v>0</v>
      </c>
      <c r="AC91" s="1744"/>
      <c r="AD91" s="1715"/>
      <c r="AE91" s="189"/>
      <c r="AF91" s="31"/>
    </row>
    <row r="92" spans="1:33" ht="27.75" customHeight="1" thickBot="1">
      <c r="A92" s="1766"/>
      <c r="B92" s="1714"/>
      <c r="C92" s="195" t="s">
        <v>295</v>
      </c>
      <c r="D92" s="1751" t="str">
        <f>IF(COUNT(D87:E91)=0,"",D87+D88+D89+D90+D91)</f>
        <v/>
      </c>
      <c r="E92" s="1752"/>
      <c r="F92" s="120"/>
      <c r="G92" s="121">
        <f>IF(COUNT(G87:G91)=0,"",G87+G88+G89+G90+G91)</f>
        <v>0</v>
      </c>
      <c r="H92" s="1744"/>
      <c r="I92" s="1744"/>
      <c r="J92" s="1744"/>
      <c r="K92" s="1744"/>
      <c r="L92" s="1744">
        <v>0</v>
      </c>
      <c r="M92" s="1744"/>
      <c r="N92" s="1715"/>
      <c r="O92" s="1742"/>
      <c r="P92" s="1743"/>
      <c r="AB92" s="1765" t="s">
        <v>1003</v>
      </c>
      <c r="AC92" s="1765"/>
      <c r="AD92" s="1765"/>
      <c r="AE92" s="1765"/>
      <c r="AF92" s="1765"/>
      <c r="AG92" s="1765"/>
    </row>
    <row r="93" spans="1:33" ht="27.75" customHeight="1">
      <c r="A93" s="1698" t="s">
        <v>54</v>
      </c>
      <c r="B93" s="1698"/>
      <c r="C93" s="1698"/>
      <c r="D93" s="1698"/>
      <c r="E93" s="1698"/>
      <c r="AB93" s="1749" t="s">
        <v>997</v>
      </c>
      <c r="AC93" s="1749"/>
      <c r="AD93" s="1697"/>
      <c r="AE93" s="1697"/>
      <c r="AF93" s="1750" t="s">
        <v>161</v>
      </c>
      <c r="AG93" s="1750"/>
    </row>
    <row r="94" spans="1:33" ht="27.75" customHeight="1" thickBot="1">
      <c r="A94" s="1783" t="s">
        <v>126</v>
      </c>
      <c r="B94" s="1783"/>
      <c r="C94" s="1783"/>
      <c r="D94" s="1783"/>
      <c r="E94" s="1783"/>
      <c r="F94" s="1783"/>
      <c r="G94" s="1783"/>
      <c r="H94" s="1783"/>
      <c r="I94" s="1783"/>
      <c r="J94" s="1783"/>
      <c r="K94" s="1783"/>
      <c r="L94" s="1783"/>
      <c r="M94" s="1783"/>
      <c r="N94" s="1783"/>
      <c r="O94" s="1783"/>
      <c r="P94" s="1783"/>
      <c r="Q94" s="1783"/>
      <c r="R94" s="199"/>
      <c r="S94" s="28"/>
      <c r="T94" s="28"/>
      <c r="U94" s="28"/>
      <c r="V94" s="28"/>
      <c r="W94" s="28"/>
      <c r="X94" s="28"/>
      <c r="Y94" s="28"/>
      <c r="Z94" s="28"/>
      <c r="AA94" s="28"/>
      <c r="AB94" s="1749" t="s">
        <v>999</v>
      </c>
      <c r="AC94" s="1749"/>
      <c r="AD94" s="1697"/>
      <c r="AE94" s="1697"/>
      <c r="AF94" s="1750" t="s">
        <v>1001</v>
      </c>
      <c r="AG94" s="1750"/>
    </row>
    <row r="95" spans="1:33" ht="27.75" customHeight="1" thickBot="1">
      <c r="A95" s="1775" t="s">
        <v>19</v>
      </c>
      <c r="B95" s="1779"/>
      <c r="C95" s="1779"/>
      <c r="D95" s="1779"/>
      <c r="E95" s="944"/>
      <c r="F95" s="1002"/>
      <c r="G95" s="1002"/>
      <c r="H95" s="1002"/>
      <c r="I95" s="1002"/>
      <c r="J95" s="945"/>
      <c r="K95" s="93" t="str">
        <f>IF(E95="N.A","",IF(ISBLANK($I$16),"",$I$16))</f>
        <v/>
      </c>
      <c r="L95" s="1774" t="s">
        <v>20</v>
      </c>
      <c r="M95" s="1774"/>
      <c r="N95" s="1774"/>
      <c r="O95" s="1775"/>
      <c r="P95" s="1776"/>
      <c r="Q95" s="1777"/>
      <c r="R95" s="1777"/>
      <c r="S95" s="1777"/>
      <c r="T95" s="1778"/>
      <c r="U95" s="94" t="str">
        <f>IF(P95="N.A","",IF(ISBLANK($I$16),"",$I$16))</f>
        <v/>
      </c>
      <c r="V95" s="1775" t="s">
        <v>21</v>
      </c>
      <c r="W95" s="1779"/>
      <c r="X95" s="1780"/>
      <c r="Y95" s="1781" t="str">
        <f>IF(ISBLANK(E95),"",IF(AND(E95="N.A",P95="N.A"),"N.A",ABS(E95-P95)))</f>
        <v/>
      </c>
      <c r="Z95" s="1782"/>
      <c r="AA95" s="202" t="str">
        <f>IF(Y95="N.A","",IF(ISBLANK($I$16),"",$I$16))</f>
        <v/>
      </c>
      <c r="AB95" s="1749" t="s">
        <v>998</v>
      </c>
      <c r="AC95" s="1749"/>
      <c r="AD95" s="1697"/>
      <c r="AE95" s="1697"/>
      <c r="AF95" s="1750" t="s">
        <v>161</v>
      </c>
      <c r="AG95" s="1750"/>
    </row>
    <row r="96" spans="1:33" ht="27.75" customHeight="1">
      <c r="A96" s="1784" t="s">
        <v>301</v>
      </c>
      <c r="B96" s="1785"/>
      <c r="C96" s="1785"/>
      <c r="D96" s="1785"/>
      <c r="E96" s="1786"/>
      <c r="F96" s="1787"/>
      <c r="G96" s="1788" t="str">
        <f>IF(ISBLANK(E95),"",IF(AND(E95="N.A",P95="N.A"),"N.A",IF(Y95&gt;0,"Existe interacción magnetica, informar al cliente","No existe interacción magnetica")))</f>
        <v/>
      </c>
      <c r="H96" s="1789"/>
      <c r="I96" s="1789"/>
      <c r="J96" s="1789"/>
      <c r="K96" s="1790"/>
      <c r="L96" s="1790"/>
      <c r="M96" s="1790"/>
      <c r="N96" s="1790"/>
      <c r="O96" s="1790"/>
      <c r="P96" s="1790"/>
      <c r="Q96" s="1789"/>
      <c r="R96" s="1789"/>
      <c r="S96" s="1789"/>
      <c r="T96" s="1789"/>
      <c r="U96" s="1791"/>
      <c r="V96" s="199"/>
      <c r="W96" s="28"/>
      <c r="X96" s="99"/>
      <c r="Y96" s="99"/>
      <c r="Z96" s="99"/>
      <c r="AA96" s="52"/>
      <c r="AB96" s="1749" t="s">
        <v>1000</v>
      </c>
      <c r="AC96" s="1749"/>
      <c r="AD96" s="1697"/>
      <c r="AE96" s="1697"/>
      <c r="AF96" s="1750" t="s">
        <v>1001</v>
      </c>
      <c r="AG96" s="1750"/>
    </row>
    <row r="97" spans="1:33" ht="18" customHeight="1">
      <c r="G97" s="970" t="s">
        <v>110</v>
      </c>
      <c r="H97" s="970"/>
      <c r="I97" s="970"/>
      <c r="J97" s="970"/>
      <c r="K97" s="970"/>
      <c r="L97" s="970"/>
      <c r="M97" s="970"/>
      <c r="N97" s="970"/>
      <c r="O97" s="970"/>
      <c r="P97" s="970"/>
      <c r="Q97" s="970"/>
      <c r="R97" s="970"/>
      <c r="S97" s="970"/>
      <c r="T97" s="970"/>
      <c r="U97" s="970"/>
      <c r="V97" s="970"/>
      <c r="W97" s="970"/>
      <c r="X97" s="970"/>
      <c r="Y97" s="970"/>
      <c r="Z97" s="970"/>
      <c r="AA97" s="970"/>
      <c r="AB97" s="970"/>
      <c r="AC97" s="970"/>
      <c r="AD97" s="970"/>
      <c r="AE97" s="970"/>
      <c r="AF97" s="970"/>
      <c r="AG97" s="970"/>
    </row>
    <row r="98" spans="1:33" ht="18" customHeight="1">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c r="AC98" s="124"/>
      <c r="AD98" s="124"/>
      <c r="AE98" s="124"/>
      <c r="AF98" s="124"/>
      <c r="AG98" s="124"/>
    </row>
    <row r="99" spans="1:33" ht="15" customHeight="1" thickBot="1">
      <c r="A99" s="1792" t="s">
        <v>92</v>
      </c>
      <c r="B99" s="1792"/>
      <c r="C99" s="1792"/>
      <c r="D99" s="1792"/>
      <c r="E99" s="1792"/>
      <c r="F99" s="1792"/>
      <c r="G99" s="1792"/>
      <c r="H99" s="1792"/>
      <c r="I99" s="1792"/>
      <c r="J99" s="1792"/>
      <c r="K99" s="1792"/>
      <c r="L99" s="1792"/>
      <c r="M99" s="1792"/>
    </row>
    <row r="100" spans="1:33" ht="15.75" thickBot="1">
      <c r="A100" s="1685" t="s">
        <v>43</v>
      </c>
      <c r="B100" s="1685"/>
      <c r="C100" s="1685"/>
      <c r="D100" s="1685"/>
      <c r="E100" s="1686" t="s">
        <v>42</v>
      </c>
      <c r="F100" s="1686"/>
      <c r="G100" s="1686"/>
      <c r="H100" s="1686"/>
      <c r="I100" s="1686" t="s">
        <v>97</v>
      </c>
      <c r="J100" s="1686"/>
      <c r="K100" s="1686"/>
      <c r="L100" s="1686"/>
      <c r="M100" s="1686"/>
      <c r="Z100" s="56" t="s">
        <v>36</v>
      </c>
      <c r="AA100" s="57"/>
      <c r="AB100" s="58"/>
      <c r="AC100" s="59"/>
      <c r="AD100" s="92"/>
      <c r="AE100" s="1181"/>
      <c r="AF100" s="1182"/>
    </row>
    <row r="101" spans="1:33" ht="13.5" customHeight="1" thickBot="1">
      <c r="A101" s="1797" t="s">
        <v>41</v>
      </c>
      <c r="B101" s="1798"/>
      <c r="C101" s="1798"/>
      <c r="D101" s="1799"/>
      <c r="E101" s="995"/>
      <c r="F101" s="1003"/>
      <c r="G101" s="1003"/>
      <c r="H101" s="996"/>
      <c r="I101" s="1800"/>
      <c r="J101" s="1801"/>
      <c r="K101" s="1801"/>
      <c r="L101" s="1801"/>
      <c r="M101" s="1802"/>
    </row>
    <row r="102" spans="1:33">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c r="AC102" s="124"/>
      <c r="AD102" s="124"/>
      <c r="AE102" s="124"/>
      <c r="AF102" s="124"/>
      <c r="AG102" s="124"/>
    </row>
    <row r="103" spans="1:33" ht="9" customHeight="1"/>
    <row r="104" spans="1:33">
      <c r="A104" s="1698" t="s">
        <v>26</v>
      </c>
      <c r="B104" s="1698"/>
      <c r="C104" s="1698"/>
      <c r="D104" s="1698"/>
      <c r="E104" s="1698"/>
      <c r="F104" s="196"/>
      <c r="G104" s="196"/>
    </row>
    <row r="105" spans="1:33" ht="8.25" hidden="1" customHeight="1"/>
    <row r="106" spans="1:33" ht="17.25" customHeight="1">
      <c r="C106" s="1190"/>
      <c r="D106" s="1190"/>
      <c r="E106" s="1190"/>
      <c r="F106" s="1190"/>
      <c r="G106" s="1190"/>
      <c r="H106" s="1190"/>
      <c r="I106" s="1190"/>
      <c r="J106" s="1190"/>
      <c r="K106" s="1190"/>
      <c r="L106" s="1190"/>
      <c r="M106" s="1190"/>
      <c r="N106" s="1190"/>
      <c r="O106" s="1190"/>
      <c r="P106" s="1190"/>
      <c r="Q106" s="1190"/>
      <c r="R106" s="1190"/>
      <c r="S106" s="1190"/>
      <c r="T106" s="1190"/>
      <c r="U106" s="1190"/>
      <c r="V106" s="1190"/>
      <c r="W106" s="1190"/>
      <c r="X106" s="1190"/>
      <c r="Y106" s="1190"/>
      <c r="Z106" s="1190"/>
      <c r="AA106" s="1190"/>
      <c r="AB106" s="1190"/>
      <c r="AC106" s="1190"/>
      <c r="AD106" s="1190"/>
      <c r="AE106" s="1190"/>
    </row>
    <row r="107" spans="1:33" ht="14.25" customHeight="1">
      <c r="C107" s="1190"/>
      <c r="D107" s="1190"/>
      <c r="E107" s="1190"/>
      <c r="F107" s="1190"/>
      <c r="G107" s="1190"/>
      <c r="H107" s="1190"/>
      <c r="I107" s="1190"/>
      <c r="J107" s="1190"/>
      <c r="K107" s="1190"/>
      <c r="L107" s="1190"/>
      <c r="M107" s="1190"/>
      <c r="N107" s="1190"/>
      <c r="O107" s="1190"/>
      <c r="P107" s="1190"/>
      <c r="Q107" s="1190"/>
      <c r="R107" s="1190"/>
      <c r="S107" s="1190"/>
      <c r="T107" s="1190"/>
      <c r="U107" s="1190"/>
      <c r="V107" s="1190"/>
      <c r="W107" s="1190"/>
      <c r="X107" s="1190"/>
      <c r="Y107" s="1190"/>
      <c r="Z107" s="1190"/>
      <c r="AA107" s="1190"/>
      <c r="AB107" s="1190"/>
      <c r="AC107" s="1190"/>
      <c r="AD107" s="1190"/>
      <c r="AE107" s="1190"/>
    </row>
    <row r="108" spans="1:33" ht="14.25" customHeight="1">
      <c r="C108" s="1793"/>
      <c r="D108" s="1793"/>
      <c r="E108" s="1793"/>
      <c r="F108" s="1793"/>
      <c r="G108" s="1793"/>
      <c r="H108" s="1793"/>
      <c r="I108" s="1793"/>
      <c r="J108" s="1793"/>
      <c r="K108" s="1793"/>
      <c r="L108" s="1793"/>
      <c r="M108" s="1793"/>
      <c r="N108" s="1793"/>
      <c r="O108" s="1793"/>
      <c r="P108" s="1793"/>
      <c r="Q108" s="1793"/>
      <c r="R108" s="1793"/>
      <c r="S108" s="1793"/>
      <c r="T108" s="1793"/>
      <c r="U108" s="1793"/>
      <c r="V108" s="1793"/>
      <c r="W108" s="1793"/>
      <c r="X108" s="1793"/>
      <c r="Y108" s="1793"/>
      <c r="Z108" s="1793"/>
      <c r="AA108" s="1793"/>
      <c r="AB108" s="1793"/>
      <c r="AC108" s="1793"/>
      <c r="AD108" s="1793"/>
      <c r="AE108" s="1793"/>
    </row>
    <row r="110" spans="1:33">
      <c r="C110" s="4" t="s">
        <v>3</v>
      </c>
      <c r="D110" s="5"/>
      <c r="E110" s="5"/>
      <c r="F110" s="5"/>
      <c r="G110" s="5"/>
      <c r="H110" s="5"/>
      <c r="I110" s="5"/>
      <c r="J110" s="5"/>
      <c r="L110" s="5"/>
      <c r="M110" s="5"/>
      <c r="N110" s="4" t="s">
        <v>4</v>
      </c>
    </row>
    <row r="111" spans="1:33">
      <c r="C111" s="6" t="s">
        <v>5</v>
      </c>
      <c r="D111" s="5"/>
      <c r="E111" s="5"/>
      <c r="F111" s="5"/>
      <c r="G111" s="5"/>
      <c r="H111" s="5"/>
      <c r="I111" s="5"/>
      <c r="J111" s="5"/>
      <c r="L111" s="5"/>
      <c r="M111" s="5"/>
      <c r="N111" s="6" t="s">
        <v>6</v>
      </c>
    </row>
    <row r="112" spans="1:33" ht="30" customHeight="1" thickBot="1">
      <c r="C112" s="4"/>
      <c r="D112" s="4"/>
      <c r="E112" s="4"/>
      <c r="F112" s="4"/>
      <c r="G112" s="4"/>
      <c r="H112" s="5"/>
      <c r="I112" s="5"/>
      <c r="J112" s="5"/>
      <c r="K112" s="5"/>
      <c r="L112" s="5"/>
      <c r="M112" s="5"/>
    </row>
    <row r="113" spans="1:41" s="16" customFormat="1" ht="15" customHeight="1" thickBot="1">
      <c r="C113" s="1794"/>
      <c r="D113" s="1795"/>
      <c r="E113" s="1795"/>
      <c r="F113" s="1795"/>
      <c r="G113" s="1795"/>
      <c r="H113" s="1795"/>
      <c r="I113" s="1796"/>
      <c r="J113" s="175"/>
      <c r="K113" s="5"/>
      <c r="L113" s="5"/>
      <c r="M113" s="5"/>
      <c r="N113" s="1196"/>
      <c r="O113" s="1197"/>
      <c r="P113" s="1197"/>
      <c r="Q113" s="1197"/>
      <c r="R113" s="1197"/>
      <c r="S113" s="1198"/>
      <c r="T113" s="176"/>
      <c r="U113" s="176"/>
    </row>
    <row r="114" spans="1:41" s="16" customFormat="1" ht="21" customHeight="1" thickBot="1">
      <c r="C114" s="1186"/>
      <c r="D114" s="1187"/>
      <c r="E114" s="1187"/>
      <c r="F114" s="1187"/>
      <c r="G114" s="1187"/>
      <c r="H114" s="1187"/>
      <c r="I114" s="1187"/>
      <c r="J114" s="1188"/>
      <c r="K114" s="125"/>
      <c r="L114" s="125"/>
      <c r="M114" s="125"/>
      <c r="N114" s="1186"/>
      <c r="O114" s="1187"/>
      <c r="P114" s="1187"/>
      <c r="Q114" s="1187"/>
      <c r="R114" s="1187"/>
      <c r="S114" s="1187"/>
      <c r="T114" s="1187"/>
      <c r="U114" s="1188"/>
    </row>
    <row r="115" spans="1:41">
      <c r="C115" s="126"/>
      <c r="D115" s="126"/>
      <c r="E115" s="126"/>
      <c r="F115" s="126"/>
      <c r="G115" s="126"/>
      <c r="H115" s="126"/>
      <c r="I115" s="126"/>
      <c r="J115" s="5"/>
      <c r="K115" s="127"/>
      <c r="L115" s="127"/>
      <c r="M115" s="127"/>
      <c r="N115" s="126"/>
      <c r="O115" s="126"/>
      <c r="P115" s="126"/>
      <c r="Q115" s="126"/>
      <c r="R115" s="126"/>
      <c r="S115" s="126"/>
    </row>
    <row r="116" spans="1:41">
      <c r="C116" s="126"/>
      <c r="D116" s="126"/>
      <c r="E116" s="126"/>
      <c r="F116" s="126"/>
      <c r="G116" s="126"/>
      <c r="H116" s="126"/>
      <c r="I116" s="126"/>
      <c r="J116" s="5"/>
      <c r="K116" s="127"/>
      <c r="L116" s="127"/>
      <c r="M116" s="127"/>
      <c r="N116" s="126"/>
      <c r="O116" s="126"/>
      <c r="P116" s="126"/>
      <c r="Q116" s="126"/>
      <c r="R116" s="126"/>
      <c r="S116" s="126"/>
    </row>
    <row r="117" spans="1:41">
      <c r="C117" s="126"/>
      <c r="D117" s="126"/>
      <c r="E117" s="126"/>
      <c r="F117" s="126"/>
      <c r="G117" s="126"/>
      <c r="H117" s="126"/>
      <c r="I117" s="126"/>
      <c r="J117" s="5"/>
      <c r="K117" s="127"/>
      <c r="L117" s="127"/>
      <c r="M117" s="127"/>
      <c r="N117" s="126"/>
      <c r="O117" s="126"/>
      <c r="P117" s="126"/>
      <c r="Q117" s="126"/>
      <c r="R117" s="126"/>
      <c r="S117" s="126"/>
    </row>
    <row r="118" spans="1:41">
      <c r="C118" s="126"/>
      <c r="D118" s="126"/>
      <c r="E118" s="126"/>
      <c r="F118" s="126"/>
      <c r="G118" s="126"/>
      <c r="H118" s="126"/>
      <c r="I118" s="126"/>
      <c r="J118" s="5"/>
      <c r="K118" s="127"/>
      <c r="L118" s="127"/>
      <c r="M118" s="127"/>
      <c r="N118" s="126"/>
      <c r="O118" s="126"/>
      <c r="P118" s="126"/>
      <c r="Q118" s="126"/>
      <c r="R118" s="126"/>
      <c r="S118" s="126"/>
    </row>
    <row r="119" spans="1:41">
      <c r="C119" s="126"/>
      <c r="D119" s="126"/>
      <c r="E119" s="126"/>
      <c r="F119" s="126"/>
      <c r="G119" s="126"/>
      <c r="H119" s="126"/>
      <c r="I119" s="126"/>
      <c r="J119" s="5"/>
      <c r="K119" s="127"/>
      <c r="L119" s="127"/>
      <c r="M119" s="127"/>
      <c r="N119" s="126"/>
      <c r="O119" s="126"/>
      <c r="P119" s="126"/>
      <c r="Q119" s="126"/>
      <c r="R119" s="126"/>
      <c r="S119" s="126"/>
    </row>
    <row r="120" spans="1:41">
      <c r="C120" s="126"/>
      <c r="D120" s="126"/>
      <c r="E120" s="126"/>
      <c r="F120" s="126"/>
      <c r="G120" s="126"/>
      <c r="H120" s="126"/>
      <c r="I120" s="126"/>
      <c r="J120" s="5"/>
      <c r="K120" s="127"/>
      <c r="L120" s="127"/>
      <c r="M120" s="127"/>
      <c r="N120" s="126"/>
      <c r="O120" s="126"/>
      <c r="P120" s="126"/>
      <c r="Q120" s="126"/>
      <c r="R120" s="126"/>
      <c r="S120" s="126"/>
    </row>
    <row r="121" spans="1:41" hidden="1"/>
    <row r="122" spans="1:41" hidden="1"/>
    <row r="123" spans="1:41" hidden="1"/>
    <row r="124" spans="1:41" hidden="1"/>
    <row r="125" spans="1:41" hidden="1"/>
    <row r="126" spans="1:41" hidden="1">
      <c r="AG126" s="3" t="s">
        <v>379</v>
      </c>
      <c r="AH126" s="3" t="s">
        <v>380</v>
      </c>
    </row>
    <row r="127" spans="1:41" hidden="1">
      <c r="A127" s="1183" t="s">
        <v>44</v>
      </c>
      <c r="B127" s="1184"/>
      <c r="C127" s="1184"/>
      <c r="D127" s="1185"/>
      <c r="I127" s="1183" t="s">
        <v>85</v>
      </c>
      <c r="J127" s="1184"/>
      <c r="K127" s="1184"/>
      <c r="L127" s="128"/>
      <c r="M127" s="1143"/>
      <c r="N127" s="1143"/>
      <c r="O127" s="1812"/>
      <c r="Q127" s="129" t="s">
        <v>86</v>
      </c>
      <c r="R127" s="128"/>
      <c r="S127" s="128"/>
      <c r="T127" s="128"/>
      <c r="U127" s="128"/>
      <c r="V127" s="130"/>
      <c r="Y127" s="129" t="s">
        <v>99</v>
      </c>
      <c r="Z127" s="128"/>
      <c r="AA127" s="128"/>
      <c r="AB127" s="128"/>
      <c r="AC127" s="128"/>
      <c r="AD127" s="128"/>
      <c r="AE127" s="130"/>
      <c r="AG127" s="131" t="s">
        <v>229</v>
      </c>
      <c r="AH127" s="3" t="s">
        <v>381</v>
      </c>
      <c r="AO127" s="132" t="s">
        <v>390</v>
      </c>
    </row>
    <row r="128" spans="1:41" hidden="1">
      <c r="A128" s="133" t="s">
        <v>0</v>
      </c>
      <c r="D128" s="134"/>
      <c r="I128" s="1803" t="s">
        <v>100</v>
      </c>
      <c r="J128" s="992"/>
      <c r="K128" s="992"/>
      <c r="L128" s="992"/>
      <c r="M128" s="992"/>
      <c r="N128" s="992"/>
      <c r="O128" s="1804"/>
      <c r="Q128" s="1803" t="s">
        <v>135</v>
      </c>
      <c r="R128" s="992"/>
      <c r="S128" s="992"/>
      <c r="T128" s="992"/>
      <c r="U128" s="992"/>
      <c r="V128" s="1804"/>
      <c r="Y128" s="133" t="s">
        <v>359</v>
      </c>
      <c r="AE128" s="134"/>
      <c r="AG128" s="131" t="s">
        <v>228</v>
      </c>
      <c r="AH128" s="3" t="s">
        <v>991</v>
      </c>
      <c r="AO128" s="132" t="s">
        <v>415</v>
      </c>
    </row>
    <row r="129" spans="1:41" hidden="1">
      <c r="A129" s="133" t="s">
        <v>11</v>
      </c>
      <c r="D129" s="134"/>
      <c r="I129" s="1803" t="s">
        <v>96</v>
      </c>
      <c r="J129" s="992"/>
      <c r="K129" s="992"/>
      <c r="L129" s="992"/>
      <c r="M129" s="992"/>
      <c r="N129" s="992"/>
      <c r="O129" s="1804"/>
      <c r="Q129" s="1803" t="s">
        <v>136</v>
      </c>
      <c r="R129" s="992"/>
      <c r="S129" s="992"/>
      <c r="T129" s="992"/>
      <c r="U129" s="992"/>
      <c r="V129" s="1804"/>
      <c r="Y129" s="133" t="s">
        <v>101</v>
      </c>
      <c r="AE129" s="134"/>
      <c r="AG129" s="131" t="s">
        <v>230</v>
      </c>
      <c r="AH129" s="3" t="s">
        <v>382</v>
      </c>
      <c r="AO129" s="132" t="s">
        <v>414</v>
      </c>
    </row>
    <row r="130" spans="1:41" ht="15.75" hidden="1" thickBot="1">
      <c r="A130" s="133" t="s">
        <v>25</v>
      </c>
      <c r="D130" s="134"/>
      <c r="I130" s="1803" t="s">
        <v>391</v>
      </c>
      <c r="J130" s="992"/>
      <c r="K130" s="992"/>
      <c r="L130" s="992"/>
      <c r="M130" s="992"/>
      <c r="N130" s="992"/>
      <c r="O130" s="1804"/>
      <c r="Q130" s="1805" t="s">
        <v>84</v>
      </c>
      <c r="R130" s="1806"/>
      <c r="S130" s="1806"/>
      <c r="T130" s="1806"/>
      <c r="U130" s="1806"/>
      <c r="V130" s="1807"/>
      <c r="Y130" s="133" t="s">
        <v>364</v>
      </c>
      <c r="AE130" s="134"/>
      <c r="AG130" s="131" t="s">
        <v>992</v>
      </c>
      <c r="AH130" s="3" t="s">
        <v>994</v>
      </c>
      <c r="AO130" s="132" t="s">
        <v>993</v>
      </c>
    </row>
    <row r="131" spans="1:41" ht="15.75" hidden="1" thickBot="1">
      <c r="A131" s="135"/>
      <c r="B131" s="136"/>
      <c r="C131" s="136"/>
      <c r="D131" s="137"/>
      <c r="I131" s="1803" t="s">
        <v>285</v>
      </c>
      <c r="J131" s="992"/>
      <c r="K131" s="992"/>
      <c r="L131" s="992"/>
      <c r="M131" s="992"/>
      <c r="N131" s="992"/>
      <c r="O131" s="1804"/>
      <c r="Y131" s="133" t="s">
        <v>365</v>
      </c>
      <c r="AE131" s="134"/>
      <c r="AG131" s="3" t="s">
        <v>311</v>
      </c>
      <c r="AH131" s="3" t="s">
        <v>311</v>
      </c>
      <c r="AO131" s="3" t="s">
        <v>311</v>
      </c>
    </row>
    <row r="132" spans="1:41" hidden="1">
      <c r="I132" s="133" t="s">
        <v>286</v>
      </c>
      <c r="M132" s="1032"/>
      <c r="N132" s="1032"/>
      <c r="O132" s="1808"/>
      <c r="Y132" s="133" t="s">
        <v>396</v>
      </c>
      <c r="AE132" s="134"/>
    </row>
    <row r="133" spans="1:41" ht="15.75" hidden="1" thickBot="1">
      <c r="I133" s="135" t="s">
        <v>287</v>
      </c>
      <c r="J133" s="136"/>
      <c r="K133" s="136"/>
      <c r="L133" s="136"/>
      <c r="M133" s="168"/>
      <c r="N133" s="1809"/>
      <c r="O133" s="1810"/>
      <c r="Y133" s="133"/>
      <c r="AE133" s="134"/>
    </row>
    <row r="134" spans="1:41" hidden="1">
      <c r="Y134" s="133"/>
      <c r="AE134" s="134"/>
    </row>
    <row r="135" spans="1:41" hidden="1">
      <c r="Y135" s="133"/>
      <c r="AE135" s="134"/>
    </row>
    <row r="136" spans="1:41" hidden="1">
      <c r="Y136" s="133"/>
      <c r="AE136" s="134"/>
    </row>
    <row r="137" spans="1:41" ht="15.75" hidden="1" thickBot="1">
      <c r="Y137" s="135"/>
      <c r="Z137" s="136"/>
      <c r="AA137" s="136"/>
      <c r="AB137" s="136"/>
      <c r="AC137" s="136"/>
      <c r="AD137" s="136"/>
      <c r="AE137" s="137"/>
    </row>
    <row r="138" spans="1:41" hidden="1"/>
    <row r="139" spans="1:41" hidden="1"/>
    <row r="142" spans="1:41" ht="23.25">
      <c r="A142" s="1811" t="s">
        <v>982</v>
      </c>
      <c r="B142" s="1811"/>
      <c r="C142" s="1811"/>
      <c r="D142" s="1811"/>
      <c r="E142" s="1811"/>
      <c r="F142" s="1811"/>
      <c r="G142" s="1811"/>
      <c r="H142" s="1811"/>
      <c r="I142" s="1811"/>
      <c r="J142" s="1811"/>
      <c r="K142" s="1811"/>
      <c r="L142" s="1811"/>
      <c r="M142" s="1811"/>
      <c r="N142" s="1811"/>
      <c r="O142" s="1811"/>
      <c r="P142" s="1811"/>
      <c r="Q142" s="1811"/>
      <c r="R142" s="1811"/>
      <c r="S142" s="1811"/>
      <c r="T142" s="1811"/>
      <c r="U142" s="1811"/>
      <c r="V142" s="1811"/>
      <c r="W142" s="1811"/>
      <c r="X142" s="1811"/>
      <c r="Y142" s="1811"/>
      <c r="Z142" s="1811"/>
      <c r="AA142" s="1811"/>
      <c r="AB142" s="1811"/>
      <c r="AC142" s="1811"/>
      <c r="AD142" s="1811"/>
      <c r="AE142" s="1811"/>
      <c r="AF142" s="1811"/>
      <c r="AG142" s="1811"/>
    </row>
    <row r="143" spans="1:41" ht="15.75">
      <c r="A143" s="1813" t="s">
        <v>983</v>
      </c>
      <c r="B143" s="1813"/>
      <c r="C143" s="1813"/>
      <c r="D143" s="1813" t="s">
        <v>984</v>
      </c>
      <c r="E143" s="1813"/>
      <c r="F143" s="1813"/>
      <c r="G143" s="1813"/>
      <c r="H143" s="1813"/>
      <c r="I143" s="1813"/>
      <c r="J143" s="1813"/>
      <c r="K143" s="1813"/>
      <c r="L143" s="1813"/>
      <c r="M143" s="1813"/>
      <c r="N143" s="1813"/>
      <c r="O143" s="1813"/>
      <c r="P143" s="1813"/>
      <c r="Q143" s="1813"/>
      <c r="R143" s="1813" t="s">
        <v>985</v>
      </c>
      <c r="S143" s="1813"/>
      <c r="T143" s="1813"/>
      <c r="U143" s="1813"/>
      <c r="V143" s="1813"/>
      <c r="W143" s="1813"/>
      <c r="X143" s="1813"/>
      <c r="Y143" s="1813"/>
      <c r="Z143" s="1813"/>
      <c r="AA143" s="1813"/>
      <c r="AB143" s="1813"/>
      <c r="AC143" s="1813"/>
      <c r="AD143" s="1813" t="s">
        <v>986</v>
      </c>
      <c r="AE143" s="1813"/>
      <c r="AF143" s="1813"/>
      <c r="AG143" s="1813"/>
    </row>
    <row r="144" spans="1:41" ht="15.75">
      <c r="A144" s="1813"/>
      <c r="B144" s="1813"/>
      <c r="C144" s="1813"/>
      <c r="D144" s="1813"/>
      <c r="E144" s="1813"/>
      <c r="F144" s="1813"/>
      <c r="G144" s="1813"/>
      <c r="H144" s="1813"/>
      <c r="I144" s="1813"/>
      <c r="J144" s="1813"/>
      <c r="K144" s="1813"/>
      <c r="L144" s="1813"/>
      <c r="M144" s="1813"/>
      <c r="N144" s="1813"/>
      <c r="O144" s="1813"/>
      <c r="P144" s="1813"/>
      <c r="Q144" s="1813"/>
      <c r="R144" s="1813"/>
      <c r="S144" s="1813"/>
      <c r="T144" s="1813"/>
      <c r="U144" s="1813"/>
      <c r="V144" s="1813"/>
      <c r="W144" s="1813"/>
      <c r="X144" s="1813"/>
      <c r="Y144" s="1813"/>
      <c r="Z144" s="1813"/>
      <c r="AA144" s="1813"/>
      <c r="AB144" s="1813"/>
      <c r="AC144" s="1813"/>
      <c r="AD144" s="1813"/>
      <c r="AE144" s="1813"/>
      <c r="AF144" s="1813"/>
      <c r="AG144" s="1813"/>
    </row>
    <row r="145" spans="1:33" ht="15.75">
      <c r="A145" s="1813"/>
      <c r="B145" s="1813"/>
      <c r="C145" s="1813"/>
      <c r="D145" s="1813"/>
      <c r="E145" s="1813"/>
      <c r="F145" s="1813"/>
      <c r="G145" s="1813"/>
      <c r="H145" s="1813"/>
      <c r="I145" s="1813"/>
      <c r="J145" s="1813"/>
      <c r="K145" s="1813"/>
      <c r="L145" s="1813"/>
      <c r="M145" s="1813"/>
      <c r="N145" s="1813"/>
      <c r="O145" s="1813"/>
      <c r="P145" s="1813"/>
      <c r="Q145" s="1813"/>
      <c r="R145" s="1813"/>
      <c r="S145" s="1813"/>
      <c r="T145" s="1813"/>
      <c r="U145" s="1813"/>
      <c r="V145" s="1813"/>
      <c r="W145" s="1813"/>
      <c r="X145" s="1813"/>
      <c r="Y145" s="1813"/>
      <c r="Z145" s="1813"/>
      <c r="AA145" s="1813"/>
      <c r="AB145" s="1813"/>
      <c r="AC145" s="1813"/>
      <c r="AD145" s="1813"/>
      <c r="AE145" s="1813"/>
      <c r="AF145" s="1813"/>
      <c r="AG145" s="1813"/>
    </row>
    <row r="146" spans="1:33" ht="15.75">
      <c r="A146" s="1813"/>
      <c r="B146" s="1813"/>
      <c r="C146" s="1813"/>
      <c r="D146" s="1813"/>
      <c r="E146" s="1813"/>
      <c r="F146" s="1813"/>
      <c r="G146" s="1813"/>
      <c r="H146" s="1813"/>
      <c r="I146" s="1813"/>
      <c r="J146" s="1813"/>
      <c r="K146" s="1813"/>
      <c r="L146" s="1813"/>
      <c r="M146" s="1813"/>
      <c r="N146" s="1813"/>
      <c r="O146" s="1813"/>
      <c r="P146" s="1813"/>
      <c r="Q146" s="1813"/>
      <c r="R146" s="1813"/>
      <c r="S146" s="1813"/>
      <c r="T146" s="1813"/>
      <c r="U146" s="1813"/>
      <c r="V146" s="1813"/>
      <c r="W146" s="1813"/>
      <c r="X146" s="1813"/>
      <c r="Y146" s="1813"/>
      <c r="Z146" s="1813"/>
      <c r="AA146" s="1813"/>
      <c r="AB146" s="1813"/>
      <c r="AC146" s="1813"/>
      <c r="AD146" s="1813"/>
      <c r="AE146" s="1813"/>
      <c r="AF146" s="1813"/>
      <c r="AG146" s="1813"/>
    </row>
    <row r="147" spans="1:33" ht="15.75">
      <c r="A147" s="1813"/>
      <c r="B147" s="1813"/>
      <c r="C147" s="1813"/>
      <c r="D147" s="1813"/>
      <c r="E147" s="1813"/>
      <c r="F147" s="1813"/>
      <c r="G147" s="1813"/>
      <c r="H147" s="1813"/>
      <c r="I147" s="1813"/>
      <c r="J147" s="1813"/>
      <c r="K147" s="1813"/>
      <c r="L147" s="1813"/>
      <c r="M147" s="1813"/>
      <c r="N147" s="1813"/>
      <c r="O147" s="1813"/>
      <c r="P147" s="1813"/>
      <c r="Q147" s="1813"/>
      <c r="R147" s="1813"/>
      <c r="S147" s="1813"/>
      <c r="T147" s="1813"/>
      <c r="U147" s="1813"/>
      <c r="V147" s="1813"/>
      <c r="W147" s="1813"/>
      <c r="X147" s="1813"/>
      <c r="Y147" s="1813"/>
      <c r="Z147" s="1813"/>
      <c r="AA147" s="1813"/>
      <c r="AB147" s="1813"/>
      <c r="AC147" s="1813"/>
      <c r="AD147" s="1813"/>
      <c r="AE147" s="1813"/>
      <c r="AF147" s="1813"/>
      <c r="AG147" s="1813"/>
    </row>
    <row r="148" spans="1:33" ht="15.75">
      <c r="A148" s="1813"/>
      <c r="B148" s="1813"/>
      <c r="C148" s="1813"/>
      <c r="D148" s="1813"/>
      <c r="E148" s="1813"/>
      <c r="F148" s="1813"/>
      <c r="G148" s="1813"/>
      <c r="H148" s="1813"/>
      <c r="I148" s="1813"/>
      <c r="J148" s="1813"/>
      <c r="K148" s="1813"/>
      <c r="L148" s="1813"/>
      <c r="M148" s="1813"/>
      <c r="N148" s="1813"/>
      <c r="O148" s="1813"/>
      <c r="P148" s="1813"/>
      <c r="Q148" s="1813"/>
      <c r="R148" s="1813"/>
      <c r="S148" s="1813"/>
      <c r="T148" s="1813"/>
      <c r="U148" s="1813"/>
      <c r="V148" s="1813"/>
      <c r="W148" s="1813"/>
      <c r="X148" s="1813"/>
      <c r="Y148" s="1813"/>
      <c r="Z148" s="1813"/>
      <c r="AA148" s="1813"/>
      <c r="AB148" s="1813"/>
      <c r="AC148" s="1813"/>
      <c r="AD148" s="1813"/>
      <c r="AE148" s="1813"/>
      <c r="AF148" s="1813"/>
      <c r="AG148" s="1813"/>
    </row>
    <row r="149" spans="1:33" ht="15.75">
      <c r="A149" s="1813"/>
      <c r="B149" s="1813"/>
      <c r="C149" s="1813"/>
      <c r="D149" s="1813"/>
      <c r="E149" s="1813"/>
      <c r="F149" s="1813"/>
      <c r="G149" s="1813"/>
      <c r="H149" s="1813"/>
      <c r="I149" s="1813"/>
      <c r="J149" s="1813"/>
      <c r="K149" s="1813"/>
      <c r="L149" s="1813"/>
      <c r="M149" s="1813"/>
      <c r="N149" s="1813"/>
      <c r="O149" s="1813"/>
      <c r="P149" s="1813"/>
      <c r="Q149" s="1813"/>
      <c r="R149" s="1813"/>
      <c r="S149" s="1813"/>
      <c r="T149" s="1813"/>
      <c r="U149" s="1813"/>
      <c r="V149" s="1813"/>
      <c r="W149" s="1813"/>
      <c r="X149" s="1813"/>
      <c r="Y149" s="1813"/>
      <c r="Z149" s="1813"/>
      <c r="AA149" s="1813"/>
      <c r="AB149" s="1813"/>
      <c r="AC149" s="1813"/>
      <c r="AD149" s="1813"/>
      <c r="AE149" s="1813"/>
      <c r="AF149" s="1813"/>
      <c r="AG149" s="1813"/>
    </row>
    <row r="150" spans="1:33" ht="15.75">
      <c r="A150" s="1813"/>
      <c r="B150" s="1813"/>
      <c r="C150" s="1813"/>
      <c r="D150" s="1813"/>
      <c r="E150" s="1813"/>
      <c r="F150" s="1813"/>
      <c r="G150" s="1813"/>
      <c r="H150" s="1813"/>
      <c r="I150" s="1813"/>
      <c r="J150" s="1813"/>
      <c r="K150" s="1813"/>
      <c r="L150" s="1813"/>
      <c r="M150" s="1813"/>
      <c r="N150" s="1813"/>
      <c r="O150" s="1813"/>
      <c r="P150" s="1813"/>
      <c r="Q150" s="1813"/>
      <c r="R150" s="1813"/>
      <c r="S150" s="1813"/>
      <c r="T150" s="1813"/>
      <c r="U150" s="1813"/>
      <c r="V150" s="1813"/>
      <c r="W150" s="1813"/>
      <c r="X150" s="1813"/>
      <c r="Y150" s="1813"/>
      <c r="Z150" s="1813"/>
      <c r="AA150" s="1813"/>
      <c r="AB150" s="1813"/>
      <c r="AC150" s="1813"/>
      <c r="AD150" s="1813"/>
      <c r="AE150" s="1813"/>
      <c r="AF150" s="1813"/>
      <c r="AG150" s="1813"/>
    </row>
  </sheetData>
  <sheetProtection sheet="1" objects="1" scenarios="1"/>
  <dataConsolidate/>
  <mergeCells count="419">
    <mergeCell ref="A29:H29"/>
    <mergeCell ref="A65:B66"/>
    <mergeCell ref="C65:C66"/>
    <mergeCell ref="D65:F66"/>
    <mergeCell ref="G65:G66"/>
    <mergeCell ref="H65:K66"/>
    <mergeCell ref="K55:N56"/>
    <mergeCell ref="A30:C30"/>
    <mergeCell ref="A53:D53"/>
    <mergeCell ref="E53:I53"/>
    <mergeCell ref="J53:M53"/>
    <mergeCell ref="A62:J63"/>
    <mergeCell ref="A54:D54"/>
    <mergeCell ref="E54:I54"/>
    <mergeCell ref="A51:D51"/>
    <mergeCell ref="E51:I51"/>
    <mergeCell ref="J51:M51"/>
    <mergeCell ref="A52:D52"/>
    <mergeCell ref="E52:I52"/>
    <mergeCell ref="J52:M52"/>
    <mergeCell ref="A49:D49"/>
    <mergeCell ref="E49:I49"/>
    <mergeCell ref="L58:M58"/>
    <mergeCell ref="A41:I41"/>
    <mergeCell ref="O83:P83"/>
    <mergeCell ref="O84:P84"/>
    <mergeCell ref="O85:P85"/>
    <mergeCell ref="O86:P86"/>
    <mergeCell ref="O87:P87"/>
    <mergeCell ref="O88:P88"/>
    <mergeCell ref="O67:P67"/>
    <mergeCell ref="O68:P68"/>
    <mergeCell ref="O69:P69"/>
    <mergeCell ref="O70:P70"/>
    <mergeCell ref="O71:P71"/>
    <mergeCell ref="A149:C149"/>
    <mergeCell ref="D149:Q149"/>
    <mergeCell ref="R149:AC149"/>
    <mergeCell ref="AD149:AG149"/>
    <mergeCell ref="A150:C150"/>
    <mergeCell ref="D150:Q150"/>
    <mergeCell ref="R150:AC150"/>
    <mergeCell ref="AD150:AG150"/>
    <mergeCell ref="A147:C147"/>
    <mergeCell ref="D147:Q147"/>
    <mergeCell ref="R147:AC147"/>
    <mergeCell ref="AD147:AG147"/>
    <mergeCell ref="A148:C148"/>
    <mergeCell ref="D148:Q148"/>
    <mergeCell ref="R148:AC148"/>
    <mergeCell ref="AD148:AG148"/>
    <mergeCell ref="A145:C145"/>
    <mergeCell ref="D145:Q145"/>
    <mergeCell ref="R145:AC145"/>
    <mergeCell ref="AD145:AG145"/>
    <mergeCell ref="A146:C146"/>
    <mergeCell ref="D146:Q146"/>
    <mergeCell ref="R146:AC146"/>
    <mergeCell ref="AD146:AG146"/>
    <mergeCell ref="A143:C143"/>
    <mergeCell ref="D143:Q143"/>
    <mergeCell ref="R143:AC143"/>
    <mergeCell ref="AD143:AG143"/>
    <mergeCell ref="A144:C144"/>
    <mergeCell ref="D144:Q144"/>
    <mergeCell ref="R144:AC144"/>
    <mergeCell ref="AD144:AG144"/>
    <mergeCell ref="I130:O130"/>
    <mergeCell ref="Q130:V130"/>
    <mergeCell ref="I131:O131"/>
    <mergeCell ref="M132:O132"/>
    <mergeCell ref="N133:O133"/>
    <mergeCell ref="A142:AG142"/>
    <mergeCell ref="A127:D127"/>
    <mergeCell ref="I127:K127"/>
    <mergeCell ref="M127:O127"/>
    <mergeCell ref="I128:O128"/>
    <mergeCell ref="Q128:V128"/>
    <mergeCell ref="I129:O129"/>
    <mergeCell ref="Q129:V129"/>
    <mergeCell ref="C107:AE107"/>
    <mergeCell ref="C108:AE108"/>
    <mergeCell ref="C113:I113"/>
    <mergeCell ref="N113:S113"/>
    <mergeCell ref="C114:J114"/>
    <mergeCell ref="N114:U114"/>
    <mergeCell ref="A101:D101"/>
    <mergeCell ref="E101:H101"/>
    <mergeCell ref="I101:M101"/>
    <mergeCell ref="AE100:AF100"/>
    <mergeCell ref="A104:E104"/>
    <mergeCell ref="C106:AE106"/>
    <mergeCell ref="A96:F96"/>
    <mergeCell ref="G96:U96"/>
    <mergeCell ref="A99:M99"/>
    <mergeCell ref="A100:D100"/>
    <mergeCell ref="E100:H100"/>
    <mergeCell ref="I100:M100"/>
    <mergeCell ref="AB96:AC96"/>
    <mergeCell ref="AD96:AE96"/>
    <mergeCell ref="AF96:AG96"/>
    <mergeCell ref="G97:AG97"/>
    <mergeCell ref="L95:O95"/>
    <mergeCell ref="P95:T95"/>
    <mergeCell ref="V95:X95"/>
    <mergeCell ref="A87:B92"/>
    <mergeCell ref="D87:E87"/>
    <mergeCell ref="L87:N91"/>
    <mergeCell ref="D88:E88"/>
    <mergeCell ref="D89:E89"/>
    <mergeCell ref="D90:E90"/>
    <mergeCell ref="D91:E91"/>
    <mergeCell ref="D92:E92"/>
    <mergeCell ref="H92:K92"/>
    <mergeCell ref="L92:N92"/>
    <mergeCell ref="T91:U91"/>
    <mergeCell ref="X91:AA91"/>
    <mergeCell ref="O89:P89"/>
    <mergeCell ref="O90:P90"/>
    <mergeCell ref="O91:P91"/>
    <mergeCell ref="O92:P92"/>
    <mergeCell ref="Y95:Z95"/>
    <mergeCell ref="A93:E93"/>
    <mergeCell ref="A94:Q94"/>
    <mergeCell ref="A95:D95"/>
    <mergeCell ref="E95:J95"/>
    <mergeCell ref="A82:B86"/>
    <mergeCell ref="D82:E82"/>
    <mergeCell ref="L82:N85"/>
    <mergeCell ref="D83:E83"/>
    <mergeCell ref="D84:E84"/>
    <mergeCell ref="D85:E85"/>
    <mergeCell ref="D86:E86"/>
    <mergeCell ref="H86:K86"/>
    <mergeCell ref="L86:N86"/>
    <mergeCell ref="H76:K76"/>
    <mergeCell ref="L76:N76"/>
    <mergeCell ref="A77:B81"/>
    <mergeCell ref="D77:E77"/>
    <mergeCell ref="L77:N80"/>
    <mergeCell ref="D78:E78"/>
    <mergeCell ref="D79:E79"/>
    <mergeCell ref="D80:E80"/>
    <mergeCell ref="D81:E81"/>
    <mergeCell ref="H81:K81"/>
    <mergeCell ref="L81:N81"/>
    <mergeCell ref="AB94:AC94"/>
    <mergeCell ref="AD94:AE94"/>
    <mergeCell ref="AF94:AG94"/>
    <mergeCell ref="T89:U89"/>
    <mergeCell ref="AB95:AC95"/>
    <mergeCell ref="AD95:AE95"/>
    <mergeCell ref="AF95:AG95"/>
    <mergeCell ref="T90:U90"/>
    <mergeCell ref="A67:B71"/>
    <mergeCell ref="D67:E67"/>
    <mergeCell ref="L67:N70"/>
    <mergeCell ref="D68:E68"/>
    <mergeCell ref="D69:E69"/>
    <mergeCell ref="D70:E70"/>
    <mergeCell ref="D71:E71"/>
    <mergeCell ref="H71:K71"/>
    <mergeCell ref="L71:N71"/>
    <mergeCell ref="A72:B76"/>
    <mergeCell ref="D72:E72"/>
    <mergeCell ref="L72:N75"/>
    <mergeCell ref="D73:E73"/>
    <mergeCell ref="D74:E74"/>
    <mergeCell ref="D75:E75"/>
    <mergeCell ref="D76:E76"/>
    <mergeCell ref="AB92:AG92"/>
    <mergeCell ref="Q87:R91"/>
    <mergeCell ref="T87:U87"/>
    <mergeCell ref="AB87:AD90"/>
    <mergeCell ref="AB93:AC93"/>
    <mergeCell ref="AD93:AE93"/>
    <mergeCell ref="AF93:AG93"/>
    <mergeCell ref="T88:U88"/>
    <mergeCell ref="AB91:AD91"/>
    <mergeCell ref="AB51:AC51"/>
    <mergeCell ref="AD51:AE51"/>
    <mergeCell ref="AF51:AG51"/>
    <mergeCell ref="T84:U84"/>
    <mergeCell ref="T85:U85"/>
    <mergeCell ref="T86:U86"/>
    <mergeCell ref="O72:P72"/>
    <mergeCell ref="O73:P73"/>
    <mergeCell ref="O74:P74"/>
    <mergeCell ref="O75:P75"/>
    <mergeCell ref="X71:AA71"/>
    <mergeCell ref="T69:U69"/>
    <mergeCell ref="P52:S52"/>
    <mergeCell ref="T52:U52"/>
    <mergeCell ref="V52:Y52"/>
    <mergeCell ref="Z52:AA52"/>
    <mergeCell ref="T70:U70"/>
    <mergeCell ref="AB67:AD70"/>
    <mergeCell ref="AB65:AD66"/>
    <mergeCell ref="AE65:AE66"/>
    <mergeCell ref="X86:AA86"/>
    <mergeCell ref="AB86:AD86"/>
    <mergeCell ref="A64:AE64"/>
    <mergeCell ref="L65:N66"/>
    <mergeCell ref="AB49:AC49"/>
    <mergeCell ref="AD49:AE49"/>
    <mergeCell ref="AF49:AG49"/>
    <mergeCell ref="Q82:R86"/>
    <mergeCell ref="T82:U82"/>
    <mergeCell ref="AB82:AD85"/>
    <mergeCell ref="AB50:AC50"/>
    <mergeCell ref="AD50:AE50"/>
    <mergeCell ref="AF50:AG50"/>
    <mergeCell ref="T83:U83"/>
    <mergeCell ref="P54:S54"/>
    <mergeCell ref="T54:U54"/>
    <mergeCell ref="V54:Y54"/>
    <mergeCell ref="Z54:AA54"/>
    <mergeCell ref="Q72:R76"/>
    <mergeCell ref="T72:U72"/>
    <mergeCell ref="AB72:AD75"/>
    <mergeCell ref="P55:S55"/>
    <mergeCell ref="T55:U55"/>
    <mergeCell ref="P53:S53"/>
    <mergeCell ref="T53:U53"/>
    <mergeCell ref="V53:Y53"/>
    <mergeCell ref="Z53:AA53"/>
    <mergeCell ref="T71:U71"/>
    <mergeCell ref="AB48:AC48"/>
    <mergeCell ref="AD48:AE48"/>
    <mergeCell ref="AF48:AG48"/>
    <mergeCell ref="T81:U81"/>
    <mergeCell ref="X81:AA81"/>
    <mergeCell ref="AB81:AD81"/>
    <mergeCell ref="O76:P76"/>
    <mergeCell ref="O77:P77"/>
    <mergeCell ref="O78:P78"/>
    <mergeCell ref="O79:P79"/>
    <mergeCell ref="T60:U60"/>
    <mergeCell ref="V60:Y60"/>
    <mergeCell ref="T78:U78"/>
    <mergeCell ref="T79:U79"/>
    <mergeCell ref="T76:U76"/>
    <mergeCell ref="V55:Y55"/>
    <mergeCell ref="Z55:AA55"/>
    <mergeCell ref="T73:U73"/>
    <mergeCell ref="P56:S56"/>
    <mergeCell ref="T56:U56"/>
    <mergeCell ref="V56:Y56"/>
    <mergeCell ref="Z56:AA56"/>
    <mergeCell ref="T74:U74"/>
    <mergeCell ref="AB71:AD71"/>
    <mergeCell ref="AB47:AG47"/>
    <mergeCell ref="T80:U80"/>
    <mergeCell ref="O80:P80"/>
    <mergeCell ref="O81:P81"/>
    <mergeCell ref="O82:P82"/>
    <mergeCell ref="X76:AA76"/>
    <mergeCell ref="AB76:AD76"/>
    <mergeCell ref="P59:S59"/>
    <mergeCell ref="T59:U59"/>
    <mergeCell ref="V59:Y59"/>
    <mergeCell ref="Z59:AA59"/>
    <mergeCell ref="Q77:R81"/>
    <mergeCell ref="T77:U77"/>
    <mergeCell ref="AB77:AD80"/>
    <mergeCell ref="P60:S60"/>
    <mergeCell ref="P57:S57"/>
    <mergeCell ref="T57:U57"/>
    <mergeCell ref="V57:Y57"/>
    <mergeCell ref="Z57:AA57"/>
    <mergeCell ref="T75:U75"/>
    <mergeCell ref="P58:S58"/>
    <mergeCell ref="T58:U58"/>
    <mergeCell ref="V58:Y58"/>
    <mergeCell ref="Z58:AA58"/>
    <mergeCell ref="T50:U50"/>
    <mergeCell ref="V50:Y50"/>
    <mergeCell ref="Z50:AA50"/>
    <mergeCell ref="P51:S51"/>
    <mergeCell ref="T51:U51"/>
    <mergeCell ref="V51:Y51"/>
    <mergeCell ref="Z51:AA51"/>
    <mergeCell ref="O65:P66"/>
    <mergeCell ref="P48:U48"/>
    <mergeCell ref="V48:AA48"/>
    <mergeCell ref="P49:S49"/>
    <mergeCell ref="T49:U49"/>
    <mergeCell ref="V49:Y49"/>
    <mergeCell ref="Z49:AA49"/>
    <mergeCell ref="Q67:R71"/>
    <mergeCell ref="T67:U67"/>
    <mergeCell ref="T68:U68"/>
    <mergeCell ref="J49:M49"/>
    <mergeCell ref="A50:D50"/>
    <mergeCell ref="E50:I50"/>
    <mergeCell ref="J50:M50"/>
    <mergeCell ref="A46:D47"/>
    <mergeCell ref="E46:I47"/>
    <mergeCell ref="J46:M47"/>
    <mergeCell ref="A48:D48"/>
    <mergeCell ref="E48:I48"/>
    <mergeCell ref="J48:M48"/>
    <mergeCell ref="L59:M59"/>
    <mergeCell ref="L60:M60"/>
    <mergeCell ref="O46:Y46"/>
    <mergeCell ref="O47:O49"/>
    <mergeCell ref="P47:AA47"/>
    <mergeCell ref="Q65:R66"/>
    <mergeCell ref="S65:S66"/>
    <mergeCell ref="T65:V66"/>
    <mergeCell ref="W65:W66"/>
    <mergeCell ref="X65:AA66"/>
    <mergeCell ref="P50:S50"/>
    <mergeCell ref="A42:AG42"/>
    <mergeCell ref="B43:J43"/>
    <mergeCell ref="Q43:Z45"/>
    <mergeCell ref="B44:G44"/>
    <mergeCell ref="H44:I44"/>
    <mergeCell ref="L44:M44"/>
    <mergeCell ref="J36:V36"/>
    <mergeCell ref="J37:M37"/>
    <mergeCell ref="N37:R37"/>
    <mergeCell ref="S37:U37"/>
    <mergeCell ref="J38:M38"/>
    <mergeCell ref="N38:R38"/>
    <mergeCell ref="S38:U38"/>
    <mergeCell ref="J33:Y33"/>
    <mergeCell ref="AA34:AB34"/>
    <mergeCell ref="AC34:AF34"/>
    <mergeCell ref="J34:X34"/>
    <mergeCell ref="J35:V35"/>
    <mergeCell ref="W35:X35"/>
    <mergeCell ref="J32:M32"/>
    <mergeCell ref="N32:Q32"/>
    <mergeCell ref="R32:V32"/>
    <mergeCell ref="W32:Y32"/>
    <mergeCell ref="AA33:AB33"/>
    <mergeCell ref="AC33:AF33"/>
    <mergeCell ref="D30:H30"/>
    <mergeCell ref="A31:C31"/>
    <mergeCell ref="D31:H31"/>
    <mergeCell ref="D32:H32"/>
    <mergeCell ref="A27:W27"/>
    <mergeCell ref="Z27:AG27"/>
    <mergeCell ref="A24:W24"/>
    <mergeCell ref="Z24:AG24"/>
    <mergeCell ref="A25:W25"/>
    <mergeCell ref="Z25:AG25"/>
    <mergeCell ref="A26:W26"/>
    <mergeCell ref="Z26:AG26"/>
    <mergeCell ref="AC31:AF31"/>
    <mergeCell ref="J31:M31"/>
    <mergeCell ref="N31:Q31"/>
    <mergeCell ref="R31:V31"/>
    <mergeCell ref="AA32:AB32"/>
    <mergeCell ref="AC32:AF32"/>
    <mergeCell ref="J29:V29"/>
    <mergeCell ref="J30:M30"/>
    <mergeCell ref="N30:Q30"/>
    <mergeCell ref="R30:V30"/>
    <mergeCell ref="W30:Y31"/>
    <mergeCell ref="AA31:AB31"/>
    <mergeCell ref="A21:W21"/>
    <mergeCell ref="Z21:AG21"/>
    <mergeCell ref="A22:W22"/>
    <mergeCell ref="Z22:AG22"/>
    <mergeCell ref="A23:W23"/>
    <mergeCell ref="Z23:AG23"/>
    <mergeCell ref="A17:F17"/>
    <mergeCell ref="G17:M17"/>
    <mergeCell ref="N17:S17"/>
    <mergeCell ref="T17:Z17"/>
    <mergeCell ref="AA17:AD17"/>
    <mergeCell ref="A19:W20"/>
    <mergeCell ref="X19:Y19"/>
    <mergeCell ref="Z19:AG20"/>
    <mergeCell ref="A15:AG15"/>
    <mergeCell ref="A16:D16"/>
    <mergeCell ref="E16:H16"/>
    <mergeCell ref="J16:K16"/>
    <mergeCell ref="L16:M16"/>
    <mergeCell ref="O16:R16"/>
    <mergeCell ref="S16:U16"/>
    <mergeCell ref="W16:X16"/>
    <mergeCell ref="Y16:Z16"/>
    <mergeCell ref="AB16:AD16"/>
    <mergeCell ref="Z14:AG14"/>
    <mergeCell ref="AA10:AG10"/>
    <mergeCell ref="A12:AG12"/>
    <mergeCell ref="A13:C13"/>
    <mergeCell ref="D13:M13"/>
    <mergeCell ref="N13:P13"/>
    <mergeCell ref="Q13:W13"/>
    <mergeCell ref="X13:Y13"/>
    <mergeCell ref="Z13:AG13"/>
    <mergeCell ref="A6:H6"/>
    <mergeCell ref="I6:P6"/>
    <mergeCell ref="R6:X6"/>
    <mergeCell ref="Z6:AF6"/>
    <mergeCell ref="A7:H7"/>
    <mergeCell ref="I7:P7"/>
    <mergeCell ref="R7:X7"/>
    <mergeCell ref="Z7:AF7"/>
    <mergeCell ref="L57:M57"/>
    <mergeCell ref="A8:H8"/>
    <mergeCell ref="I8:P8"/>
    <mergeCell ref="R8:X8"/>
    <mergeCell ref="Z8:AF8"/>
    <mergeCell ref="A9:AG9"/>
    <mergeCell ref="A10:C10"/>
    <mergeCell ref="D10:L10"/>
    <mergeCell ref="M10:O10"/>
    <mergeCell ref="P10:W10"/>
    <mergeCell ref="X10:Z10"/>
    <mergeCell ref="A14:D14"/>
    <mergeCell ref="E14:M14"/>
    <mergeCell ref="N14:P14"/>
    <mergeCell ref="Q14:W14"/>
    <mergeCell ref="X14:Y14"/>
  </mergeCells>
  <conditionalFormatting sqref="I31:I32">
    <cfRule type="cellIs" dxfId="28" priority="44" stopIfTrue="1" operator="greaterThan">
      <formula>#REF!+30</formula>
    </cfRule>
    <cfRule type="cellIs" dxfId="27" priority="45" stopIfTrue="1" operator="greaterThan">
      <formula>#REF!+7</formula>
    </cfRule>
    <cfRule type="cellIs" dxfId="26" priority="46" stopIfTrue="1" operator="between">
      <formula>1</formula>
      <formula>#REF!+7</formula>
    </cfRule>
  </conditionalFormatting>
  <conditionalFormatting sqref="L71:N71">
    <cfRule type="containsBlanks" dxfId="25" priority="22">
      <formula>LEN(TRIM(L71))=0</formula>
    </cfRule>
  </conditionalFormatting>
  <conditionalFormatting sqref="L76:N76">
    <cfRule type="containsBlanks" dxfId="24" priority="21">
      <formula>LEN(TRIM(L76))=0</formula>
    </cfRule>
  </conditionalFormatting>
  <conditionalFormatting sqref="L81:N81">
    <cfRule type="containsBlanks" dxfId="23" priority="20">
      <formula>LEN(TRIM(L81))=0</formula>
    </cfRule>
  </conditionalFormatting>
  <conditionalFormatting sqref="L86:N86">
    <cfRule type="containsBlanks" dxfId="22" priority="19">
      <formula>LEN(TRIM(L86))=0</formula>
    </cfRule>
  </conditionalFormatting>
  <conditionalFormatting sqref="L92:N92">
    <cfRule type="containsBlanks" dxfId="21" priority="18">
      <formula>LEN(TRIM(L92))=0</formula>
    </cfRule>
  </conditionalFormatting>
  <conditionalFormatting sqref="W35:X35">
    <cfRule type="containsText" dxfId="20" priority="1" operator="containsText" text="SOLICITAR">
      <formula>NOT(ISERROR(SEARCH("SOLICITAR",W35)))</formula>
    </cfRule>
    <cfRule type="containsBlanks" dxfId="19" priority="8">
      <formula>LEN(TRIM(W35))=0</formula>
    </cfRule>
  </conditionalFormatting>
  <conditionalFormatting sqref="Y34">
    <cfRule type="containsBlanks" dxfId="18" priority="2">
      <formula>LEN(TRIM(Y34))=0</formula>
    </cfRule>
  </conditionalFormatting>
  <conditionalFormatting sqref="AB71:AD71">
    <cfRule type="containsBlanks" dxfId="17" priority="27">
      <formula>LEN(TRIM(AB71))=0</formula>
    </cfRule>
  </conditionalFormatting>
  <conditionalFormatting sqref="AB76:AD76">
    <cfRule type="containsBlanks" dxfId="16" priority="26">
      <formula>LEN(TRIM(AB76))=0</formula>
    </cfRule>
  </conditionalFormatting>
  <conditionalFormatting sqref="AB81:AD81">
    <cfRule type="containsBlanks" dxfId="15" priority="25">
      <formula>LEN(TRIM(AB81))=0</formula>
    </cfRule>
  </conditionalFormatting>
  <conditionalFormatting sqref="AB86:AD86">
    <cfRule type="containsBlanks" dxfId="14" priority="24">
      <formula>LEN(TRIM(AB86))=0</formula>
    </cfRule>
  </conditionalFormatting>
  <conditionalFormatting sqref="AB91:AD91">
    <cfRule type="containsBlanks" dxfId="13" priority="23">
      <formula>LEN(TRIM(AB91))=0</formula>
    </cfRule>
  </conditionalFormatting>
  <dataValidations xWindow="541" yWindow="298" count="12">
    <dataValidation type="list" allowBlank="1" showInputMessage="1" showErrorMessage="1" sqref="S89:S90 S67:S70 S77 S79:S80 S87 C67:C70 C72:C75 C77:C80 C82:C85 S82:S85 S72:S75 C87:C91" xr:uid="{00000000-0002-0000-0500-000000000000}">
      <formula1>$AJ$2:$AJ$4</formula1>
    </dataValidation>
    <dataValidation type="list" allowBlank="1" showInputMessage="1" showErrorMessage="1" sqref="Y35" xr:uid="{00000000-0002-0000-0500-000001000000}">
      <formula1>$AJ$6:$AJ$7</formula1>
    </dataValidation>
    <dataValidation allowBlank="1" showInputMessage="1" showErrorMessage="1" promptTitle="DOCUMENTE" prompt="Si no cumple, debe redactar una observación" sqref="Y21:Y27" xr:uid="{00000000-0002-0000-0500-000002000000}"/>
    <dataValidation allowBlank="1" showInputMessage="1" showErrorMessage="1" promptTitle="Numero de  decimales" prompt="Tener en cuenta que coincidan el numero de  decimales  con los de la  resolucion" sqref="X67 X81:X82 H92 H86:H87 H81:H82 Y81:AA81 X76:X77 X71:X72 H71:H72 H76:H77 V48 P48 V60 Q59:S59 U59 U51:U57 Z60:AA60 T58:T60 P58:P60 P50:T57 V50:Z59 AG94:AG96 H67 X86:X87 X91 AG49:AG51 AB52:AC60" xr:uid="{00000000-0002-0000-0500-000003000000}"/>
    <dataValidation operator="notBetween" allowBlank="1" showInputMessage="1" showErrorMessage="1" promptTitle="Numero de Decimales" prompt="Tener en cuenta que coincidan el numero de  decimales  con los de la  resolucion_x000a_" sqref="E48:I53" xr:uid="{00000000-0002-0000-0500-000004000000}"/>
    <dataValidation type="list" allowBlank="1" showInputMessage="1" showErrorMessage="1" sqref="Y34 V37:V39 S78 S88" xr:uid="{00000000-0002-0000-0500-000005000000}">
      <formula1>$AJ$2:$AJ$3</formula1>
    </dataValidation>
    <dataValidation type="list" allowBlank="1" showInputMessage="1" showErrorMessage="1" sqref="D13" xr:uid="{00000000-0002-0000-0500-000006000000}">
      <formula1>$Y$128:$Y$137</formula1>
    </dataValidation>
    <dataValidation type="list" allowBlank="1" showInputMessage="1" showErrorMessage="1" sqref="N113" xr:uid="{00000000-0002-0000-0500-000007000000}">
      <formula1>$I$128:$I$130</formula1>
    </dataValidation>
    <dataValidation type="list" allowBlank="1" showInputMessage="1" showErrorMessage="1" sqref="N114" xr:uid="{00000000-0002-0000-0500-000008000000}">
      <formula1>$Q$128:$Q$129</formula1>
    </dataValidation>
    <dataValidation type="list" allowBlank="1" showInputMessage="1" showErrorMessage="1" sqref="C114" xr:uid="{00000000-0002-0000-0500-000009000000}">
      <formula1>$Q$128:$Q$130</formula1>
    </dataValidation>
    <dataValidation type="list" allowBlank="1" showInputMessage="1" showErrorMessage="1" sqref="C113:I113" xr:uid="{00000000-0002-0000-0500-00000A000000}">
      <formula1>$I$128:$I$133</formula1>
    </dataValidation>
    <dataValidation type="list" allowBlank="1" showInputMessage="1" showErrorMessage="1" sqref="I16" xr:uid="{00000000-0002-0000-0500-00000B000000}">
      <formula1>$A$128:$A$131</formula1>
    </dataValidation>
  </dataValidations>
  <printOptions horizontalCentered="1" verticalCentered="1"/>
  <pageMargins left="0.31496062992125984" right="0.31496062992125984" top="0.15748031496062992" bottom="0.74803149606299213" header="0.31496062992125984" footer="0.31496062992125984"/>
  <pageSetup scale="47" orientation="portrait" r:id="rId1"/>
  <rowBreaks count="2" manualBreakCount="2">
    <brk id="63" max="32" man="1"/>
    <brk id="114" max="29" man="1"/>
  </rowBreaks>
  <drawing r:id="rId2"/>
  <legacyDrawing r:id="rId3"/>
  <oleObjects>
    <mc:AlternateContent xmlns:mc="http://schemas.openxmlformats.org/markup-compatibility/2006">
      <mc:Choice Requires="x14">
        <oleObject progId="PBrush" shapeId="5021697" r:id="rId4">
          <objectPr defaultSize="0" autoPict="0" r:id="rId5">
            <anchor moveWithCells="1" sizeWithCells="1">
              <from>
                <xdr:col>26</xdr:col>
                <xdr:colOff>47625</xdr:colOff>
                <xdr:row>0</xdr:row>
                <xdr:rowOff>257175</xdr:rowOff>
              </from>
              <to>
                <xdr:col>31</xdr:col>
                <xdr:colOff>390525</xdr:colOff>
                <xdr:row>2</xdr:row>
                <xdr:rowOff>247650</xdr:rowOff>
              </to>
            </anchor>
          </objectPr>
        </oleObject>
      </mc:Choice>
      <mc:Fallback>
        <oleObject progId="PBrush" shapeId="5021697" r:id="rId4"/>
      </mc:Fallback>
    </mc:AlternateContent>
  </oleObjects>
  <extLst>
    <ext xmlns:x14="http://schemas.microsoft.com/office/spreadsheetml/2009/9/main" uri="{CCE6A557-97BC-4b89-ADB6-D9C93CAAB3DF}">
      <x14:dataValidations xmlns:xm="http://schemas.microsoft.com/office/excel/2006/main" xWindow="541" yWindow="298" count="1">
        <x14:dataValidation type="list" allowBlank="1" showInputMessage="1" showErrorMessage="1" xr:uid="{00000000-0002-0000-0500-00000C000000}">
          <x14:formula1>
            <xm:f>'Errores  Patrones'!$AB$4:$AB$11</xm:f>
          </x14:formula1>
          <xm:sqref>A31:A32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BB408"/>
  <sheetViews>
    <sheetView view="pageBreakPreview" topLeftCell="A10" zoomScaleNormal="90" zoomScaleSheetLayoutView="100" workbookViewId="0">
      <selection activeCell="E19" sqref="E19"/>
    </sheetView>
  </sheetViews>
  <sheetFormatPr baseColWidth="10" defaultColWidth="11.42578125" defaultRowHeight="15"/>
  <cols>
    <col min="1" max="1" width="4.7109375" style="1" customWidth="1"/>
    <col min="2" max="2" width="18.7109375" style="1" customWidth="1"/>
    <col min="3" max="3" width="30.85546875" style="1" customWidth="1"/>
    <col min="4" max="4" width="28.85546875" style="1" customWidth="1"/>
    <col min="5" max="5" width="21" style="1" customWidth="1"/>
    <col min="6" max="6" width="41" style="1" customWidth="1"/>
    <col min="7" max="7" width="37" style="1" customWidth="1"/>
    <col min="8" max="8" width="24.85546875" style="1" customWidth="1"/>
    <col min="9" max="9" width="17.42578125" style="1" customWidth="1"/>
    <col min="10" max="10" width="16.5703125" style="1" customWidth="1"/>
    <col min="11" max="11" width="16.42578125" style="1" customWidth="1"/>
    <col min="12" max="12" width="15.42578125" style="1" customWidth="1"/>
    <col min="13" max="13" width="21.140625" style="1" customWidth="1"/>
    <col min="14" max="29" width="6" style="1" customWidth="1"/>
    <col min="30" max="30" width="6.28515625" style="1" customWidth="1"/>
    <col min="31" max="31" width="6" style="1" customWidth="1"/>
    <col min="32" max="32" width="5.7109375" style="1" customWidth="1"/>
    <col min="33" max="33" width="5.5703125" style="1" customWidth="1"/>
    <col min="34" max="34" width="6.5703125" style="1" customWidth="1"/>
    <col min="35" max="37" width="4.7109375" style="1" customWidth="1"/>
    <col min="38" max="38" width="7.42578125" style="1" customWidth="1"/>
    <col min="39" max="50" width="4.7109375" style="1" customWidth="1"/>
    <col min="51" max="51" width="13.7109375" style="1" customWidth="1"/>
    <col min="52" max="52" width="10.140625" style="1" customWidth="1"/>
    <col min="53" max="53" width="4.7109375" style="1" customWidth="1"/>
    <col min="54" max="54" width="19.28515625" style="1" customWidth="1"/>
    <col min="55" max="109" width="4.7109375" style="1" customWidth="1"/>
    <col min="110" max="16384" width="11.42578125" style="1"/>
  </cols>
  <sheetData>
    <row r="1" spans="2:54">
      <c r="C1" s="1831" t="s">
        <v>162</v>
      </c>
      <c r="D1" s="1831"/>
      <c r="E1" s="1831"/>
      <c r="F1" s="1831"/>
      <c r="G1" s="1831"/>
    </row>
    <row r="2" spans="2:54">
      <c r="C2" s="23" t="s">
        <v>163</v>
      </c>
      <c r="D2" s="23">
        <v>1000</v>
      </c>
      <c r="E2" s="23" t="s">
        <v>328</v>
      </c>
      <c r="F2" s="24" t="s">
        <v>167</v>
      </c>
      <c r="G2" s="23">
        <f>(0.34848*D2-0.009*D3*EXP(0.061*D4))/(273.15+D4)</f>
        <v>1.1835434607534383</v>
      </c>
      <c r="H2" s="64">
        <f>+G2/1000</f>
        <v>1.1835434607534382E-3</v>
      </c>
      <c r="N2" s="1" t="s">
        <v>173</v>
      </c>
      <c r="AZ2" s="1" t="s">
        <v>194</v>
      </c>
    </row>
    <row r="3" spans="2:54" ht="17.25">
      <c r="C3" s="23" t="s">
        <v>164</v>
      </c>
      <c r="D3" s="23">
        <v>50</v>
      </c>
      <c r="E3" s="23" t="s">
        <v>160</v>
      </c>
      <c r="F3" s="22"/>
      <c r="G3" s="64" t="s">
        <v>332</v>
      </c>
      <c r="H3" s="64" t="s">
        <v>333</v>
      </c>
      <c r="N3" s="1" t="s">
        <v>174</v>
      </c>
      <c r="Q3" s="1" t="s">
        <v>175</v>
      </c>
      <c r="AY3" t="s">
        <v>1248</v>
      </c>
      <c r="AZ3" s="610">
        <v>7.79E-6</v>
      </c>
      <c r="BB3" s="1">
        <f>AZ3/1000000</f>
        <v>7.7899999999999997E-12</v>
      </c>
    </row>
    <row r="4" spans="2:54">
      <c r="C4" s="23" t="s">
        <v>165</v>
      </c>
      <c r="D4" s="23">
        <v>20</v>
      </c>
      <c r="E4" s="23" t="s">
        <v>161</v>
      </c>
      <c r="N4" s="1" t="s">
        <v>177</v>
      </c>
      <c r="AY4" t="s">
        <v>1249</v>
      </c>
      <c r="AZ4" s="610">
        <v>3.5300000000000001E-6</v>
      </c>
      <c r="BB4" s="1">
        <f t="shared" ref="BB4:BB14" si="0">AZ4/1000000</f>
        <v>3.5300000000000001E-12</v>
      </c>
    </row>
    <row r="5" spans="2:54" ht="33.75" customHeight="1">
      <c r="Z5" s="1832" t="s">
        <v>180</v>
      </c>
      <c r="AA5" s="1832"/>
      <c r="AB5" s="1832"/>
      <c r="AC5" s="1832"/>
      <c r="AD5" s="1832"/>
      <c r="AE5" s="1832"/>
      <c r="AF5" s="1832"/>
      <c r="AG5" s="1832"/>
      <c r="AH5" s="1832"/>
      <c r="AY5" t="s">
        <v>1250</v>
      </c>
      <c r="AZ5" s="610">
        <v>1.9599999999999999E-6</v>
      </c>
      <c r="BB5" s="1">
        <f t="shared" si="0"/>
        <v>1.9599999999999997E-12</v>
      </c>
    </row>
    <row r="6" spans="2:54">
      <c r="C6" s="1831" t="s">
        <v>166</v>
      </c>
      <c r="D6" s="1831"/>
      <c r="E6" s="1831"/>
      <c r="F6" s="1831"/>
      <c r="G6" s="1831"/>
      <c r="N6" s="23" t="s">
        <v>176</v>
      </c>
      <c r="O6" s="23">
        <v>20</v>
      </c>
      <c r="P6" s="23">
        <v>15</v>
      </c>
      <c r="Q6" s="23">
        <v>10</v>
      </c>
      <c r="R6" s="23">
        <v>7</v>
      </c>
      <c r="S6" s="23">
        <v>5</v>
      </c>
      <c r="T6" s="23">
        <v>3</v>
      </c>
      <c r="U6" s="23">
        <v>2</v>
      </c>
      <c r="V6" s="23">
        <v>1</v>
      </c>
      <c r="W6" s="23" t="s">
        <v>178</v>
      </c>
      <c r="Z6" s="23" t="s">
        <v>176</v>
      </c>
      <c r="AA6" s="23">
        <v>20</v>
      </c>
      <c r="AB6" s="23">
        <v>15</v>
      </c>
      <c r="AC6" s="23">
        <v>10</v>
      </c>
      <c r="AD6" s="23">
        <v>7</v>
      </c>
      <c r="AE6" s="23">
        <v>5</v>
      </c>
      <c r="AF6" s="23">
        <v>3</v>
      </c>
      <c r="AG6" s="23">
        <v>2</v>
      </c>
      <c r="AH6" s="23">
        <v>1</v>
      </c>
      <c r="AL6" s="23" t="s">
        <v>193</v>
      </c>
      <c r="AM6" s="23">
        <v>10</v>
      </c>
      <c r="AN6" s="23">
        <v>9</v>
      </c>
      <c r="AO6" s="23">
        <v>8</v>
      </c>
      <c r="AP6" s="23">
        <v>7</v>
      </c>
      <c r="AQ6" s="23">
        <v>6</v>
      </c>
      <c r="AR6" s="23">
        <v>5</v>
      </c>
      <c r="AS6" s="23">
        <v>4</v>
      </c>
      <c r="AT6" s="23">
        <v>3</v>
      </c>
      <c r="AU6" s="23">
        <v>2</v>
      </c>
      <c r="AV6" s="23">
        <v>1</v>
      </c>
      <c r="AY6" t="s">
        <v>1251</v>
      </c>
      <c r="AZ6" s="610">
        <v>1.0900000000000002E-6</v>
      </c>
      <c r="BB6" s="1">
        <f t="shared" si="0"/>
        <v>1.0900000000000002E-12</v>
      </c>
    </row>
    <row r="7" spans="2:54">
      <c r="C7" s="23" t="s">
        <v>163</v>
      </c>
      <c r="D7" s="23">
        <f>+Formato!U45</f>
        <v>902</v>
      </c>
      <c r="E7" s="23" t="s">
        <v>328</v>
      </c>
      <c r="F7" s="24" t="s">
        <v>169</v>
      </c>
      <c r="G7" s="23">
        <f>(0.34848*D7-0.009*D8*EXP(0.061*D9))/(273.15+D9)</f>
        <v>1.0491546936799967</v>
      </c>
      <c r="H7" s="64">
        <f>+G7/1000</f>
        <v>1.0491546936799967E-3</v>
      </c>
      <c r="N7" s="23">
        <v>20</v>
      </c>
      <c r="O7" s="23"/>
      <c r="P7" s="23">
        <v>96.2</v>
      </c>
      <c r="Q7" s="23">
        <v>144</v>
      </c>
      <c r="R7" s="23">
        <v>135.19999999999999</v>
      </c>
      <c r="S7" s="23">
        <v>135</v>
      </c>
      <c r="T7" s="23">
        <v>219.2</v>
      </c>
      <c r="U7" s="23">
        <v>186.6</v>
      </c>
      <c r="V7" s="23">
        <v>345.5</v>
      </c>
      <c r="W7" s="23">
        <f>+SUM(P7:V7)</f>
        <v>1261.6999999999998</v>
      </c>
      <c r="Z7" s="23">
        <v>20</v>
      </c>
      <c r="AA7" s="23">
        <v>49.23</v>
      </c>
      <c r="AB7" s="23">
        <v>38</v>
      </c>
      <c r="AC7" s="23">
        <v>26.43</v>
      </c>
      <c r="AD7" s="27">
        <v>19.25</v>
      </c>
      <c r="AE7" s="27">
        <v>14.3</v>
      </c>
      <c r="AF7" s="27">
        <v>9.14</v>
      </c>
      <c r="AG7" s="27">
        <v>6.42</v>
      </c>
      <c r="AH7" s="27">
        <v>3.53</v>
      </c>
      <c r="AL7" s="23">
        <f>+Z7*1000</f>
        <v>20000</v>
      </c>
      <c r="AM7" s="23">
        <f>+AC7</f>
        <v>26.43</v>
      </c>
      <c r="AN7" s="23">
        <f>+AM7-(AM7-AP7)/($AM$6-$AP$6)*($AM$6-$AN$6)</f>
        <v>24.036666666666665</v>
      </c>
      <c r="AO7" s="23">
        <f>+AM7-(AM7-AP7)/($AM$6-$AP$6)*($AM$6-$AO$6)</f>
        <v>21.643333333333334</v>
      </c>
      <c r="AP7" s="23">
        <f>+AD7</f>
        <v>19.25</v>
      </c>
      <c r="AQ7" s="23">
        <f>+AP7-(AP7-AR7)/($AP$6-$AR$6)*($AP$6-$AQ$6)</f>
        <v>16.774999999999999</v>
      </c>
      <c r="AR7" s="23">
        <f>+AE7</f>
        <v>14.3</v>
      </c>
      <c r="AS7" s="23">
        <f>+AR7-(AR7-AT7)/($AR$6-$AT$6)*($AR$6-$AS$6)</f>
        <v>11.72</v>
      </c>
      <c r="AT7" s="23">
        <f t="shared" ref="AT7:AV8" si="1">+AF7</f>
        <v>9.14</v>
      </c>
      <c r="AU7" s="23">
        <f t="shared" si="1"/>
        <v>6.42</v>
      </c>
      <c r="AV7" s="23">
        <f t="shared" si="1"/>
        <v>3.53</v>
      </c>
      <c r="AY7" t="s">
        <v>1252</v>
      </c>
      <c r="AZ7" s="610">
        <v>5.0999999999999999E-7</v>
      </c>
      <c r="BB7" s="1">
        <f t="shared" si="0"/>
        <v>5.0999999999999995E-13</v>
      </c>
    </row>
    <row r="8" spans="2:54" ht="17.25">
      <c r="C8" s="23" t="s">
        <v>164</v>
      </c>
      <c r="D8" s="25">
        <f>+Formato!P44</f>
        <v>54</v>
      </c>
      <c r="E8" s="23" t="s">
        <v>160</v>
      </c>
      <c r="F8" s="22"/>
      <c r="G8" s="64" t="s">
        <v>332</v>
      </c>
      <c r="H8" s="64" t="s">
        <v>333</v>
      </c>
      <c r="N8" s="23">
        <v>10</v>
      </c>
      <c r="O8" s="23"/>
      <c r="P8" s="23">
        <v>68.3</v>
      </c>
      <c r="Q8" s="23">
        <v>101.9</v>
      </c>
      <c r="R8" s="23">
        <v>95.3</v>
      </c>
      <c r="S8" s="23">
        <v>94.8</v>
      </c>
      <c r="T8" s="23">
        <v>153.30000000000001</v>
      </c>
      <c r="U8" s="23" t="s">
        <v>179</v>
      </c>
      <c r="V8" s="23">
        <v>239.1</v>
      </c>
      <c r="W8" s="23">
        <f t="shared" ref="W8:W17" si="2">+SUM(P8:V8)</f>
        <v>752.7</v>
      </c>
      <c r="Z8" s="23">
        <v>10</v>
      </c>
      <c r="AA8" s="23">
        <v>26.43</v>
      </c>
      <c r="AB8" s="23">
        <v>20.47</v>
      </c>
      <c r="AC8" s="23">
        <v>14.3</v>
      </c>
      <c r="AD8" s="27">
        <v>10.45</v>
      </c>
      <c r="AE8" s="27">
        <v>7.79</v>
      </c>
      <c r="AF8" s="27">
        <v>5.01</v>
      </c>
      <c r="AG8" s="27">
        <v>3.53</v>
      </c>
      <c r="AH8" s="27">
        <v>1.96</v>
      </c>
      <c r="AL8" s="23">
        <f>+Z8*1000</f>
        <v>10000</v>
      </c>
      <c r="AM8" s="23">
        <f>+AC8</f>
        <v>14.3</v>
      </c>
      <c r="AN8" s="23">
        <f>+AM8-(AM8-AP8)/($AM$6-$AP$6)*($AM$6-$AN$6)</f>
        <v>13.016666666666667</v>
      </c>
      <c r="AO8" s="23">
        <f>+AM8-(AM8-AP8)/($AM$6-$AP$6)*($AM$6-$AO$6)</f>
        <v>11.733333333333333</v>
      </c>
      <c r="AP8" s="23">
        <f>+AD8</f>
        <v>10.45</v>
      </c>
      <c r="AQ8" s="23">
        <f>+AP8-(AP8-AR8)/($AP$6-$AR$6)*($AP$6-$AQ$6)</f>
        <v>9.1199999999999992</v>
      </c>
      <c r="AR8" s="23">
        <f>+AE8</f>
        <v>7.79</v>
      </c>
      <c r="AS8" s="23">
        <f>+AR8-(AR8-AT8)/($AR$6-$AT$6)*($AR$6-$AS$6)</f>
        <v>6.4</v>
      </c>
      <c r="AT8" s="23">
        <f t="shared" si="1"/>
        <v>5.01</v>
      </c>
      <c r="AU8" s="23">
        <f t="shared" si="1"/>
        <v>3.53</v>
      </c>
      <c r="AV8" s="23">
        <f t="shared" si="1"/>
        <v>1.96</v>
      </c>
      <c r="AY8" t="s">
        <v>1253</v>
      </c>
      <c r="AZ8" s="610">
        <v>2.8999999999999998E-7</v>
      </c>
      <c r="BB8" s="1">
        <f t="shared" si="0"/>
        <v>2.8999999999999998E-13</v>
      </c>
    </row>
    <row r="9" spans="2:54">
      <c r="C9" s="23" t="s">
        <v>165</v>
      </c>
      <c r="D9" s="23">
        <f>+Formato!L45</f>
        <v>24.4</v>
      </c>
      <c r="E9" s="23" t="s">
        <v>161</v>
      </c>
      <c r="N9" s="23">
        <v>5</v>
      </c>
      <c r="O9" s="23"/>
      <c r="P9" s="23">
        <v>48.1</v>
      </c>
      <c r="Q9" s="23">
        <v>71.599999999999994</v>
      </c>
      <c r="R9" s="23">
        <v>66.7</v>
      </c>
      <c r="S9" s="23">
        <v>66.099999999999994</v>
      </c>
      <c r="T9" s="23">
        <v>106.5</v>
      </c>
      <c r="U9" s="23">
        <v>89.7</v>
      </c>
      <c r="V9" s="23">
        <v>164.2</v>
      </c>
      <c r="W9" s="23">
        <f t="shared" si="2"/>
        <v>612.9</v>
      </c>
      <c r="Z9" s="23">
        <v>5</v>
      </c>
      <c r="AA9" s="23">
        <v>14.3</v>
      </c>
      <c r="AB9" s="23">
        <v>11.1</v>
      </c>
      <c r="AC9" s="23">
        <v>7.79</v>
      </c>
      <c r="AD9" s="27">
        <v>5.72</v>
      </c>
      <c r="AE9" s="27">
        <v>4.28</v>
      </c>
      <c r="AF9" s="27">
        <v>2.76</v>
      </c>
      <c r="AG9" s="27">
        <v>1.96</v>
      </c>
      <c r="AH9" s="27">
        <v>1.0900000000000001</v>
      </c>
      <c r="AL9" s="23">
        <f>+Z9*1000</f>
        <v>5000</v>
      </c>
      <c r="AM9" s="23">
        <f>+AC9</f>
        <v>7.79</v>
      </c>
      <c r="AN9" s="23">
        <f>+AM9-(AM9-AP9)/($AM$6-$AP$6)*($AM$6-$AN$6)</f>
        <v>7.1</v>
      </c>
      <c r="AO9" s="23">
        <f>+AM9-(AM9-AP9)/($AM$6-$AP$6)*($AM$6-$AO$6)</f>
        <v>6.41</v>
      </c>
      <c r="AP9" s="23">
        <f>+AD9</f>
        <v>5.72</v>
      </c>
      <c r="AQ9" s="23">
        <f>+AP9-(AP9-AR9)/($AP$6-$AR$6)*($AP$6-$AQ$6)</f>
        <v>5</v>
      </c>
      <c r="AR9" s="23">
        <f>+AE9</f>
        <v>4.28</v>
      </c>
      <c r="AS9" s="23">
        <f>+AR9-(AR9-AT9)/($AR$6-$AT$6)*($AR$6-$AS$6)</f>
        <v>3.52</v>
      </c>
      <c r="AT9" s="23">
        <f t="shared" ref="AT9:AV10" si="3">+AF9</f>
        <v>2.76</v>
      </c>
      <c r="AU9" s="23">
        <f t="shared" si="3"/>
        <v>1.96</v>
      </c>
      <c r="AV9" s="23">
        <f t="shared" si="3"/>
        <v>1.0900000000000001</v>
      </c>
      <c r="AY9" t="s">
        <v>1254</v>
      </c>
      <c r="AZ9" s="610">
        <v>1.7000000000000001E-7</v>
      </c>
      <c r="BB9" s="1">
        <f t="shared" si="0"/>
        <v>1.7000000000000001E-13</v>
      </c>
    </row>
    <row r="10" spans="2:54">
      <c r="N10" s="23">
        <v>2</v>
      </c>
      <c r="O10" s="23"/>
      <c r="P10" s="23">
        <v>30</v>
      </c>
      <c r="Q10" s="23">
        <v>44.4</v>
      </c>
      <c r="R10" s="23">
        <v>41.2</v>
      </c>
      <c r="S10" s="23">
        <v>40.6</v>
      </c>
      <c r="T10" s="23">
        <v>65</v>
      </c>
      <c r="U10" s="23">
        <v>54.4</v>
      </c>
      <c r="V10" s="23">
        <v>98.8</v>
      </c>
      <c r="W10" s="23">
        <f t="shared" si="2"/>
        <v>374.40000000000003</v>
      </c>
      <c r="Z10" s="23">
        <v>2</v>
      </c>
      <c r="AA10" s="23">
        <v>6.42</v>
      </c>
      <c r="AB10" s="23">
        <v>5.01</v>
      </c>
      <c r="AC10" s="23">
        <v>3.53</v>
      </c>
      <c r="AD10" s="27">
        <v>2.61</v>
      </c>
      <c r="AE10" s="27">
        <v>1.96</v>
      </c>
      <c r="AF10" s="27">
        <v>1.27</v>
      </c>
      <c r="AG10" s="27">
        <v>0.91</v>
      </c>
      <c r="AH10" s="27">
        <v>0.51</v>
      </c>
      <c r="AL10" s="23">
        <f>+Z10*1000</f>
        <v>2000</v>
      </c>
      <c r="AM10" s="23">
        <f>+AC10</f>
        <v>3.53</v>
      </c>
      <c r="AN10" s="23">
        <f>+AM10-(AM10-AP10)/($AM$6-$AP$6)*($AM$6-$AN$6)</f>
        <v>3.2233333333333332</v>
      </c>
      <c r="AO10" s="23">
        <f>+AM10-(AM10-AP10)/($AM$6-$AP$6)*($AM$6-$AO$6)</f>
        <v>2.9166666666666665</v>
      </c>
      <c r="AP10" s="23">
        <f>+AD10</f>
        <v>2.61</v>
      </c>
      <c r="AQ10" s="23">
        <f>+AP10-(AP10-AR10)/($AP$6-$AR$6)*($AP$6-$AQ$6)</f>
        <v>2.2850000000000001</v>
      </c>
      <c r="AR10" s="23">
        <f>+AE10</f>
        <v>1.96</v>
      </c>
      <c r="AS10" s="23">
        <f>+AR10-(AR10-AT10)/($AR$6-$AT$6)*($AR$6-$AS$6)</f>
        <v>1.615</v>
      </c>
      <c r="AT10" s="23">
        <f t="shared" si="3"/>
        <v>1.27</v>
      </c>
      <c r="AU10" s="23">
        <f t="shared" si="3"/>
        <v>0.91</v>
      </c>
      <c r="AV10" s="23">
        <f t="shared" si="3"/>
        <v>0.51</v>
      </c>
      <c r="AY10" t="s">
        <v>1255</v>
      </c>
      <c r="AZ10" s="610">
        <v>8.0000000000000002E-8</v>
      </c>
      <c r="BB10" s="1">
        <f t="shared" si="0"/>
        <v>8E-14</v>
      </c>
    </row>
    <row r="11" spans="2:54" ht="17.25">
      <c r="C11" s="1" t="s">
        <v>170</v>
      </c>
      <c r="D11" s="1">
        <f>+VLOOKUP(Formato!I36,'Errores  Patrones'!AB4:AG25,6,0)</f>
        <v>7.95</v>
      </c>
      <c r="E11" s="1" t="s">
        <v>329</v>
      </c>
      <c r="N11" s="23">
        <v>1</v>
      </c>
      <c r="O11" s="23"/>
      <c r="P11" s="23">
        <v>20.8</v>
      </c>
      <c r="Q11" s="23">
        <v>30.7</v>
      </c>
      <c r="R11" s="23">
        <v>28.3</v>
      </c>
      <c r="S11" s="23">
        <v>27.8</v>
      </c>
      <c r="T11" s="23">
        <v>44.3</v>
      </c>
      <c r="U11" s="23">
        <v>37</v>
      </c>
      <c r="V11" s="23">
        <v>66.7</v>
      </c>
      <c r="W11" s="23">
        <f t="shared" si="2"/>
        <v>255.59999999999997</v>
      </c>
      <c r="Z11" s="23">
        <v>1</v>
      </c>
      <c r="AA11" s="23">
        <v>3.53</v>
      </c>
      <c r="AB11" s="23">
        <v>2.76</v>
      </c>
      <c r="AC11" s="23">
        <v>1.96</v>
      </c>
      <c r="AD11" s="27">
        <v>1.45</v>
      </c>
      <c r="AE11" s="27">
        <v>1.0900000000000001</v>
      </c>
      <c r="AF11" s="27">
        <v>0.72</v>
      </c>
      <c r="AG11" s="27">
        <v>0.51</v>
      </c>
      <c r="AH11" s="27">
        <v>0.28999999999999998</v>
      </c>
      <c r="AL11" s="23">
        <v>1210</v>
      </c>
      <c r="AM11" s="27">
        <f>AM14+AM26+AM33</f>
        <v>2.5199999999999996</v>
      </c>
      <c r="AN11" s="27">
        <f t="shared" ref="AN11:AV11" si="4">AN14+AN26+AN33</f>
        <v>2.3000000000000003</v>
      </c>
      <c r="AO11" s="27">
        <f t="shared" si="4"/>
        <v>2.0799999999999996</v>
      </c>
      <c r="AP11" s="27">
        <f t="shared" si="4"/>
        <v>1.86</v>
      </c>
      <c r="AQ11" s="27">
        <f t="shared" si="4"/>
        <v>1.635</v>
      </c>
      <c r="AR11" s="27">
        <f t="shared" si="4"/>
        <v>1.4100000000000001</v>
      </c>
      <c r="AS11" s="27">
        <f t="shared" si="4"/>
        <v>1.17</v>
      </c>
      <c r="AT11" s="27">
        <f t="shared" si="4"/>
        <v>0.92999999999999994</v>
      </c>
      <c r="AU11" s="27">
        <f t="shared" si="4"/>
        <v>0.66</v>
      </c>
      <c r="AV11" s="27">
        <f t="shared" si="4"/>
        <v>0.38</v>
      </c>
      <c r="AY11" t="s">
        <v>1256</v>
      </c>
      <c r="AZ11" s="610">
        <v>5.0000000000000004E-8</v>
      </c>
      <c r="BB11" s="1">
        <f t="shared" si="0"/>
        <v>5.0000000000000002E-14</v>
      </c>
    </row>
    <row r="12" spans="2:54" ht="30.75" customHeight="1">
      <c r="C12" s="2" t="s">
        <v>171</v>
      </c>
      <c r="D12" s="194">
        <f>+Formato!U48</f>
        <v>0</v>
      </c>
      <c r="E12" s="1" t="s">
        <v>329</v>
      </c>
      <c r="N12" s="23">
        <v>0.5</v>
      </c>
      <c r="O12" s="23"/>
      <c r="P12" s="23">
        <v>14.3</v>
      </c>
      <c r="Q12" s="23">
        <v>21</v>
      </c>
      <c r="R12" s="23">
        <v>19.3</v>
      </c>
      <c r="S12" s="23">
        <v>18.899999999999999</v>
      </c>
      <c r="T12" s="23">
        <v>30</v>
      </c>
      <c r="U12" s="23">
        <v>24.9</v>
      </c>
      <c r="V12" s="23">
        <v>44.7</v>
      </c>
      <c r="W12" s="23">
        <f t="shared" si="2"/>
        <v>173.10000000000002</v>
      </c>
      <c r="Z12" s="23">
        <v>0.5</v>
      </c>
      <c r="AA12" s="23">
        <v>1.96</v>
      </c>
      <c r="AB12" s="23">
        <v>1.54</v>
      </c>
      <c r="AC12" s="23">
        <v>1.0900000000000001</v>
      </c>
      <c r="AD12" s="27">
        <v>0.81</v>
      </c>
      <c r="AE12" s="27">
        <v>0.61</v>
      </c>
      <c r="AF12" s="27">
        <v>0.4</v>
      </c>
      <c r="AG12" s="27">
        <v>0.28999999999999998</v>
      </c>
      <c r="AH12" s="27">
        <v>0.17</v>
      </c>
      <c r="AL12" s="23">
        <v>1200</v>
      </c>
      <c r="AM12" s="23">
        <f t="shared" ref="AM12:AV12" si="5">AM14+AM26</f>
        <v>2.4699999999999998</v>
      </c>
      <c r="AN12" s="23">
        <f t="shared" si="5"/>
        <v>2.2566666666666668</v>
      </c>
      <c r="AO12" s="23">
        <f t="shared" si="5"/>
        <v>2.043333333333333</v>
      </c>
      <c r="AP12" s="23">
        <f t="shared" si="5"/>
        <v>1.83</v>
      </c>
      <c r="AQ12" s="23">
        <f t="shared" si="5"/>
        <v>1.605</v>
      </c>
      <c r="AR12" s="23">
        <f t="shared" si="5"/>
        <v>1.3800000000000001</v>
      </c>
      <c r="AS12" s="23">
        <f t="shared" si="5"/>
        <v>1.145</v>
      </c>
      <c r="AT12" s="23">
        <f t="shared" si="5"/>
        <v>0.90999999999999992</v>
      </c>
      <c r="AU12" s="23">
        <f t="shared" si="5"/>
        <v>0.65</v>
      </c>
      <c r="AV12" s="23">
        <f t="shared" si="5"/>
        <v>0.37</v>
      </c>
      <c r="AY12" t="s">
        <v>1257</v>
      </c>
      <c r="AZ12" s="610">
        <v>2.9999999999999997E-8</v>
      </c>
      <c r="BB12" s="1">
        <f t="shared" si="0"/>
        <v>2.9999999999999998E-14</v>
      </c>
    </row>
    <row r="13" spans="2:54">
      <c r="C13" s="2"/>
      <c r="N13" s="23">
        <v>0.2</v>
      </c>
      <c r="O13" s="23"/>
      <c r="P13" s="23">
        <v>8.6</v>
      </c>
      <c r="Q13" s="23">
        <v>12.6</v>
      </c>
      <c r="R13" s="23">
        <v>11.6</v>
      </c>
      <c r="S13" s="23">
        <v>11.3</v>
      </c>
      <c r="T13" s="23">
        <v>17.8</v>
      </c>
      <c r="U13" s="23">
        <v>14.6</v>
      </c>
      <c r="V13" s="23">
        <v>26.1</v>
      </c>
      <c r="W13" s="23">
        <f t="shared" si="2"/>
        <v>102.6</v>
      </c>
      <c r="Z13" s="23">
        <v>0.2</v>
      </c>
      <c r="AA13" s="23">
        <v>0.91</v>
      </c>
      <c r="AB13" s="23">
        <v>0.72</v>
      </c>
      <c r="AC13" s="23">
        <v>0.51</v>
      </c>
      <c r="AD13" s="27">
        <v>0.38</v>
      </c>
      <c r="AE13" s="27">
        <v>0.28999999999999998</v>
      </c>
      <c r="AF13" s="27">
        <v>0.19</v>
      </c>
      <c r="AG13" s="27">
        <v>0.14000000000000001</v>
      </c>
      <c r="AH13" s="27">
        <v>0.08</v>
      </c>
      <c r="AL13" s="23">
        <v>1100</v>
      </c>
      <c r="AM13" s="23">
        <f t="shared" ref="AM13:AV13" si="6">AM14+AM29</f>
        <v>2.25</v>
      </c>
      <c r="AN13" s="23">
        <f t="shared" si="6"/>
        <v>2.0566666666666666</v>
      </c>
      <c r="AO13" s="23">
        <f t="shared" si="6"/>
        <v>1.8633333333333333</v>
      </c>
      <c r="AP13" s="23">
        <f t="shared" si="6"/>
        <v>1.67</v>
      </c>
      <c r="AQ13" s="23">
        <f t="shared" si="6"/>
        <v>1.4650000000000001</v>
      </c>
      <c r="AR13" s="23">
        <f t="shared" si="6"/>
        <v>1.26</v>
      </c>
      <c r="AS13" s="23">
        <f t="shared" si="6"/>
        <v>1.0449999999999999</v>
      </c>
      <c r="AT13" s="23">
        <f t="shared" si="6"/>
        <v>0.83</v>
      </c>
      <c r="AU13" s="23">
        <f t="shared" si="6"/>
        <v>0.59</v>
      </c>
      <c r="AV13" s="23">
        <f t="shared" si="6"/>
        <v>0.33999999999999997</v>
      </c>
      <c r="AY13" t="s">
        <v>1258</v>
      </c>
      <c r="AZ13" s="610">
        <v>1E-8</v>
      </c>
      <c r="BB13" s="1">
        <f t="shared" si="0"/>
        <v>1E-14</v>
      </c>
    </row>
    <row r="14" spans="2:54">
      <c r="C14" s="1" t="s">
        <v>172</v>
      </c>
      <c r="E14" s="1">
        <f>+IF(Formato!O52=0,0,ROUNDUP(IF((Formato!O52)="","",Formato!O52-Formato!L44),0))</f>
        <v>1</v>
      </c>
      <c r="N14" s="23">
        <v>0.1</v>
      </c>
      <c r="O14" s="23"/>
      <c r="P14" s="23">
        <v>5.8</v>
      </c>
      <c r="Q14" s="23">
        <v>8.5</v>
      </c>
      <c r="R14" s="23">
        <v>7.8</v>
      </c>
      <c r="S14" s="23">
        <v>7.5</v>
      </c>
      <c r="T14" s="23">
        <v>11.8</v>
      </c>
      <c r="U14" s="23">
        <v>9.6999999999999993</v>
      </c>
      <c r="V14" s="23">
        <v>17.2</v>
      </c>
      <c r="W14" s="23">
        <f t="shared" si="2"/>
        <v>68.300000000000011</v>
      </c>
      <c r="Z14" s="23">
        <v>0.1</v>
      </c>
      <c r="AA14" s="23">
        <v>0.51</v>
      </c>
      <c r="AB14" s="23">
        <v>0.4</v>
      </c>
      <c r="AC14" s="23">
        <v>0.28999999999999998</v>
      </c>
      <c r="AD14" s="27">
        <v>0.22</v>
      </c>
      <c r="AE14" s="27">
        <v>0.17</v>
      </c>
      <c r="AF14" s="27">
        <v>0.11</v>
      </c>
      <c r="AG14" s="27">
        <v>0.08</v>
      </c>
      <c r="AH14" s="27">
        <v>0.05</v>
      </c>
      <c r="AL14" s="23">
        <f>+Z11*1000</f>
        <v>1000</v>
      </c>
      <c r="AM14" s="23">
        <f>+AC11</f>
        <v>1.96</v>
      </c>
      <c r="AN14" s="23">
        <f>+AM14-(AM14-AP14)/($AM$6-$AP$6)*($AM$6-$AN$6)</f>
        <v>1.79</v>
      </c>
      <c r="AO14" s="23">
        <f>+AM14-(AM14-AP14)/($AM$6-$AP$6)*($AM$6-$AO$6)</f>
        <v>1.6199999999999999</v>
      </c>
      <c r="AP14" s="23">
        <f>+AD11</f>
        <v>1.45</v>
      </c>
      <c r="AQ14" s="23">
        <f>+AP14-(AP14-AR14)/($AP$6-$AR$6)*($AP$6-$AQ$6)</f>
        <v>1.27</v>
      </c>
      <c r="AR14" s="23">
        <f>+AE11</f>
        <v>1.0900000000000001</v>
      </c>
      <c r="AS14" s="23">
        <f>+AR14-(AR14-AT14)/($AR$6-$AT$6)*($AR$6-$AS$6)</f>
        <v>0.90500000000000003</v>
      </c>
      <c r="AT14" s="23">
        <f>+AF11</f>
        <v>0.72</v>
      </c>
      <c r="AU14" s="23">
        <f>+AG11</f>
        <v>0.51</v>
      </c>
      <c r="AV14" s="23">
        <f>+AH11</f>
        <v>0.28999999999999998</v>
      </c>
      <c r="AY14" t="s">
        <v>1259</v>
      </c>
      <c r="AZ14" s="610">
        <v>1E-8</v>
      </c>
      <c r="BB14" s="1">
        <f t="shared" si="0"/>
        <v>1E-14</v>
      </c>
    </row>
    <row r="15" spans="2:54">
      <c r="C15" s="1" t="s">
        <v>1247</v>
      </c>
      <c r="E15" s="1" t="str">
        <f>Formato!AA20</f>
        <v>g</v>
      </c>
      <c r="N15" s="23">
        <v>0.05</v>
      </c>
      <c r="O15" s="23"/>
      <c r="P15" s="23">
        <v>3.9</v>
      </c>
      <c r="Q15" s="23">
        <v>5.7</v>
      </c>
      <c r="R15" s="23">
        <v>5.2</v>
      </c>
      <c r="S15" s="23">
        <v>5</v>
      </c>
      <c r="T15" s="23">
        <v>7.8</v>
      </c>
      <c r="U15" s="23">
        <v>6.4</v>
      </c>
      <c r="V15" s="23">
        <v>11.3</v>
      </c>
      <c r="W15" s="23">
        <f t="shared" si="2"/>
        <v>45.3</v>
      </c>
      <c r="Z15" s="23">
        <v>0.05</v>
      </c>
      <c r="AA15" s="23">
        <v>0.28999999999999998</v>
      </c>
      <c r="AB15" s="23">
        <v>0.23</v>
      </c>
      <c r="AC15" s="23">
        <v>0.17</v>
      </c>
      <c r="AD15" s="27">
        <v>0.12</v>
      </c>
      <c r="AE15" s="27">
        <v>0.09</v>
      </c>
      <c r="AF15" s="27">
        <v>0.06</v>
      </c>
      <c r="AG15" s="27">
        <v>0.05</v>
      </c>
      <c r="AH15" s="27">
        <v>0.03</v>
      </c>
      <c r="AL15" s="23">
        <v>900</v>
      </c>
      <c r="AM15" s="23">
        <f>AM19+AM20</f>
        <v>2.1100000000000003</v>
      </c>
      <c r="AN15" s="23">
        <f t="shared" ref="AN15:AV15" si="7">AN19+AN20</f>
        <v>1.9300000000000002</v>
      </c>
      <c r="AO15" s="23">
        <f t="shared" si="7"/>
        <v>1.75</v>
      </c>
      <c r="AP15" s="23">
        <f t="shared" si="7"/>
        <v>1.57</v>
      </c>
      <c r="AQ15" s="23">
        <f t="shared" si="7"/>
        <v>1.38</v>
      </c>
      <c r="AR15" s="23">
        <f t="shared" si="7"/>
        <v>1.19</v>
      </c>
      <c r="AS15" s="23">
        <f t="shared" si="7"/>
        <v>0.98499999999999999</v>
      </c>
      <c r="AT15" s="23">
        <f t="shared" si="7"/>
        <v>0.78</v>
      </c>
      <c r="AU15" s="23">
        <f t="shared" si="7"/>
        <v>0.57000000000000006</v>
      </c>
      <c r="AV15" s="23">
        <f t="shared" si="7"/>
        <v>0.33</v>
      </c>
      <c r="AY15"/>
      <c r="AZ15" s="610"/>
      <c r="BB15" s="1">
        <f t="shared" ref="BB15:BB27" si="8">AZ15/1000</f>
        <v>0</v>
      </c>
    </row>
    <row r="16" spans="2:54">
      <c r="B16" s="1829" t="s">
        <v>53</v>
      </c>
      <c r="C16" s="1829"/>
      <c r="D16" s="1829"/>
      <c r="E16" s="1829"/>
      <c r="F16" s="1829"/>
      <c r="G16" s="1830"/>
      <c r="H16" s="1830"/>
      <c r="I16" s="1830"/>
      <c r="J16" s="1830"/>
      <c r="K16" s="1830"/>
      <c r="L16" s="1830"/>
      <c r="N16" s="23">
        <v>0.02</v>
      </c>
      <c r="O16" s="23"/>
      <c r="P16" s="23">
        <v>2.2999999999999998</v>
      </c>
      <c r="Q16" s="23">
        <v>3.3</v>
      </c>
      <c r="R16" s="23">
        <v>3</v>
      </c>
      <c r="S16" s="23">
        <v>2.9</v>
      </c>
      <c r="T16" s="23">
        <v>4.5</v>
      </c>
      <c r="U16" s="23">
        <v>3.7</v>
      </c>
      <c r="V16" s="23">
        <v>6.4</v>
      </c>
      <c r="W16" s="23">
        <f t="shared" si="2"/>
        <v>26.1</v>
      </c>
      <c r="Z16" s="23">
        <v>0.02</v>
      </c>
      <c r="AA16" s="23">
        <v>0.14000000000000001</v>
      </c>
      <c r="AB16" s="23">
        <v>0.11</v>
      </c>
      <c r="AC16" s="23">
        <v>0.08</v>
      </c>
      <c r="AD16" s="27">
        <v>0.06</v>
      </c>
      <c r="AE16" s="27">
        <v>0.05</v>
      </c>
      <c r="AF16" s="27">
        <v>0.03</v>
      </c>
      <c r="AG16" s="27">
        <v>0.02</v>
      </c>
      <c r="AH16" s="27">
        <v>0.01</v>
      </c>
      <c r="AL16" s="23">
        <v>800</v>
      </c>
      <c r="AM16" s="23">
        <f t="shared" ref="AM16:AV16" si="9">AM19+AM21</f>
        <v>1.8900000000000001</v>
      </c>
      <c r="AN16" s="23">
        <f t="shared" si="9"/>
        <v>1.73</v>
      </c>
      <c r="AO16" s="23">
        <f t="shared" si="9"/>
        <v>1.57</v>
      </c>
      <c r="AP16" s="23">
        <f t="shared" si="9"/>
        <v>1.4100000000000001</v>
      </c>
      <c r="AQ16" s="23">
        <f t="shared" si="9"/>
        <v>1.24</v>
      </c>
      <c r="AR16" s="23">
        <f t="shared" si="9"/>
        <v>1.0699999999999998</v>
      </c>
      <c r="AS16" s="23">
        <f t="shared" si="9"/>
        <v>0.88500000000000001</v>
      </c>
      <c r="AT16" s="23">
        <f t="shared" si="9"/>
        <v>0.7</v>
      </c>
      <c r="AU16" s="23">
        <f t="shared" si="9"/>
        <v>0.51</v>
      </c>
      <c r="AV16" s="23">
        <f t="shared" si="9"/>
        <v>0.30000000000000004</v>
      </c>
      <c r="AY16" t="s">
        <v>1260</v>
      </c>
      <c r="AZ16" s="610">
        <v>7.79E-3</v>
      </c>
      <c r="BB16" s="1">
        <f t="shared" si="8"/>
        <v>7.79E-6</v>
      </c>
    </row>
    <row r="17" spans="1:54" ht="15.75" thickBot="1">
      <c r="N17" s="23">
        <v>0.01</v>
      </c>
      <c r="O17" s="23"/>
      <c r="P17" s="23">
        <v>1.5</v>
      </c>
      <c r="Q17" s="23">
        <v>2.2000000000000002</v>
      </c>
      <c r="R17" s="23">
        <v>2</v>
      </c>
      <c r="S17" s="23">
        <v>1.9</v>
      </c>
      <c r="T17" s="23">
        <v>2.9</v>
      </c>
      <c r="U17" s="23">
        <v>2.4</v>
      </c>
      <c r="V17" s="23">
        <v>4.2</v>
      </c>
      <c r="W17" s="23">
        <f t="shared" si="2"/>
        <v>17.100000000000001</v>
      </c>
      <c r="Z17" s="23">
        <v>0.01</v>
      </c>
      <c r="AA17" s="23">
        <v>0.08</v>
      </c>
      <c r="AB17" s="23">
        <v>0.06</v>
      </c>
      <c r="AC17" s="23">
        <v>0.05</v>
      </c>
      <c r="AD17" s="27">
        <v>0.03</v>
      </c>
      <c r="AE17" s="27">
        <v>0.03</v>
      </c>
      <c r="AF17" s="27">
        <v>0.02</v>
      </c>
      <c r="AG17" s="27">
        <v>0.01</v>
      </c>
      <c r="AH17" s="27">
        <v>0.01</v>
      </c>
      <c r="AL17" s="23">
        <v>700</v>
      </c>
      <c r="AM17" s="23">
        <f t="shared" ref="AM17:AV17" si="10">AM19+AM26</f>
        <v>1.6</v>
      </c>
      <c r="AN17" s="23">
        <f t="shared" si="10"/>
        <v>1.4633333333333334</v>
      </c>
      <c r="AO17" s="23">
        <f t="shared" si="10"/>
        <v>1.3266666666666667</v>
      </c>
      <c r="AP17" s="23">
        <f t="shared" si="10"/>
        <v>1.19</v>
      </c>
      <c r="AQ17" s="23">
        <f t="shared" si="10"/>
        <v>1.0449999999999999</v>
      </c>
      <c r="AR17" s="23">
        <f t="shared" si="10"/>
        <v>0.89999999999999991</v>
      </c>
      <c r="AS17" s="23">
        <f t="shared" si="10"/>
        <v>0.745</v>
      </c>
      <c r="AT17" s="23">
        <f t="shared" si="10"/>
        <v>0.59000000000000008</v>
      </c>
      <c r="AU17" s="23">
        <f t="shared" si="10"/>
        <v>0.43</v>
      </c>
      <c r="AV17" s="23">
        <f t="shared" si="10"/>
        <v>0.25</v>
      </c>
      <c r="AY17" t="s">
        <v>1261</v>
      </c>
      <c r="AZ17" s="610">
        <v>3.5300000000000002E-3</v>
      </c>
      <c r="BB17" s="1">
        <f t="shared" si="8"/>
        <v>3.5300000000000001E-6</v>
      </c>
    </row>
    <row r="18" spans="1:54" ht="15.75" thickBot="1">
      <c r="C18" s="191" t="s">
        <v>157</v>
      </c>
      <c r="D18" s="50" t="s">
        <v>158</v>
      </c>
      <c r="E18" s="192" t="s">
        <v>159</v>
      </c>
      <c r="F18" s="50" t="s">
        <v>330</v>
      </c>
      <c r="G18" s="193" t="s">
        <v>181</v>
      </c>
      <c r="H18" s="46" t="s">
        <v>331</v>
      </c>
      <c r="I18" s="46" t="s">
        <v>296</v>
      </c>
      <c r="J18" s="46" t="s">
        <v>297</v>
      </c>
      <c r="K18" s="46" t="s">
        <v>298</v>
      </c>
      <c r="L18" s="50" t="s">
        <v>317</v>
      </c>
      <c r="AL18" s="23">
        <v>600</v>
      </c>
      <c r="AM18" s="23">
        <f t="shared" ref="AM18:AV18" si="11">AM19+AM29</f>
        <v>1.3800000000000001</v>
      </c>
      <c r="AN18" s="23">
        <f t="shared" si="11"/>
        <v>1.2633333333333334</v>
      </c>
      <c r="AO18" s="23">
        <f t="shared" si="11"/>
        <v>1.1466666666666667</v>
      </c>
      <c r="AP18" s="23">
        <f t="shared" si="11"/>
        <v>1.03</v>
      </c>
      <c r="AQ18" s="23">
        <f t="shared" si="11"/>
        <v>0.90500000000000003</v>
      </c>
      <c r="AR18" s="23">
        <f t="shared" si="11"/>
        <v>0.78</v>
      </c>
      <c r="AS18" s="23">
        <f t="shared" si="11"/>
        <v>0.64500000000000002</v>
      </c>
      <c r="AT18" s="23">
        <f t="shared" si="11"/>
        <v>0.51</v>
      </c>
      <c r="AU18" s="23">
        <f t="shared" si="11"/>
        <v>0.37</v>
      </c>
      <c r="AV18" s="23">
        <f t="shared" si="11"/>
        <v>0.22000000000000003</v>
      </c>
      <c r="AY18" t="s">
        <v>1262</v>
      </c>
      <c r="AZ18" s="610">
        <v>1.9599999999999999E-3</v>
      </c>
      <c r="BB18" s="1">
        <f t="shared" si="8"/>
        <v>1.9599999999999999E-6</v>
      </c>
    </row>
    <row r="19" spans="1:54" ht="15.75" thickBot="1">
      <c r="B19" s="1" t="str">
        <f>(CONCATENATE(Formato!S83,"-",Formato!T83," ,",Formato!$I$20,"-",Formato!V83))</f>
        <v>N/A-0,01 ,g-04</v>
      </c>
      <c r="C19" s="34">
        <f>+IF(Formato!T83="","",Formato!T83)</f>
        <v>0.01</v>
      </c>
      <c r="D19" s="36"/>
      <c r="E19" s="38">
        <f>+IF(C19="","",VLOOKUP(CONCATENATE(Formato!S83,"-",Formato!T83," ,",Formato!$I$20,"-",Formato!V83),'Errores  Patrones'!$G$4:$M$1500,3,0)*Formato!AE83)</f>
        <v>9.9997000000000003E-3</v>
      </c>
      <c r="F19" s="32"/>
      <c r="G19" s="43">
        <f>IF(C19="","",_xlfn.IFNA(-VLOOKUP(CONCATENATE(C19,"-",ABS($E$14),$E$15),$AY$3:$AZ$409,2,0),0))</f>
        <v>0</v>
      </c>
      <c r="H19" s="47"/>
      <c r="I19" s="47">
        <f>+IF(C19="","",VLOOKUP(CONCATENATE(Formato!S83,"-",Formato!T83," ,",Formato!$I$20,"-",Formato!V83),'Errores  Patrones'!$G$4:$M$1508,4,0)*Formato!AE83)</f>
        <v>2.7E-6</v>
      </c>
      <c r="J19" s="47">
        <f>+IF(C19="","",VLOOKUP(CONCATENATE(Formato!S83,"-",Formato!T83," ,",Formato!$I$20,"-",Formato!V83),'Errores  Patrones'!$G$4:$M$1508,5,0))</f>
        <v>2</v>
      </c>
      <c r="K19" s="47">
        <f>+IF(C19="","",VLOOKUP(CONCATENATE(Formato!S83,"-",Formato!T83," ,",Formato!$I$20,"-",Formato!V83),'Errores  Patrones'!$G$4:$M$1508,7,0))</f>
        <v>2.7E-6</v>
      </c>
      <c r="L19" s="47">
        <f>+IF(C19="","",VLOOKUP(CONCATENATE(Formato!S83,"-",Formato!T83," ,",Formato!$I$20,"-",Formato!V83),'Errores  Patrones'!$G$4:$O$1508,9,0))</f>
        <v>2.0000000000000001E-4</v>
      </c>
      <c r="M19" s="74" t="str">
        <f t="shared" ref="M19:M33" si="12">CONCATENATE(C19,"-",ABS($E$14),$E$15)</f>
        <v>0,01-1g</v>
      </c>
      <c r="AL19" s="23">
        <f>+Z12*1000</f>
        <v>500</v>
      </c>
      <c r="AM19" s="23">
        <f>+AC12</f>
        <v>1.0900000000000001</v>
      </c>
      <c r="AN19" s="23">
        <f>+AM19-(AM19-AP19)/($AM$6-$AP$6)*($AM$6-$AN$6)</f>
        <v>0.9966666666666667</v>
      </c>
      <c r="AO19" s="23">
        <f>+AM19-(AM19-AP19)/($AM$6-$AP$6)*($AM$6-$AO$6)</f>
        <v>0.90333333333333343</v>
      </c>
      <c r="AP19" s="23">
        <f>+AD12</f>
        <v>0.81</v>
      </c>
      <c r="AQ19" s="23">
        <f>+AP19-(AP19-AR19)/($AP$6-$AR$6)*($AP$6-$AQ$6)</f>
        <v>0.71</v>
      </c>
      <c r="AR19" s="23">
        <f>+AE12</f>
        <v>0.61</v>
      </c>
      <c r="AS19" s="23">
        <f>+AR19-(AR19-AT19)/($AR$6-$AT$6)*($AR$6-$AS$6)</f>
        <v>0.505</v>
      </c>
      <c r="AT19" s="23">
        <f>+AF12</f>
        <v>0.4</v>
      </c>
      <c r="AU19" s="23">
        <f>+AG12</f>
        <v>0.28999999999999998</v>
      </c>
      <c r="AV19" s="23">
        <f>+AH12</f>
        <v>0.17</v>
      </c>
      <c r="AY19" t="s">
        <v>1263</v>
      </c>
      <c r="AZ19" s="610">
        <v>1.09E-3</v>
      </c>
      <c r="BB19" s="1">
        <f t="shared" si="8"/>
        <v>1.0899999999999999E-6</v>
      </c>
    </row>
    <row r="20" spans="1:54" ht="15.75" thickBot="1">
      <c r="A20" s="1">
        <v>1</v>
      </c>
      <c r="B20" s="1" t="str">
        <f>(CONCATENATE(Formato!S84,"-",Formato!T84," ,",Formato!$I$20,"-",Formato!V84))</f>
        <v>- ,g-</v>
      </c>
      <c r="C20" s="35" t="str">
        <f>+IF(Formato!T84="","",Formato!T84)</f>
        <v/>
      </c>
      <c r="D20" s="37" t="str">
        <f>IF(Formato!X88="","",Formato!X88)</f>
        <v/>
      </c>
      <c r="E20" s="38" t="str">
        <f>+IF(C20="","",VLOOKUP(CONCATENATE(Formato!S84,"-",Formato!T84," ,",Formato!$I$20,"-",Formato!V84),'Errores  Patrones'!$G$4:$M$1500,3,0)*Formato!AE84)</f>
        <v/>
      </c>
      <c r="F20" s="33"/>
      <c r="G20" s="44" t="str">
        <f>IF(C20="","",_xlfn.IFNA(-VLOOKUP(CONCATENATE(C20,"-",ABS($E$14),$E$15),$AY$3:$AZ$409,2,0),0))</f>
        <v/>
      </c>
      <c r="H20" s="48"/>
      <c r="I20" s="47" t="str">
        <f>+IF(C20="","",VLOOKUP(CONCATENATE(Formato!S84,"-",Formato!T84," ,",Formato!$I$20,"-",Formato!V84),'Errores  Patrones'!$G$4:$M$1508,4,0)*Formato!AE84)</f>
        <v/>
      </c>
      <c r="J20" s="47" t="str">
        <f>+IF(C20="","",VLOOKUP(CONCATENATE(Formato!S84,"-",Formato!T84," ,",Formato!$I$20,"-",Formato!V84),'Errores  Patrones'!$G$4:$M$1508,5,0))</f>
        <v/>
      </c>
      <c r="K20" s="47" t="str">
        <f>+IF(C20="","",VLOOKUP(CONCATENATE(Formato!S84,"-",Formato!T84," ,",Formato!$I$20,"-",Formato!V84),'Errores  Patrones'!$G$4:$M$1508,7,0))</f>
        <v/>
      </c>
      <c r="L20" s="47" t="str">
        <f>+IF(C20="","",VLOOKUP(CONCATENATE(Formato!S84,"-",Formato!T84," ,",Formato!$I$20,"-",Formato!V84),'Errores  Patrones'!$G$4:$O$1508,9,0))</f>
        <v/>
      </c>
      <c r="M20" s="74" t="str">
        <f t="shared" si="12"/>
        <v>-1g</v>
      </c>
      <c r="AL20" s="23">
        <v>400</v>
      </c>
      <c r="AM20" s="23">
        <f>AM26*2</f>
        <v>1.02</v>
      </c>
      <c r="AN20" s="23">
        <f t="shared" ref="AN20:AV20" si="13">AN26*2</f>
        <v>0.93333333333333335</v>
      </c>
      <c r="AO20" s="23">
        <f t="shared" si="13"/>
        <v>0.84666666666666668</v>
      </c>
      <c r="AP20" s="23">
        <f t="shared" si="13"/>
        <v>0.76</v>
      </c>
      <c r="AQ20" s="23">
        <f t="shared" si="13"/>
        <v>0.66999999999999993</v>
      </c>
      <c r="AR20" s="23">
        <f t="shared" si="13"/>
        <v>0.57999999999999996</v>
      </c>
      <c r="AS20" s="23">
        <f t="shared" si="13"/>
        <v>0.48</v>
      </c>
      <c r="AT20" s="23">
        <f t="shared" si="13"/>
        <v>0.38</v>
      </c>
      <c r="AU20" s="23">
        <f t="shared" si="13"/>
        <v>0.28000000000000003</v>
      </c>
      <c r="AV20" s="23">
        <f t="shared" si="13"/>
        <v>0.16</v>
      </c>
      <c r="AY20" t="s">
        <v>1264</v>
      </c>
      <c r="AZ20" s="610">
        <v>5.1000000000000004E-4</v>
      </c>
      <c r="BB20" s="1">
        <f t="shared" si="8"/>
        <v>5.0999999999999999E-7</v>
      </c>
    </row>
    <row r="21" spans="1:54" ht="15.75" thickBot="1">
      <c r="B21" s="1" t="str">
        <f>(CONCATENATE(Formato!S85,"-",Formato!T85," ,",Formato!$I$20,"-",Formato!V85))</f>
        <v>- ,g-</v>
      </c>
      <c r="C21" s="35" t="str">
        <f>+IF(Formato!T85="","",Formato!T85)</f>
        <v/>
      </c>
      <c r="D21" s="37" t="str">
        <f>IF(Formato!X89="","",Formato!X89)</f>
        <v/>
      </c>
      <c r="E21" s="38" t="str">
        <f>+IF(C21="","",VLOOKUP(CONCATENATE(Formato!S85,"-",Formato!T85," ,",Formato!$I$20,"-",Formato!V85),'Errores  Patrones'!$G$4:$M$1500,3,0)*Formato!AE85)</f>
        <v/>
      </c>
      <c r="F21" s="33"/>
      <c r="G21" s="44" t="str">
        <f>IF(C21="","",_xlfn.IFNA(-VLOOKUP(CONCATENATE(C21,"-",ABS($E$14),$E$15),$AY$3:$AZ$409,2,0),0))</f>
        <v/>
      </c>
      <c r="H21" s="48"/>
      <c r="I21" s="47" t="str">
        <f>+IF(C21="","",VLOOKUP(CONCATENATE(Formato!S85,"-",Formato!T85," ,",Formato!$I$20,"-",Formato!V85),'Errores  Patrones'!$G$4:$M$1508,4,0)*Formato!AE85)</f>
        <v/>
      </c>
      <c r="J21" s="47" t="str">
        <f>+IF(C21="","",VLOOKUP(CONCATENATE(Formato!S85,"-",Formato!T85," ,",Formato!$I$20,"-",Formato!V85),'Errores  Patrones'!$G$4:$M$1508,5,0))</f>
        <v/>
      </c>
      <c r="K21" s="47" t="str">
        <f>+IF(C21="","",VLOOKUP(CONCATENATE(Formato!S85,"-",Formato!T85," ,",Formato!$I$20,"-",Formato!V85),'Errores  Patrones'!$G$4:$M$1508,7,0))</f>
        <v/>
      </c>
      <c r="L21" s="47" t="str">
        <f>+IF(C21="","",VLOOKUP(CONCATENATE(Formato!S85,"-",Formato!T85," ,",Formato!$I$20,"-",Formato!V85),'Errores  Patrones'!$G$4:$O$1508,9,0))</f>
        <v/>
      </c>
      <c r="M21" s="74" t="str">
        <f t="shared" si="12"/>
        <v>-1g</v>
      </c>
      <c r="AL21" s="23">
        <v>300</v>
      </c>
      <c r="AM21" s="23">
        <f t="shared" ref="AM21:AV21" si="14">AM26+AM29</f>
        <v>0.8</v>
      </c>
      <c r="AN21" s="23">
        <f t="shared" si="14"/>
        <v>0.73333333333333339</v>
      </c>
      <c r="AO21" s="23">
        <f t="shared" si="14"/>
        <v>0.66666666666666663</v>
      </c>
      <c r="AP21" s="23">
        <f t="shared" si="14"/>
        <v>0.6</v>
      </c>
      <c r="AQ21" s="23">
        <f t="shared" si="14"/>
        <v>0.53</v>
      </c>
      <c r="AR21" s="23">
        <f t="shared" si="14"/>
        <v>0.45999999999999996</v>
      </c>
      <c r="AS21" s="23">
        <f t="shared" si="14"/>
        <v>0.38</v>
      </c>
      <c r="AT21" s="23">
        <f t="shared" si="14"/>
        <v>0.3</v>
      </c>
      <c r="AU21" s="23">
        <f t="shared" si="14"/>
        <v>0.22000000000000003</v>
      </c>
      <c r="AV21" s="23">
        <f t="shared" si="14"/>
        <v>0.13</v>
      </c>
      <c r="AY21" t="s">
        <v>1265</v>
      </c>
      <c r="AZ21" s="610">
        <v>2.9E-4</v>
      </c>
      <c r="BB21" s="1">
        <f t="shared" si="8"/>
        <v>2.8999999999999998E-7</v>
      </c>
    </row>
    <row r="22" spans="1:54" ht="15.75" thickBot="1">
      <c r="B22" s="1" t="str">
        <f>(CONCATENATE(Formato!S86,"-",Formato!T86," ,",Formato!$I$20,"-",Formato!V86))</f>
        <v>- ,g-</v>
      </c>
      <c r="C22" s="35" t="str">
        <f>+IF(Formato!T86="","",Formato!T86)</f>
        <v/>
      </c>
      <c r="D22" s="37" t="str">
        <f>IF(Formato!X90="","",Formato!X90)</f>
        <v/>
      </c>
      <c r="E22" s="38" t="str">
        <f>+IF(C22="","",VLOOKUP(CONCATENATE(Formato!S86,"-",Formato!T86," ,",Formato!$I$20,"-",Formato!V86),'Errores  Patrones'!$G$4:$M$1500,3,0)*Formato!AE86)</f>
        <v/>
      </c>
      <c r="F22" s="33"/>
      <c r="G22" s="44" t="str">
        <f>IF(C22="","",_xlfn.IFNA(-VLOOKUP(CONCATENATE(C22,"-",ABS($E$14),$E$15),$AY$3:$AZ$409,2,0),0))</f>
        <v/>
      </c>
      <c r="H22" s="48"/>
      <c r="I22" s="47" t="str">
        <f>+IF(C22="","",VLOOKUP(CONCATENATE(Formato!S86,"-",Formato!T86," ,",Formato!$I$20,"-",Formato!V86),'Errores  Patrones'!$G$4:$M$1508,4,0)*Formato!AE86)</f>
        <v/>
      </c>
      <c r="J22" s="47" t="str">
        <f>+IF(C22="","",VLOOKUP(CONCATENATE(Formato!S86,"-",Formato!T86," ,",Formato!$I$20,"-",Formato!V86),'Errores  Patrones'!$G$4:$M$1508,5,0))</f>
        <v/>
      </c>
      <c r="K22" s="47" t="str">
        <f>+IF(C22="","",VLOOKUP(CONCATENATE(Formato!S86,"-",Formato!T86," ,",Formato!$I$20,"-",Formato!V86),'Errores  Patrones'!$G$4:$M$1508,7,0))</f>
        <v/>
      </c>
      <c r="L22" s="47" t="str">
        <f>+IF(C22="","",VLOOKUP(CONCATENATE(Formato!S86,"-",Formato!T86," ,",Formato!$I$20,"-",Formato!V86),'Errores  Patrones'!$G$4:$O$1508,9,0))</f>
        <v/>
      </c>
      <c r="M22" s="74" t="str">
        <f t="shared" si="12"/>
        <v>-1g</v>
      </c>
      <c r="AL22" s="23">
        <v>250</v>
      </c>
      <c r="AM22" s="23">
        <f t="shared" ref="AM22:AV22" si="15">AM26+AM31</f>
        <v>0.68</v>
      </c>
      <c r="AN22" s="23">
        <f t="shared" si="15"/>
        <v>0.62</v>
      </c>
      <c r="AO22" s="23">
        <f t="shared" si="15"/>
        <v>0.56000000000000005</v>
      </c>
      <c r="AP22" s="23">
        <f t="shared" si="15"/>
        <v>0.5</v>
      </c>
      <c r="AQ22" s="23">
        <f t="shared" si="15"/>
        <v>0.43999999999999995</v>
      </c>
      <c r="AR22" s="23">
        <f t="shared" si="15"/>
        <v>0.38</v>
      </c>
      <c r="AS22" s="23">
        <f t="shared" si="15"/>
        <v>0.315</v>
      </c>
      <c r="AT22" s="23">
        <f t="shared" si="15"/>
        <v>0.25</v>
      </c>
      <c r="AU22" s="23">
        <f t="shared" si="15"/>
        <v>0.19</v>
      </c>
      <c r="AV22" s="23">
        <f t="shared" si="15"/>
        <v>0.11</v>
      </c>
      <c r="AY22" t="s">
        <v>1266</v>
      </c>
      <c r="AZ22" s="610">
        <v>1.7000000000000001E-4</v>
      </c>
      <c r="BB22" s="1">
        <f t="shared" si="8"/>
        <v>1.7000000000000001E-7</v>
      </c>
    </row>
    <row r="23" spans="1:54" ht="15.75" thickBot="1">
      <c r="B23" s="1" t="str">
        <f>(CONCATENATE(Formato!S87,"-",Formato!T87," ,",Formato!$I$20,"-",Formato!V87))</f>
        <v>SUMA-0,01 ,g-</v>
      </c>
      <c r="C23" s="42"/>
      <c r="D23" s="39">
        <f>IF(Formato!X87="","",Formato!X87-Formato!AB87)</f>
        <v>0.01</v>
      </c>
      <c r="E23" s="40">
        <f>+IF(C19="","",SUM(E19:E22))</f>
        <v>9.9997000000000003E-3</v>
      </c>
      <c r="F23" s="190">
        <f>IF(AND(Formato!$W$47="SI",$D$12="SOLICITAR CERTIFICADO DE LAS PESAS"),"Ingrese  Densidad Masas de Ajuste",IF(Formato!$W$47="SI",-E23*($H$7-$H$2)*((1/$D$11-1/8)+($D$11-$D$12)/8),-E23*(($H$7-$H$2)*(1/$D$11-1/8))))</f>
        <v>1.0564837689499154E-9</v>
      </c>
      <c r="G23" s="45">
        <f>+IF(C19="","",SUM(G19:G22))</f>
        <v>0</v>
      </c>
      <c r="H23" s="49">
        <f>+IF(OR(E23="",F23="Ingrese  Densidad Masas de Ajuste"),"",IF(E23="--","--",E23+F23+G23))</f>
        <v>9.9997010564837688E-3</v>
      </c>
      <c r="I23" s="45">
        <f>+IF(C19="","",SUM(I19:I22))</f>
        <v>2.7E-6</v>
      </c>
      <c r="J23" s="45">
        <f>+IF(C19="","",MIN(J19:J22))</f>
        <v>2</v>
      </c>
      <c r="K23" s="41">
        <f>+IF(G19="","",SUM(K19:K22))</f>
        <v>2.7E-6</v>
      </c>
      <c r="L23" s="41">
        <f>+IF(C19="","",SUM(L19:L22))</f>
        <v>2.0000000000000001E-4</v>
      </c>
      <c r="M23" s="74" t="str">
        <f t="shared" si="12"/>
        <v>-1g</v>
      </c>
      <c r="AL23" s="23"/>
      <c r="AM23" s="23"/>
      <c r="AN23" s="23"/>
      <c r="AO23" s="23"/>
      <c r="AP23" s="23"/>
      <c r="AQ23" s="23"/>
      <c r="AR23" s="23"/>
      <c r="AS23" s="23"/>
      <c r="AT23" s="23"/>
      <c r="AU23" s="23"/>
      <c r="AV23" s="23"/>
      <c r="AY23" t="s">
        <v>1267</v>
      </c>
      <c r="AZ23" s="610">
        <v>8.0000000000000007E-5</v>
      </c>
      <c r="BB23" s="1">
        <f t="shared" si="8"/>
        <v>8.0000000000000002E-8</v>
      </c>
    </row>
    <row r="24" spans="1:54" ht="15.75" thickBot="1">
      <c r="B24" s="1" t="str">
        <f>(CONCATENATE(Formato!S88,"-",Formato!T88," ,",Formato!$I$20,"-",Formato!V88))</f>
        <v>SI-2 ,g-04</v>
      </c>
      <c r="C24" s="34">
        <f>+IF(Formato!T88="","",Formato!T88)</f>
        <v>2</v>
      </c>
      <c r="D24" s="36"/>
      <c r="E24" s="38">
        <f>+IF(C24="","",VLOOKUP(CONCATENATE(Formato!S88,"-",Formato!T88," ,",Formato!$I$20,"-",Formato!V88),'Errores  Patrones'!$G$4:$M$1508,3,0)*Formato!AE88)</f>
        <v>1.9999899999999999</v>
      </c>
      <c r="F24" s="32"/>
      <c r="G24" s="43">
        <f>IF(C24="","",_xlfn.IFNA(-VLOOKUP(CONCATENATE(C24,"-",ABS($E$14),$E$15),$AY$3:$AZ$409,2,0),0))</f>
        <v>0</v>
      </c>
      <c r="H24" s="47"/>
      <c r="I24" s="47">
        <f>+IF(C24="","",VLOOKUP(CONCATENATE(Formato!S88,"-",Formato!T88," ,",Formato!$I$20,"-",Formato!V88),'Errores  Patrones'!$G$4:$M$1508,4,0)*Formato!AE88)</f>
        <v>1.2999999999999999E-5</v>
      </c>
      <c r="J24" s="47">
        <f>+IF(C24="","",VLOOKUP(CONCATENATE(Formato!S88,"-",Formato!T88," ,",Formato!$I$20,"-",Formato!V88),'Errores  Patrones'!$G$4:$M$1508,5,0))</f>
        <v>2</v>
      </c>
      <c r="K24" s="47">
        <f>+IF(C24="","",VLOOKUP(CONCATENATE(Formato!S88,"-",Formato!T88," ,",Formato!$I$20,"-",Formato!V88),'Errores  Patrones'!$G$4:$M$1508,7,0))</f>
        <v>1.2999999999999999E-5</v>
      </c>
      <c r="L24" s="47">
        <f>+IF(C24="","",VLOOKUP(CONCATENATE(Formato!S88,"-",Formato!T88," ,",Formato!$I$20,"-",Formato!V88),'Errores  Patrones'!$G$4:$O$1508,9,0))</f>
        <v>0.01</v>
      </c>
      <c r="M24" s="74" t="str">
        <f t="shared" si="12"/>
        <v>2-1g</v>
      </c>
      <c r="N24" s="1" t="str">
        <f>CONCATENATE(Formato!S88,"-",Formato!T88," ,",Formato!$I$20,"-",Formato!V88)</f>
        <v>SI-2 ,g-04</v>
      </c>
      <c r="AL24" s="23">
        <v>220</v>
      </c>
      <c r="AM24" s="23">
        <f t="shared" ref="AM24:AV24" si="16">AM26+AM32</f>
        <v>0.59</v>
      </c>
      <c r="AN24" s="23">
        <f t="shared" si="16"/>
        <v>0.54</v>
      </c>
      <c r="AO24" s="23">
        <f t="shared" si="16"/>
        <v>0.49</v>
      </c>
      <c r="AP24" s="23">
        <f t="shared" si="16"/>
        <v>0.44</v>
      </c>
      <c r="AQ24" s="23">
        <f t="shared" si="16"/>
        <v>0.38999999999999996</v>
      </c>
      <c r="AR24" s="23">
        <f t="shared" si="16"/>
        <v>0.33999999999999997</v>
      </c>
      <c r="AS24" s="23">
        <f t="shared" si="16"/>
        <v>0.27999999999999997</v>
      </c>
      <c r="AT24" s="23">
        <f t="shared" si="16"/>
        <v>0.22</v>
      </c>
      <c r="AU24" s="23">
        <f t="shared" si="16"/>
        <v>0.16</v>
      </c>
      <c r="AV24" s="23">
        <f t="shared" si="16"/>
        <v>0.09</v>
      </c>
      <c r="AY24" t="s">
        <v>1268</v>
      </c>
      <c r="AZ24" s="610">
        <v>5.0000000000000002E-5</v>
      </c>
      <c r="BB24" s="1">
        <f t="shared" si="8"/>
        <v>5.0000000000000004E-8</v>
      </c>
    </row>
    <row r="25" spans="1:54" ht="15.75" thickBot="1">
      <c r="B25" s="109" t="str">
        <f>(CONCATENATE(Formato!S89,"-",Formato!T89," ,",Formato!$I$20,"-",Formato!V89))</f>
        <v>NO-2 ,g-04</v>
      </c>
      <c r="C25" s="35">
        <f>+IF(Formato!T89="","",Formato!T89)</f>
        <v>2</v>
      </c>
      <c r="D25" s="37" t="str">
        <f>IF(Formato!X93="","",Formato!X93)</f>
        <v/>
      </c>
      <c r="E25" s="38">
        <f>+IF(C25="","",VLOOKUP(CONCATENATE(Formato!S89,"-",Formato!T89," ,",Formato!$I$20,"-",Formato!V89),'Errores  Patrones'!$G$4:$M$1508,3,0)*Formato!AE89)</f>
        <v>2.0000040000000001</v>
      </c>
      <c r="F25" s="33"/>
      <c r="G25" s="44">
        <f>IF(C25="","",_xlfn.IFNA(-VLOOKUP(CONCATENATE(C25,"-",ABS($E$14),$E$15),$AY$3:$AZ$409,2,0),0))</f>
        <v>0</v>
      </c>
      <c r="H25" s="48"/>
      <c r="I25" s="47">
        <f>+IF(C25="","",VLOOKUP(CONCATENATE(Formato!S89,"-",Formato!T89," ,",Formato!$I$20,"-",Formato!V89),'Errores  Patrones'!$G$4:$M$1508,4,0)*Formato!AE89)</f>
        <v>1.2999999999999999E-5</v>
      </c>
      <c r="J25" s="47">
        <f>+IF(C25="","",VLOOKUP(CONCATENATE(Formato!S89,"-",Formato!T89," ,",Formato!$I$20,"-",Formato!V89),'Errores  Patrones'!$G$4:$M$1508,5,0))</f>
        <v>2</v>
      </c>
      <c r="K25" s="47">
        <f>+IF(C25="","",VLOOKUP(CONCATENATE(Formato!S89,"-",Formato!T89," ,",Formato!$I$20,"-",Formato!V89),'Errores  Patrones'!$G$4:$M$1508,7,0))</f>
        <v>1.2999999999999999E-5</v>
      </c>
      <c r="L25" s="47">
        <f>+IF(C25="","",VLOOKUP(CONCATENATE(Formato!S89,"-",Formato!T89," ,",Formato!$I$20,"-",Formato!V89),'Errores  Patrones'!$G$4:$O$1508,9,0))</f>
        <v>0.01</v>
      </c>
      <c r="M25" s="74" t="str">
        <f t="shared" si="12"/>
        <v>2-1g</v>
      </c>
      <c r="AL25" s="23">
        <v>210</v>
      </c>
      <c r="AM25" s="23">
        <f t="shared" ref="AM25:AV25" si="17">+AM26+AM33</f>
        <v>0.56000000000000005</v>
      </c>
      <c r="AN25" s="23">
        <f t="shared" si="17"/>
        <v>0.51</v>
      </c>
      <c r="AO25" s="23">
        <f t="shared" si="17"/>
        <v>0.46</v>
      </c>
      <c r="AP25" s="23">
        <f t="shared" si="17"/>
        <v>0.41000000000000003</v>
      </c>
      <c r="AQ25" s="23">
        <f t="shared" si="17"/>
        <v>0.36499999999999999</v>
      </c>
      <c r="AR25" s="23">
        <f t="shared" si="17"/>
        <v>0.31999999999999995</v>
      </c>
      <c r="AS25" s="23">
        <f t="shared" si="17"/>
        <v>0.26500000000000001</v>
      </c>
      <c r="AT25" s="23">
        <f t="shared" si="17"/>
        <v>0.21</v>
      </c>
      <c r="AU25" s="23">
        <f t="shared" si="17"/>
        <v>0.15000000000000002</v>
      </c>
      <c r="AV25" s="23">
        <f t="shared" si="17"/>
        <v>0.09</v>
      </c>
      <c r="AY25" t="s">
        <v>1269</v>
      </c>
      <c r="AZ25" s="610">
        <v>2.9999999999999997E-5</v>
      </c>
      <c r="BB25" s="1">
        <f t="shared" si="8"/>
        <v>2.9999999999999997E-8</v>
      </c>
    </row>
    <row r="26" spans="1:54" ht="15.75" thickBot="1">
      <c r="A26" s="1">
        <v>2</v>
      </c>
      <c r="B26" s="1" t="str">
        <f>(CONCATENATE(Formato!S90,"-",Formato!T90," ,",Formato!$I$20,"-",Formato!V90))</f>
        <v>- ,g-</v>
      </c>
      <c r="C26" s="35" t="str">
        <f>+IF(Formato!T90="","",Formato!T90)</f>
        <v/>
      </c>
      <c r="D26" s="37" t="str">
        <f>IF(Formato!X94="","",Formato!X94)</f>
        <v/>
      </c>
      <c r="E26" s="38" t="str">
        <f>+IF(C26="","",VLOOKUP(CONCATENATE(Formato!S90,"-",Formato!T90," ,",Formato!$I$20,"-",Formato!V90),'Errores  Patrones'!$G$4:$M$1508,3,0)*Formato!AE90)</f>
        <v/>
      </c>
      <c r="F26" s="33"/>
      <c r="G26" s="44" t="str">
        <f>IF(C26="","",_xlfn.IFNA(-VLOOKUP(CONCATENATE(C26,"-",ABS($E$14),$E$15),$AY$3:$AZ$409,2,0),0))</f>
        <v/>
      </c>
      <c r="H26" s="48"/>
      <c r="I26" s="47" t="str">
        <f>+IF(C26="","",VLOOKUP(CONCATENATE(Formato!S90,"-",Formato!T90," ,",Formato!$I$20,"-",Formato!V90),'Errores  Patrones'!$G$4:$M$1508,4,0)*Formato!AE90)</f>
        <v/>
      </c>
      <c r="J26" s="47" t="str">
        <f>+IF(C26="","",VLOOKUP(CONCATENATE(Formato!S90,"-",Formato!T90," ,",Formato!$I$20,"-",Formato!V90),'Errores  Patrones'!$G$4:$M$1508,5,0))</f>
        <v/>
      </c>
      <c r="K26" s="47" t="str">
        <f>+IF(C26="","",VLOOKUP(CONCATENATE(Formato!S90,"-",Formato!T90," ,",Formato!$I$20,"-",Formato!V90),'Errores  Patrones'!$G$4:$M$1508,7,0))</f>
        <v/>
      </c>
      <c r="L26" s="47" t="str">
        <f>+IF(C26="","",VLOOKUP(CONCATENATE(Formato!S90,"-",Formato!T90," ,",Formato!$I$20,"-",Formato!V90),'Errores  Patrones'!$G$4:$O$1508,9,0))</f>
        <v/>
      </c>
      <c r="M26" s="74" t="str">
        <f t="shared" si="12"/>
        <v>-1g</v>
      </c>
      <c r="AL26" s="23">
        <f>+Z13*1000</f>
        <v>200</v>
      </c>
      <c r="AM26" s="23">
        <f>+AC13</f>
        <v>0.51</v>
      </c>
      <c r="AN26" s="23">
        <f>+AM26-(AM26-AP26)/($AM$6-$AP$6)*($AM$6-$AN$6)</f>
        <v>0.46666666666666667</v>
      </c>
      <c r="AO26" s="23">
        <f>+AM26-(AM26-AP26)/($AM$6-$AP$6)*($AM$6-$AO$6)</f>
        <v>0.42333333333333334</v>
      </c>
      <c r="AP26" s="23">
        <f>+AD13</f>
        <v>0.38</v>
      </c>
      <c r="AQ26" s="23">
        <f>+AP26-(AP26-AR26)/($AP$6-$AR$6)*($AP$6-$AQ$6)</f>
        <v>0.33499999999999996</v>
      </c>
      <c r="AR26" s="23">
        <f>+AE13</f>
        <v>0.28999999999999998</v>
      </c>
      <c r="AS26" s="23">
        <f>+AR26-(AR26-AT26)/($AR$6-$AT$6)*($AR$6-$AS$6)</f>
        <v>0.24</v>
      </c>
      <c r="AT26" s="23">
        <f>+AF13</f>
        <v>0.19</v>
      </c>
      <c r="AU26" s="23">
        <f>+AG13</f>
        <v>0.14000000000000001</v>
      </c>
      <c r="AV26" s="23">
        <f>+AH13</f>
        <v>0.08</v>
      </c>
      <c r="AY26" t="s">
        <v>1270</v>
      </c>
      <c r="AZ26" s="610">
        <v>1.0000000000000001E-5</v>
      </c>
      <c r="BB26" s="1">
        <f t="shared" si="8"/>
        <v>1E-8</v>
      </c>
    </row>
    <row r="27" spans="1:54" ht="15.75" thickBot="1">
      <c r="B27" s="1" t="str">
        <f>(CONCATENATE(Formato!S91,"-",Formato!T91," ,",Formato!$I$20,"-",Formato!V91))</f>
        <v>- ,g-</v>
      </c>
      <c r="C27" s="35" t="str">
        <f>+IF(Formato!T91="","",Formato!T91)</f>
        <v/>
      </c>
      <c r="D27" s="37" t="str">
        <f>IF(Formato!X95="","",Formato!X95)</f>
        <v/>
      </c>
      <c r="E27" s="38" t="str">
        <f>+IF(C27="","",VLOOKUP(CONCATENATE(Formato!S91,"-",Formato!T91," ,",Formato!$I$20,"-",Formato!V91),'Errores  Patrones'!$G$4:$M$1508,3,0)*Formato!AE91)</f>
        <v/>
      </c>
      <c r="F27" s="33"/>
      <c r="G27" s="44" t="str">
        <f>IF(C27="","",_xlfn.IFNA(-VLOOKUP(CONCATENATE(C27,"-",ABS($E$14),$E$15),$AY$3:$AZ$409,2,0),0))</f>
        <v/>
      </c>
      <c r="H27" s="48"/>
      <c r="I27" s="47" t="str">
        <f>+IF(C27="","",VLOOKUP(CONCATENATE(Formato!S91,"-",Formato!T91," ,",Formato!$I$20,"-",Formato!V91),'Errores  Patrones'!$G$4:$M$1508,4,0)*Formato!AE91)</f>
        <v/>
      </c>
      <c r="J27" s="47" t="str">
        <f>+IF(C27="","",VLOOKUP(CONCATENATE(Formato!S91,"-",Formato!T91," ,",Formato!$I$20,"-",Formato!V91),'Errores  Patrones'!$G$4:$M$1508,5,0))</f>
        <v/>
      </c>
      <c r="K27" s="47" t="str">
        <f>+IF(C27="","",VLOOKUP(CONCATENATE(Formato!S91,"-",Formato!T91," ,",Formato!$I$20,"-",Formato!V91),'Errores  Patrones'!$G$4:$M$1508,7,0))</f>
        <v/>
      </c>
      <c r="L27" s="47" t="str">
        <f>+IF(C27="","",VLOOKUP(CONCATENATE(Formato!S91,"-",Formato!T91," ,",Formato!$I$20,"-",Formato!V91),'Errores  Patrones'!$G$4:$O$1508,9,0))</f>
        <v/>
      </c>
      <c r="M27" s="74" t="str">
        <f t="shared" si="12"/>
        <v>-1g</v>
      </c>
      <c r="AL27" s="23">
        <v>170</v>
      </c>
      <c r="AM27" s="23">
        <f t="shared" ref="AM27:AV27" si="18">+AM29+AM32+AM31</f>
        <v>0.54</v>
      </c>
      <c r="AN27" s="23">
        <f t="shared" si="18"/>
        <v>0.49333333333333329</v>
      </c>
      <c r="AO27" s="23">
        <f t="shared" si="18"/>
        <v>0.44666666666666666</v>
      </c>
      <c r="AP27" s="23">
        <f t="shared" si="18"/>
        <v>0.4</v>
      </c>
      <c r="AQ27" s="23">
        <f t="shared" si="18"/>
        <v>0.35499999999999998</v>
      </c>
      <c r="AR27" s="23">
        <f t="shared" si="18"/>
        <v>0.31000000000000005</v>
      </c>
      <c r="AS27" s="23">
        <f t="shared" si="18"/>
        <v>0.255</v>
      </c>
      <c r="AT27" s="23">
        <f t="shared" si="18"/>
        <v>0.2</v>
      </c>
      <c r="AU27" s="23">
        <f t="shared" si="18"/>
        <v>0.15000000000000002</v>
      </c>
      <c r="AV27" s="23">
        <f t="shared" si="18"/>
        <v>0.09</v>
      </c>
      <c r="AY27" t="s">
        <v>1271</v>
      </c>
      <c r="AZ27" s="610">
        <v>1.0000000000000001E-5</v>
      </c>
      <c r="BB27" s="1">
        <f t="shared" si="8"/>
        <v>1E-8</v>
      </c>
    </row>
    <row r="28" spans="1:54" ht="15.75" thickBot="1">
      <c r="B28" s="1" t="str">
        <f>(CONCATENATE(Formato!S92,"-",Formato!T92," ,",Formato!$I$20,"-",Formato!V92))</f>
        <v>SUMA-4 ,g-</v>
      </c>
      <c r="C28" s="42"/>
      <c r="D28" s="39">
        <f>IF(Formato!X92="","",Formato!X92-Formato!AB92)</f>
        <v>4</v>
      </c>
      <c r="E28" s="40">
        <f>+IF(C24="","",SUM(E24:E27))</f>
        <v>3.999994</v>
      </c>
      <c r="F28" s="190">
        <f>IF(AND(Formato!$W$47="SI",$D$12="SOLICITAR CERTIFICADO DE LAS PESAS"),"Ingrese  Densidad Masas de Ajuste",IF(Formato!$W$47="SI",-E28*($H$7-$H$2)*((1/$D$11-1/8)+($D$11-$D$12)/8),-E28*(($H$7-$H$2)*(1/$D$11-1/8))))</f>
        <v>4.2260555185626048E-7</v>
      </c>
      <c r="G28" s="45">
        <f>+IF(C24="","",SUM(G24:G27))</f>
        <v>0</v>
      </c>
      <c r="H28" s="49">
        <f>+IF(OR(E28="",F28="Ingrese  Densidad Masas de Ajuste"),"",IF(E28="--","--",E28+F28+G28))</f>
        <v>3.9999944226055519</v>
      </c>
      <c r="I28" s="45">
        <f>+IF(C24="","",SUM(I24:I27))</f>
        <v>2.5999999999999998E-5</v>
      </c>
      <c r="J28" s="45">
        <f>+IF(C24="","",MIN(J24:J27))</f>
        <v>2</v>
      </c>
      <c r="K28" s="41">
        <f>+IF(G24="","",SUM(K24:K27))</f>
        <v>2.5999999999999998E-5</v>
      </c>
      <c r="L28" s="41">
        <f>+IF(C24="","",SUM(L24:L27))</f>
        <v>0.02</v>
      </c>
      <c r="M28" s="74" t="str">
        <f t="shared" si="12"/>
        <v>-1g</v>
      </c>
      <c r="AL28" s="23">
        <v>150</v>
      </c>
      <c r="AM28" s="23">
        <f t="shared" ref="AM28:AV28" si="19">+AM29+AM31</f>
        <v>0.45999999999999996</v>
      </c>
      <c r="AN28" s="23">
        <f t="shared" si="19"/>
        <v>0.42000000000000004</v>
      </c>
      <c r="AO28" s="23">
        <f t="shared" si="19"/>
        <v>0.38</v>
      </c>
      <c r="AP28" s="23">
        <f t="shared" si="19"/>
        <v>0.33999999999999997</v>
      </c>
      <c r="AQ28" s="23">
        <f t="shared" si="19"/>
        <v>0.3</v>
      </c>
      <c r="AR28" s="23">
        <f t="shared" si="19"/>
        <v>0.26</v>
      </c>
      <c r="AS28" s="23">
        <f t="shared" si="19"/>
        <v>0.21500000000000002</v>
      </c>
      <c r="AT28" s="23">
        <f t="shared" si="19"/>
        <v>0.16999999999999998</v>
      </c>
      <c r="AU28" s="23">
        <f t="shared" si="19"/>
        <v>0.13</v>
      </c>
      <c r="AV28" s="23">
        <f t="shared" si="19"/>
        <v>0.08</v>
      </c>
      <c r="AY28"/>
      <c r="AZ28" s="610"/>
    </row>
    <row r="29" spans="1:54" ht="15.75" thickBot="1">
      <c r="B29" s="1" t="str">
        <f>(CONCATENATE(Formato!S93,"-",Formato!T93," ,",Formato!$I$20,"-",Formato!V93))</f>
        <v>N/A-5 ,g-04</v>
      </c>
      <c r="C29" s="34">
        <f>+IF(Formato!T93="","",Formato!T93)</f>
        <v>5</v>
      </c>
      <c r="D29" s="36"/>
      <c r="E29" s="38">
        <f>+IF(C29="","",VLOOKUP(CONCATENATE(Formato!S93,"-",Formato!T93," ,",Formato!$I$20,"-",Formato!V93),'Errores  Patrones'!$G$4:$M$1508,3,0)*Formato!AE93)</f>
        <v>4.9999880000000001</v>
      </c>
      <c r="F29" s="32"/>
      <c r="G29" s="43">
        <f t="shared" ref="G29:G74" si="20">IF(C29="","",_xlfn.IFNA(-VLOOKUP(CONCATENATE(C29,"-",ABS($E$14),$E$15),$AY$3:$AZ$409,2,0),0))</f>
        <v>0</v>
      </c>
      <c r="H29" s="47"/>
      <c r="I29" s="47">
        <f>+IF(C29="","",VLOOKUP(CONCATENATE(Formato!S93,"-",Formato!T93," ,",Formato!$I$20,"-",Formato!V93),'Errores  Patrones'!$G$4:$M$1508,4,0)*Formato!AE93)</f>
        <v>1.7E-5</v>
      </c>
      <c r="J29" s="47">
        <f>+IF(C29="","",VLOOKUP(CONCATENATE(Formato!S93,"-",Formato!T93," ,",Formato!$I$20,"-",Formato!V93),'Errores  Patrones'!$G$4:$M$1508,5,0))</f>
        <v>2</v>
      </c>
      <c r="K29" s="47">
        <f>+IF(C29="","",VLOOKUP(CONCATENATE(Formato!S93,"-",Formato!T93," ,",Formato!$I$20,"-",Formato!V93),'Errores  Patrones'!$G$4:$M$1508,7,0))</f>
        <v>1.7E-5</v>
      </c>
      <c r="L29" s="47">
        <f>+IF(C29="","",VLOOKUP(CONCATENATE(Formato!S93,"-",Formato!T93," ,",Formato!$I$20,"-",Formato!V93),'Errores  Patrones'!$G$4:$O$1508,9,0))</f>
        <v>2.5000000000000001E-2</v>
      </c>
      <c r="M29" s="74" t="str">
        <f t="shared" si="12"/>
        <v>5-1g</v>
      </c>
      <c r="AL29" s="23">
        <f>+Z14*1000</f>
        <v>100</v>
      </c>
      <c r="AM29" s="23">
        <f>+AC14</f>
        <v>0.28999999999999998</v>
      </c>
      <c r="AN29" s="23">
        <f>+AM29-(AM29-AP29)/($AM$6-$AP$6)*($AM$6-$AN$6)</f>
        <v>0.26666666666666666</v>
      </c>
      <c r="AO29" s="23">
        <f>+AM29-(AM29-AP29)/($AM$6-$AP$6)*($AM$6-$AO$6)</f>
        <v>0.24333333333333332</v>
      </c>
      <c r="AP29" s="23">
        <f>+AD14</f>
        <v>0.22</v>
      </c>
      <c r="AQ29" s="23">
        <f>+AP29-(AP29-AR29)/($AP$6-$AR$6)*($AP$6-$AQ$6)</f>
        <v>0.19500000000000001</v>
      </c>
      <c r="AR29" s="23">
        <f>+AE14</f>
        <v>0.17</v>
      </c>
      <c r="AS29" s="23">
        <f>+AR29-(AR29-AT29)/($AR$6-$AT$6)*($AR$6-$AS$6)</f>
        <v>0.14000000000000001</v>
      </c>
      <c r="AT29" s="23">
        <f>+AF14</f>
        <v>0.11</v>
      </c>
      <c r="AU29" s="23">
        <f>+AG14</f>
        <v>0.08</v>
      </c>
      <c r="AV29" s="23">
        <f>+AH14</f>
        <v>0.05</v>
      </c>
      <c r="AY29" t="s">
        <v>1272</v>
      </c>
      <c r="AZ29" s="610">
        <v>7.79</v>
      </c>
    </row>
    <row r="30" spans="1:54" ht="15.75" thickBot="1">
      <c r="A30" s="1">
        <v>3</v>
      </c>
      <c r="B30" s="1" t="str">
        <f>(CONCATENATE(Formato!S94,"-",Formato!T94," ,",Formato!$I$20,"-",Formato!V94))</f>
        <v>SI-2 ,g-04</v>
      </c>
      <c r="C30" s="35">
        <f>+IF(Formato!T94="","",Formato!T94)</f>
        <v>2</v>
      </c>
      <c r="D30" s="37" t="str">
        <f>IF(Formato!X98="","",Formato!X98)</f>
        <v/>
      </c>
      <c r="E30" s="38">
        <f>+IF(C30="","",VLOOKUP(CONCATENATE(Formato!S94,"-",Formato!T94," ,",Formato!$I$20,"-",Formato!V94),'Errores  Patrones'!$G$4:$M$1508,3,0)*Formato!AE94)</f>
        <v>1.9999899999999999</v>
      </c>
      <c r="F30" s="33"/>
      <c r="G30" s="44">
        <f t="shared" si="20"/>
        <v>0</v>
      </c>
      <c r="H30" s="48"/>
      <c r="I30" s="47">
        <f>+IF(C30="","",VLOOKUP(CONCATENATE(Formato!S94,"-",Formato!T94," ,",Formato!$I$20,"-",Formato!V94),'Errores  Patrones'!$G$4:$M$1508,4,0)*Formato!AE94)</f>
        <v>1.2999999999999999E-5</v>
      </c>
      <c r="J30" s="47">
        <f>+IF(C30="","",VLOOKUP(CONCATENATE(Formato!S94,"-",Formato!T94," ,",Formato!$I$20,"-",Formato!V94),'Errores  Patrones'!$G$4:$M$1508,5,0))</f>
        <v>2</v>
      </c>
      <c r="K30" s="47">
        <f>+IF(C30="","",VLOOKUP(CONCATENATE(Formato!S94,"-",Formato!T94," ,",Formato!$I$20,"-",Formato!V94),'Errores  Patrones'!$G$4:$M$1508,7,0))</f>
        <v>1.2999999999999999E-5</v>
      </c>
      <c r="L30" s="47">
        <f>+IF(C30="","",VLOOKUP(CONCATENATE(Formato!S94,"-",Formato!T94," ,",Formato!$I$20,"-",Formato!V94),'Errores  Patrones'!$G$4:$O$1508,9,0))</f>
        <v>0.01</v>
      </c>
      <c r="M30" s="74" t="str">
        <f t="shared" si="12"/>
        <v>2-1g</v>
      </c>
      <c r="AL30" s="23">
        <v>70</v>
      </c>
      <c r="AM30" s="23">
        <f>+AM31+AM32</f>
        <v>0.25</v>
      </c>
      <c r="AN30" s="23">
        <f t="shared" ref="AN30:AV30" si="21">+AN31+AN32</f>
        <v>0.22666666666666668</v>
      </c>
      <c r="AO30" s="23">
        <f t="shared" si="21"/>
        <v>0.20333333333333331</v>
      </c>
      <c r="AP30" s="23">
        <f t="shared" si="21"/>
        <v>0.18</v>
      </c>
      <c r="AQ30" s="23">
        <f t="shared" si="21"/>
        <v>0.16</v>
      </c>
      <c r="AR30" s="23">
        <f t="shared" si="21"/>
        <v>0.14000000000000001</v>
      </c>
      <c r="AS30" s="23">
        <f t="shared" si="21"/>
        <v>0.11499999999999999</v>
      </c>
      <c r="AT30" s="23">
        <f t="shared" si="21"/>
        <v>0.09</v>
      </c>
      <c r="AU30" s="23">
        <f t="shared" si="21"/>
        <v>7.0000000000000007E-2</v>
      </c>
      <c r="AV30" s="23">
        <f t="shared" si="21"/>
        <v>0.04</v>
      </c>
      <c r="AY30" t="s">
        <v>1273</v>
      </c>
      <c r="AZ30" s="610">
        <v>3.53</v>
      </c>
    </row>
    <row r="31" spans="1:54" ht="15.75" thickBot="1">
      <c r="B31" s="1" t="str">
        <f>(CONCATENATE(Formato!S95,"-",Formato!T95," ,",Formato!$I$20,"-",Formato!V95))</f>
        <v>N/A-1 ,g-04</v>
      </c>
      <c r="C31" s="35">
        <f>+IF(Formato!T95="","",Formato!T95)</f>
        <v>1</v>
      </c>
      <c r="D31" s="37" t="str">
        <f>IF(Formato!X99="","",Formato!X99)</f>
        <v/>
      </c>
      <c r="E31" s="38">
        <f>+IF(C31="","",VLOOKUP(CONCATENATE(Formato!S95,"-",Formato!T95," ,",Formato!$I$20,"-",Formato!V95),'Errores  Patrones'!$G$4:$M$1508,3,0)*Formato!AE95)</f>
        <v>1.0000089999999999</v>
      </c>
      <c r="F31" s="33"/>
      <c r="G31" s="44">
        <f t="shared" si="20"/>
        <v>0</v>
      </c>
      <c r="H31" s="48"/>
      <c r="I31" s="47">
        <f>+IF(C31="","",VLOOKUP(CONCATENATE(Formato!S95,"-",Formato!T95," ,",Formato!$I$20,"-",Formato!V95),'Errores  Patrones'!$G$4:$M$1508,4,0)*Formato!AE95)</f>
        <v>1.0000000000000001E-5</v>
      </c>
      <c r="J31" s="47">
        <f>+IF(C31="","",VLOOKUP(CONCATENATE(Formato!S95,"-",Formato!T95," ,",Formato!$I$20,"-",Formato!V95),'Errores  Patrones'!$G$4:$M$1508,5,0))</f>
        <v>2</v>
      </c>
      <c r="K31" s="47">
        <f>+IF(C31="","",VLOOKUP(CONCATENATE(Formato!S95,"-",Formato!T95," ,",Formato!$I$20,"-",Formato!V95),'Errores  Patrones'!$G$4:$M$1508,7,0))</f>
        <v>1.0000000000000001E-5</v>
      </c>
      <c r="L31" s="47">
        <f>+IF(C31="","",VLOOKUP(CONCATENATE(Formato!S95,"-",Formato!T95," ,",Formato!$I$20,"-",Formato!V95),'Errores  Patrones'!$G$4:$O$1508,9,0))</f>
        <v>5.0000000000000001E-3</v>
      </c>
      <c r="M31" s="74" t="str">
        <f t="shared" si="12"/>
        <v>1-1g</v>
      </c>
      <c r="AL31" s="23">
        <f>+Z15*1000</f>
        <v>50</v>
      </c>
      <c r="AM31" s="23">
        <f>+AC15</f>
        <v>0.17</v>
      </c>
      <c r="AN31" s="23">
        <f>+AM31-(AM31-AP31)/($AM$6-$AP$6)*($AM$6-$AN$6)</f>
        <v>0.15333333333333335</v>
      </c>
      <c r="AO31" s="23">
        <f>+AM31-(AM31-AP31)/($AM$6-$AP$6)*($AM$6-$AO$6)</f>
        <v>0.13666666666666666</v>
      </c>
      <c r="AP31" s="23">
        <f>+AD15</f>
        <v>0.12</v>
      </c>
      <c r="AQ31" s="23">
        <f>+AP31-(AP31-AR31)/($AP$6-$AR$6)*($AP$6-$AQ$6)</f>
        <v>0.105</v>
      </c>
      <c r="AR31" s="23">
        <f>+AE15</f>
        <v>0.09</v>
      </c>
      <c r="AS31" s="23">
        <f>+AR31-(AR31-AT31)/($AR$6-$AT$6)*($AR$6-$AS$6)</f>
        <v>7.4999999999999997E-2</v>
      </c>
      <c r="AT31" s="23">
        <f t="shared" ref="AT31:AV33" si="22">+AF15</f>
        <v>0.06</v>
      </c>
      <c r="AU31" s="23">
        <f t="shared" si="22"/>
        <v>0.05</v>
      </c>
      <c r="AV31" s="23">
        <f t="shared" si="22"/>
        <v>0.03</v>
      </c>
      <c r="AY31" t="s">
        <v>1274</v>
      </c>
      <c r="AZ31" s="610">
        <v>1.96</v>
      </c>
    </row>
    <row r="32" spans="1:54" ht="15.75" thickBot="1">
      <c r="B32" s="1" t="str">
        <f>(CONCATENATE(Formato!S96,"-",Formato!T96," ,",Formato!$I$20,"-",Formato!V96))</f>
        <v>- ,g-</v>
      </c>
      <c r="C32" s="35" t="str">
        <f>+IF(Formato!T96="","",Formato!T96)</f>
        <v/>
      </c>
      <c r="D32" s="37" t="str">
        <f>IF(Formato!X100="","",Formato!X100)</f>
        <v/>
      </c>
      <c r="E32" s="38" t="str">
        <f>+IF(C32="","",VLOOKUP(CONCATENATE(Formato!S96,"-",Formato!T96," ,",Formato!$I$20,"-",Formato!V96),'Errores  Patrones'!$G$4:$M$1508,3,0)*Formato!AE96)</f>
        <v/>
      </c>
      <c r="F32" s="33"/>
      <c r="G32" s="44" t="str">
        <f t="shared" si="20"/>
        <v/>
      </c>
      <c r="H32" s="48"/>
      <c r="I32" s="47" t="str">
        <f>+IF(C32="","",VLOOKUP(CONCATENATE(Formato!S96,"-",Formato!T96," ,",Formato!$I$20,"-",Formato!V96),'Errores  Patrones'!$G$4:$M$1508,4,0)*Formato!AE96)</f>
        <v/>
      </c>
      <c r="J32" s="47" t="str">
        <f>+IF(C32="","",VLOOKUP(CONCATENATE(Formato!S96,"-",Formato!T96," ,",Formato!$I$20,"-",Formato!V96),'Errores  Patrones'!$G$4:$M$1508,5,0))</f>
        <v/>
      </c>
      <c r="K32" s="47" t="str">
        <f>+IF(C32="","",VLOOKUP(CONCATENATE(Formato!S96,"-",Formato!T96," ,",Formato!$I$20,"-",Formato!V96),'Errores  Patrones'!$G$4:$M$1508,7,0))</f>
        <v/>
      </c>
      <c r="L32" s="47" t="str">
        <f>+IF(C32="","",VLOOKUP(CONCATENATE(Formato!S96,"-",Formato!T96," ,",Formato!$I$20,"-",Formato!V96),'Errores  Patrones'!$G$4:$O$1508,9,0))</f>
        <v/>
      </c>
      <c r="M32" s="74" t="str">
        <f t="shared" si="12"/>
        <v>-1g</v>
      </c>
      <c r="AL32" s="23">
        <f>+Z16*1000</f>
        <v>20</v>
      </c>
      <c r="AM32" s="23">
        <f>+AC16</f>
        <v>0.08</v>
      </c>
      <c r="AN32" s="23">
        <f>+AM32-(AM32-AP32)/($AM$6-$AP$6)*($AM$6-$AN$6)</f>
        <v>7.3333333333333334E-2</v>
      </c>
      <c r="AO32" s="23">
        <f>+AM32-(AM32-AP32)/($AM$6-$AP$6)*($AM$6-$AO$6)</f>
        <v>6.6666666666666666E-2</v>
      </c>
      <c r="AP32" s="23">
        <f>+AD16</f>
        <v>0.06</v>
      </c>
      <c r="AQ32" s="23">
        <f>+AP32-(AP32-AR32)/($AP$6-$AR$6)*($AP$6-$AQ$6)</f>
        <v>5.5E-2</v>
      </c>
      <c r="AR32" s="23">
        <f>+AE16</f>
        <v>0.05</v>
      </c>
      <c r="AS32" s="23">
        <f>+AR32-(AR32-AT32)/($AR$6-$AT$6)*($AR$6-$AS$6)</f>
        <v>0.04</v>
      </c>
      <c r="AT32" s="23">
        <f t="shared" si="22"/>
        <v>0.03</v>
      </c>
      <c r="AU32" s="23">
        <f t="shared" si="22"/>
        <v>0.02</v>
      </c>
      <c r="AV32" s="23">
        <f t="shared" si="22"/>
        <v>0.01</v>
      </c>
      <c r="AY32" t="s">
        <v>1275</v>
      </c>
      <c r="AZ32" s="610">
        <v>1.0900000000000001</v>
      </c>
    </row>
    <row r="33" spans="1:54" ht="15.75" thickBot="1">
      <c r="B33" s="1" t="str">
        <f>(CONCATENATE(Formato!S97,"-",Formato!T97," ,",Formato!$I$20,"-",Formato!V97))</f>
        <v>SUMA-8 ,g-</v>
      </c>
      <c r="C33" s="42"/>
      <c r="D33" s="39">
        <f>IF(Formato!X97="","",Formato!X97-Formato!AB97)</f>
        <v>8</v>
      </c>
      <c r="E33" s="40">
        <f>+IF(C29="","",SUM(E29:E32))</f>
        <v>7.9999870000000008</v>
      </c>
      <c r="F33" s="190">
        <f>IF(AND(Formato!$W$47="SI",$D$12="SOLICITAR CERTIFICADO DE LAS PESAS"),"Ingrese  Densidad Masas de Ajuste",IF(Formato!$W$47="SI",-E33*($H$7-$H$2)*((1/$D$11-1/8)+($D$11-$D$12)/8),-E33*(($H$7-$H$2)*(1/$D$11-1/8))))</f>
        <v>8.4521099806097468E-7</v>
      </c>
      <c r="G33" s="45">
        <f>+IF(C29="","",SUM(G29:G32))</f>
        <v>0</v>
      </c>
      <c r="H33" s="49">
        <f>+IF(OR(E33="",F33="Ingrese  Densidad Masas de Ajuste"),"",IF(E33="--","--",E33+F33+G33))</f>
        <v>7.9999878452109989</v>
      </c>
      <c r="I33" s="45">
        <f>+IF(C29="","",SUM(I29:I32))</f>
        <v>3.9999999999999996E-5</v>
      </c>
      <c r="J33" s="45">
        <f>+IF(C29="","",MIN(J29:J32))</f>
        <v>2</v>
      </c>
      <c r="K33" s="41">
        <f>+IF(G29="","",SUM(K29:K32))</f>
        <v>3.9999999999999996E-5</v>
      </c>
      <c r="L33" s="41">
        <f>+IF(C29="","",SUM(L29:L32))</f>
        <v>0.04</v>
      </c>
      <c r="M33" s="74" t="str">
        <f t="shared" si="12"/>
        <v>-1g</v>
      </c>
      <c r="AL33" s="23">
        <f>+Z17*1000</f>
        <v>10</v>
      </c>
      <c r="AM33" s="27">
        <f>+AC17</f>
        <v>0.05</v>
      </c>
      <c r="AN33" s="27">
        <f>+AM33-(AM33-AP33)/($AM$6-$AP$6)*($AM$6-$AN$6)</f>
        <v>4.3333333333333335E-2</v>
      </c>
      <c r="AO33" s="27">
        <f>+AM33-(AM33-AP33)/($AM$6-$AP$6)*($AM$6-$AO$6)</f>
        <v>3.6666666666666667E-2</v>
      </c>
      <c r="AP33" s="27">
        <f>+AD17</f>
        <v>0.03</v>
      </c>
      <c r="AQ33" s="27">
        <f>+AP33-(AP33-AR33)/($AP$6-$AR$6)*($AP$6-$AQ$6)</f>
        <v>0.03</v>
      </c>
      <c r="AR33" s="27">
        <f>+AE17</f>
        <v>0.03</v>
      </c>
      <c r="AS33" s="27">
        <f>+AR33-(AR33-AT33)/($AR$6-$AT$6)*($AR$6-$AS$6)</f>
        <v>2.5000000000000001E-2</v>
      </c>
      <c r="AT33" s="27">
        <f t="shared" si="22"/>
        <v>0.02</v>
      </c>
      <c r="AU33" s="27">
        <f t="shared" si="22"/>
        <v>0.01</v>
      </c>
      <c r="AV33" s="27">
        <f t="shared" si="22"/>
        <v>0.01</v>
      </c>
      <c r="AY33" t="s">
        <v>1276</v>
      </c>
      <c r="AZ33" s="610">
        <v>0.51</v>
      </c>
    </row>
    <row r="34" spans="1:54" ht="15.75" thickBot="1">
      <c r="B34" s="1" t="str">
        <f>(CONCATENATE(Formato!S98,"-",Formato!T98," ,",Formato!$I$20,"-",Formato!V98))</f>
        <v>N/A-10 ,g-04</v>
      </c>
      <c r="C34" s="34">
        <f>+IF(Formato!T98="","",Formato!T98)</f>
        <v>10</v>
      </c>
      <c r="D34" s="36"/>
      <c r="E34" s="38">
        <f>+IF(C34="","",VLOOKUP(CONCATENATE(Formato!S98,"-",Formato!T98," ,",Formato!$I$20,"-",Formato!V98),'Errores  Patrones'!$G$4:$M$1508,3,0)*Formato!AE98)</f>
        <v>10.000019999999999</v>
      </c>
      <c r="F34" s="32"/>
      <c r="G34" s="43">
        <f t="shared" si="20"/>
        <v>-1.0000000000000001E-5</v>
      </c>
      <c r="H34" s="47"/>
      <c r="I34" s="47">
        <f>+IF(C34="","",VLOOKUP(CONCATENATE(Formato!S98,"-",Formato!T98," ,",Formato!$I$20,"-",Formato!V98),'Errores  Patrones'!$G$4:$M$1508,4,0)*Formato!AE98)</f>
        <v>2.0000000000000002E-5</v>
      </c>
      <c r="J34" s="47">
        <f>+IF(C34="","",VLOOKUP(CONCATENATE(Formato!S98,"-",Formato!T98," ,",Formato!$I$20,"-",Formato!V98),'Errores  Patrones'!$G$4:$M$1508,5,0))</f>
        <v>2</v>
      </c>
      <c r="K34" s="47">
        <f>+IF(C34="","",VLOOKUP(CONCATENATE(Formato!S98,"-",Formato!T98," ,",Formato!$I$20,"-",Formato!V98),'Errores  Patrones'!$G$4:$M$1508,7,0))</f>
        <v>2.0000000000000002E-5</v>
      </c>
      <c r="L34" s="47">
        <f>+IF(C34="","",VLOOKUP(CONCATENATE(Formato!S98,"-",Formato!T98," ,",Formato!$I$20,"-",Formato!V98),'Errores  Patrones'!$G$4:$O$1508,9,0))</f>
        <v>1E-4</v>
      </c>
      <c r="M34" s="74" t="str">
        <f>CONCATENATE(C34,"-",ABS($E$14),$E$15)</f>
        <v>10-1g</v>
      </c>
      <c r="AL34" s="23">
        <v>5</v>
      </c>
      <c r="AM34" s="27">
        <f>+AM33</f>
        <v>0.05</v>
      </c>
      <c r="AN34" s="27">
        <f t="shared" ref="AN34:AV34" si="23">+AN33</f>
        <v>4.3333333333333335E-2</v>
      </c>
      <c r="AO34" s="27">
        <f t="shared" si="23"/>
        <v>3.6666666666666667E-2</v>
      </c>
      <c r="AP34" s="27">
        <f t="shared" si="23"/>
        <v>0.03</v>
      </c>
      <c r="AQ34" s="27">
        <f t="shared" si="23"/>
        <v>0.03</v>
      </c>
      <c r="AR34" s="27">
        <f t="shared" si="23"/>
        <v>0.03</v>
      </c>
      <c r="AS34" s="27">
        <f t="shared" si="23"/>
        <v>2.5000000000000001E-2</v>
      </c>
      <c r="AT34" s="27">
        <f t="shared" si="23"/>
        <v>0.02</v>
      </c>
      <c r="AU34" s="27">
        <f t="shared" si="23"/>
        <v>0.01</v>
      </c>
      <c r="AV34" s="27">
        <f t="shared" si="23"/>
        <v>0.01</v>
      </c>
      <c r="AY34" t="s">
        <v>1277</v>
      </c>
      <c r="AZ34" s="610">
        <v>0.28999999999999998</v>
      </c>
    </row>
    <row r="35" spans="1:54" ht="15.75" thickBot="1">
      <c r="A35" s="1">
        <v>4</v>
      </c>
      <c r="B35" s="1" t="str">
        <f>(CONCATENATE(Formato!S99,"-",Formato!T99," ,",Formato!$I$20,"-",Formato!V99))</f>
        <v>SI-2 ,g-04</v>
      </c>
      <c r="C35" s="35">
        <f>+IF(Formato!T99="","",Formato!T99)</f>
        <v>2</v>
      </c>
      <c r="D35" s="37" t="str">
        <f>IF(Formato!X103="","",Formato!X103)</f>
        <v/>
      </c>
      <c r="E35" s="38">
        <f>+IF(C35="","",VLOOKUP(CONCATENATE(Formato!S99,"-",Formato!T99," ,",Formato!$I$20,"-",Formato!V99),'Errores  Patrones'!$G$4:$M$1508,3,0)*Formato!AE99)</f>
        <v>1.9999899999999999</v>
      </c>
      <c r="F35" s="33"/>
      <c r="G35" s="44">
        <f t="shared" si="20"/>
        <v>0</v>
      </c>
      <c r="H35" s="48"/>
      <c r="I35" s="47">
        <f>+IF(C35="","",VLOOKUP(CONCATENATE(Formato!S99,"-",Formato!T99," ,",Formato!$I$20,"-",Formato!V99),'Errores  Patrones'!$G$4:$M$1508,4,0)*Formato!AE99)</f>
        <v>1.2999999999999999E-5</v>
      </c>
      <c r="J35" s="47">
        <f>+IF(C35="","",VLOOKUP(CONCATENATE(Formato!S99,"-",Formato!T99," ,",Formato!$I$20,"-",Formato!V99),'Errores  Patrones'!$G$4:$M$1508,5,0))</f>
        <v>2</v>
      </c>
      <c r="K35" s="47">
        <f>+IF(C35="","",VLOOKUP(CONCATENATE(Formato!S99,"-",Formato!T99," ,",Formato!$I$20,"-",Formato!V99),'Errores  Patrones'!$G$4:$M$1508,7,0))</f>
        <v>1.2999999999999999E-5</v>
      </c>
      <c r="L35" s="47">
        <f>+IF(C35="","",VLOOKUP(CONCATENATE(Formato!S99,"-",Formato!T99," ,",Formato!$I$20,"-",Formato!V99),'Errores  Patrones'!$G$4:$O$1508,9,0))</f>
        <v>0.01</v>
      </c>
      <c r="M35" s="74" t="str">
        <f t="shared" ref="M35:M75" si="24">CONCATENATE(C35,"-",ABS($E$14),$E$15)</f>
        <v>2-1g</v>
      </c>
      <c r="AL35" s="23">
        <v>2</v>
      </c>
      <c r="AM35" s="27">
        <f>+AM34</f>
        <v>0.05</v>
      </c>
      <c r="AN35" s="27">
        <f t="shared" ref="AN35:AV36" si="25">+AN34</f>
        <v>4.3333333333333335E-2</v>
      </c>
      <c r="AO35" s="27">
        <f t="shared" si="25"/>
        <v>3.6666666666666667E-2</v>
      </c>
      <c r="AP35" s="27">
        <f t="shared" si="25"/>
        <v>0.03</v>
      </c>
      <c r="AQ35" s="27">
        <f t="shared" si="25"/>
        <v>0.03</v>
      </c>
      <c r="AR35" s="27">
        <f t="shared" si="25"/>
        <v>0.03</v>
      </c>
      <c r="AS35" s="27">
        <f t="shared" si="25"/>
        <v>2.5000000000000001E-2</v>
      </c>
      <c r="AT35" s="27">
        <f t="shared" si="25"/>
        <v>0.02</v>
      </c>
      <c r="AU35" s="27">
        <f t="shared" si="25"/>
        <v>0.01</v>
      </c>
      <c r="AV35" s="27">
        <f t="shared" si="25"/>
        <v>0.01</v>
      </c>
      <c r="AY35" t="s">
        <v>1278</v>
      </c>
      <c r="AZ35" s="610">
        <v>0.17</v>
      </c>
    </row>
    <row r="36" spans="1:54" ht="15.75" thickBot="1">
      <c r="B36" s="1" t="str">
        <f>(CONCATENATE(Formato!S100,"-",Formato!T100," ,",Formato!$I$20,"-",Formato!V100))</f>
        <v>- ,g-</v>
      </c>
      <c r="C36" s="35" t="str">
        <f>+IF(Formato!T100="","",Formato!T100)</f>
        <v/>
      </c>
      <c r="D36" s="37" t="str">
        <f>IF(Formato!X104="","",Formato!X104)</f>
        <v/>
      </c>
      <c r="E36" s="38" t="str">
        <f>+IF(C36="","",VLOOKUP(CONCATENATE(Formato!S100,"-",Formato!T100," ,",Formato!$I$20,"-",Formato!V100),'Errores  Patrones'!$G$4:$M$1508,3,0)*Formato!AE100)</f>
        <v/>
      </c>
      <c r="F36" s="33"/>
      <c r="G36" s="44" t="str">
        <f t="shared" si="20"/>
        <v/>
      </c>
      <c r="H36" s="48"/>
      <c r="I36" s="47" t="str">
        <f>+IF(C36="","",VLOOKUP(CONCATENATE(Formato!S100,"-",Formato!T100," ,",Formato!$I$20,"-",Formato!V100),'Errores  Patrones'!$G$4:$M$1508,4,0)*Formato!AE100)</f>
        <v/>
      </c>
      <c r="J36" s="47" t="str">
        <f>+IF(C36="","",VLOOKUP(CONCATENATE(Formato!S100,"-",Formato!T100," ,",Formato!$I$20,"-",Formato!V100),'Errores  Patrones'!$G$4:$M$1508,5,0))</f>
        <v/>
      </c>
      <c r="K36" s="47" t="str">
        <f>+IF(C36="","",VLOOKUP(CONCATENATE(Formato!S100,"-",Formato!T100," ,",Formato!$I$20,"-",Formato!V100),'Errores  Patrones'!$G$4:$M$1508,7,0))</f>
        <v/>
      </c>
      <c r="L36" s="47" t="str">
        <f>+IF(C36="","",VLOOKUP(CONCATENATE(Formato!S100,"-",Formato!T100," ,",Formato!$I$20,"-",Formato!V100),'Errores  Patrones'!$G$4:$O$1508,9,0))</f>
        <v/>
      </c>
      <c r="M36" s="74" t="str">
        <f t="shared" si="24"/>
        <v>-1g</v>
      </c>
      <c r="AL36" s="23">
        <v>1</v>
      </c>
      <c r="AM36" s="27">
        <f>+AM35</f>
        <v>0.05</v>
      </c>
      <c r="AN36" s="27">
        <f>+AN35</f>
        <v>4.3333333333333335E-2</v>
      </c>
      <c r="AO36" s="27">
        <f>+AO35</f>
        <v>3.6666666666666667E-2</v>
      </c>
      <c r="AP36" s="27">
        <f>+AP35</f>
        <v>0.03</v>
      </c>
      <c r="AQ36" s="27">
        <f>+AQ35</f>
        <v>0.03</v>
      </c>
      <c r="AR36" s="27">
        <f t="shared" si="25"/>
        <v>0.03</v>
      </c>
      <c r="AS36" s="27">
        <f t="shared" ref="AS36:AV37" si="26">+AS35</f>
        <v>2.5000000000000001E-2</v>
      </c>
      <c r="AT36" s="27">
        <f t="shared" si="26"/>
        <v>0.02</v>
      </c>
      <c r="AU36" s="27">
        <f t="shared" si="26"/>
        <v>0.01</v>
      </c>
      <c r="AV36" s="27">
        <f t="shared" si="26"/>
        <v>0.01</v>
      </c>
      <c r="AY36" t="s">
        <v>1279</v>
      </c>
      <c r="AZ36" s="610">
        <v>0.08</v>
      </c>
    </row>
    <row r="37" spans="1:54" ht="15.75" thickBot="1">
      <c r="B37" s="1" t="str">
        <f>(CONCATENATE(Formato!S101,"-",Formato!T101," ,",Formato!$I$20,"-",Formato!V101))</f>
        <v>- ,g-</v>
      </c>
      <c r="C37" s="35" t="str">
        <f>+IF(Formato!T101="","",Formato!T101)</f>
        <v/>
      </c>
      <c r="D37" s="37" t="str">
        <f>IF(Formato!X105="","",Formato!X105)</f>
        <v/>
      </c>
      <c r="E37" s="38" t="str">
        <f>+IF(C37="","",VLOOKUP(CONCATENATE(Formato!S101,"-",Formato!T101," ,",Formato!$I$20,"-",Formato!V101),'Errores  Patrones'!$G$4:$M$1508,3,0)*Formato!AE101)</f>
        <v/>
      </c>
      <c r="F37" s="33"/>
      <c r="G37" s="44" t="str">
        <f t="shared" si="20"/>
        <v/>
      </c>
      <c r="H37" s="48"/>
      <c r="I37" s="47" t="str">
        <f>+IF(C37="","",VLOOKUP(CONCATENATE(Formato!S101,"-",Formato!T101," ,",Formato!$I$20,"-",Formato!V101),'Errores  Patrones'!$G$4:$M$1508,4,0)*Formato!AE101)</f>
        <v/>
      </c>
      <c r="J37" s="47" t="str">
        <f>+IF(C37="","",VLOOKUP(CONCATENATE(Formato!S101,"-",Formato!T101," ,",Formato!$I$20,"-",Formato!V101),'Errores  Patrones'!$G$4:$M$1508,5,0))</f>
        <v/>
      </c>
      <c r="K37" s="47" t="str">
        <f>+IF(C37="","",VLOOKUP(CONCATENATE(Formato!S101,"-",Formato!T101," ,",Formato!$I$20,"-",Formato!V101),'Errores  Patrones'!$G$4:$M$1508,7,0))</f>
        <v/>
      </c>
      <c r="L37" s="47" t="str">
        <f>+IF(C37="","",VLOOKUP(CONCATENATE(Formato!S101,"-",Formato!T101," ,",Formato!$I$20,"-",Formato!V101),'Errores  Patrones'!$G$4:$O$1508,9,0))</f>
        <v/>
      </c>
      <c r="M37" s="74" t="str">
        <f t="shared" si="24"/>
        <v>-1g</v>
      </c>
      <c r="AL37" s="23">
        <v>0.5</v>
      </c>
      <c r="AM37" s="27">
        <f>+AM36</f>
        <v>0.05</v>
      </c>
      <c r="AN37" s="27">
        <f>+AN36</f>
        <v>4.3333333333333335E-2</v>
      </c>
      <c r="AO37" s="27">
        <f>+AO36</f>
        <v>3.6666666666666667E-2</v>
      </c>
      <c r="AP37" s="27">
        <f>+AP36</f>
        <v>0.03</v>
      </c>
      <c r="AQ37" s="27">
        <f t="shared" ref="AQ37:AR39" si="27">+AQ36</f>
        <v>0.03</v>
      </c>
      <c r="AR37" s="27">
        <f t="shared" si="27"/>
        <v>0.03</v>
      </c>
      <c r="AS37" s="27">
        <f t="shared" si="26"/>
        <v>2.5000000000000001E-2</v>
      </c>
      <c r="AT37" s="27">
        <f t="shared" si="26"/>
        <v>0.02</v>
      </c>
      <c r="AU37" s="27">
        <f t="shared" si="26"/>
        <v>0.01</v>
      </c>
      <c r="AV37" s="27">
        <f t="shared" si="26"/>
        <v>0.01</v>
      </c>
      <c r="AY37" t="s">
        <v>1280</v>
      </c>
      <c r="AZ37" s="610">
        <v>0.05</v>
      </c>
    </row>
    <row r="38" spans="1:54" ht="15.75" thickBot="1">
      <c r="B38" s="1" t="str">
        <f>(CONCATENATE(Formato!S102,"-",Formato!T102," ,",Formato!$I$20,"-",Formato!V102))</f>
        <v>SUMA-12 ,g-</v>
      </c>
      <c r="C38" s="42"/>
      <c r="D38" s="39">
        <f>IF(Formato!X102="","",Formato!X102-Formato!AB102)</f>
        <v>12</v>
      </c>
      <c r="E38" s="40">
        <f>+IF(C34="","",SUM(E34:E37))</f>
        <v>12.00001</v>
      </c>
      <c r="F38" s="190">
        <f>IF(AND(Formato!$W$47="SI",$D$12="SOLICITAR CERTIFICADO DE LAS PESAS"),"Ingrese  Densidad Masas de Ajuste",IF(Formato!$W$47="SI",-E38*($H$7-$H$2)*((1/$D$11-1/8)+($D$11-$D$12)/8),-E38*(($H$7-$H$2)*(1/$D$11-1/8))))</f>
        <v>1.2678196138120819E-6</v>
      </c>
      <c r="G38" s="45">
        <f>+IF(C34="","",SUM(G34:G37))</f>
        <v>-1.0000000000000001E-5</v>
      </c>
      <c r="H38" s="49">
        <f>+IF(OR(E38="",F38="Ingrese  Densidad Masas de Ajuste"),"",IF(E38="--","--",E38+F38+G38))</f>
        <v>12.000001267819615</v>
      </c>
      <c r="I38" s="45">
        <f>+IF(C34="","",SUM(I34:I37))</f>
        <v>3.3000000000000003E-5</v>
      </c>
      <c r="J38" s="45">
        <f>+IF(C34="","",MIN(J34:J37))</f>
        <v>2</v>
      </c>
      <c r="K38" s="41">
        <f>+IF(G34="","",SUM(K34:K37))</f>
        <v>3.3000000000000003E-5</v>
      </c>
      <c r="L38" s="41">
        <f>+IF(C34="","",SUM(L34:L37))</f>
        <v>1.01E-2</v>
      </c>
      <c r="M38" s="74" t="str">
        <f t="shared" si="24"/>
        <v>-1g</v>
      </c>
      <c r="AL38" s="23">
        <v>0.2</v>
      </c>
      <c r="AM38" s="27">
        <f t="shared" ref="AM38:AV38" si="28">+AM37</f>
        <v>0.05</v>
      </c>
      <c r="AN38" s="27">
        <f t="shared" si="28"/>
        <v>4.3333333333333335E-2</v>
      </c>
      <c r="AO38" s="27">
        <f t="shared" si="28"/>
        <v>3.6666666666666667E-2</v>
      </c>
      <c r="AP38" s="27">
        <f t="shared" si="28"/>
        <v>0.03</v>
      </c>
      <c r="AQ38" s="27">
        <f t="shared" si="28"/>
        <v>0.03</v>
      </c>
      <c r="AR38" s="27">
        <f t="shared" si="28"/>
        <v>0.03</v>
      </c>
      <c r="AS38" s="27">
        <f t="shared" si="28"/>
        <v>2.5000000000000001E-2</v>
      </c>
      <c r="AT38" s="27">
        <f t="shared" si="28"/>
        <v>0.02</v>
      </c>
      <c r="AU38" s="27">
        <f t="shared" si="28"/>
        <v>0.01</v>
      </c>
      <c r="AV38" s="27">
        <f t="shared" si="28"/>
        <v>0.01</v>
      </c>
      <c r="AY38" t="s">
        <v>1281</v>
      </c>
      <c r="AZ38" s="610">
        <v>0.03</v>
      </c>
    </row>
    <row r="39" spans="1:54" ht="15.75" thickBot="1">
      <c r="B39" s="1" t="str">
        <f>(CONCATENATE(Formato!S103,"-",Formato!T103," ,",Formato!$I$20,"-",Formato!V103))</f>
        <v>N/A-10 ,g-04</v>
      </c>
      <c r="C39" s="34">
        <f>+IF(Formato!T103="","",Formato!T103)</f>
        <v>10</v>
      </c>
      <c r="D39" s="36"/>
      <c r="E39" s="38">
        <f>+IF(C39="","",VLOOKUP(CONCATENATE(Formato!S103,"-",Formato!T103," ,",Formato!$I$20,"-",Formato!V103),'Errores  Patrones'!$G$4:$M$1508,3,0)*Formato!AE103)</f>
        <v>10.000019999999999</v>
      </c>
      <c r="F39" s="32"/>
      <c r="G39" s="43">
        <f t="shared" si="20"/>
        <v>-1.0000000000000001E-5</v>
      </c>
      <c r="H39" s="47"/>
      <c r="I39" s="47">
        <f>+IF(C39="","",VLOOKUP(CONCATENATE(Formato!S103,"-",Formato!T103," ,",Formato!$I$20,"-",Formato!V103),'Errores  Patrones'!$G$4:$M$1508,4,0)*Formato!AE103)</f>
        <v>2.0000000000000002E-5</v>
      </c>
      <c r="J39" s="47">
        <f>+IF(C39="","",VLOOKUP(CONCATENATE(Formato!S103,"-",Formato!T103," ,",Formato!$I$20,"-",Formato!V103),'Errores  Patrones'!$G$4:$M$1508,5,0))</f>
        <v>2</v>
      </c>
      <c r="K39" s="47">
        <f>+IF(C39="","",VLOOKUP(CONCATENATE(Formato!S103,"-",Formato!T103," ,",Formato!$I$20,"-",Formato!V103),'Errores  Patrones'!$G$4:$M$1508,7,0))</f>
        <v>2.0000000000000002E-5</v>
      </c>
      <c r="L39" s="47">
        <f>+IF(C39="","",VLOOKUP(CONCATENATE(Formato!S103,"-",Formato!T103," ,",Formato!$I$20,"-",Formato!V103),'Errores  Patrones'!$G$4:$O$1508,9,0))</f>
        <v>1E-4</v>
      </c>
      <c r="M39" s="74" t="str">
        <f t="shared" si="24"/>
        <v>10-1g</v>
      </c>
      <c r="AL39" s="23">
        <v>0.1</v>
      </c>
      <c r="AM39" s="27">
        <f>+AM38</f>
        <v>0.05</v>
      </c>
      <c r="AN39" s="27">
        <f>+AN38</f>
        <v>4.3333333333333335E-2</v>
      </c>
      <c r="AO39" s="27">
        <f>+AO38</f>
        <v>3.6666666666666667E-2</v>
      </c>
      <c r="AP39" s="27">
        <f>+AP38</f>
        <v>0.03</v>
      </c>
      <c r="AQ39" s="27">
        <f t="shared" si="27"/>
        <v>0.03</v>
      </c>
      <c r="AR39" s="27">
        <f t="shared" si="27"/>
        <v>0.03</v>
      </c>
      <c r="AS39" s="27">
        <f>+AS38</f>
        <v>2.5000000000000001E-2</v>
      </c>
      <c r="AT39" s="27">
        <f>+AT38</f>
        <v>0.02</v>
      </c>
      <c r="AU39" s="27">
        <f>+AU38</f>
        <v>0.01</v>
      </c>
      <c r="AV39" s="27">
        <f>+AV38</f>
        <v>0.01</v>
      </c>
      <c r="AY39" t="s">
        <v>1282</v>
      </c>
      <c r="AZ39" s="610">
        <v>0.01</v>
      </c>
    </row>
    <row r="40" spans="1:54" ht="15.75" thickBot="1">
      <c r="A40" s="1">
        <v>5</v>
      </c>
      <c r="B40" s="1" t="str">
        <f>(CONCATENATE(Formato!S104,"-",Formato!T104," ,",Formato!$I$20,"-",Formato!V104))</f>
        <v>N/A-5 ,g-04</v>
      </c>
      <c r="C40" s="35">
        <f>+IF(Formato!T104="","",Formato!T104)</f>
        <v>5</v>
      </c>
      <c r="D40" s="37" t="str">
        <f>IF(Formato!X108="","",Formato!X108)</f>
        <v/>
      </c>
      <c r="E40" s="38">
        <f>+IF(C40="","",VLOOKUP(CONCATENATE(Formato!S104,"-",Formato!T104," ,",Formato!$I$20,"-",Formato!V104),'Errores  Patrones'!$G$4:$M$1508,3,0)*Formato!AE104)</f>
        <v>4.9999880000000001</v>
      </c>
      <c r="F40" s="33"/>
      <c r="G40" s="44">
        <f t="shared" si="20"/>
        <v>0</v>
      </c>
      <c r="H40" s="48"/>
      <c r="I40" s="47">
        <f>+IF(C40="","",VLOOKUP(CONCATENATE(Formato!S104,"-",Formato!T104," ,",Formato!$I$20,"-",Formato!V104),'Errores  Patrones'!$G$4:$M$1508,4,0)*Formato!AE104)</f>
        <v>1.7E-5</v>
      </c>
      <c r="J40" s="47">
        <f>+IF(C40="","",VLOOKUP(CONCATENATE(Formato!S104,"-",Formato!T104," ,",Formato!$I$20,"-",Formato!V104),'Errores  Patrones'!$G$4:$M$1508,5,0))</f>
        <v>2</v>
      </c>
      <c r="K40" s="47">
        <f>+IF(C40="","",VLOOKUP(CONCATENATE(Formato!S104,"-",Formato!T104," ,",Formato!$I$20,"-",Formato!V104),'Errores  Patrones'!$G$4:$M$1508,7,0))</f>
        <v>1.7E-5</v>
      </c>
      <c r="L40" s="47">
        <f>+IF(C40="","",VLOOKUP(CONCATENATE(Formato!S104,"-",Formato!T104," ,",Formato!$I$20,"-",Formato!V104),'Errores  Patrones'!$G$4:$O$1508,9,0))</f>
        <v>2.5000000000000001E-2</v>
      </c>
      <c r="M40" s="74" t="str">
        <f t="shared" si="24"/>
        <v>5-1g</v>
      </c>
      <c r="AL40" s="23">
        <v>0.05</v>
      </c>
      <c r="AM40" s="27">
        <f t="shared" ref="AM40:AV40" si="29">+AM35</f>
        <v>0.05</v>
      </c>
      <c r="AN40" s="27">
        <f t="shared" si="29"/>
        <v>4.3333333333333335E-2</v>
      </c>
      <c r="AO40" s="27">
        <f t="shared" si="29"/>
        <v>3.6666666666666667E-2</v>
      </c>
      <c r="AP40" s="27">
        <f t="shared" si="29"/>
        <v>0.03</v>
      </c>
      <c r="AQ40" s="27">
        <f t="shared" si="29"/>
        <v>0.03</v>
      </c>
      <c r="AR40" s="27">
        <f t="shared" si="29"/>
        <v>0.03</v>
      </c>
      <c r="AS40" s="27">
        <f t="shared" si="29"/>
        <v>2.5000000000000001E-2</v>
      </c>
      <c r="AT40" s="27">
        <f t="shared" si="29"/>
        <v>0.02</v>
      </c>
      <c r="AU40" s="27">
        <f t="shared" si="29"/>
        <v>0.01</v>
      </c>
      <c r="AV40" s="27">
        <f t="shared" si="29"/>
        <v>0.01</v>
      </c>
      <c r="AY40" t="s">
        <v>1283</v>
      </c>
      <c r="AZ40" s="610">
        <v>0.01</v>
      </c>
    </row>
    <row r="41" spans="1:54" ht="15.75" thickBot="1">
      <c r="B41" s="1" t="str">
        <f>(CONCATENATE(Formato!S105,"-",Formato!T105," ,",Formato!$I$20,"-",Formato!V105))</f>
        <v>- ,g-</v>
      </c>
      <c r="C41" s="35" t="str">
        <f>+IF(Formato!T105="","",Formato!T105)</f>
        <v/>
      </c>
      <c r="D41" s="37" t="str">
        <f>IF(Formato!X109="","",Formato!X109)</f>
        <v/>
      </c>
      <c r="E41" s="38" t="str">
        <f>+IF(C41="","",VLOOKUP(CONCATENATE(Formato!S105,"-",Formato!T105," ,",Formato!$I$20,"-",Formato!V105),'Errores  Patrones'!$G$4:$M$1508,3,0)*Formato!AE105)</f>
        <v/>
      </c>
      <c r="F41" s="33"/>
      <c r="G41" s="44" t="str">
        <f t="shared" si="20"/>
        <v/>
      </c>
      <c r="H41" s="48"/>
      <c r="I41" s="47" t="str">
        <f>+IF(C41="","",VLOOKUP(CONCATENATE(Formato!S105,"-",Formato!T105," ,",Formato!$I$20,"-",Formato!V105),'Errores  Patrones'!$G$4:$M$1508,4,0)*Formato!AE105)</f>
        <v/>
      </c>
      <c r="J41" s="47" t="str">
        <f>+IF(C41="","",VLOOKUP(CONCATENATE(Formato!S105,"-",Formato!T105," ,",Formato!$I$20,"-",Formato!V105),'Errores  Patrones'!$G$4:$M$1508,5,0))</f>
        <v/>
      </c>
      <c r="K41" s="47" t="str">
        <f>+IF(C41="","",VLOOKUP(CONCATENATE(Formato!S105,"-",Formato!T105," ,",Formato!$I$20,"-",Formato!V105),'Errores  Patrones'!$G$4:$M$1508,7,0))</f>
        <v/>
      </c>
      <c r="L41" s="47" t="str">
        <f>+IF(C41="","",VLOOKUP(CONCATENATE(Formato!S105,"-",Formato!T105," ,",Formato!$I$20,"-",Formato!V105),'Errores  Patrones'!$G$4:$O$1508,9,0))</f>
        <v/>
      </c>
      <c r="M41" s="74" t="str">
        <f t="shared" si="24"/>
        <v>-1g</v>
      </c>
      <c r="AL41" s="23">
        <v>0.01</v>
      </c>
      <c r="AM41" s="27">
        <f t="shared" ref="AM41:AV41" si="30">+AM36</f>
        <v>0.05</v>
      </c>
      <c r="AN41" s="27">
        <f t="shared" si="30"/>
        <v>4.3333333333333335E-2</v>
      </c>
      <c r="AO41" s="27">
        <f t="shared" si="30"/>
        <v>3.6666666666666667E-2</v>
      </c>
      <c r="AP41" s="27">
        <f t="shared" si="30"/>
        <v>0.03</v>
      </c>
      <c r="AQ41" s="27">
        <f t="shared" si="30"/>
        <v>0.03</v>
      </c>
      <c r="AR41" s="27">
        <f t="shared" si="30"/>
        <v>0.03</v>
      </c>
      <c r="AS41" s="27">
        <f t="shared" si="30"/>
        <v>2.5000000000000001E-2</v>
      </c>
      <c r="AT41" s="27">
        <f t="shared" si="30"/>
        <v>0.02</v>
      </c>
      <c r="AU41" s="27">
        <f t="shared" si="30"/>
        <v>0.01</v>
      </c>
      <c r="AV41" s="27">
        <f t="shared" si="30"/>
        <v>0.01</v>
      </c>
      <c r="AY41"/>
      <c r="AZ41" s="611"/>
    </row>
    <row r="42" spans="1:54" ht="15.75" thickBot="1">
      <c r="B42" s="1" t="str">
        <f>(CONCATENATE(Formato!S106,"-",Formato!T106," ,",Formato!$I$20,"-",Formato!V106))</f>
        <v>- ,g-</v>
      </c>
      <c r="C42" s="35" t="str">
        <f>+IF(Formato!T106="","",Formato!T106)</f>
        <v/>
      </c>
      <c r="D42" s="37" t="str">
        <f>IF(Formato!X110="","",Formato!X110)</f>
        <v/>
      </c>
      <c r="E42" s="38" t="str">
        <f>+IF(C42="","",VLOOKUP(CONCATENATE(Formato!S106,"-",Formato!T106," ,",Formato!$I$20,"-",Formato!V106),'Errores  Patrones'!$G$4:$M$1508,3,0)*Formato!AE106)</f>
        <v/>
      </c>
      <c r="F42" s="33"/>
      <c r="G42" s="44" t="str">
        <f t="shared" si="20"/>
        <v/>
      </c>
      <c r="H42" s="48"/>
      <c r="I42" s="47" t="str">
        <f>+IF(C42="","",VLOOKUP(CONCATENATE(Formato!S106,"-",Formato!T106," ,",Formato!$I$20,"-",Formato!V106),'Errores  Patrones'!$G$4:$M$1508,4,0)*Formato!AE106)</f>
        <v/>
      </c>
      <c r="J42" s="47" t="str">
        <f>+IF(C42="","",VLOOKUP(CONCATENATE(Formato!S106,"-",Formato!T106," ,",Formato!$I$20,"-",Formato!V106),'Errores  Patrones'!$G$4:$M$1508,5,0))</f>
        <v/>
      </c>
      <c r="K42" s="47" t="str">
        <f>+IF(C42="","",VLOOKUP(CONCATENATE(Formato!S106,"-",Formato!T106," ,",Formato!$I$20,"-",Formato!V106),'Errores  Patrones'!$G$4:$M$1508,7,0))</f>
        <v/>
      </c>
      <c r="L42" s="47" t="str">
        <f>+IF(C42="","",VLOOKUP(CONCATENATE(Formato!S106,"-",Formato!T106," ,",Formato!$I$20,"-",Formato!V106),'Errores  Patrones'!$G$4:$O$1508,9,0))</f>
        <v/>
      </c>
      <c r="M42" s="74" t="str">
        <f t="shared" si="24"/>
        <v>-1g</v>
      </c>
      <c r="AL42" s="23">
        <v>0.01</v>
      </c>
      <c r="AM42" s="27">
        <f t="shared" ref="AM42:AV42" si="31">+AM37</f>
        <v>0.05</v>
      </c>
      <c r="AN42" s="27">
        <f t="shared" si="31"/>
        <v>4.3333333333333335E-2</v>
      </c>
      <c r="AO42" s="27">
        <f t="shared" si="31"/>
        <v>3.6666666666666667E-2</v>
      </c>
      <c r="AP42" s="27">
        <f t="shared" si="31"/>
        <v>0.03</v>
      </c>
      <c r="AQ42" s="27">
        <f t="shared" si="31"/>
        <v>0.03</v>
      </c>
      <c r="AR42" s="27">
        <f t="shared" si="31"/>
        <v>0.03</v>
      </c>
      <c r="AS42" s="27">
        <f t="shared" si="31"/>
        <v>2.5000000000000001E-2</v>
      </c>
      <c r="AT42" s="27">
        <f t="shared" si="31"/>
        <v>0.02</v>
      </c>
      <c r="AU42" s="27">
        <f t="shared" si="31"/>
        <v>0.01</v>
      </c>
      <c r="AV42" s="27">
        <f t="shared" si="31"/>
        <v>0.01</v>
      </c>
      <c r="AY42" t="s">
        <v>1284</v>
      </c>
      <c r="AZ42" s="610">
        <v>1.43E-5</v>
      </c>
      <c r="BB42" s="1">
        <f>AZ42/1000000</f>
        <v>1.43E-11</v>
      </c>
    </row>
    <row r="43" spans="1:54" ht="15.75" thickBot="1">
      <c r="B43" s="1" t="str">
        <f>(CONCATENATE(Formato!S107,"-",Formato!T107," ,",Formato!$I$20,"-",Formato!V107))</f>
        <v>SUMA-15 ,g-</v>
      </c>
      <c r="C43" s="42"/>
      <c r="D43" s="39">
        <f>IF(Formato!X107="","",Formato!X107-Formato!AB107)</f>
        <v>15.00001</v>
      </c>
      <c r="E43" s="40">
        <f>+IF(C39="","",SUM(E39:E42))</f>
        <v>15.000007999999999</v>
      </c>
      <c r="F43" s="190">
        <f>IF(AND(Formato!$W$47="SI",$D$12="SOLICITAR CERTIFICADO DE LAS PESAS"),"Ingrese  Densidad Masas de Ajuste",IF(Formato!$W$47="SI",-E43*($H$7-$H$2)*((1/$D$11-1/8)+($D$11-$D$12)/8),-E43*(($H$7-$H$2)*(1/$D$11-1/8))))</f>
        <v>1.5847740418331433E-6</v>
      </c>
      <c r="G43" s="45">
        <f>+IF(C39="","",SUM(G39:G42))</f>
        <v>-1.0000000000000001E-5</v>
      </c>
      <c r="H43" s="49">
        <f>+IF(OR(E43="",F43="Ingrese  Densidad Masas de Ajuste"),"",IF(E43="--","--",E43+F43+G43))</f>
        <v>14.999999584774041</v>
      </c>
      <c r="I43" s="45">
        <f>+IF(C39="","",SUM(I39:I42))</f>
        <v>3.7000000000000005E-5</v>
      </c>
      <c r="J43" s="45">
        <f>+IF(C39="","",MIN(J39:J42))</f>
        <v>2</v>
      </c>
      <c r="K43" s="41">
        <f>+IF(G39="","",SUM(K39:K42))</f>
        <v>3.7000000000000005E-5</v>
      </c>
      <c r="L43" s="41">
        <f>+IF(C39="","",SUM(L39:L42))</f>
        <v>2.5100000000000001E-2</v>
      </c>
      <c r="M43" s="74" t="str">
        <f t="shared" si="24"/>
        <v>-1g</v>
      </c>
      <c r="AL43" s="23">
        <v>5.0000000000000001E-3</v>
      </c>
      <c r="AM43" s="27">
        <f t="shared" ref="AM43:AV43" si="32">+AM38</f>
        <v>0.05</v>
      </c>
      <c r="AN43" s="27">
        <f t="shared" si="32"/>
        <v>4.3333333333333335E-2</v>
      </c>
      <c r="AO43" s="27">
        <f t="shared" si="32"/>
        <v>3.6666666666666667E-2</v>
      </c>
      <c r="AP43" s="27">
        <f t="shared" si="32"/>
        <v>0.03</v>
      </c>
      <c r="AQ43" s="27">
        <f t="shared" si="32"/>
        <v>0.03</v>
      </c>
      <c r="AR43" s="27">
        <f t="shared" si="32"/>
        <v>0.03</v>
      </c>
      <c r="AS43" s="27">
        <f t="shared" si="32"/>
        <v>2.5000000000000001E-2</v>
      </c>
      <c r="AT43" s="27">
        <f t="shared" si="32"/>
        <v>0.02</v>
      </c>
      <c r="AU43" s="27">
        <f t="shared" si="32"/>
        <v>0.01</v>
      </c>
      <c r="AV43" s="27">
        <f t="shared" si="32"/>
        <v>0.01</v>
      </c>
      <c r="AY43" t="s">
        <v>1285</v>
      </c>
      <c r="AZ43" s="610">
        <v>6.4199999999999995E-6</v>
      </c>
      <c r="BB43" s="1">
        <f t="shared" ref="BB43:BB53" si="33">AZ43/1000000</f>
        <v>6.4199999999999997E-12</v>
      </c>
    </row>
    <row r="44" spans="1:54" ht="15.75" thickBot="1">
      <c r="B44" s="1" t="str">
        <f>(CONCATENATE(Formato!S108,"-",Formato!T108," ,",Formato!$I$20,"-",Formato!V108))</f>
        <v>SI-20 ,g-04</v>
      </c>
      <c r="C44" s="34">
        <f>+IF(Formato!T108="","",Formato!T108)</f>
        <v>20</v>
      </c>
      <c r="D44" s="36"/>
      <c r="E44" s="38">
        <f>+IF(C44="","",VLOOKUP(CONCATENATE(Formato!S108,"-",Formato!T108," ,",Formato!$I$20,"-",Formato!V108),'Errores  Patrones'!$G$4:$M$1508,3,0)*Formato!AE108)</f>
        <v>20.000004000000001</v>
      </c>
      <c r="F44" s="32"/>
      <c r="G44" s="43">
        <f t="shared" si="20"/>
        <v>-1.0000000000000001E-5</v>
      </c>
      <c r="H44" s="47"/>
      <c r="I44" s="47">
        <f>+IF(C44="","",VLOOKUP(CONCATENATE(Formato!S108,"-",Formato!T108," ,",Formato!$I$20,"-",Formato!V108),'Errores  Patrones'!$G$4:$M$1508,4,0)*Formato!AE108)</f>
        <v>2.6999999999999999E-5</v>
      </c>
      <c r="J44" s="47">
        <f>+IF(C44="","",VLOOKUP(CONCATENATE(Formato!S108,"-",Formato!T108," ,",Formato!$I$20,"-",Formato!V108),'Errores  Patrones'!$G$4:$M$1508,5,0))</f>
        <v>2</v>
      </c>
      <c r="K44" s="47">
        <f>+IF(C44="","",VLOOKUP(CONCATENATE(Formato!S108,"-",Formato!T108," ,",Formato!$I$20,"-",Formato!V108),'Errores  Patrones'!$G$4:$M$1508,7,0))</f>
        <v>2.6999999999999999E-5</v>
      </c>
      <c r="L44" s="47">
        <f>+IF(C44="","",VLOOKUP(CONCATENATE(Formato!S108,"-",Formato!T108," ,",Formato!$I$20,"-",Formato!V108),'Errores  Patrones'!$G$4:$O$1508,9,0))</f>
        <v>1.2E-4</v>
      </c>
      <c r="M44" s="74" t="str">
        <f t="shared" si="24"/>
        <v>20-1g</v>
      </c>
      <c r="AL44" s="23">
        <v>2E-3</v>
      </c>
      <c r="AM44" s="27">
        <f t="shared" ref="AM44:AV44" si="34">+AM39</f>
        <v>0.05</v>
      </c>
      <c r="AN44" s="27">
        <f t="shared" si="34"/>
        <v>4.3333333333333335E-2</v>
      </c>
      <c r="AO44" s="27">
        <f t="shared" si="34"/>
        <v>3.6666666666666667E-2</v>
      </c>
      <c r="AP44" s="27">
        <f t="shared" si="34"/>
        <v>0.03</v>
      </c>
      <c r="AQ44" s="27">
        <f t="shared" si="34"/>
        <v>0.03</v>
      </c>
      <c r="AR44" s="27">
        <f t="shared" si="34"/>
        <v>0.03</v>
      </c>
      <c r="AS44" s="27">
        <f t="shared" si="34"/>
        <v>2.5000000000000001E-2</v>
      </c>
      <c r="AT44" s="27">
        <f t="shared" si="34"/>
        <v>0.02</v>
      </c>
      <c r="AU44" s="27">
        <f t="shared" si="34"/>
        <v>0.01</v>
      </c>
      <c r="AV44" s="27">
        <f t="shared" si="34"/>
        <v>0.01</v>
      </c>
      <c r="AY44" t="s">
        <v>1286</v>
      </c>
      <c r="AZ44" s="610">
        <v>3.5299999999999997E-6</v>
      </c>
      <c r="BB44" s="1">
        <f t="shared" si="33"/>
        <v>3.5299999999999997E-12</v>
      </c>
    </row>
    <row r="45" spans="1:54" ht="15.75" thickBot="1">
      <c r="A45" s="1">
        <v>6</v>
      </c>
      <c r="B45" s="1" t="str">
        <f>(CONCATENATE(Formato!S109,"-",Formato!T109," ,",Formato!$I$20,"-",Formato!V109))</f>
        <v>- ,g-</v>
      </c>
      <c r="C45" s="35" t="str">
        <f>+IF(Formato!T109="","",Formato!T109)</f>
        <v/>
      </c>
      <c r="D45" s="37" t="str">
        <f>IF(Formato!X113="","",Formato!X113)</f>
        <v/>
      </c>
      <c r="E45" s="38" t="str">
        <f>+IF(C45="","",VLOOKUP(CONCATENATE(Formato!S109,"-",Formato!T109," ,",Formato!$I$20,"-",Formato!V109),'Errores  Patrones'!$G$4:$M$1508,3,0)*Formato!AE109)</f>
        <v/>
      </c>
      <c r="F45" s="33"/>
      <c r="G45" s="44" t="str">
        <f t="shared" si="20"/>
        <v/>
      </c>
      <c r="H45" s="48"/>
      <c r="I45" s="47" t="str">
        <f>+IF(C45="","",VLOOKUP(CONCATENATE(Formato!S109,"-",Formato!T109," ,",Formato!$I$20,"-",Formato!V109),'Errores  Patrones'!$G$4:$M$1508,4,0)*Formato!AE109)</f>
        <v/>
      </c>
      <c r="J45" s="47" t="str">
        <f>+IF(C45="","",VLOOKUP(CONCATENATE(Formato!S109,"-",Formato!T109," ,",Formato!$I$20,"-",Formato!V109),'Errores  Patrones'!$G$4:$M$1508,5,0))</f>
        <v/>
      </c>
      <c r="K45" s="47" t="str">
        <f>+IF(C45="","",VLOOKUP(CONCATENATE(Formato!S109,"-",Formato!T109," ,",Formato!$I$20,"-",Formato!V109),'Errores  Patrones'!$G$4:$M$1508,7,0))</f>
        <v/>
      </c>
      <c r="L45" s="47" t="str">
        <f>+IF(C45="","",VLOOKUP(CONCATENATE(Formato!S109,"-",Formato!T109," ,",Formato!$I$20,"-",Formato!V109),'Errores  Patrones'!$G$4:$O$1508,9,0))</f>
        <v/>
      </c>
      <c r="M45" s="74" t="str">
        <f t="shared" si="24"/>
        <v>-1g</v>
      </c>
      <c r="AL45" s="23">
        <v>1E-3</v>
      </c>
      <c r="AM45" s="27">
        <f t="shared" ref="AM45:AV45" si="35">+AM40</f>
        <v>0.05</v>
      </c>
      <c r="AN45" s="27">
        <f t="shared" si="35"/>
        <v>4.3333333333333335E-2</v>
      </c>
      <c r="AO45" s="27">
        <f t="shared" si="35"/>
        <v>3.6666666666666667E-2</v>
      </c>
      <c r="AP45" s="27">
        <f t="shared" si="35"/>
        <v>0.03</v>
      </c>
      <c r="AQ45" s="27">
        <f t="shared" si="35"/>
        <v>0.03</v>
      </c>
      <c r="AR45" s="27">
        <f t="shared" si="35"/>
        <v>0.03</v>
      </c>
      <c r="AS45" s="27">
        <f t="shared" si="35"/>
        <v>2.5000000000000001E-2</v>
      </c>
      <c r="AT45" s="27">
        <f t="shared" si="35"/>
        <v>0.02</v>
      </c>
      <c r="AU45" s="27">
        <f t="shared" si="35"/>
        <v>0.01</v>
      </c>
      <c r="AV45" s="27">
        <f t="shared" si="35"/>
        <v>0.01</v>
      </c>
      <c r="AY45" t="s">
        <v>1287</v>
      </c>
      <c r="AZ45" s="610">
        <v>1.9599999999999999E-6</v>
      </c>
      <c r="BB45" s="1">
        <f t="shared" si="33"/>
        <v>1.9599999999999997E-12</v>
      </c>
    </row>
    <row r="46" spans="1:54" ht="15.75" thickBot="1">
      <c r="B46" s="1" t="str">
        <f>(CONCATENATE(Formato!S110,"-",Formato!T110," ,",Formato!$I$20,"-",Formato!V110))</f>
        <v>- ,g-</v>
      </c>
      <c r="C46" s="35" t="str">
        <f>+IF(Formato!T110="","",Formato!T110)</f>
        <v/>
      </c>
      <c r="D46" s="37" t="str">
        <f>IF(Formato!X114="","",Formato!X114)</f>
        <v/>
      </c>
      <c r="E46" s="38" t="str">
        <f>+IF(C46="","",VLOOKUP(CONCATENATE(Formato!S110,"-",Formato!T110," ,",Formato!$I$20,"-",Formato!V110),'Errores  Patrones'!$G$4:$M$1508,3,0)*Formato!AE110)</f>
        <v/>
      </c>
      <c r="F46" s="33"/>
      <c r="G46" s="44" t="str">
        <f t="shared" si="20"/>
        <v/>
      </c>
      <c r="H46" s="48"/>
      <c r="I46" s="47" t="str">
        <f>+IF(C46="","",VLOOKUP(CONCATENATE(Formato!S110,"-",Formato!T110," ,",Formato!$I$20,"-",Formato!V110),'Errores  Patrones'!$G$4:$M$1508,4,0)*Formato!AE110)</f>
        <v/>
      </c>
      <c r="J46" s="47" t="str">
        <f>+IF(C46="","",VLOOKUP(CONCATENATE(Formato!S110,"-",Formato!T110," ,",Formato!$I$20,"-",Formato!V110),'Errores  Patrones'!$G$4:$M$1508,5,0))</f>
        <v/>
      </c>
      <c r="K46" s="47" t="str">
        <f>+IF(C46="","",VLOOKUP(CONCATENATE(Formato!S110,"-",Formato!T110," ,",Formato!$I$20,"-",Formato!V110),'Errores  Patrones'!$G$4:$M$1508,7,0))</f>
        <v/>
      </c>
      <c r="L46" s="47" t="str">
        <f>+IF(C46="","",VLOOKUP(CONCATENATE(Formato!S110,"-",Formato!T110," ,",Formato!$I$20,"-",Formato!V110),'Errores  Patrones'!$G$4:$O$1508,9,0))</f>
        <v/>
      </c>
      <c r="M46" s="74" t="str">
        <f t="shared" si="24"/>
        <v>-1g</v>
      </c>
      <c r="AY46" t="s">
        <v>1288</v>
      </c>
      <c r="AZ46" s="610">
        <v>9.1000000000000008E-7</v>
      </c>
      <c r="BB46" s="1">
        <f t="shared" si="33"/>
        <v>9.1000000000000016E-13</v>
      </c>
    </row>
    <row r="47" spans="1:54" ht="15.75" thickBot="1">
      <c r="B47" s="1" t="str">
        <f>(CONCATENATE(Formato!S111,"-",Formato!T111," ,",Formato!$I$20,"-",Formato!V111))</f>
        <v>- ,g-</v>
      </c>
      <c r="C47" s="35" t="str">
        <f>+IF(Formato!T111="","",Formato!T111)</f>
        <v/>
      </c>
      <c r="D47" s="37" t="str">
        <f>IF(Formato!X115="","",Formato!X115)</f>
        <v/>
      </c>
      <c r="E47" s="38" t="str">
        <f>+IF(C47="","",VLOOKUP(CONCATENATE(Formato!S111,"-",Formato!T111," ,",Formato!$I$20,"-",Formato!V111),'Errores  Patrones'!$G$4:$M$1508,3,0)*Formato!AE111)</f>
        <v/>
      </c>
      <c r="F47" s="33"/>
      <c r="G47" s="44" t="str">
        <f t="shared" si="20"/>
        <v/>
      </c>
      <c r="H47" s="48"/>
      <c r="I47" s="47" t="str">
        <f>+IF(C47="","",VLOOKUP(CONCATENATE(Formato!S111,"-",Formato!T111," ,",Formato!$I$20,"-",Formato!V111),'Errores  Patrones'!$G$4:$M$1508,4,0)*Formato!AE111)</f>
        <v/>
      </c>
      <c r="J47" s="47" t="str">
        <f>+IF(C47="","",VLOOKUP(CONCATENATE(Formato!S111,"-",Formato!T111," ,",Formato!$I$20,"-",Formato!V111),'Errores  Patrones'!$G$4:$M$1508,5,0))</f>
        <v/>
      </c>
      <c r="K47" s="47" t="str">
        <f>+IF(C47="","",VLOOKUP(CONCATENATE(Formato!S111,"-",Formato!T111," ,",Formato!$I$20,"-",Formato!V111),'Errores  Patrones'!$G$4:$M$1508,7,0))</f>
        <v/>
      </c>
      <c r="L47" s="47" t="str">
        <f>+IF(C47="","",VLOOKUP(CONCATENATE(Formato!S111,"-",Formato!T111," ,",Formato!$I$20,"-",Formato!V111),'Errores  Patrones'!$G$4:$O$1508,9,0))</f>
        <v/>
      </c>
      <c r="M47" s="74" t="str">
        <f t="shared" si="24"/>
        <v>-1g</v>
      </c>
      <c r="AY47" t="s">
        <v>1289</v>
      </c>
      <c r="AZ47" s="610">
        <v>5.0999999999999999E-7</v>
      </c>
      <c r="BB47" s="1">
        <f t="shared" si="33"/>
        <v>5.0999999999999995E-13</v>
      </c>
    </row>
    <row r="48" spans="1:54" ht="15.75" thickBot="1">
      <c r="B48" s="1" t="str">
        <f>(CONCATENATE(Formato!S112,"-",Formato!T112," ,",Formato!$I$20,"-",Formato!V112))</f>
        <v>SUMA-20 ,g-</v>
      </c>
      <c r="C48" s="42"/>
      <c r="D48" s="39">
        <f>IF(Formato!X112="","",Formato!X112-Formato!AB112)</f>
        <v>20</v>
      </c>
      <c r="E48" s="40">
        <f>+IF(C44="","",SUM(E44:E47))</f>
        <v>20.000004000000001</v>
      </c>
      <c r="F48" s="190">
        <f>IF(AND(Formato!$W$47="SI",$D$12="SOLICITAR CERTIFICADO DE LAS PESAS"),"Ingrese  Densidad Masas de Ajuste",IF(Formato!$W$47="SI",-E48*($H$7-$H$2)*((1/$D$11-1/8)+($D$11-$D$12)/8),-E48*(($H$7-$H$2)*(1/$D$11-1/8))))</f>
        <v>2.1130313514338815E-6</v>
      </c>
      <c r="G48" s="45">
        <f>+IF(C44="","",SUM(G44:G47))</f>
        <v>-1.0000000000000001E-5</v>
      </c>
      <c r="H48" s="49">
        <f>+IF(OR(E48="",F48="Ingrese  Densidad Masas de Ajuste"),"",IF(E48="--","--",E48+F48+G48))</f>
        <v>19.999996113031351</v>
      </c>
      <c r="I48" s="45">
        <f>+IF(C44="","",SUM(I44:I47))</f>
        <v>2.6999999999999999E-5</v>
      </c>
      <c r="J48" s="45">
        <f>+IF(C44="","",MIN(J44:J47))</f>
        <v>2</v>
      </c>
      <c r="K48" s="41">
        <f>+IF(G44="","",SUM(K44:K47))</f>
        <v>2.6999999999999999E-5</v>
      </c>
      <c r="L48" s="41">
        <f>+IF(C44="","",SUM(L44:L47))</f>
        <v>1.2E-4</v>
      </c>
      <c r="M48" s="74" t="str">
        <f t="shared" si="24"/>
        <v>-1g</v>
      </c>
      <c r="AY48" t="s">
        <v>1290</v>
      </c>
      <c r="AZ48" s="610">
        <v>2.8999999999999998E-7</v>
      </c>
      <c r="BB48" s="1">
        <f t="shared" si="33"/>
        <v>2.8999999999999998E-13</v>
      </c>
    </row>
    <row r="49" spans="1:54" ht="15.75" thickBot="1">
      <c r="B49" s="1" t="str">
        <f>(CONCATENATE(Formato!S113,"-",Formato!T113," ,",Formato!$I$20,"-",Formato!V113))</f>
        <v>SI-20 ,g-04</v>
      </c>
      <c r="C49" s="34">
        <f>+IF(Formato!T113="","",Formato!T113)</f>
        <v>20</v>
      </c>
      <c r="D49" s="36"/>
      <c r="E49" s="38">
        <f>+IF(C49="","",VLOOKUP(CONCATENATE(Formato!S113,"-",Formato!T113," ,",Formato!$I$20,"-",Formato!V113),'Errores  Patrones'!$G$4:$M$1508,3,0)*Formato!AE113)</f>
        <v>20.000004000000001</v>
      </c>
      <c r="F49" s="32"/>
      <c r="G49" s="43">
        <f t="shared" si="20"/>
        <v>-1.0000000000000001E-5</v>
      </c>
      <c r="H49" s="47"/>
      <c r="I49" s="47">
        <f>+IF(C49="","",VLOOKUP(CONCATENATE(Formato!S113,"-",Formato!T113," ,",Formato!$I$20,"-",Formato!V113),'Errores  Patrones'!$G$4:$M$1508,4,0)*Formato!AE113)</f>
        <v>2.6999999999999999E-5</v>
      </c>
      <c r="J49" s="47">
        <f>+IF(C49="","",VLOOKUP(CONCATENATE(Formato!S113,"-",Formato!T113," ,",Formato!$I$20,"-",Formato!V113),'Errores  Patrones'!$G$4:$M$1508,5,0))</f>
        <v>2</v>
      </c>
      <c r="K49" s="47">
        <f>+IF(C49="","",VLOOKUP(CONCATENATE(Formato!S113,"-",Formato!T113," ,",Formato!$I$20,"-",Formato!V113),'Errores  Patrones'!$G$4:$M$1508,7,0))</f>
        <v>2.6999999999999999E-5</v>
      </c>
      <c r="L49" s="47">
        <f>+IF(C49="","",VLOOKUP(CONCATENATE(Formato!S113,"-",Formato!T113," ,",Formato!$I$20,"-",Formato!V113),'Errores  Patrones'!$G$4:$O$1508,9,0))</f>
        <v>1.2E-4</v>
      </c>
      <c r="M49" s="74" t="str">
        <f t="shared" si="24"/>
        <v>20-1g</v>
      </c>
      <c r="AY49" t="s">
        <v>1291</v>
      </c>
      <c r="AZ49" s="610">
        <v>1.4000000000000001E-7</v>
      </c>
      <c r="BB49" s="1">
        <f t="shared" si="33"/>
        <v>1.4000000000000001E-13</v>
      </c>
    </row>
    <row r="50" spans="1:54" ht="15.75" thickBot="1">
      <c r="A50" s="1">
        <v>7</v>
      </c>
      <c r="B50" s="1" t="str">
        <f>(CONCATENATE(Formato!S114,"-",Formato!T114," ,",Formato!$I$20,"-",Formato!V114))</f>
        <v>N/A-5 ,g-04</v>
      </c>
      <c r="C50" s="35">
        <f>+IF(Formato!T114="","",Formato!T114)</f>
        <v>5</v>
      </c>
      <c r="D50" s="37" t="str">
        <f>IF(Formato!X118="","",Formato!X118)</f>
        <v/>
      </c>
      <c r="E50" s="38">
        <f>+IF(C50="","",VLOOKUP(CONCATENATE(Formato!S114,"-",Formato!T114," ,",Formato!$I$20,"-",Formato!V114),'Errores  Patrones'!$G$4:$M$1508,3,0)*Formato!AE114)</f>
        <v>4.9999880000000001</v>
      </c>
      <c r="F50" s="33"/>
      <c r="G50" s="44">
        <f t="shared" si="20"/>
        <v>0</v>
      </c>
      <c r="H50" s="48"/>
      <c r="I50" s="47">
        <f>+IF(C50="","",VLOOKUP(CONCATENATE(Formato!S114,"-",Formato!T114," ,",Formato!$I$20,"-",Formato!V114),'Errores  Patrones'!$G$4:$M$1508,4,0)*Formato!AE114)</f>
        <v>1.7E-5</v>
      </c>
      <c r="J50" s="47">
        <f>+IF(C50="","",VLOOKUP(CONCATENATE(Formato!S114,"-",Formato!T114," ,",Formato!$I$20,"-",Formato!V114),'Errores  Patrones'!$G$4:$M$1508,5,0))</f>
        <v>2</v>
      </c>
      <c r="K50" s="47">
        <f>+IF(C50="","",VLOOKUP(CONCATENATE(Formato!S114,"-",Formato!T114," ,",Formato!$I$20,"-",Formato!V114),'Errores  Patrones'!$G$4:$M$1508,7,0))</f>
        <v>1.7E-5</v>
      </c>
      <c r="L50" s="47">
        <f>+IF(C50="","",VLOOKUP(CONCATENATE(Formato!S114,"-",Formato!T114," ,",Formato!$I$20,"-",Formato!V114),'Errores  Patrones'!$G$4:$O$1508,9,0))</f>
        <v>2.5000000000000001E-2</v>
      </c>
      <c r="M50" s="74" t="str">
        <f t="shared" si="24"/>
        <v>5-1g</v>
      </c>
      <c r="AY50" t="s">
        <v>1292</v>
      </c>
      <c r="AZ50" s="610">
        <v>8.0000000000000002E-8</v>
      </c>
      <c r="BB50" s="1">
        <f t="shared" si="33"/>
        <v>8E-14</v>
      </c>
    </row>
    <row r="51" spans="1:54" ht="15.75" thickBot="1">
      <c r="B51" s="1" t="str">
        <f>(CONCATENATE(Formato!S115,"-",Formato!T115," ,",Formato!$I$20,"-",Formato!V115))</f>
        <v>- ,g-</v>
      </c>
      <c r="C51" s="35" t="str">
        <f>+IF(Formato!T115="","",Formato!T115)</f>
        <v/>
      </c>
      <c r="D51" s="37" t="str">
        <f>IF(Formato!X119="","",Formato!X119)</f>
        <v/>
      </c>
      <c r="E51" s="38" t="str">
        <f>+IF(C51="","",VLOOKUP(CONCATENATE(Formato!S115,"-",Formato!T115," ,",Formato!$I$20,"-",Formato!V115),'Errores  Patrones'!$G$4:$M$1508,3,0)*Formato!AE115)</f>
        <v/>
      </c>
      <c r="F51" s="33"/>
      <c r="G51" s="44" t="str">
        <f t="shared" si="20"/>
        <v/>
      </c>
      <c r="H51" s="48"/>
      <c r="I51" s="47" t="str">
        <f>+IF(C51="","",VLOOKUP(CONCATENATE(Formato!S115,"-",Formato!T115," ,",Formato!$I$20,"-",Formato!V115),'Errores  Patrones'!$G$4:$M$1508,4,0)*Formato!AE115)</f>
        <v/>
      </c>
      <c r="J51" s="47" t="str">
        <f>+IF(C51="","",VLOOKUP(CONCATENATE(Formato!S115,"-",Formato!T115," ,",Formato!$I$20,"-",Formato!V115),'Errores  Patrones'!$G$4:$M$1508,5,0))</f>
        <v/>
      </c>
      <c r="K51" s="47" t="str">
        <f>+IF(C51="","",VLOOKUP(CONCATENATE(Formato!S115,"-",Formato!T115," ,",Formato!$I$20,"-",Formato!V115),'Errores  Patrones'!$G$4:$M$1508,7,0))</f>
        <v/>
      </c>
      <c r="L51" s="47" t="str">
        <f>+IF(C51="","",VLOOKUP(CONCATENATE(Formato!S115,"-",Formato!T115," ,",Formato!$I$20,"-",Formato!V115),'Errores  Patrones'!$G$4:$O$1508,9,0))</f>
        <v/>
      </c>
      <c r="M51" s="74" t="str">
        <f t="shared" si="24"/>
        <v>-1g</v>
      </c>
      <c r="AY51" t="s">
        <v>1293</v>
      </c>
      <c r="AZ51" s="610">
        <v>5.0000000000000004E-8</v>
      </c>
      <c r="BB51" s="1">
        <f t="shared" si="33"/>
        <v>5.0000000000000002E-14</v>
      </c>
    </row>
    <row r="52" spans="1:54" ht="15.75" thickBot="1">
      <c r="B52" s="1" t="str">
        <f>(CONCATENATE(Formato!S116,"-",Formato!T116," ,",Formato!$I$20,"-",Formato!V116))</f>
        <v>- ,g-</v>
      </c>
      <c r="C52" s="35" t="str">
        <f>+IF(Formato!T116="","",Formato!T116)</f>
        <v/>
      </c>
      <c r="D52" s="37" t="str">
        <f>IF(Formato!X120="","",Formato!X120)</f>
        <v/>
      </c>
      <c r="E52" s="38" t="str">
        <f>+IF(C52="","",VLOOKUP(CONCATENATE(Formato!S116,"-",Formato!T116," ,",Formato!$I$20,"-",Formato!V116),'Errores  Patrones'!$G$4:$M$1508,3,0)*Formato!AE116)</f>
        <v/>
      </c>
      <c r="F52" s="33"/>
      <c r="G52" s="44" t="str">
        <f t="shared" si="20"/>
        <v/>
      </c>
      <c r="H52" s="48"/>
      <c r="I52" s="47" t="str">
        <f>+IF(C52="","",VLOOKUP(CONCATENATE(Formato!S116,"-",Formato!T116," ,",Formato!$I$20,"-",Formato!V116),'Errores  Patrones'!$G$4:$M$1508,4,0)*Formato!AE116)</f>
        <v/>
      </c>
      <c r="J52" s="47" t="str">
        <f>+IF(C52="","",VLOOKUP(CONCATENATE(Formato!S116,"-",Formato!T116," ,",Formato!$I$20,"-",Formato!V116),'Errores  Patrones'!$G$4:$M$1508,5,0))</f>
        <v/>
      </c>
      <c r="K52" s="47" t="str">
        <f>+IF(C52="","",VLOOKUP(CONCATENATE(Formato!S116,"-",Formato!T116," ,",Formato!$I$20,"-",Formato!V116),'Errores  Patrones'!$G$4:$M$1508,7,0))</f>
        <v/>
      </c>
      <c r="L52" s="47" t="str">
        <f>+IF(C52="","",VLOOKUP(CONCATENATE(Formato!S116,"-",Formato!T116," ,",Formato!$I$20,"-",Formato!V116),'Errores  Patrones'!$G$4:$O$1508,9,0))</f>
        <v/>
      </c>
      <c r="M52" s="74" t="str">
        <f t="shared" si="24"/>
        <v>-1g</v>
      </c>
      <c r="AY52" t="s">
        <v>1294</v>
      </c>
      <c r="AZ52" s="610">
        <v>2E-8</v>
      </c>
      <c r="BB52" s="1">
        <f t="shared" si="33"/>
        <v>2E-14</v>
      </c>
    </row>
    <row r="53" spans="1:54" ht="15.75" thickBot="1">
      <c r="B53" s="1" t="str">
        <f>(CONCATENATE(Formato!S117,"-",Formato!T117," ,",Formato!$I$20,"-",Formato!V117))</f>
        <v>SUMA-25 ,g-</v>
      </c>
      <c r="C53" s="42"/>
      <c r="D53" s="39">
        <f>IF(Formato!X117="","",Formato!X117-Formato!AB117)</f>
        <v>25.00001</v>
      </c>
      <c r="E53" s="40">
        <f>+IF(C49="","",SUM(E49:E52))</f>
        <v>24.999991999999999</v>
      </c>
      <c r="F53" s="190">
        <f>IF(AND(Formato!$W$47="SI",$D$12="SOLICITAR CERTIFICADO DE LAS PESAS"),"Ingrese  Densidad Masas de Ajuste",IF(Formato!$W$47="SI",-E53*($H$7-$H$2)*((1/$D$11-1/8)+($D$11-$D$12)/8),-E53*(($H$7-$H$2)*(1/$D$11-1/8))))</f>
        <v>2.6412878158222479E-6</v>
      </c>
      <c r="G53" s="45">
        <f>+IF(C49="","",SUM(G49:G52))</f>
        <v>-1.0000000000000001E-5</v>
      </c>
      <c r="H53" s="49">
        <f>+IF(OR(E53="",F53="Ingrese  Densidad Masas de Ajuste"),"",IF(E53="--","--",E53+F53+G53))</f>
        <v>24.999984641287814</v>
      </c>
      <c r="I53" s="45">
        <f>+IF(C49="","",SUM(I49:I52))</f>
        <v>4.3999999999999999E-5</v>
      </c>
      <c r="J53" s="45">
        <f>+IF(C49="","",MIN(J49:J52))</f>
        <v>2</v>
      </c>
      <c r="K53" s="41">
        <f>+IF(G49="","",SUM(K49:K52))</f>
        <v>4.3999999999999999E-5</v>
      </c>
      <c r="L53" s="41">
        <f>+IF(C49="","",SUM(L49:L52))</f>
        <v>2.512E-2</v>
      </c>
      <c r="M53" s="74" t="str">
        <f t="shared" si="24"/>
        <v>-1g</v>
      </c>
      <c r="AY53" t="s">
        <v>1295</v>
      </c>
      <c r="AZ53" s="610">
        <v>1E-8</v>
      </c>
      <c r="BB53" s="1">
        <f t="shared" si="33"/>
        <v>1E-14</v>
      </c>
    </row>
    <row r="54" spans="1:54" ht="15.75" thickBot="1">
      <c r="B54" s="1" t="str">
        <f>(CONCATENATE(Formato!S118,"-",Formato!T118," ,",Formato!$I$20,"-",Formato!V118))</f>
        <v>SI-20 ,g-04</v>
      </c>
      <c r="C54" s="34">
        <f>+IF(Formato!T118="","",Formato!T118)</f>
        <v>20</v>
      </c>
      <c r="D54" s="36"/>
      <c r="E54" s="38">
        <f>+IF(C54="","",VLOOKUP(CONCATENATE(Formato!S118,"-",Formato!T118," ,",Formato!$I$20,"-",Formato!V118),'Errores  Patrones'!$G$4:$M$1508,3,0)*Formato!AE118)</f>
        <v>20.000004000000001</v>
      </c>
      <c r="F54" s="32"/>
      <c r="G54" s="43">
        <f t="shared" si="20"/>
        <v>-1.0000000000000001E-5</v>
      </c>
      <c r="H54" s="47"/>
      <c r="I54" s="47">
        <f>+IF(C54="","",VLOOKUP(CONCATENATE(Formato!S118,"-",Formato!T118," ,",Formato!$I$20,"-",Formato!V118),'Errores  Patrones'!$G$4:$M$1508,4,0)*Formato!AE118)</f>
        <v>2.6999999999999999E-5</v>
      </c>
      <c r="J54" s="47">
        <f>+IF(C54="","",VLOOKUP(CONCATENATE(Formato!S118,"-",Formato!T118," ,",Formato!$I$20,"-",Formato!V118),'Errores  Patrones'!$G$4:$M$1508,5,0))</f>
        <v>2</v>
      </c>
      <c r="K54" s="47">
        <f>+IF(C54="","",VLOOKUP(CONCATENATE(Formato!S118,"-",Formato!T118," ,",Formato!$I$20,"-",Formato!V118),'Errores  Patrones'!$G$4:$M$1508,7,0))</f>
        <v>2.6999999999999999E-5</v>
      </c>
      <c r="L54" s="47">
        <f>+IF(C54="","",VLOOKUP(CONCATENATE(Formato!S118,"-",Formato!T118," ,",Formato!$I$20,"-",Formato!V118),'Errores  Patrones'!$G$4:$O$1508,9,0))</f>
        <v>1.2E-4</v>
      </c>
      <c r="M54" s="74" t="str">
        <f t="shared" si="24"/>
        <v>20-1g</v>
      </c>
      <c r="AY54"/>
      <c r="AZ54" s="610"/>
      <c r="BB54" s="1">
        <f t="shared" ref="BB54:BB66" si="36">AZ54/1000</f>
        <v>0</v>
      </c>
    </row>
    <row r="55" spans="1:54" ht="15.75" thickBot="1">
      <c r="A55" s="1">
        <v>8</v>
      </c>
      <c r="B55" s="1" t="str">
        <f>(CONCATENATE(Formato!S119,"-",Formato!T119," ,",Formato!$I$20,"-",Formato!V119))</f>
        <v>N/A-5 ,g-04</v>
      </c>
      <c r="C55" s="35">
        <f>+IF(Formato!T119="","",Formato!T119)</f>
        <v>5</v>
      </c>
      <c r="D55" s="37" t="str">
        <f>IF(Formato!X123="","",Formato!X123)</f>
        <v/>
      </c>
      <c r="E55" s="38">
        <f>+IF(C55="","",VLOOKUP(CONCATENATE(Formato!S119,"-",Formato!T119," ,",Formato!$I$20,"-",Formato!V119),'Errores  Patrones'!$G$4:$M$1508,3,0)*Formato!AE119)</f>
        <v>4.9999880000000001</v>
      </c>
      <c r="F55" s="33"/>
      <c r="G55" s="44">
        <f t="shared" si="20"/>
        <v>0</v>
      </c>
      <c r="H55" s="48"/>
      <c r="I55" s="47">
        <f>+IF(C55="","",VLOOKUP(CONCATENATE(Formato!S119,"-",Formato!T119," ,",Formato!$I$20,"-",Formato!V119),'Errores  Patrones'!$G$4:$M$1508,4,0)*Formato!AE119)</f>
        <v>1.7E-5</v>
      </c>
      <c r="J55" s="47">
        <f>+IF(C55="","",VLOOKUP(CONCATENATE(Formato!S119,"-",Formato!T119," ,",Formato!$I$20,"-",Formato!V119),'Errores  Patrones'!$G$4:$M$1508,5,0))</f>
        <v>2</v>
      </c>
      <c r="K55" s="47">
        <f>+IF(C55="","",VLOOKUP(CONCATENATE(Formato!S119,"-",Formato!T119," ,",Formato!$I$20,"-",Formato!V119),'Errores  Patrones'!$G$4:$M$1508,7,0))</f>
        <v>1.7E-5</v>
      </c>
      <c r="L55" s="47">
        <f>+IF(C55="","",VLOOKUP(CONCATENATE(Formato!S119,"-",Formato!T119," ,",Formato!$I$20,"-",Formato!V119),'Errores  Patrones'!$G$4:$O$1508,9,0))</f>
        <v>2.5000000000000001E-2</v>
      </c>
      <c r="M55" s="74" t="str">
        <f t="shared" si="24"/>
        <v>5-1g</v>
      </c>
      <c r="AY55" t="s">
        <v>1296</v>
      </c>
      <c r="AZ55" s="610">
        <v>1.43E-2</v>
      </c>
      <c r="BB55" s="1">
        <f t="shared" si="36"/>
        <v>1.43E-5</v>
      </c>
    </row>
    <row r="56" spans="1:54" ht="15.75" thickBot="1">
      <c r="B56" s="1" t="str">
        <f>(CONCATENATE(Formato!S120,"-",Formato!T120," ,",Formato!$I$20,"-",Formato!V120))</f>
        <v>SI-2 ,g-04</v>
      </c>
      <c r="C56" s="35">
        <f>+IF(Formato!T120="","",Formato!T120)</f>
        <v>2</v>
      </c>
      <c r="D56" s="37" t="str">
        <f>IF(Formato!X124="","",Formato!X124)</f>
        <v/>
      </c>
      <c r="E56" s="38">
        <f>+IF(C56="","",VLOOKUP(CONCATENATE(Formato!S120,"-",Formato!T120," ,",Formato!$I$20,"-",Formato!V120),'Errores  Patrones'!$G$4:$M$1508,3,0)*Formato!AE120)</f>
        <v>1.9999899999999999</v>
      </c>
      <c r="F56" s="33"/>
      <c r="G56" s="44">
        <f t="shared" si="20"/>
        <v>0</v>
      </c>
      <c r="H56" s="48"/>
      <c r="I56" s="47">
        <f>+IF(C56="","",VLOOKUP(CONCATENATE(Formato!S120,"-",Formato!T120," ,",Formato!$I$20,"-",Formato!V120),'Errores  Patrones'!$G$4:$M$1508,4,0)*Formato!AE120)</f>
        <v>1.2999999999999999E-5</v>
      </c>
      <c r="J56" s="47">
        <f>+IF(C56="","",VLOOKUP(CONCATENATE(Formato!S120,"-",Formato!T120," ,",Formato!$I$20,"-",Formato!V120),'Errores  Patrones'!$G$4:$M$1508,5,0))</f>
        <v>2</v>
      </c>
      <c r="K56" s="47">
        <f>+IF(C56="","",VLOOKUP(CONCATENATE(Formato!S120,"-",Formato!T120," ,",Formato!$I$20,"-",Formato!V120),'Errores  Patrones'!$G$4:$M$1508,7,0))</f>
        <v>1.2999999999999999E-5</v>
      </c>
      <c r="L56" s="47">
        <f>+IF(C56="","",VLOOKUP(CONCATENATE(Formato!S120,"-",Formato!T120," ,",Formato!$I$20,"-",Formato!V120),'Errores  Patrones'!$G$4:$O$1508,9,0))</f>
        <v>0.01</v>
      </c>
      <c r="M56" s="74" t="str">
        <f t="shared" si="24"/>
        <v>2-1g</v>
      </c>
      <c r="AY56" t="s">
        <v>1297</v>
      </c>
      <c r="AZ56" s="610">
        <v>6.4200000000000004E-3</v>
      </c>
      <c r="BB56" s="1">
        <f t="shared" si="36"/>
        <v>6.4200000000000004E-6</v>
      </c>
    </row>
    <row r="57" spans="1:54" ht="15.75" thickBot="1">
      <c r="B57" s="1" t="str">
        <f>(CONCATENATE(Formato!S121,"-",Formato!T121," ,",Formato!$I$20,"-",Formato!V121))</f>
        <v>- ,g-</v>
      </c>
      <c r="C57" s="35" t="str">
        <f>+IF(Formato!T121="","",Formato!T121)</f>
        <v/>
      </c>
      <c r="D57" s="37" t="str">
        <f>IF(Formato!X125="","",Formato!X125)</f>
        <v/>
      </c>
      <c r="E57" s="38" t="str">
        <f>+IF(C57="","",VLOOKUP(CONCATENATE(Formato!S121,"-",Formato!T121," ,",Formato!$I$20,"-",Formato!V121),'Errores  Patrones'!$G$4:$M$1508,3,0)*Formato!AE121)</f>
        <v/>
      </c>
      <c r="F57" s="33"/>
      <c r="G57" s="44" t="str">
        <f t="shared" si="20"/>
        <v/>
      </c>
      <c r="H57" s="48"/>
      <c r="I57" s="47" t="str">
        <f>+IF(C57="","",VLOOKUP(CONCATENATE(Formato!S121,"-",Formato!T121," ,",Formato!$I$20,"-",Formato!V121),'Errores  Patrones'!$G$4:$M$1508,4,0)*Formato!AE121)</f>
        <v/>
      </c>
      <c r="J57" s="47" t="str">
        <f>+IF(C57="","",VLOOKUP(CONCATENATE(Formato!S121,"-",Formato!T121," ,",Formato!$I$20,"-",Formato!V121),'Errores  Patrones'!$G$4:$M$1508,5,0))</f>
        <v/>
      </c>
      <c r="K57" s="47" t="str">
        <f>+IF(C57="","",VLOOKUP(CONCATENATE(Formato!S121,"-",Formato!T121," ,",Formato!$I$20,"-",Formato!V121),'Errores  Patrones'!$G$4:$M$1508,7,0))</f>
        <v/>
      </c>
      <c r="L57" s="47" t="str">
        <f>+IF(C57="","",VLOOKUP(CONCATENATE(Formato!S121,"-",Formato!T121," ,",Formato!$I$20,"-",Formato!V121),'Errores  Patrones'!$G$4:$O$1508,9,0))</f>
        <v/>
      </c>
      <c r="M57" s="74" t="str">
        <f t="shared" si="24"/>
        <v>-1g</v>
      </c>
      <c r="AY57" t="s">
        <v>1298</v>
      </c>
      <c r="AZ57" s="610">
        <v>3.5299999999999997E-3</v>
      </c>
      <c r="BB57" s="1">
        <f t="shared" si="36"/>
        <v>3.5299999999999997E-6</v>
      </c>
    </row>
    <row r="58" spans="1:54" ht="15.75" thickBot="1">
      <c r="B58" s="1" t="str">
        <f>(CONCATENATE(Formato!S122,"-",Formato!T122," ,",Formato!$I$20,"-",Formato!V122))</f>
        <v>SUMA-27 ,g-</v>
      </c>
      <c r="C58" s="42"/>
      <c r="D58" s="39">
        <f>IF(Formato!X122="","",Formato!X122-Formato!AB122)</f>
        <v>27.00001</v>
      </c>
      <c r="E58" s="40">
        <f>+IF(C54="","",SUM(E54:E57))</f>
        <v>26.999981999999999</v>
      </c>
      <c r="F58" s="190">
        <f>IF(AND(Formato!$W$47="SI",$D$12="SOLICITAR CERTIFICADO DE LAS PESAS"),"Ingrese  Densidad Masas de Ajuste",IF(Formato!$W$47="SI",-E58*($H$7-$H$2)*((1/$D$11-1/8)+($D$11-$D$12)/8),-E58*(($H$7-$H$2)*(1/$D$11-1/8))))</f>
        <v>2.8525898521895533E-6</v>
      </c>
      <c r="G58" s="45">
        <f>+IF(C54="","",SUM(G54:G57))</f>
        <v>-1.0000000000000001E-5</v>
      </c>
      <c r="H58" s="49">
        <f>+IF(OR(E58="",F58="Ingrese  Densidad Masas de Ajuste"),"",IF(E58="--","--",E58+F58+G58))</f>
        <v>26.999974852589851</v>
      </c>
      <c r="I58" s="45">
        <f>+IF(C54="","",SUM(I54:I57))</f>
        <v>5.6999999999999996E-5</v>
      </c>
      <c r="J58" s="45">
        <f>+IF(C54="","",MIN(J54:J57))</f>
        <v>2</v>
      </c>
      <c r="K58" s="41">
        <f>+IF(G54="","",SUM(K54:K57))</f>
        <v>5.6999999999999996E-5</v>
      </c>
      <c r="L58" s="41">
        <f>+IF(C54="","",SUM(L54:L57))</f>
        <v>3.5119999999999998E-2</v>
      </c>
      <c r="M58" s="74" t="str">
        <f t="shared" si="24"/>
        <v>-1g</v>
      </c>
      <c r="AY58" t="s">
        <v>1299</v>
      </c>
      <c r="AZ58" s="610">
        <v>1.9599999999999999E-3</v>
      </c>
      <c r="BB58" s="1">
        <f t="shared" si="36"/>
        <v>1.9599999999999999E-6</v>
      </c>
    </row>
    <row r="59" spans="1:54" ht="15.75" thickBot="1">
      <c r="B59" s="1" t="str">
        <f>(CONCATENATE(Formato!S123,"-",Formato!T123," ,",Formato!$I$20,"-",Formato!V123))</f>
        <v>SI-20 ,g-04</v>
      </c>
      <c r="C59" s="34">
        <f>+IF(Formato!T123="","",Formato!T123)</f>
        <v>20</v>
      </c>
      <c r="D59" s="36"/>
      <c r="E59" s="38">
        <f>+IF(C59="","",VLOOKUP(CONCATENATE(Formato!S123,"-",Formato!T123," ,",Formato!$I$20,"-",Formato!V123),'Errores  Patrones'!$G$4:$M$1508,3,0)*Formato!AE123)</f>
        <v>20.000004000000001</v>
      </c>
      <c r="F59" s="32"/>
      <c r="G59" s="43">
        <f t="shared" si="20"/>
        <v>-1.0000000000000001E-5</v>
      </c>
      <c r="H59" s="47"/>
      <c r="I59" s="47">
        <f>+IF(C59="","",VLOOKUP(CONCATENATE(Formato!S123,"-",Formato!T123," ,",Formato!$I$20,"-",Formato!V123),'Errores  Patrones'!$G$4:$M$1508,4,0)*Formato!AE123)</f>
        <v>2.6999999999999999E-5</v>
      </c>
      <c r="J59" s="47">
        <f>+IF(C59="","",VLOOKUP(CONCATENATE(Formato!S123,"-",Formato!T123," ,",Formato!$I$20,"-",Formato!V123),'Errores  Patrones'!$G$4:$M$1508,5,0))</f>
        <v>2</v>
      </c>
      <c r="K59" s="47">
        <f>+IF(C59="","",VLOOKUP(CONCATENATE(Formato!S123,"-",Formato!T123," ,",Formato!$I$20,"-",Formato!V123),'Errores  Patrones'!$G$4:$M$1508,7,0))</f>
        <v>2.6999999999999999E-5</v>
      </c>
      <c r="L59" s="47">
        <f>+IF(C59="","",VLOOKUP(CONCATENATE(Formato!S123,"-",Formato!T123," ,",Formato!$I$20,"-",Formato!V123),'Errores  Patrones'!$G$4:$O$1508,9,0))</f>
        <v>1.2E-4</v>
      </c>
      <c r="M59" s="74" t="str">
        <f t="shared" si="24"/>
        <v>20-1g</v>
      </c>
      <c r="AY59" t="s">
        <v>1300</v>
      </c>
      <c r="AZ59" s="610">
        <v>9.1E-4</v>
      </c>
      <c r="BB59" s="1">
        <f t="shared" si="36"/>
        <v>9.0999999999999997E-7</v>
      </c>
    </row>
    <row r="60" spans="1:54" ht="15.75" thickBot="1">
      <c r="B60" s="1" t="str">
        <f>(CONCATENATE(Formato!S124,"-",Formato!T124," ,",Formato!$I$20,"-",Formato!V124))</f>
        <v>N/A-10 ,g-04</v>
      </c>
      <c r="C60" s="35">
        <f>+IF(Formato!T124="","",Formato!T124)</f>
        <v>10</v>
      </c>
      <c r="D60" s="37" t="str">
        <f>IF(Formato!X128="","",Formato!X128)</f>
        <v/>
      </c>
      <c r="E60" s="38">
        <f>+IF(C60="","",VLOOKUP(CONCATENATE(Formato!S124,"-",Formato!T124," ,",Formato!$I$20,"-",Formato!V124),'Errores  Patrones'!$G$4:$M$1508,3,0)*Formato!AE124)</f>
        <v>10.000019999999999</v>
      </c>
      <c r="F60" s="33"/>
      <c r="G60" s="44">
        <f t="shared" si="20"/>
        <v>-1.0000000000000001E-5</v>
      </c>
      <c r="H60" s="48"/>
      <c r="I60" s="47">
        <f>+IF(C60="","",VLOOKUP(CONCATENATE(Formato!S124,"-",Formato!T124," ,",Formato!$I$20,"-",Formato!V124),'Errores  Patrones'!$G$4:$M$1508,4,0)*Formato!AE124)</f>
        <v>2.0000000000000002E-5</v>
      </c>
      <c r="J60" s="47">
        <f>+IF(C60="","",VLOOKUP(CONCATENATE(Formato!S124,"-",Formato!T124," ,",Formato!$I$20,"-",Formato!V124),'Errores  Patrones'!$G$4:$M$1508,5,0))</f>
        <v>2</v>
      </c>
      <c r="K60" s="47">
        <f>+IF(C60="","",VLOOKUP(CONCATENATE(Formato!S124,"-",Formato!T124," ,",Formato!$I$20,"-",Formato!V124),'Errores  Patrones'!$G$4:$M$1508,7,0))</f>
        <v>2.0000000000000002E-5</v>
      </c>
      <c r="L60" s="47">
        <f>+IF(C60="","",VLOOKUP(CONCATENATE(Formato!S124,"-",Formato!T124," ,",Formato!$I$20,"-",Formato!V124),'Errores  Patrones'!$G$4:$O$1508,9,0))</f>
        <v>1E-4</v>
      </c>
      <c r="M60" s="74" t="str">
        <f t="shared" si="24"/>
        <v>10-1g</v>
      </c>
      <c r="AY60" t="s">
        <v>1301</v>
      </c>
      <c r="AZ60" s="610">
        <v>5.1000000000000004E-4</v>
      </c>
      <c r="BB60" s="1">
        <f t="shared" si="36"/>
        <v>5.0999999999999999E-7</v>
      </c>
    </row>
    <row r="61" spans="1:54" ht="15.75" thickBot="1">
      <c r="A61" s="1">
        <v>9</v>
      </c>
      <c r="B61" s="1" t="str">
        <f>(CONCATENATE(Formato!S125,"-",Formato!T125," ,",Formato!$I$20,"-",Formato!V125))</f>
        <v>- ,g-</v>
      </c>
      <c r="C61" s="35" t="str">
        <f>+IF(Formato!T125="","",Formato!T125)</f>
        <v/>
      </c>
      <c r="D61" s="37" t="str">
        <f>IF(Formato!X129="","",Formato!X129)</f>
        <v/>
      </c>
      <c r="E61" s="38" t="str">
        <f>+IF(C61="","",VLOOKUP(CONCATENATE(Formato!S125,"-",Formato!T125," ,",Formato!$I$20,"-",Formato!V125),'Errores  Patrones'!$G$4:$M$1508,3,0)*Formato!AE125)</f>
        <v/>
      </c>
      <c r="F61" s="33"/>
      <c r="G61" s="44" t="str">
        <f t="shared" si="20"/>
        <v/>
      </c>
      <c r="H61" s="48"/>
      <c r="I61" s="47" t="str">
        <f>+IF(C61="","",VLOOKUP(CONCATENATE(Formato!S125,"-",Formato!T125," ,",Formato!$I$20,"-",Formato!V125),'Errores  Patrones'!$G$4:$M$1508,4,0)*Formato!AE125)</f>
        <v/>
      </c>
      <c r="J61" s="47" t="str">
        <f>+IF(C61="","",VLOOKUP(CONCATENATE(Formato!S125,"-",Formato!T125," ,",Formato!$I$20,"-",Formato!V125),'Errores  Patrones'!$G$4:$M$1508,5,0))</f>
        <v/>
      </c>
      <c r="K61" s="47" t="str">
        <f>+IF(C61="","",VLOOKUP(CONCATENATE(Formato!S125,"-",Formato!T125," ,",Formato!$I$20,"-",Formato!V125),'Errores  Patrones'!$G$4:$M$1508,7,0))</f>
        <v/>
      </c>
      <c r="L61" s="47" t="str">
        <f>+IF(C61="","",VLOOKUP(CONCATENATE(Formato!S125,"-",Formato!T125," ,",Formato!$I$20,"-",Formato!V125),'Errores  Patrones'!$G$4:$O$1508,9,0))</f>
        <v/>
      </c>
      <c r="M61" s="74" t="str">
        <f t="shared" si="24"/>
        <v>-1g</v>
      </c>
      <c r="AY61" t="s">
        <v>1302</v>
      </c>
      <c r="AZ61" s="610">
        <v>2.9E-4</v>
      </c>
      <c r="BB61" s="1">
        <f t="shared" si="36"/>
        <v>2.8999999999999998E-7</v>
      </c>
    </row>
    <row r="62" spans="1:54" ht="15.75" thickBot="1">
      <c r="B62" s="1" t="str">
        <f>(CONCATENATE(Formato!S126,"-",Formato!T126," ,",Formato!$I$20,"-",Formato!V126))</f>
        <v>- ,g-</v>
      </c>
      <c r="C62" s="35" t="str">
        <f>+IF(Formato!T126="","",Formato!T126)</f>
        <v/>
      </c>
      <c r="D62" s="37" t="str">
        <f>IF(Formato!X130="","",Formato!X130)</f>
        <v/>
      </c>
      <c r="E62" s="38" t="str">
        <f>+IF(C62="","",VLOOKUP(CONCATENATE(Formato!S126,"-",Formato!T126," ,",Formato!$I$20,"-",Formato!V126),'Errores  Patrones'!$G$4:$M$1508,3,0)*Formato!AE126)</f>
        <v/>
      </c>
      <c r="F62" s="33"/>
      <c r="G62" s="44" t="str">
        <f t="shared" si="20"/>
        <v/>
      </c>
      <c r="H62" s="48"/>
      <c r="I62" s="47" t="str">
        <f>+IF(C62="","",VLOOKUP(CONCATENATE(Formato!S126,"-",Formato!T126," ,",Formato!$I$20,"-",Formato!V126),'Errores  Patrones'!$G$4:$M$1508,4,0)*Formato!AE126)</f>
        <v/>
      </c>
      <c r="J62" s="47" t="str">
        <f>+IF(C62="","",VLOOKUP(CONCATENATE(Formato!S126,"-",Formato!T126," ,",Formato!$I$20,"-",Formato!V126),'Errores  Patrones'!$G$4:$M$1508,5,0))</f>
        <v/>
      </c>
      <c r="K62" s="47" t="str">
        <f>+IF(C62="","",VLOOKUP(CONCATENATE(Formato!S126,"-",Formato!T126," ,",Formato!$I$20,"-",Formato!V126),'Errores  Patrones'!$G$4:$M$1508,7,0))</f>
        <v/>
      </c>
      <c r="L62" s="47" t="str">
        <f>+IF(C62="","",VLOOKUP(CONCATENATE(Formato!S126,"-",Formato!T126," ,",Formato!$I$20,"-",Formato!V126),'Errores  Patrones'!$G$4:$O$1508,9,0))</f>
        <v/>
      </c>
      <c r="M62" s="74" t="str">
        <f t="shared" si="24"/>
        <v>-1g</v>
      </c>
      <c r="AY62" t="s">
        <v>1303</v>
      </c>
      <c r="AZ62" s="610">
        <v>1.4000000000000001E-4</v>
      </c>
      <c r="BB62" s="1">
        <f t="shared" si="36"/>
        <v>1.4000000000000001E-7</v>
      </c>
    </row>
    <row r="63" spans="1:54" ht="15.75" thickBot="1">
      <c r="B63" s="1" t="str">
        <f>(CONCATENATE(Formato!S127,"-",Formato!T127," ,",Formato!$I$20,"-",Formato!V127))</f>
        <v>SUMA-30 ,g-</v>
      </c>
      <c r="C63" s="42"/>
      <c r="D63" s="39">
        <f>IF(Formato!X127="","",Formato!X127-Formato!AB127)</f>
        <v>30.00001</v>
      </c>
      <c r="E63" s="40">
        <f>+IF(C59="","",SUM(E59:E62))</f>
        <v>30.000024</v>
      </c>
      <c r="F63" s="190">
        <f>IF(AND(Formato!$W$47="SI",$D$12="SOLICITAR CERTIFICADO DE LAS PESAS"),"Ingrese  Densidad Masas de Ajuste",IF(Formato!$W$47="SI",-E63*($H$7-$H$2)*((1/$D$11-1/8)+($D$11-$D$12)/8),-E63*(($H$7-$H$2)*(1/$D$11-1/8))))</f>
        <v>3.1695489288786581E-6</v>
      </c>
      <c r="G63" s="45">
        <f>+IF(C59="","",SUM(G59:G62))</f>
        <v>-2.0000000000000002E-5</v>
      </c>
      <c r="H63" s="49">
        <f>+IF(OR(E63="",F63="Ingrese  Densidad Masas de Ajuste"),"",IF(E63="--","--",E63+F63+G63))</f>
        <v>30.00000716954893</v>
      </c>
      <c r="I63" s="45">
        <f>+IF(C59="","",SUM(I59:I62))</f>
        <v>4.7000000000000004E-5</v>
      </c>
      <c r="J63" s="45">
        <f>+IF(C59="","",MIN(J59:J62))</f>
        <v>2</v>
      </c>
      <c r="K63" s="41">
        <f>+IF(G59="","",SUM(K59:K62))</f>
        <v>4.7000000000000004E-5</v>
      </c>
      <c r="L63" s="41">
        <f>+IF(C59="","",SUM(L59:L62))</f>
        <v>2.2000000000000001E-4</v>
      </c>
      <c r="M63" s="74" t="str">
        <f t="shared" si="24"/>
        <v>-1g</v>
      </c>
      <c r="AY63" t="s">
        <v>1304</v>
      </c>
      <c r="AZ63" s="610">
        <v>8.0000000000000007E-5</v>
      </c>
      <c r="BB63" s="1">
        <f t="shared" si="36"/>
        <v>8.0000000000000002E-8</v>
      </c>
    </row>
    <row r="64" spans="1:54" ht="15.75" thickBot="1">
      <c r="B64" s="1" t="str">
        <f>(CONCATENATE(Formato!S128,"-",Formato!T128," ,",Formato!$I$20,"-",Formato!V128))</f>
        <v>SI-20 ,g-04</v>
      </c>
      <c r="C64" s="34">
        <f>+IF(Formato!T128="","",Formato!T128)</f>
        <v>20</v>
      </c>
      <c r="D64" s="36"/>
      <c r="E64" s="38">
        <f>+IF(C64="","",VLOOKUP(CONCATENATE(Formato!S128,"-",Formato!T128," ,",Formato!$I$20,"-",Formato!V128),'Errores  Patrones'!$G$4:$M$1508,3,0)*Formato!AE128)</f>
        <v>20.000004000000001</v>
      </c>
      <c r="F64" s="32"/>
      <c r="G64" s="43">
        <f t="shared" si="20"/>
        <v>-1.0000000000000001E-5</v>
      </c>
      <c r="H64" s="47"/>
      <c r="I64" s="47">
        <f>+IF(C64="","",VLOOKUP(CONCATENATE(Formato!S128,"-",Formato!T128," ,",Formato!$I$20,"-",Formato!V128),'Errores  Patrones'!$G$4:$M$1508,4,0)*Formato!AE128)</f>
        <v>2.6999999999999999E-5</v>
      </c>
      <c r="J64" s="47">
        <f>+IF(C64="","",VLOOKUP(CONCATENATE(Formato!S128,"-",Formato!T128," ,",Formato!$I$20,"-",Formato!V128),'Errores  Patrones'!$G$4:$M$1508,5,0))</f>
        <v>2</v>
      </c>
      <c r="K64" s="47">
        <f>+IF(C64="","",VLOOKUP(CONCATENATE(Formato!S128,"-",Formato!T128," ,",Formato!$I$20,"-",Formato!V128),'Errores  Patrones'!$G$4:$M$1508,7,0))</f>
        <v>2.6999999999999999E-5</v>
      </c>
      <c r="L64" s="47">
        <f>+IF(C64="","",VLOOKUP(CONCATENATE(Formato!S128,"-",Formato!T128," ,",Formato!$I$20,"-",Formato!V128),'Errores  Patrones'!$G$4:$O$1508,9,0))</f>
        <v>1.2E-4</v>
      </c>
      <c r="M64" s="74" t="str">
        <f t="shared" si="24"/>
        <v>20-1g</v>
      </c>
      <c r="AY64" t="s">
        <v>1305</v>
      </c>
      <c r="AZ64" s="610">
        <v>5.0000000000000002E-5</v>
      </c>
      <c r="BB64" s="1">
        <f t="shared" si="36"/>
        <v>5.0000000000000004E-8</v>
      </c>
    </row>
    <row r="65" spans="1:54" ht="15.75" thickBot="1">
      <c r="B65" s="1" t="str">
        <f>(CONCATENATE(Formato!S129,"-",Formato!T129," ,",Formato!$I$20,"-",Formato!V129))</f>
        <v>N/A-10 ,g-04</v>
      </c>
      <c r="C65" s="35">
        <f>+IF(Formato!T129="","",Formato!T129)</f>
        <v>10</v>
      </c>
      <c r="D65" s="37" t="str">
        <f>IF(Formato!X128="","",Formato!X128)</f>
        <v/>
      </c>
      <c r="E65" s="38">
        <f>+IF(C65="","",VLOOKUP(CONCATENATE(Formato!S129,"-",Formato!T129," ,",Formato!$I$20,"-",Formato!V129),'Errores  Patrones'!$G$4:$M$1508,3,0)*Formato!AE129)</f>
        <v>10.000019999999999</v>
      </c>
      <c r="F65" s="33"/>
      <c r="G65" s="44">
        <f t="shared" si="20"/>
        <v>-1.0000000000000001E-5</v>
      </c>
      <c r="H65" s="48"/>
      <c r="I65" s="47">
        <f>+IF(C65="","",VLOOKUP(CONCATENATE(Formato!S129,"-",Formato!T129," ,",Formato!$I$20,"-",Formato!V129),'Errores  Patrones'!$G$4:$M$1508,4,0)*Formato!AE129)</f>
        <v>2.0000000000000002E-5</v>
      </c>
      <c r="J65" s="47">
        <f>+IF(C65="","",VLOOKUP(CONCATENATE(Formato!S129,"-",Formato!T129," ,",Formato!$I$20,"-",Formato!V129),'Errores  Patrones'!$G$4:$M$1508,5,0))</f>
        <v>2</v>
      </c>
      <c r="K65" s="47">
        <f>+IF(C65="","",VLOOKUP(CONCATENATE(Formato!S129,"-",Formato!T129," ,",Formato!$I$20,"-",Formato!V129),'Errores  Patrones'!$G$4:$M$1508,7,0))</f>
        <v>2.0000000000000002E-5</v>
      </c>
      <c r="L65" s="47">
        <f>+IF(C65="","",VLOOKUP(CONCATENATE(Formato!S129,"-",Formato!T129," ,",Formato!$I$20,"-",Formato!V129),'Errores  Patrones'!$G$4:$O$1508,9,0))</f>
        <v>1E-4</v>
      </c>
      <c r="M65" s="74" t="str">
        <f t="shared" si="24"/>
        <v>10-1g</v>
      </c>
      <c r="AY65" t="s">
        <v>1306</v>
      </c>
      <c r="AZ65" s="610">
        <v>2.0000000000000002E-5</v>
      </c>
      <c r="BB65" s="1">
        <f t="shared" si="36"/>
        <v>2E-8</v>
      </c>
    </row>
    <row r="66" spans="1:54" ht="15.75" thickBot="1">
      <c r="A66" s="1">
        <v>10</v>
      </c>
      <c r="B66" s="1" t="str">
        <f>(CONCATENATE(Formato!S130,"-",Formato!T130," ,",Formato!$I$20,"-",Formato!V130))</f>
        <v>N/A-5 ,g-04</v>
      </c>
      <c r="C66" s="35">
        <f>+IF(Formato!T130="","",Formato!T130)</f>
        <v>5</v>
      </c>
      <c r="D66" s="37" t="str">
        <f>IF(Formato!X129="","",Formato!X129)</f>
        <v/>
      </c>
      <c r="E66" s="38">
        <f>+IF(C66="","",VLOOKUP(CONCATENATE(Formato!S130,"-",Formato!T130," ,",Formato!$I$20,"-",Formato!V130),'Errores  Patrones'!$G$4:$M$1508,3,0)*Formato!AE130)</f>
        <v>4.9999880000000001</v>
      </c>
      <c r="F66" s="33"/>
      <c r="G66" s="44">
        <f t="shared" si="20"/>
        <v>0</v>
      </c>
      <c r="H66" s="48"/>
      <c r="I66" s="47">
        <f>+IF(C66="","",VLOOKUP(CONCATENATE(Formato!S130,"-",Formato!T130," ,",Formato!$I$20,"-",Formato!V130),'Errores  Patrones'!$G$4:$M$1508,4,0)*Formato!AE130)</f>
        <v>1.7E-5</v>
      </c>
      <c r="J66" s="47">
        <f>+IF(C66="","",VLOOKUP(CONCATENATE(Formato!S130,"-",Formato!T130," ,",Formato!$I$20,"-",Formato!V130),'Errores  Patrones'!$G$4:$M$1508,5,0))</f>
        <v>2</v>
      </c>
      <c r="K66" s="47">
        <f>+IF(C66="","",VLOOKUP(CONCATENATE(Formato!S130,"-",Formato!T130," ,",Formato!$I$20,"-",Formato!V130),'Errores  Patrones'!$G$4:$M$1508,7,0))</f>
        <v>1.7E-5</v>
      </c>
      <c r="L66" s="47">
        <f>+IF(C66="","",VLOOKUP(CONCATENATE(Formato!S130,"-",Formato!T130," ,",Formato!$I$20,"-",Formato!V130),'Errores  Patrones'!$G$4:$O$1508,9,0))</f>
        <v>2.5000000000000001E-2</v>
      </c>
      <c r="M66" s="74" t="str">
        <f t="shared" si="24"/>
        <v>5-1g</v>
      </c>
      <c r="AY66" t="s">
        <v>1307</v>
      </c>
      <c r="AZ66" s="610">
        <v>1.0000000000000001E-5</v>
      </c>
      <c r="BB66" s="1">
        <f t="shared" si="36"/>
        <v>1E-8</v>
      </c>
    </row>
    <row r="67" spans="1:54" ht="15.75" thickBot="1">
      <c r="B67" s="1" t="str">
        <f>(CONCATENATE(Formato!S131,"-",Formato!T131," ,",Formato!$I$20,"-",Formato!V131))</f>
        <v>- ,g-</v>
      </c>
      <c r="C67" s="35" t="str">
        <f>+IF(Formato!T131="","",Formato!T131)</f>
        <v/>
      </c>
      <c r="D67" s="37" t="str">
        <f>IF(Formato!X130="","",Formato!X130)</f>
        <v/>
      </c>
      <c r="E67" s="38" t="str">
        <f>+IF(C67="","",VLOOKUP(CONCATENATE(Formato!S131,"-",Formato!T131," ,",Formato!$I$20,"-",Formato!V131),'Errores  Patrones'!$G$4:$M$1508,3,0)*Formato!AE131)</f>
        <v/>
      </c>
      <c r="F67" s="33"/>
      <c r="G67" s="44" t="str">
        <f t="shared" si="20"/>
        <v/>
      </c>
      <c r="H67" s="48"/>
      <c r="I67" s="47" t="str">
        <f>+IF(C67="","",VLOOKUP(CONCATENATE(Formato!S131,"-",Formato!T131," ,",Formato!$I$20,"-",Formato!V131),'Errores  Patrones'!$G$4:$M$1508,4,0)*Formato!AE131)</f>
        <v/>
      </c>
      <c r="J67" s="47" t="str">
        <f>+IF(C67="","",VLOOKUP(CONCATENATE(Formato!S131,"-",Formato!T131," ,",Formato!$I$20,"-",Formato!V131),'Errores  Patrones'!$G$4:$M$1508,5,0))</f>
        <v/>
      </c>
      <c r="K67" s="47" t="str">
        <f>+IF(C67="","",VLOOKUP(CONCATENATE(Formato!S131,"-",Formato!T131," ,",Formato!$I$20,"-",Formato!V131),'Errores  Patrones'!$G$4:$M$1508,7,0))</f>
        <v/>
      </c>
      <c r="L67" s="47" t="str">
        <f>+IF(C67="","",VLOOKUP(CONCATENATE(Formato!S131,"-",Formato!T131," ,",Formato!$I$20,"-",Formato!V131),'Errores  Patrones'!$G$4:$O$1508,9,0))</f>
        <v/>
      </c>
      <c r="M67" s="74" t="str">
        <f t="shared" si="24"/>
        <v>-1g</v>
      </c>
      <c r="AY67"/>
      <c r="AZ67" s="610"/>
    </row>
    <row r="68" spans="1:54" ht="15.75" thickBot="1">
      <c r="B68" s="1" t="str">
        <f>(CONCATENATE(Formato!S132,"-",Formato!T132," ,",Formato!$I$20,"-",Formato!V132))</f>
        <v>- ,g-</v>
      </c>
      <c r="C68" s="35" t="str">
        <f>+IF(Formato!T132="","",Formato!T132)</f>
        <v/>
      </c>
      <c r="D68" s="37" t="str">
        <f>IF(Formato!X131="","",Formato!X131)</f>
        <v/>
      </c>
      <c r="E68" s="38" t="str">
        <f>+IF(C68="","",VLOOKUP(CONCATENATE(Formato!S132,"-",Formato!T132," ,",Formato!$I$20,"-",Formato!V132),'Errores  Patrones'!$G$4:$M$1508,3,0)*Formato!AE132)</f>
        <v/>
      </c>
      <c r="F68" s="33"/>
      <c r="G68" s="44" t="str">
        <f t="shared" si="20"/>
        <v/>
      </c>
      <c r="H68" s="48"/>
      <c r="I68" s="47" t="str">
        <f>+IF(C68="","",VLOOKUP(CONCATENATE(Formato!S132,"-",Formato!T132," ,",Formato!$I$20,"-",Formato!V132),'Errores  Patrones'!$G$4:$M$1508,4,0)*Formato!AE132)</f>
        <v/>
      </c>
      <c r="J68" s="47" t="str">
        <f>+IF(C68="","",VLOOKUP(CONCATENATE(Formato!S132,"-",Formato!T132," ,",Formato!$I$20,"-",Formato!V132),'Errores  Patrones'!$G$4:$M$1508,5,0))</f>
        <v/>
      </c>
      <c r="K68" s="47" t="str">
        <f>+IF(C68="","",VLOOKUP(CONCATENATE(Formato!S132,"-",Formato!T132," ,",Formato!$I$20,"-",Formato!V132),'Errores  Patrones'!$G$4:$M$1508,7,0))</f>
        <v/>
      </c>
      <c r="L68" s="47" t="str">
        <f>+IF(C68="","",VLOOKUP(CONCATENATE(Formato!S132,"-",Formato!T132," ,",Formato!$I$20,"-",Formato!V132),'Errores  Patrones'!$G$4:$O$1508,9,0))</f>
        <v/>
      </c>
      <c r="M68" s="74" t="str">
        <f t="shared" si="24"/>
        <v>-1g</v>
      </c>
      <c r="AY68" t="s">
        <v>1308</v>
      </c>
      <c r="AZ68" s="610">
        <v>14.3</v>
      </c>
    </row>
    <row r="69" spans="1:54" ht="15.75" thickBot="1">
      <c r="B69" s="1" t="str">
        <f>(CONCATENATE(Formato!S133,"-",Formato!T133," ,",Formato!$I$20,"-",Formato!V133))</f>
        <v>SUMA-35 ,g-</v>
      </c>
      <c r="C69" s="42"/>
      <c r="D69" s="39">
        <f>IF(Formato!X133="","",Formato!X133-Formato!AB133)</f>
        <v>35.000019999999999</v>
      </c>
      <c r="E69" s="40">
        <f>+IF(C64="","",SUM(E64:E68))</f>
        <v>35.000011999999998</v>
      </c>
      <c r="F69" s="190">
        <f>IF(AND(Formato!$W$47="SI",$D$12="SOLICITAR CERTIFICADO DE LAS PESAS"),"Ingrese  Densidad Masas de Ajuste",IF(Formato!$W$47="SI",-E69*($H$7-$H$2)*((1/$D$11-1/8)+($D$11-$D$12)/8),-E69*(($H$7-$H$2)*(1/$D$11-1/8))))</f>
        <v>3.6978053932670246E-6</v>
      </c>
      <c r="G69" s="45">
        <f>+IF(C64="","",SUM(G64:G68))</f>
        <v>-2.0000000000000002E-5</v>
      </c>
      <c r="H69" s="49">
        <f>+IF(OR(E69="",F69="Ingrese  Densidad Masas de Ajuste"),"",IF(E69="--","--",E69+F69+G69))</f>
        <v>34.999995697805389</v>
      </c>
      <c r="I69" s="45">
        <f>+IF(C64="","",SUM(I64:I68))</f>
        <v>6.4000000000000011E-5</v>
      </c>
      <c r="J69" s="45">
        <f>+IF(C64="","",MIN(J64:J68))</f>
        <v>2</v>
      </c>
      <c r="K69" s="41">
        <f>+IF(G64="","",SUM(K64:K68))</f>
        <v>6.4000000000000011E-5</v>
      </c>
      <c r="L69" s="41">
        <f>+IF(C64="","",SUM(L64:L68))</f>
        <v>2.5220000000000003E-2</v>
      </c>
      <c r="M69" s="74" t="str">
        <f t="shared" si="24"/>
        <v>-1g</v>
      </c>
      <c r="AY69" t="s">
        <v>1309</v>
      </c>
      <c r="AZ69" s="610">
        <v>6.42</v>
      </c>
    </row>
    <row r="70" spans="1:54" ht="15.75" thickBot="1">
      <c r="B70" s="1" t="str">
        <f>(CONCATENATE(Formato!S134,"-",Formato!T134," ,",Formato!$I$20,"-",Formato!V134))</f>
        <v>SI-20 ,g-04</v>
      </c>
      <c r="C70" s="34">
        <f>+IF(Formato!T134="","",Formato!T134)</f>
        <v>20</v>
      </c>
      <c r="D70" s="36"/>
      <c r="E70" s="38">
        <f>+IF(C70="","",VLOOKUP(CONCATENATE(Formato!S134,"-",Formato!T134," ,",Formato!$I$20,"-",Formato!V134),'Errores  Patrones'!$G$4:$M$1508,3,0)*Formato!AE134)</f>
        <v>20.000004000000001</v>
      </c>
      <c r="F70" s="32"/>
      <c r="G70" s="43">
        <f t="shared" si="20"/>
        <v>-1.0000000000000001E-5</v>
      </c>
      <c r="H70" s="47"/>
      <c r="I70" s="47">
        <f>+IF(C70="","",VLOOKUP(CONCATENATE(Formato!S134,"-",Formato!T134," ,",Formato!$I$20,"-",Formato!V134),'Errores  Patrones'!$G$4:$M$1508,4,0)*Formato!AE134)</f>
        <v>2.6999999999999999E-5</v>
      </c>
      <c r="J70" s="47">
        <f>+IF(C70="","",VLOOKUP(CONCATENATE(Formato!S134,"-",Formato!T134," ,",Formato!$I$20,"-",Formato!V134),'Errores  Patrones'!$G$4:$M$1508,5,0))</f>
        <v>2</v>
      </c>
      <c r="K70" s="47">
        <f>+IF(C70="","",VLOOKUP(CONCATENATE(Formato!S134,"-",Formato!T134," ,",Formato!$I$20,"-",Formato!V134),'Errores  Patrones'!$G$4:$M$1508,7,0))</f>
        <v>2.6999999999999999E-5</v>
      </c>
      <c r="L70" s="47">
        <f>+IF(C70="","",VLOOKUP(CONCATENATE(Formato!S134,"-",Formato!T134," ,",Formato!$I$20,"-",Formato!V134),'Errores  Patrones'!$G$4:$O$1508,9,0))</f>
        <v>1.2E-4</v>
      </c>
      <c r="M70" s="74" t="str">
        <f t="shared" si="24"/>
        <v>20-1g</v>
      </c>
      <c r="AY70" t="s">
        <v>1310</v>
      </c>
      <c r="AZ70" s="610">
        <v>3.53</v>
      </c>
    </row>
    <row r="71" spans="1:54" ht="15.75" thickBot="1">
      <c r="B71" s="1" t="str">
        <f>(CONCATENATE(Formato!S135,"-",Formato!T135," ,",Formato!$I$20,"-",Formato!V135))</f>
        <v>NO-20 ,g-04</v>
      </c>
      <c r="C71" s="35">
        <f>+IF(Formato!T135="","",Formato!T135)</f>
        <v>20</v>
      </c>
      <c r="D71" s="37" t="str">
        <f>IF(Formato!X134="","",Formato!X134)</f>
        <v/>
      </c>
      <c r="E71" s="38">
        <f>+IF(C71="","",VLOOKUP(CONCATENATE(Formato!S135,"-",Formato!T135," ,",Formato!$I$20,"-",Formato!V135),'Errores  Patrones'!$G$4:$M$1508,3,0)*Formato!AE135)</f>
        <v>20.00001</v>
      </c>
      <c r="F71" s="33"/>
      <c r="G71" s="44">
        <f t="shared" si="20"/>
        <v>-1.0000000000000001E-5</v>
      </c>
      <c r="H71" s="48"/>
      <c r="I71" s="47">
        <f>+IF(C71="","",VLOOKUP(CONCATENATE(Formato!S135,"-",Formato!T135," ,",Formato!$I$20,"-",Formato!V135),'Errores  Patrones'!$G$4:$M$1508,4,0)*Formato!AE135)</f>
        <v>2.6999999999999999E-5</v>
      </c>
      <c r="J71" s="47">
        <f>+IF(C71="","",VLOOKUP(CONCATENATE(Formato!S135,"-",Formato!T135," ,",Formato!$I$20,"-",Formato!V135),'Errores  Patrones'!$G$4:$M$1508,5,0))</f>
        <v>2</v>
      </c>
      <c r="K71" s="47">
        <f>+IF(C71="","",VLOOKUP(CONCATENATE(Formato!S135,"-",Formato!T135," ,",Formato!$I$20,"-",Formato!V135),'Errores  Patrones'!$G$4:$M$1508,7,0))</f>
        <v>2.6999999999999999E-5</v>
      </c>
      <c r="L71" s="47">
        <f>+IF(C71="","",VLOOKUP(CONCATENATE(Formato!S135,"-",Formato!T135," ,",Formato!$I$20,"-",Formato!V135),'Errores  Patrones'!$G$4:$O$1508,9,0))</f>
        <v>1.2E-4</v>
      </c>
      <c r="M71" s="74" t="str">
        <f t="shared" si="24"/>
        <v>20-1g</v>
      </c>
      <c r="AY71" t="s">
        <v>1311</v>
      </c>
      <c r="AZ71" s="610">
        <v>1.96</v>
      </c>
    </row>
    <row r="72" spans="1:54" ht="15" customHeight="1" thickBot="1">
      <c r="A72" s="1">
        <v>11</v>
      </c>
      <c r="B72" s="1" t="str">
        <f>(CONCATENATE(Formato!S136,"-",Formato!T136," ,",Formato!$I$20,"-",Formato!V136))</f>
        <v>- ,g-</v>
      </c>
      <c r="C72" s="35" t="str">
        <f>+IF(Formato!T136="","",Formato!T136)</f>
        <v/>
      </c>
      <c r="D72" s="37" t="str">
        <f>IF(Formato!X135="","",Formato!X135)</f>
        <v/>
      </c>
      <c r="E72" s="38" t="str">
        <f>+IF(C72="","",VLOOKUP(CONCATENATE(Formato!S136,"-",Formato!T136," ,",Formato!$I$20,"-",Formato!V136),'Errores  Patrones'!$G$4:$M$1508,3,0)*Formato!AE136)</f>
        <v/>
      </c>
      <c r="F72" s="33"/>
      <c r="G72" s="44" t="str">
        <f t="shared" si="20"/>
        <v/>
      </c>
      <c r="H72" s="48"/>
      <c r="I72" s="47" t="str">
        <f>+IF(C72="","",VLOOKUP(CONCATENATE(Formato!S136,"-",Formato!T136," ,",Formato!$I$20,"-",Formato!V136),'Errores  Patrones'!$G$4:$M$1508,4,0)*Formato!AE136)</f>
        <v/>
      </c>
      <c r="J72" s="47" t="str">
        <f>+IF(C72="","",VLOOKUP(CONCATENATE(Formato!S136,"-",Formato!T136," ,",Formato!$I$20,"-",Formato!V136),'Errores  Patrones'!$G$4:$M$1508,5,0))</f>
        <v/>
      </c>
      <c r="K72" s="47" t="str">
        <f>+IF(C72="","",VLOOKUP(CONCATENATE(Formato!S136,"-",Formato!T136," ,",Formato!$I$20,"-",Formato!V136),'Errores  Patrones'!$G$4:$M$1508,7,0))</f>
        <v/>
      </c>
      <c r="L72" s="47" t="str">
        <f>+IF(C72="","",VLOOKUP(CONCATENATE(Formato!S136,"-",Formato!T136," ,",Formato!$I$20,"-",Formato!V136),'Errores  Patrones'!$G$4:$O$1508,9,0))</f>
        <v/>
      </c>
      <c r="M72" s="74" t="str">
        <f t="shared" si="24"/>
        <v>-1g</v>
      </c>
      <c r="AY72" t="s">
        <v>1312</v>
      </c>
      <c r="AZ72" s="610">
        <v>0.91</v>
      </c>
    </row>
    <row r="73" spans="1:54" ht="13.5" customHeight="1" thickBot="1">
      <c r="B73" s="1" t="str">
        <f>(CONCATENATE(Formato!S137,"-",Formato!T137," ,",Formato!$I$20,"-",Formato!V137))</f>
        <v>- ,g-</v>
      </c>
      <c r="C73" s="35" t="str">
        <f>+IF(Formato!T137="","",Formato!T137)</f>
        <v/>
      </c>
      <c r="D73" s="37" t="str">
        <f>IF(Formato!X136="","",Formato!X136)</f>
        <v/>
      </c>
      <c r="E73" s="38" t="str">
        <f>+IF(C73="","",VLOOKUP(CONCATENATE(Formato!S137,"-",Formato!T137," ,",Formato!$I$20,"-",Formato!V137),'Errores  Patrones'!$G$4:$M$1508,3,0)*Formato!AE137)</f>
        <v/>
      </c>
      <c r="F73" s="33"/>
      <c r="G73" s="44" t="str">
        <f t="shared" si="20"/>
        <v/>
      </c>
      <c r="H73" s="48"/>
      <c r="I73" s="47" t="str">
        <f>+IF(C73="","",VLOOKUP(CONCATENATE(Formato!S137,"-",Formato!T137," ,",Formato!$I$20,"-",Formato!V137),'Errores  Patrones'!$G$4:$M$1508,4,0)*Formato!AE137)</f>
        <v/>
      </c>
      <c r="J73" s="47" t="str">
        <f>+IF(C73="","",VLOOKUP(CONCATENATE(Formato!S137,"-",Formato!T137," ,",Formato!$I$20,"-",Formato!V137),'Errores  Patrones'!$G$4:$M$1508,5,0))</f>
        <v/>
      </c>
      <c r="K73" s="47" t="str">
        <f>+IF(C73="","",VLOOKUP(CONCATENATE(Formato!S137,"-",Formato!T137," ,",Formato!$I$20,"-",Formato!V137),'Errores  Patrones'!$G$4:$M$1508,7,0))</f>
        <v/>
      </c>
      <c r="L73" s="47" t="str">
        <f>+IF(C73="","",VLOOKUP(CONCATENATE(Formato!S137,"-",Formato!T137," ,",Formato!$I$20,"-",Formato!V137),'Errores  Patrones'!$G$4:$O$1508,9,0))</f>
        <v/>
      </c>
      <c r="M73" s="74" t="str">
        <f t="shared" si="24"/>
        <v>-1g</v>
      </c>
      <c r="AY73" t="s">
        <v>1313</v>
      </c>
      <c r="AZ73" s="610">
        <v>0.51</v>
      </c>
    </row>
    <row r="74" spans="1:54" ht="15.75" thickBot="1">
      <c r="B74" s="1" t="str">
        <f>(CONCATENATE(Formato!S138,"-",Formato!T138," ,",Formato!$I$20,"-",Formato!V138))</f>
        <v>- ,g-</v>
      </c>
      <c r="C74" s="35" t="str">
        <f>+IF(Formato!T138="","",Formato!T138)</f>
        <v/>
      </c>
      <c r="D74" s="37" t="str">
        <f>IF(Formato!X137="","",Formato!X137)</f>
        <v/>
      </c>
      <c r="E74" s="38" t="str">
        <f>+IF(C74="","",VLOOKUP(CONCATENATE(Formato!S138,"-",Formato!T138," ,",Formato!$I$20,"-",Formato!V138),'Errores  Patrones'!$G$4:$M$1508,3,0)*Formato!AE138)</f>
        <v/>
      </c>
      <c r="F74" s="33"/>
      <c r="G74" s="44" t="str">
        <f t="shared" si="20"/>
        <v/>
      </c>
      <c r="H74" s="48"/>
      <c r="I74" s="47" t="str">
        <f>+IF(C74="","",VLOOKUP(CONCATENATE(Formato!S138,"-",Formato!T138," ,",Formato!$I$20,"-",Formato!V138),'Errores  Patrones'!$G$4:$M$1508,4,0)*Formato!AE138)</f>
        <v/>
      </c>
      <c r="J74" s="47" t="str">
        <f>+IF(C74="","",VLOOKUP(CONCATENATE(Formato!S138,"-",Formato!T138," ,",Formato!$I$20,"-",Formato!V138),'Errores  Patrones'!$G$4:$M$1508,5,0))</f>
        <v/>
      </c>
      <c r="K74" s="47" t="str">
        <f>+IF(C74="","",VLOOKUP(CONCATENATE(Formato!S138,"-",Formato!T138," ,",Formato!$I$20,"-",Formato!V138),'Errores  Patrones'!$G$4:$M$1508,7,0))</f>
        <v/>
      </c>
      <c r="L74" s="47" t="str">
        <f>+IF(C74="","",VLOOKUP(CONCATENATE(Formato!S138,"-",Formato!T138," ,",Formato!$I$20,"-",Formato!V138),'Errores  Patrones'!$G$4:$O$1508,9,0))</f>
        <v/>
      </c>
      <c r="M74" s="74" t="str">
        <f t="shared" si="24"/>
        <v>-1g</v>
      </c>
      <c r="AY74" t="s">
        <v>1314</v>
      </c>
      <c r="AZ74" s="610">
        <v>0.28999999999999998</v>
      </c>
    </row>
    <row r="75" spans="1:54" ht="15.75" thickBot="1">
      <c r="B75" s="1" t="str">
        <f>(CONCATENATE(Formato!S139,"-",Formato!T139," ,",Formato!$I$20,"-",Formato!V139))</f>
        <v>SUMA-40 ,g-</v>
      </c>
      <c r="C75" s="42"/>
      <c r="D75" s="39">
        <f>IF(Formato!X139="","",Formato!X139-Formato!AB139)</f>
        <v>40.000019999999999</v>
      </c>
      <c r="E75" s="40">
        <f>+IF(C70="","",SUM(E70:E74))</f>
        <v>40.000014</v>
      </c>
      <c r="F75" s="190">
        <f>IF(AND(Formato!$W$47="SI",$D$12="SOLICITAR CERTIFICADO DE LAS PESAS"),"Ingrese  Densidad Masas de Ajuste",IF(Formato!$W$47="SI",-E75*($H$7-$H$2)*((1/$D$11-1/8)+($D$11-$D$12)/8),-E75*(($H$7-$H$2)*(1/$D$11-1/8))))</f>
        <v>4.2260633367770418E-6</v>
      </c>
      <c r="G75" s="45">
        <f>+IF(C70="","",SUM(G70:G74))</f>
        <v>-2.0000000000000002E-5</v>
      </c>
      <c r="H75" s="49">
        <f>+IF(OR(E75="",F75="Ingrese  Densidad Masas de Ajuste"),"",IF(E75="--","--",E75+F75+G75))</f>
        <v>39.99999822606334</v>
      </c>
      <c r="I75" s="45">
        <f>+IF(C70="","",SUM(I70:I74))</f>
        <v>5.3999999999999998E-5</v>
      </c>
      <c r="J75" s="45">
        <f>+IF(C70="","",MIN(J70:J74))</f>
        <v>2</v>
      </c>
      <c r="K75" s="41">
        <f>+IF(G70="","",SUM(K70:K74))</f>
        <v>5.3999999999999998E-5</v>
      </c>
      <c r="L75" s="41">
        <f>+IF(C70="","",SUM(L70:L74))</f>
        <v>2.4000000000000001E-4</v>
      </c>
      <c r="M75" s="74" t="str">
        <f t="shared" si="24"/>
        <v>-1g</v>
      </c>
      <c r="AY75" t="s">
        <v>1315</v>
      </c>
      <c r="AZ75" s="610">
        <v>0.14000000000000001</v>
      </c>
    </row>
    <row r="76" spans="1:54">
      <c r="AY76" t="s">
        <v>1316</v>
      </c>
      <c r="AZ76" s="610">
        <v>0.08</v>
      </c>
    </row>
    <row r="77" spans="1:54">
      <c r="AY77" t="s">
        <v>1317</v>
      </c>
      <c r="AZ77" s="610">
        <v>0.05</v>
      </c>
    </row>
    <row r="78" spans="1:54">
      <c r="AY78" t="s">
        <v>1318</v>
      </c>
      <c r="AZ78" s="610">
        <v>0.02</v>
      </c>
    </row>
    <row r="79" spans="1:54">
      <c r="AY79" t="s">
        <v>1319</v>
      </c>
      <c r="AZ79" s="610">
        <v>0.01</v>
      </c>
    </row>
    <row r="80" spans="1:54">
      <c r="AY80"/>
      <c r="AZ80" s="611"/>
    </row>
    <row r="81" spans="51:54">
      <c r="AY81" t="s">
        <v>1320</v>
      </c>
      <c r="AZ81" s="610">
        <v>2.0469999999999999E-5</v>
      </c>
      <c r="BB81" s="1">
        <f>AZ81/1000000</f>
        <v>2.0469999999999998E-11</v>
      </c>
    </row>
    <row r="82" spans="51:54">
      <c r="AY82" t="s">
        <v>1321</v>
      </c>
      <c r="AZ82" s="610">
        <v>9.1400000000000006E-6</v>
      </c>
      <c r="BB82" s="1">
        <f t="shared" ref="BB82:BB92" si="37">AZ82/1000000</f>
        <v>9.1400000000000002E-12</v>
      </c>
    </row>
    <row r="83" spans="51:54">
      <c r="AY83" t="s">
        <v>1322</v>
      </c>
      <c r="AZ83" s="610">
        <v>5.0099999999999995E-6</v>
      </c>
      <c r="BB83" s="1">
        <f t="shared" si="37"/>
        <v>5.0099999999999999E-12</v>
      </c>
    </row>
    <row r="84" spans="51:54">
      <c r="AY84" t="s">
        <v>1323</v>
      </c>
      <c r="AZ84" s="610">
        <v>2.7599999999999998E-6</v>
      </c>
      <c r="BB84" s="1">
        <f t="shared" si="37"/>
        <v>2.76E-12</v>
      </c>
    </row>
    <row r="85" spans="51:54">
      <c r="AY85" t="s">
        <v>1324</v>
      </c>
      <c r="AZ85" s="610">
        <v>1.2700000000000001E-6</v>
      </c>
      <c r="BB85" s="1">
        <f t="shared" si="37"/>
        <v>1.27E-12</v>
      </c>
    </row>
    <row r="86" spans="51:54">
      <c r="AY86" t="s">
        <v>1325</v>
      </c>
      <c r="AZ86" s="610">
        <v>7.1999999999999999E-7</v>
      </c>
      <c r="BB86" s="1">
        <f t="shared" si="37"/>
        <v>7.1999999999999996E-13</v>
      </c>
    </row>
    <row r="87" spans="51:54">
      <c r="AY87" t="s">
        <v>1326</v>
      </c>
      <c r="AZ87" s="610">
        <v>4.0000000000000003E-7</v>
      </c>
      <c r="BB87" s="1">
        <f t="shared" si="37"/>
        <v>4.0000000000000001E-13</v>
      </c>
    </row>
    <row r="88" spans="51:54">
      <c r="AY88" t="s">
        <v>1327</v>
      </c>
      <c r="AZ88" s="610">
        <v>1.9000000000000001E-7</v>
      </c>
      <c r="BB88" s="1">
        <f t="shared" si="37"/>
        <v>1.9E-13</v>
      </c>
    </row>
    <row r="89" spans="51:54">
      <c r="AY89" t="s">
        <v>1328</v>
      </c>
      <c r="AZ89" s="610">
        <v>1.1000000000000001E-7</v>
      </c>
      <c r="BB89" s="1">
        <f t="shared" si="37"/>
        <v>1.1000000000000001E-13</v>
      </c>
    </row>
    <row r="90" spans="51:54">
      <c r="AY90" t="s">
        <v>1329</v>
      </c>
      <c r="AZ90" s="610">
        <v>5.9999999999999995E-8</v>
      </c>
      <c r="BB90" s="1">
        <f t="shared" si="37"/>
        <v>5.9999999999999997E-14</v>
      </c>
    </row>
    <row r="91" spans="51:54">
      <c r="AY91" t="s">
        <v>1330</v>
      </c>
      <c r="AZ91" s="610">
        <v>2.9999999999999997E-8</v>
      </c>
      <c r="BB91" s="1">
        <f t="shared" si="37"/>
        <v>2.9999999999999998E-14</v>
      </c>
    </row>
    <row r="92" spans="51:54">
      <c r="AY92" t="s">
        <v>1331</v>
      </c>
      <c r="AZ92" s="610">
        <v>2E-8</v>
      </c>
      <c r="BB92" s="1">
        <f t="shared" si="37"/>
        <v>2E-14</v>
      </c>
    </row>
    <row r="93" spans="51:54">
      <c r="AY93"/>
      <c r="AZ93" s="611"/>
      <c r="BB93" s="1">
        <f t="shared" ref="BB93:BB105" si="38">AZ93/1000</f>
        <v>0</v>
      </c>
    </row>
    <row r="94" spans="51:54">
      <c r="AY94" t="s">
        <v>1332</v>
      </c>
      <c r="AZ94" s="610">
        <v>2.0469999999999999E-2</v>
      </c>
      <c r="BB94" s="1">
        <f t="shared" si="38"/>
        <v>2.0469999999999999E-5</v>
      </c>
    </row>
    <row r="95" spans="51:54">
      <c r="AY95" t="s">
        <v>1333</v>
      </c>
      <c r="AZ95" s="610">
        <v>9.1400000000000006E-3</v>
      </c>
      <c r="BB95" s="1">
        <f t="shared" si="38"/>
        <v>9.1400000000000006E-6</v>
      </c>
    </row>
    <row r="96" spans="51:54">
      <c r="AY96" t="s">
        <v>1334</v>
      </c>
      <c r="AZ96" s="610">
        <v>5.0099999999999997E-3</v>
      </c>
      <c r="BB96" s="1">
        <f t="shared" si="38"/>
        <v>5.0099999999999995E-6</v>
      </c>
    </row>
    <row r="97" spans="51:54">
      <c r="AY97" t="s">
        <v>1335</v>
      </c>
      <c r="AZ97" s="610">
        <v>2.7599999999999999E-3</v>
      </c>
      <c r="BB97" s="1">
        <f t="shared" si="38"/>
        <v>2.7599999999999998E-6</v>
      </c>
    </row>
    <row r="98" spans="51:54">
      <c r="AY98" t="s">
        <v>1336</v>
      </c>
      <c r="AZ98" s="610">
        <v>1.2700000000000001E-3</v>
      </c>
      <c r="BB98" s="1">
        <f t="shared" si="38"/>
        <v>1.2700000000000001E-6</v>
      </c>
    </row>
    <row r="99" spans="51:54">
      <c r="AY99" t="s">
        <v>1337</v>
      </c>
      <c r="AZ99" s="610">
        <v>7.1999999999999994E-4</v>
      </c>
      <c r="BB99" s="1">
        <f t="shared" si="38"/>
        <v>7.1999999999999999E-7</v>
      </c>
    </row>
    <row r="100" spans="51:54">
      <c r="AY100" t="s">
        <v>1338</v>
      </c>
      <c r="AZ100" s="610">
        <v>4.0000000000000002E-4</v>
      </c>
      <c r="BB100" s="1">
        <f t="shared" si="38"/>
        <v>4.0000000000000003E-7</v>
      </c>
    </row>
    <row r="101" spans="51:54">
      <c r="AY101" t="s">
        <v>1339</v>
      </c>
      <c r="AZ101" s="610">
        <v>1.9000000000000001E-4</v>
      </c>
      <c r="BB101" s="1">
        <f t="shared" si="38"/>
        <v>1.9000000000000001E-7</v>
      </c>
    </row>
    <row r="102" spans="51:54">
      <c r="AY102" t="s">
        <v>1340</v>
      </c>
      <c r="AZ102" s="610">
        <v>1.1E-4</v>
      </c>
      <c r="BB102" s="1">
        <f t="shared" si="38"/>
        <v>1.1000000000000001E-7</v>
      </c>
    </row>
    <row r="103" spans="51:54">
      <c r="AY103" t="s">
        <v>1341</v>
      </c>
      <c r="AZ103" s="610">
        <v>5.9999999999999995E-5</v>
      </c>
      <c r="BB103" s="1">
        <f t="shared" si="38"/>
        <v>5.9999999999999995E-8</v>
      </c>
    </row>
    <row r="104" spans="51:54">
      <c r="AY104" t="s">
        <v>1342</v>
      </c>
      <c r="AZ104" s="610">
        <v>2.9999999999999997E-5</v>
      </c>
      <c r="BB104" s="1">
        <f t="shared" si="38"/>
        <v>2.9999999999999997E-8</v>
      </c>
    </row>
    <row r="105" spans="51:54">
      <c r="AY105" t="s">
        <v>1343</v>
      </c>
      <c r="AZ105" s="610">
        <v>2.0000000000000002E-5</v>
      </c>
      <c r="BB105" s="1">
        <f t="shared" si="38"/>
        <v>2E-8</v>
      </c>
    </row>
    <row r="106" spans="51:54">
      <c r="AY106"/>
      <c r="AZ106" s="611"/>
    </row>
    <row r="107" spans="51:54">
      <c r="AY107" t="s">
        <v>1344</v>
      </c>
      <c r="AZ107" s="610">
        <v>20.47</v>
      </c>
    </row>
    <row r="108" spans="51:54">
      <c r="AY108" t="s">
        <v>1345</v>
      </c>
      <c r="AZ108" s="610">
        <v>9.14</v>
      </c>
    </row>
    <row r="109" spans="51:54">
      <c r="AY109" t="s">
        <v>1346</v>
      </c>
      <c r="AZ109" s="610">
        <v>5.01</v>
      </c>
    </row>
    <row r="110" spans="51:54">
      <c r="AY110" t="s">
        <v>1347</v>
      </c>
      <c r="AZ110" s="610">
        <v>2.76</v>
      </c>
    </row>
    <row r="111" spans="51:54">
      <c r="AY111" t="s">
        <v>1348</v>
      </c>
      <c r="AZ111" s="610">
        <v>1.27</v>
      </c>
    </row>
    <row r="112" spans="51:54">
      <c r="AY112" t="s">
        <v>1349</v>
      </c>
      <c r="AZ112" s="610">
        <v>0.72</v>
      </c>
    </row>
    <row r="113" spans="51:52">
      <c r="AY113" t="s">
        <v>1350</v>
      </c>
      <c r="AZ113" s="610">
        <v>0.4</v>
      </c>
    </row>
    <row r="114" spans="51:52">
      <c r="AY114" t="s">
        <v>1351</v>
      </c>
      <c r="AZ114" s="610">
        <v>0.19</v>
      </c>
    </row>
    <row r="115" spans="51:52">
      <c r="AY115" t="s">
        <v>1352</v>
      </c>
      <c r="AZ115" s="610">
        <v>0.11</v>
      </c>
    </row>
    <row r="116" spans="51:52">
      <c r="AY116" t="s">
        <v>1353</v>
      </c>
      <c r="AZ116" s="610">
        <v>0.06</v>
      </c>
    </row>
    <row r="117" spans="51:52">
      <c r="AY117" t="s">
        <v>1354</v>
      </c>
      <c r="AZ117" s="610">
        <v>0.03</v>
      </c>
    </row>
    <row r="118" spans="51:52">
      <c r="AY118" t="s">
        <v>1355</v>
      </c>
      <c r="AZ118" s="610">
        <v>0.02</v>
      </c>
    </row>
    <row r="119" spans="51:52">
      <c r="AY119" s="178"/>
    </row>
    <row r="120" spans="51:52">
      <c r="AY120" s="178"/>
      <c r="AZ120" s="14">
        <v>0</v>
      </c>
    </row>
    <row r="121" spans="51:52">
      <c r="AY121" s="178"/>
    </row>
    <row r="122" spans="51:52">
      <c r="AY122" s="178"/>
    </row>
    <row r="123" spans="51:52">
      <c r="AY123" s="178"/>
    </row>
    <row r="124" spans="51:52">
      <c r="AY124" s="178"/>
    </row>
    <row r="125" spans="51:52">
      <c r="AY125" s="178"/>
    </row>
    <row r="126" spans="51:52">
      <c r="AY126" s="178"/>
    </row>
    <row r="127" spans="51:52">
      <c r="AY127" s="178"/>
    </row>
    <row r="128" spans="51:52">
      <c r="AY128" s="178"/>
    </row>
    <row r="129" spans="51:51">
      <c r="AY129" s="178"/>
    </row>
    <row r="130" spans="51:51">
      <c r="AY130" s="178"/>
    </row>
    <row r="131" spans="51:51">
      <c r="AY131" s="178"/>
    </row>
    <row r="132" spans="51:51">
      <c r="AY132" s="178"/>
    </row>
    <row r="133" spans="51:51">
      <c r="AY133" s="178"/>
    </row>
    <row r="134" spans="51:51">
      <c r="AY134" s="178"/>
    </row>
    <row r="135" spans="51:51">
      <c r="AY135" s="178"/>
    </row>
    <row r="136" spans="51:51">
      <c r="AY136" s="178"/>
    </row>
    <row r="137" spans="51:51">
      <c r="AY137" s="178"/>
    </row>
    <row r="138" spans="51:51">
      <c r="AY138" s="178"/>
    </row>
    <row r="139" spans="51:51">
      <c r="AY139" s="178"/>
    </row>
    <row r="140" spans="51:51">
      <c r="AY140" s="178"/>
    </row>
    <row r="141" spans="51:51">
      <c r="AY141" s="178"/>
    </row>
    <row r="142" spans="51:51">
      <c r="AY142" s="178"/>
    </row>
    <row r="143" spans="51:51">
      <c r="AY143" s="178"/>
    </row>
    <row r="144" spans="51:51">
      <c r="AY144" s="178"/>
    </row>
    <row r="145" spans="51:51">
      <c r="AY145" s="178"/>
    </row>
    <row r="146" spans="51:51">
      <c r="AY146" s="178"/>
    </row>
    <row r="147" spans="51:51">
      <c r="AY147" s="178"/>
    </row>
    <row r="148" spans="51:51">
      <c r="AY148" s="178"/>
    </row>
    <row r="149" spans="51:51">
      <c r="AY149" s="178"/>
    </row>
    <row r="150" spans="51:51">
      <c r="AY150" s="178"/>
    </row>
    <row r="151" spans="51:51">
      <c r="AY151" s="178"/>
    </row>
    <row r="152" spans="51:51">
      <c r="AY152" s="178"/>
    </row>
    <row r="153" spans="51:51">
      <c r="AY153" s="178"/>
    </row>
    <row r="154" spans="51:51">
      <c r="AY154" s="178"/>
    </row>
    <row r="155" spans="51:51">
      <c r="AY155" s="178"/>
    </row>
    <row r="156" spans="51:51">
      <c r="AY156" s="178"/>
    </row>
    <row r="157" spans="51:51">
      <c r="AY157" s="178"/>
    </row>
    <row r="158" spans="51:51">
      <c r="AY158" s="178"/>
    </row>
    <row r="159" spans="51:51">
      <c r="AY159" s="178"/>
    </row>
    <row r="160" spans="51:51">
      <c r="AY160" s="178"/>
    </row>
    <row r="161" spans="51:51">
      <c r="AY161" s="178"/>
    </row>
    <row r="162" spans="51:51">
      <c r="AY162" s="178"/>
    </row>
    <row r="163" spans="51:51">
      <c r="AY163" s="178"/>
    </row>
    <row r="164" spans="51:51">
      <c r="AY164" s="178"/>
    </row>
    <row r="165" spans="51:51">
      <c r="AY165" s="178"/>
    </row>
    <row r="166" spans="51:51">
      <c r="AY166" s="178"/>
    </row>
    <row r="167" spans="51:51">
      <c r="AY167" s="178"/>
    </row>
    <row r="168" spans="51:51">
      <c r="AY168" s="178"/>
    </row>
    <row r="169" spans="51:51">
      <c r="AY169" s="178"/>
    </row>
    <row r="170" spans="51:51">
      <c r="AY170" s="178"/>
    </row>
    <row r="171" spans="51:51">
      <c r="AY171" s="178"/>
    </row>
    <row r="172" spans="51:51">
      <c r="AY172" s="178"/>
    </row>
    <row r="173" spans="51:51">
      <c r="AY173" s="178"/>
    </row>
    <row r="174" spans="51:51">
      <c r="AY174" s="178"/>
    </row>
    <row r="175" spans="51:51">
      <c r="AY175" s="178"/>
    </row>
    <row r="176" spans="51:51">
      <c r="AY176" s="178"/>
    </row>
    <row r="177" spans="51:51">
      <c r="AY177" s="178"/>
    </row>
    <row r="178" spans="51:51">
      <c r="AY178" s="178"/>
    </row>
    <row r="179" spans="51:51">
      <c r="AY179" s="178"/>
    </row>
    <row r="180" spans="51:51">
      <c r="AY180" s="178"/>
    </row>
    <row r="181" spans="51:51">
      <c r="AY181" s="178"/>
    </row>
    <row r="182" spans="51:51">
      <c r="AY182" s="178"/>
    </row>
    <row r="183" spans="51:51">
      <c r="AY183" s="178"/>
    </row>
    <row r="184" spans="51:51">
      <c r="AY184" s="178"/>
    </row>
    <row r="185" spans="51:51">
      <c r="AY185" s="178"/>
    </row>
    <row r="186" spans="51:51">
      <c r="AY186" s="178"/>
    </row>
    <row r="187" spans="51:51">
      <c r="AY187" s="178"/>
    </row>
    <row r="188" spans="51:51">
      <c r="AY188" s="178"/>
    </row>
    <row r="189" spans="51:51">
      <c r="AY189" s="178"/>
    </row>
    <row r="190" spans="51:51">
      <c r="AY190" s="178"/>
    </row>
    <row r="191" spans="51:51">
      <c r="AY191" s="178"/>
    </row>
    <row r="192" spans="51:51">
      <c r="AY192" s="178"/>
    </row>
    <row r="193" spans="51:51">
      <c r="AY193" s="178"/>
    </row>
    <row r="194" spans="51:51">
      <c r="AY194" s="178"/>
    </row>
    <row r="195" spans="51:51">
      <c r="AY195" s="178"/>
    </row>
    <row r="196" spans="51:51">
      <c r="AY196" s="178"/>
    </row>
    <row r="197" spans="51:51">
      <c r="AY197" s="178"/>
    </row>
    <row r="198" spans="51:51">
      <c r="AY198" s="178"/>
    </row>
    <row r="199" spans="51:51">
      <c r="AY199" s="178"/>
    </row>
    <row r="200" spans="51:51">
      <c r="AY200" s="178"/>
    </row>
    <row r="201" spans="51:51">
      <c r="AY201" s="178"/>
    </row>
    <row r="202" spans="51:51">
      <c r="AY202" s="178"/>
    </row>
    <row r="203" spans="51:51">
      <c r="AY203" s="178"/>
    </row>
    <row r="204" spans="51:51">
      <c r="AY204" s="178"/>
    </row>
    <row r="205" spans="51:51">
      <c r="AY205" s="178"/>
    </row>
    <row r="206" spans="51:51">
      <c r="AY206" s="178"/>
    </row>
    <row r="207" spans="51:51">
      <c r="AY207" s="178"/>
    </row>
    <row r="208" spans="51:51">
      <c r="AY208" s="178"/>
    </row>
    <row r="209" spans="51:51">
      <c r="AY209" s="178"/>
    </row>
    <row r="210" spans="51:51">
      <c r="AY210" s="178"/>
    </row>
    <row r="211" spans="51:51">
      <c r="AY211" s="178"/>
    </row>
    <row r="212" spans="51:51">
      <c r="AY212" s="178"/>
    </row>
    <row r="213" spans="51:51">
      <c r="AY213" s="178"/>
    </row>
    <row r="214" spans="51:51">
      <c r="AY214" s="178"/>
    </row>
    <row r="215" spans="51:51">
      <c r="AY215" s="178"/>
    </row>
    <row r="216" spans="51:51">
      <c r="AY216" s="178"/>
    </row>
    <row r="217" spans="51:51">
      <c r="AY217" s="178"/>
    </row>
    <row r="218" spans="51:51">
      <c r="AY218" s="178"/>
    </row>
    <row r="219" spans="51:51">
      <c r="AY219" s="178"/>
    </row>
    <row r="220" spans="51:51">
      <c r="AY220" s="178"/>
    </row>
    <row r="221" spans="51:51">
      <c r="AY221" s="178"/>
    </row>
    <row r="222" spans="51:51">
      <c r="AY222" s="178"/>
    </row>
    <row r="223" spans="51:51">
      <c r="AY223" s="178"/>
    </row>
    <row r="224" spans="51:51">
      <c r="AY224" s="178"/>
    </row>
    <row r="225" spans="51:51">
      <c r="AY225" s="178"/>
    </row>
    <row r="226" spans="51:51">
      <c r="AY226" s="178"/>
    </row>
    <row r="227" spans="51:51">
      <c r="AY227" s="178"/>
    </row>
    <row r="228" spans="51:51">
      <c r="AY228" s="178"/>
    </row>
    <row r="229" spans="51:51">
      <c r="AY229" s="178"/>
    </row>
    <row r="230" spans="51:51">
      <c r="AY230" s="178"/>
    </row>
    <row r="231" spans="51:51">
      <c r="AY231" s="178"/>
    </row>
    <row r="232" spans="51:51">
      <c r="AY232" s="178"/>
    </row>
    <row r="233" spans="51:51">
      <c r="AY233" s="178"/>
    </row>
    <row r="234" spans="51:51">
      <c r="AY234" s="178"/>
    </row>
    <row r="235" spans="51:51">
      <c r="AY235" s="178"/>
    </row>
    <row r="236" spans="51:51">
      <c r="AY236" s="178"/>
    </row>
    <row r="237" spans="51:51">
      <c r="AY237" s="178"/>
    </row>
    <row r="238" spans="51:51">
      <c r="AY238" s="178"/>
    </row>
    <row r="239" spans="51:51">
      <c r="AY239" s="178"/>
    </row>
    <row r="240" spans="51:51">
      <c r="AY240" s="178"/>
    </row>
    <row r="241" spans="51:51">
      <c r="AY241" s="178"/>
    </row>
    <row r="242" spans="51:51">
      <c r="AY242" s="178"/>
    </row>
    <row r="243" spans="51:51">
      <c r="AY243" s="178"/>
    </row>
    <row r="244" spans="51:51">
      <c r="AY244" s="178"/>
    </row>
    <row r="245" spans="51:51">
      <c r="AY245" s="178"/>
    </row>
    <row r="246" spans="51:51">
      <c r="AY246" s="178"/>
    </row>
    <row r="247" spans="51:51">
      <c r="AY247" s="178"/>
    </row>
    <row r="248" spans="51:51">
      <c r="AY248" s="178"/>
    </row>
    <row r="249" spans="51:51">
      <c r="AY249" s="178"/>
    </row>
    <row r="250" spans="51:51">
      <c r="AY250" s="178"/>
    </row>
    <row r="251" spans="51:51">
      <c r="AY251" s="178"/>
    </row>
    <row r="252" spans="51:51">
      <c r="AY252" s="178"/>
    </row>
    <row r="253" spans="51:51">
      <c r="AY253" s="178"/>
    </row>
    <row r="254" spans="51:51">
      <c r="AY254" s="178"/>
    </row>
    <row r="255" spans="51:51">
      <c r="AY255" s="178"/>
    </row>
    <row r="256" spans="51:51">
      <c r="AY256" s="178"/>
    </row>
    <row r="257" spans="51:51">
      <c r="AY257" s="178"/>
    </row>
    <row r="258" spans="51:51">
      <c r="AY258" s="178"/>
    </row>
    <row r="259" spans="51:51">
      <c r="AY259" s="178"/>
    </row>
    <row r="260" spans="51:51">
      <c r="AY260" s="178"/>
    </row>
    <row r="261" spans="51:51">
      <c r="AY261" s="178"/>
    </row>
    <row r="262" spans="51:51">
      <c r="AY262" s="178"/>
    </row>
    <row r="263" spans="51:51">
      <c r="AY263" s="178"/>
    </row>
    <row r="264" spans="51:51">
      <c r="AY264" s="178"/>
    </row>
    <row r="265" spans="51:51">
      <c r="AY265" s="178"/>
    </row>
    <row r="266" spans="51:51">
      <c r="AY266" s="178"/>
    </row>
    <row r="267" spans="51:51">
      <c r="AY267" s="178"/>
    </row>
    <row r="268" spans="51:51">
      <c r="AY268" s="178"/>
    </row>
    <row r="269" spans="51:51">
      <c r="AY269" s="178"/>
    </row>
    <row r="270" spans="51:51">
      <c r="AY270" s="178"/>
    </row>
    <row r="271" spans="51:51">
      <c r="AY271" s="178"/>
    </row>
    <row r="272" spans="51:51">
      <c r="AY272" s="178"/>
    </row>
    <row r="273" spans="51:51">
      <c r="AY273" s="178"/>
    </row>
    <row r="274" spans="51:51">
      <c r="AY274" s="178"/>
    </row>
    <row r="275" spans="51:51">
      <c r="AY275" s="178"/>
    </row>
    <row r="276" spans="51:51">
      <c r="AY276" s="178"/>
    </row>
    <row r="277" spans="51:51">
      <c r="AY277" s="178"/>
    </row>
    <row r="278" spans="51:51">
      <c r="AY278" s="178"/>
    </row>
    <row r="279" spans="51:51">
      <c r="AY279" s="178"/>
    </row>
    <row r="280" spans="51:51">
      <c r="AY280" s="178"/>
    </row>
    <row r="281" spans="51:51">
      <c r="AY281" s="178"/>
    </row>
    <row r="282" spans="51:51">
      <c r="AY282" s="178"/>
    </row>
    <row r="283" spans="51:51">
      <c r="AY283" s="178"/>
    </row>
    <row r="284" spans="51:51">
      <c r="AY284" s="178"/>
    </row>
    <row r="285" spans="51:51">
      <c r="AY285" s="178"/>
    </row>
    <row r="286" spans="51:51">
      <c r="AY286" s="178"/>
    </row>
    <row r="287" spans="51:51">
      <c r="AY287" s="178"/>
    </row>
    <row r="288" spans="51:51">
      <c r="AY288" s="178"/>
    </row>
    <row r="289" spans="51:51">
      <c r="AY289" s="178"/>
    </row>
    <row r="290" spans="51:51">
      <c r="AY290" s="178"/>
    </row>
    <row r="291" spans="51:51">
      <c r="AY291" s="178"/>
    </row>
    <row r="292" spans="51:51">
      <c r="AY292" s="178"/>
    </row>
    <row r="293" spans="51:51">
      <c r="AY293" s="178"/>
    </row>
    <row r="294" spans="51:51">
      <c r="AY294" s="178"/>
    </row>
    <row r="295" spans="51:51">
      <c r="AY295" s="178"/>
    </row>
    <row r="296" spans="51:51">
      <c r="AY296" s="178"/>
    </row>
    <row r="297" spans="51:51">
      <c r="AY297" s="178"/>
    </row>
    <row r="298" spans="51:51">
      <c r="AY298" s="178"/>
    </row>
    <row r="299" spans="51:51">
      <c r="AY299" s="178"/>
    </row>
    <row r="300" spans="51:51">
      <c r="AY300" s="178"/>
    </row>
    <row r="301" spans="51:51">
      <c r="AY301" s="178"/>
    </row>
    <row r="302" spans="51:51">
      <c r="AY302" s="178"/>
    </row>
    <row r="303" spans="51:51">
      <c r="AY303" s="178"/>
    </row>
    <row r="304" spans="51:51">
      <c r="AY304" s="178"/>
    </row>
    <row r="305" spans="51:51">
      <c r="AY305" s="178"/>
    </row>
    <row r="306" spans="51:51">
      <c r="AY306" s="178"/>
    </row>
    <row r="307" spans="51:51">
      <c r="AY307" s="178"/>
    </row>
    <row r="308" spans="51:51">
      <c r="AY308" s="178"/>
    </row>
    <row r="309" spans="51:51">
      <c r="AY309" s="178"/>
    </row>
    <row r="310" spans="51:51">
      <c r="AY310" s="178"/>
    </row>
    <row r="311" spans="51:51">
      <c r="AY311" s="178"/>
    </row>
    <row r="312" spans="51:51">
      <c r="AY312" s="178"/>
    </row>
    <row r="313" spans="51:51">
      <c r="AY313" s="178"/>
    </row>
    <row r="314" spans="51:51">
      <c r="AY314" s="178"/>
    </row>
    <row r="315" spans="51:51">
      <c r="AY315" s="178"/>
    </row>
    <row r="316" spans="51:51">
      <c r="AY316" s="178"/>
    </row>
    <row r="317" spans="51:51">
      <c r="AY317" s="178"/>
    </row>
    <row r="318" spans="51:51">
      <c r="AY318" s="178"/>
    </row>
    <row r="319" spans="51:51">
      <c r="AY319" s="178"/>
    </row>
    <row r="320" spans="51:51">
      <c r="AY320" s="178"/>
    </row>
    <row r="321" spans="51:51">
      <c r="AY321" s="178"/>
    </row>
    <row r="322" spans="51:51">
      <c r="AY322" s="178"/>
    </row>
    <row r="323" spans="51:51">
      <c r="AY323" s="178"/>
    </row>
    <row r="324" spans="51:51">
      <c r="AY324" s="178"/>
    </row>
    <row r="325" spans="51:51">
      <c r="AY325" s="178"/>
    </row>
    <row r="326" spans="51:51">
      <c r="AY326" s="178"/>
    </row>
    <row r="327" spans="51:51">
      <c r="AY327" s="178"/>
    </row>
    <row r="328" spans="51:51">
      <c r="AY328" s="178"/>
    </row>
    <row r="329" spans="51:51">
      <c r="AY329" s="178"/>
    </row>
    <row r="330" spans="51:51">
      <c r="AY330" s="178"/>
    </row>
    <row r="331" spans="51:51">
      <c r="AY331" s="178"/>
    </row>
    <row r="332" spans="51:51">
      <c r="AY332" s="178"/>
    </row>
    <row r="333" spans="51:51">
      <c r="AY333" s="178"/>
    </row>
    <row r="334" spans="51:51">
      <c r="AY334" s="178"/>
    </row>
    <row r="335" spans="51:51">
      <c r="AY335" s="178"/>
    </row>
    <row r="336" spans="51:51">
      <c r="AY336" s="178"/>
    </row>
    <row r="337" spans="51:51">
      <c r="AY337" s="178"/>
    </row>
    <row r="338" spans="51:51">
      <c r="AY338" s="178"/>
    </row>
    <row r="339" spans="51:51">
      <c r="AY339" s="178"/>
    </row>
    <row r="340" spans="51:51">
      <c r="AY340" s="178"/>
    </row>
    <row r="341" spans="51:51">
      <c r="AY341" s="178"/>
    </row>
    <row r="342" spans="51:51">
      <c r="AY342" s="178"/>
    </row>
    <row r="343" spans="51:51">
      <c r="AY343" s="178"/>
    </row>
    <row r="344" spans="51:51">
      <c r="AY344" s="178"/>
    </row>
    <row r="345" spans="51:51">
      <c r="AY345" s="178"/>
    </row>
    <row r="346" spans="51:51">
      <c r="AY346" s="178"/>
    </row>
    <row r="347" spans="51:51">
      <c r="AY347" s="609"/>
    </row>
    <row r="348" spans="51:51">
      <c r="AY348" s="609"/>
    </row>
    <row r="349" spans="51:51">
      <c r="AY349" s="609"/>
    </row>
    <row r="350" spans="51:51">
      <c r="AY350" s="609"/>
    </row>
    <row r="351" spans="51:51">
      <c r="AY351" s="609"/>
    </row>
    <row r="352" spans="51:51">
      <c r="AY352" s="609"/>
    </row>
    <row r="353" spans="51:51">
      <c r="AY353" s="609"/>
    </row>
    <row r="354" spans="51:51">
      <c r="AY354" s="609"/>
    </row>
    <row r="355" spans="51:51">
      <c r="AY355" s="609"/>
    </row>
    <row r="356" spans="51:51">
      <c r="AY356" s="609"/>
    </row>
    <row r="357" spans="51:51">
      <c r="AY357" s="609"/>
    </row>
    <row r="358" spans="51:51">
      <c r="AY358" s="609"/>
    </row>
    <row r="359" spans="51:51">
      <c r="AY359" s="609"/>
    </row>
    <row r="360" spans="51:51">
      <c r="AY360" s="609"/>
    </row>
    <row r="361" spans="51:51">
      <c r="AY361" s="609"/>
    </row>
    <row r="362" spans="51:51">
      <c r="AY362" s="609"/>
    </row>
    <row r="363" spans="51:51">
      <c r="AY363" s="609"/>
    </row>
    <row r="364" spans="51:51">
      <c r="AY364" s="609"/>
    </row>
    <row r="365" spans="51:51">
      <c r="AY365" s="609"/>
    </row>
    <row r="366" spans="51:51">
      <c r="AY366" s="609"/>
    </row>
    <row r="367" spans="51:51">
      <c r="AY367" s="609"/>
    </row>
    <row r="368" spans="51:51">
      <c r="AY368" s="609"/>
    </row>
    <row r="369" spans="51:51">
      <c r="AY369" s="609"/>
    </row>
    <row r="370" spans="51:51">
      <c r="AY370" s="609"/>
    </row>
    <row r="371" spans="51:51">
      <c r="AY371" s="609"/>
    </row>
    <row r="372" spans="51:51">
      <c r="AY372" s="609"/>
    </row>
    <row r="373" spans="51:51">
      <c r="AY373" s="609"/>
    </row>
    <row r="374" spans="51:51">
      <c r="AY374" s="609"/>
    </row>
    <row r="375" spans="51:51">
      <c r="AY375" s="609"/>
    </row>
    <row r="376" spans="51:51">
      <c r="AY376" s="609"/>
    </row>
    <row r="377" spans="51:51">
      <c r="AY377" s="609"/>
    </row>
    <row r="378" spans="51:51">
      <c r="AY378" s="609"/>
    </row>
    <row r="379" spans="51:51">
      <c r="AY379" s="609"/>
    </row>
    <row r="380" spans="51:51">
      <c r="AY380" s="609"/>
    </row>
    <row r="381" spans="51:51">
      <c r="AY381" s="609"/>
    </row>
    <row r="382" spans="51:51">
      <c r="AY382" s="609"/>
    </row>
    <row r="383" spans="51:51">
      <c r="AY383" s="609"/>
    </row>
    <row r="384" spans="51:51">
      <c r="AY384" s="609"/>
    </row>
    <row r="385" spans="51:52">
      <c r="AY385" s="178"/>
      <c r="AZ385" s="211"/>
    </row>
    <row r="386" spans="51:52">
      <c r="AY386" s="178"/>
      <c r="AZ386" s="211"/>
    </row>
    <row r="387" spans="51:52">
      <c r="AY387" s="178"/>
      <c r="AZ387" s="211"/>
    </row>
    <row r="388" spans="51:52">
      <c r="AY388" s="178"/>
      <c r="AZ388" s="211"/>
    </row>
    <row r="389" spans="51:52">
      <c r="AY389" s="178"/>
      <c r="AZ389" s="211"/>
    </row>
    <row r="390" spans="51:52">
      <c r="AY390" s="178"/>
      <c r="AZ390" s="211"/>
    </row>
    <row r="391" spans="51:52">
      <c r="AY391" s="178"/>
      <c r="AZ391" s="211"/>
    </row>
    <row r="392" spans="51:52">
      <c r="AY392" s="178"/>
      <c r="AZ392" s="211"/>
    </row>
    <row r="393" spans="51:52">
      <c r="AY393" s="178"/>
      <c r="AZ393" s="211"/>
    </row>
    <row r="394" spans="51:52">
      <c r="AY394" s="178"/>
      <c r="AZ394" s="211"/>
    </row>
    <row r="395" spans="51:52">
      <c r="AY395" s="178"/>
      <c r="AZ395" s="211"/>
    </row>
    <row r="396" spans="51:52">
      <c r="AY396" s="178"/>
      <c r="AZ396" s="211"/>
    </row>
    <row r="397" spans="51:52">
      <c r="AY397" s="178"/>
      <c r="AZ397" s="211"/>
    </row>
    <row r="398" spans="51:52">
      <c r="AY398" s="178"/>
      <c r="AZ398" s="211"/>
    </row>
    <row r="399" spans="51:52">
      <c r="AY399" s="178"/>
      <c r="AZ399" s="211"/>
    </row>
    <row r="400" spans="51:52">
      <c r="AY400" s="178"/>
      <c r="AZ400" s="211"/>
    </row>
    <row r="401" spans="50:52">
      <c r="AY401" s="178"/>
      <c r="AZ401" s="211"/>
    </row>
    <row r="402" spans="50:52">
      <c r="AY402" s="178"/>
      <c r="AZ402" s="211"/>
    </row>
    <row r="408" spans="50:52">
      <c r="AX408" s="609"/>
      <c r="AY408" s="609"/>
      <c r="AZ408" s="609"/>
    </row>
  </sheetData>
  <sheetProtection algorithmName="SHA-512" hashValue="vdLdi2bVtdf7m/JUYzqHM+Fph8BWHMGJGxFQolXylrFEzwwvnULKvQ3dbD/JX7GH+NAaIXjFMXrlDltP8jIMOA==" saltValue="3QXkq/oOyPDUTG7//0jLjA==" spinCount="100000" sheet="1" objects="1" scenarios="1"/>
  <mergeCells count="4">
    <mergeCell ref="B16:L16"/>
    <mergeCell ref="C1:G1"/>
    <mergeCell ref="C6:G6"/>
    <mergeCell ref="Z5:AH5"/>
  </mergeCells>
  <pageMargins left="0.7" right="0.7" top="0.75" bottom="0.75" header="0.3" footer="0.3"/>
  <pageSetup paperSize="9" scale="16"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pageSetUpPr fitToPage="1"/>
  </sheetPr>
  <dimension ref="A1:AO724"/>
  <sheetViews>
    <sheetView view="pageBreakPreview" topLeftCell="L1" zoomScaleNormal="100" zoomScaleSheetLayoutView="100" workbookViewId="0">
      <selection activeCell="F208" sqref="F208"/>
    </sheetView>
  </sheetViews>
  <sheetFormatPr baseColWidth="10" defaultRowHeight="15"/>
  <cols>
    <col min="3" max="3" width="15.140625" customWidth="1"/>
    <col min="5" max="5" width="16.42578125" customWidth="1"/>
    <col min="6" max="6" width="10.140625" customWidth="1"/>
    <col min="7" max="7" width="16.85546875" style="244" customWidth="1"/>
    <col min="8" max="8" width="17.28515625" customWidth="1"/>
    <col min="9" max="9" width="17.5703125" style="484" customWidth="1"/>
    <col min="10" max="11" width="15.140625" customWidth="1"/>
    <col min="12" max="13" width="15.140625" style="244" customWidth="1"/>
    <col min="14" max="15" width="14.7109375" customWidth="1"/>
    <col min="16" max="16" width="12" style="368" bestFit="1" customWidth="1"/>
    <col min="17" max="20" width="11.42578125" style="141" hidden="1" customWidth="1"/>
    <col min="21" max="21" width="16.140625" style="141" hidden="1" customWidth="1"/>
    <col min="22" max="26" width="11.42578125" style="141" hidden="1" customWidth="1"/>
    <col min="27" max="27" width="16" style="141" hidden="1" customWidth="1"/>
    <col min="28" max="28" width="22" customWidth="1"/>
    <col min="29" max="29" width="16.5703125" customWidth="1"/>
    <col min="30" max="31" width="14.7109375" customWidth="1"/>
  </cols>
  <sheetData>
    <row r="1" spans="1:41">
      <c r="E1" s="29"/>
      <c r="F1" s="29"/>
      <c r="G1" s="376">
        <v>1</v>
      </c>
      <c r="H1" s="376">
        <v>2</v>
      </c>
      <c r="I1" s="485">
        <v>3</v>
      </c>
      <c r="J1" s="377">
        <v>4</v>
      </c>
      <c r="K1" s="377">
        <v>5</v>
      </c>
      <c r="L1" s="377">
        <v>6</v>
      </c>
      <c r="M1" s="377">
        <v>7</v>
      </c>
      <c r="N1" s="377">
        <v>8</v>
      </c>
      <c r="O1" s="377">
        <v>9</v>
      </c>
      <c r="P1" s="378">
        <v>10</v>
      </c>
      <c r="Q1" s="1833" t="s">
        <v>228</v>
      </c>
      <c r="R1" s="1833"/>
      <c r="S1" s="1833"/>
      <c r="T1" s="1833"/>
      <c r="U1" s="1833"/>
      <c r="W1" s="1833" t="s">
        <v>230</v>
      </c>
      <c r="X1" s="1833"/>
      <c r="Y1" s="1833"/>
      <c r="Z1" s="1833"/>
      <c r="AA1" s="1833"/>
    </row>
    <row r="2" spans="1:41" ht="15.75" thickBot="1">
      <c r="E2" s="292" t="s">
        <v>224</v>
      </c>
      <c r="F2" s="292"/>
      <c r="G2" s="390" t="s">
        <v>1204</v>
      </c>
      <c r="H2" s="292"/>
      <c r="I2" s="390" t="s">
        <v>1204</v>
      </c>
      <c r="J2" s="142"/>
      <c r="K2" s="142"/>
      <c r="L2" s="390" t="s">
        <v>1204</v>
      </c>
      <c r="M2" s="390" t="s">
        <v>1204</v>
      </c>
      <c r="N2" s="142"/>
      <c r="O2" s="142"/>
      <c r="Q2" s="1833" t="s">
        <v>225</v>
      </c>
      <c r="R2" s="1833"/>
      <c r="S2" s="1833"/>
      <c r="T2" s="1833"/>
      <c r="U2" s="1833"/>
      <c r="W2" s="1833" t="s">
        <v>226</v>
      </c>
      <c r="X2" s="1833"/>
      <c r="Y2" s="1833"/>
      <c r="Z2" s="1833"/>
      <c r="AA2" s="1833"/>
      <c r="AB2" t="s">
        <v>293</v>
      </c>
    </row>
    <row r="3" spans="1:41" ht="68.25" thickBot="1">
      <c r="A3" s="213" t="s">
        <v>1010</v>
      </c>
      <c r="B3" s="486" t="s">
        <v>291</v>
      </c>
      <c r="C3" s="487" t="s">
        <v>290</v>
      </c>
      <c r="D3" s="487" t="s">
        <v>289</v>
      </c>
      <c r="E3" s="507" t="s">
        <v>1094</v>
      </c>
      <c r="F3" s="508"/>
      <c r="G3" s="391" t="s">
        <v>288</v>
      </c>
      <c r="H3" s="488" t="s">
        <v>1203</v>
      </c>
      <c r="I3" s="482" t="s">
        <v>995</v>
      </c>
      <c r="J3" s="489" t="s">
        <v>296</v>
      </c>
      <c r="K3" s="488" t="s">
        <v>297</v>
      </c>
      <c r="L3" s="409" t="s">
        <v>1117</v>
      </c>
      <c r="M3" s="396" t="s">
        <v>1137</v>
      </c>
      <c r="N3" s="143" t="s">
        <v>327</v>
      </c>
      <c r="O3" s="143" t="s">
        <v>317</v>
      </c>
      <c r="P3" s="369" t="s">
        <v>1116</v>
      </c>
      <c r="Q3" s="1834" t="s">
        <v>220</v>
      </c>
      <c r="R3" s="1834"/>
      <c r="S3" s="144"/>
      <c r="T3" s="144" t="s">
        <v>223</v>
      </c>
      <c r="U3" s="144" t="s">
        <v>222</v>
      </c>
      <c r="W3" s="145" t="s">
        <v>227</v>
      </c>
      <c r="X3" s="1834" t="s">
        <v>220</v>
      </c>
      <c r="Y3" s="1834"/>
      <c r="Z3" s="144" t="s">
        <v>221</v>
      </c>
      <c r="AA3" s="144" t="s">
        <v>222</v>
      </c>
      <c r="AB3" s="29" t="str">
        <f>+C3</f>
        <v>CÓDIGO</v>
      </c>
      <c r="AC3" s="53" t="s">
        <v>34</v>
      </c>
      <c r="AD3" s="53" t="s">
        <v>9</v>
      </c>
      <c r="AE3" s="53" t="s">
        <v>79</v>
      </c>
      <c r="AF3" s="53" t="s">
        <v>80</v>
      </c>
      <c r="AG3" s="53" t="s">
        <v>302</v>
      </c>
      <c r="AH3" s="53" t="s">
        <v>10</v>
      </c>
      <c r="AJ3" s="143" t="s">
        <v>1046</v>
      </c>
      <c r="AK3" s="143" t="s">
        <v>1047</v>
      </c>
      <c r="AL3" s="354" t="s">
        <v>1048</v>
      </c>
      <c r="AO3" s="400" t="s">
        <v>1136</v>
      </c>
    </row>
    <row r="4" spans="1:41" ht="15" customHeight="1">
      <c r="A4">
        <v>1</v>
      </c>
      <c r="B4" s="379" t="s">
        <v>292</v>
      </c>
      <c r="C4" s="313" t="s">
        <v>229</v>
      </c>
      <c r="D4" s="146" t="s">
        <v>360</v>
      </c>
      <c r="E4" s="380" t="s">
        <v>1118</v>
      </c>
      <c r="F4" s="147">
        <v>1</v>
      </c>
      <c r="G4" s="392" t="str">
        <f t="shared" ref="G4:G35" si="0">+CONCATENATE(D4,"-",E4,"-",MID(C4,12,2))</f>
        <v>N/A-1 ,mg-04</v>
      </c>
      <c r="H4" s="381">
        <v>3.5000000000000001E-3</v>
      </c>
      <c r="I4" s="483">
        <f>F4-H4</f>
        <v>0.99650000000000005</v>
      </c>
      <c r="J4" s="148">
        <v>2E-3</v>
      </c>
      <c r="K4" s="148">
        <v>2</v>
      </c>
      <c r="L4" s="397">
        <f>IF(AND(B4="E2",N4&lt;&gt;0),ABS(H4-N4),M4)</f>
        <v>3.5022E-3</v>
      </c>
      <c r="M4" s="399">
        <f>J4</f>
        <v>2E-3</v>
      </c>
      <c r="N4" s="147">
        <v>-2.2000000000000001E-6</v>
      </c>
      <c r="O4" s="147">
        <v>6.0000000000000002E-6</v>
      </c>
      <c r="P4" s="370">
        <f>VLOOKUP(C4,$AB$4:$AI$25,8,FALSE)</f>
        <v>12</v>
      </c>
      <c r="Q4" s="366" t="s">
        <v>206</v>
      </c>
      <c r="R4" s="149">
        <v>1</v>
      </c>
      <c r="S4" s="149" t="str">
        <f>+CONCATENATE(R4,"-",MID($Q$1,12,2))</f>
        <v>1-05</v>
      </c>
      <c r="T4" s="149">
        <v>3.5000000000000004E-5</v>
      </c>
      <c r="U4" s="149">
        <f>R4-T4</f>
        <v>0.99996499999999999</v>
      </c>
      <c r="W4" s="150">
        <v>1</v>
      </c>
      <c r="X4" s="149" t="s">
        <v>217</v>
      </c>
      <c r="Y4" s="149">
        <v>5000</v>
      </c>
      <c r="Z4" s="149">
        <v>4.0000000000000001E-3</v>
      </c>
      <c r="AA4" s="149">
        <f>Y4-Z4</f>
        <v>4999.9960000000001</v>
      </c>
      <c r="AB4" s="131" t="s">
        <v>230</v>
      </c>
      <c r="AC4" s="131" t="s">
        <v>300</v>
      </c>
      <c r="AD4" s="342"/>
      <c r="AE4" s="372" t="s">
        <v>1243</v>
      </c>
      <c r="AF4" s="372">
        <f t="shared" ref="AF4:AF14" si="1">EDATE(AE4,(AI4))</f>
        <v>45630</v>
      </c>
      <c r="AG4" s="152">
        <v>7.1</v>
      </c>
      <c r="AH4" s="152" t="s">
        <v>354</v>
      </c>
      <c r="AI4" s="140">
        <v>12</v>
      </c>
      <c r="AJ4" s="147">
        <v>-3.9999999999999998E-7</v>
      </c>
      <c r="AK4" s="147">
        <v>-6.9999999999999997E-7</v>
      </c>
      <c r="AL4" s="29">
        <v>-2.3E-6</v>
      </c>
      <c r="AM4">
        <f>AL4/1000</f>
        <v>-2.2999999999999999E-9</v>
      </c>
      <c r="AO4" t="s">
        <v>152</v>
      </c>
    </row>
    <row r="5" spans="1:41" ht="15" customHeight="1">
      <c r="A5">
        <v>2</v>
      </c>
      <c r="B5" s="379" t="s">
        <v>292</v>
      </c>
      <c r="C5" s="313" t="s">
        <v>229</v>
      </c>
      <c r="D5" s="146" t="s">
        <v>153</v>
      </c>
      <c r="E5" s="380" t="s">
        <v>1119</v>
      </c>
      <c r="F5" s="147">
        <v>2</v>
      </c>
      <c r="G5" s="392" t="str">
        <f>+CONCATENATE(D5,"-",E5,"-",MID(C5,12,2))</f>
        <v>NO-2 ,mg-04</v>
      </c>
      <c r="H5" s="382">
        <v>1E-3</v>
      </c>
      <c r="I5" s="483">
        <f t="shared" ref="I5:I68" si="2">F5-H5</f>
        <v>1.9990000000000001</v>
      </c>
      <c r="J5" s="148">
        <v>2E-3</v>
      </c>
      <c r="K5" s="148">
        <v>2</v>
      </c>
      <c r="L5" s="397">
        <f t="shared" ref="L5:L68" si="3">IF(AND(B5="E2",N5&lt;&gt;0),ABS(H5-N5),M5)</f>
        <v>9.9949999999999995E-4</v>
      </c>
      <c r="M5" s="399">
        <f t="shared" ref="M5:M68" si="4">J5</f>
        <v>2E-3</v>
      </c>
      <c r="N5" s="29">
        <v>4.9999999999999998E-7</v>
      </c>
      <c r="O5" s="147">
        <v>6.0000000000000002E-6</v>
      </c>
      <c r="P5" s="370">
        <f t="shared" ref="P5:P68" si="5">VLOOKUP(C5,$AB$4:$AI$25,8,FALSE)</f>
        <v>12</v>
      </c>
      <c r="Q5" s="366" t="s">
        <v>207</v>
      </c>
      <c r="R5" s="149">
        <v>2</v>
      </c>
      <c r="S5" s="149" t="str">
        <f t="shared" ref="S5:S76" si="6">+CONCATENATE(R5,"-",MID($Q$1,12,2))</f>
        <v>2-05</v>
      </c>
      <c r="T5" s="149">
        <v>5.9999999999999995E-5</v>
      </c>
      <c r="U5" s="149">
        <f t="shared" ref="U5:U19" si="7">R5-T5</f>
        <v>1.9999400000000001</v>
      </c>
      <c r="W5" s="150">
        <v>2</v>
      </c>
      <c r="X5" s="149" t="s">
        <v>218</v>
      </c>
      <c r="Y5" s="149">
        <v>10000</v>
      </c>
      <c r="Z5" s="149">
        <v>0.01</v>
      </c>
      <c r="AA5" s="149">
        <f t="shared" ref="AA5:AA35" si="8">Y5-Z5</f>
        <v>9999.99</v>
      </c>
      <c r="AB5" s="131" t="s">
        <v>1532</v>
      </c>
      <c r="AC5" s="131" t="s">
        <v>300</v>
      </c>
      <c r="AD5" s="342" t="s">
        <v>1534</v>
      </c>
      <c r="AE5" s="372">
        <v>45665</v>
      </c>
      <c r="AF5" s="372">
        <f t="shared" si="1"/>
        <v>46030</v>
      </c>
      <c r="AG5" s="152">
        <v>7.1</v>
      </c>
      <c r="AH5" s="152" t="s">
        <v>354</v>
      </c>
      <c r="AI5" s="140">
        <v>12</v>
      </c>
      <c r="AJ5" s="29">
        <v>4.9999999999999998E-7</v>
      </c>
      <c r="AK5" s="29">
        <v>3.7000000000000002E-6</v>
      </c>
      <c r="AL5" s="29">
        <v>2.9999999999999999E-7</v>
      </c>
      <c r="AO5" t="s">
        <v>153</v>
      </c>
    </row>
    <row r="6" spans="1:41" ht="15" customHeight="1">
      <c r="A6">
        <v>3</v>
      </c>
      <c r="B6" s="379" t="s">
        <v>292</v>
      </c>
      <c r="C6" s="313" t="s">
        <v>229</v>
      </c>
      <c r="D6" s="146" t="s">
        <v>152</v>
      </c>
      <c r="E6" s="380" t="s">
        <v>1119</v>
      </c>
      <c r="F6" s="147">
        <v>2</v>
      </c>
      <c r="G6" s="392" t="str">
        <f t="shared" si="0"/>
        <v>SI-2 ,mg-04</v>
      </c>
      <c r="H6" s="382">
        <v>-2.8E-3</v>
      </c>
      <c r="I6" s="483">
        <f t="shared" si="2"/>
        <v>2.0028000000000001</v>
      </c>
      <c r="J6" s="148">
        <v>2E-3</v>
      </c>
      <c r="K6" s="148">
        <v>2</v>
      </c>
      <c r="L6" s="397">
        <f t="shared" si="3"/>
        <v>2.8035999999999998E-3</v>
      </c>
      <c r="M6" s="399">
        <f t="shared" si="4"/>
        <v>2E-3</v>
      </c>
      <c r="N6" s="29">
        <v>3.5999999999999998E-6</v>
      </c>
      <c r="O6" s="147">
        <v>6.0000000000000002E-6</v>
      </c>
      <c r="P6" s="370">
        <f t="shared" si="5"/>
        <v>12</v>
      </c>
      <c r="Q6" s="366" t="s">
        <v>207</v>
      </c>
      <c r="R6" s="149">
        <v>2</v>
      </c>
      <c r="S6" s="149" t="str">
        <f t="shared" si="6"/>
        <v>2-05</v>
      </c>
      <c r="T6" s="149">
        <v>4.4999999999999996E-5</v>
      </c>
      <c r="U6" s="149">
        <f t="shared" si="7"/>
        <v>1.9999549999999999</v>
      </c>
      <c r="W6" s="150">
        <v>3</v>
      </c>
      <c r="X6" s="149" t="s">
        <v>219</v>
      </c>
      <c r="Y6" s="149">
        <v>20000</v>
      </c>
      <c r="Z6" s="149">
        <v>0.06</v>
      </c>
      <c r="AA6" s="149">
        <f t="shared" si="8"/>
        <v>19999.939999999999</v>
      </c>
      <c r="AB6" s="131" t="s">
        <v>1533</v>
      </c>
      <c r="AC6" s="131" t="s">
        <v>300</v>
      </c>
      <c r="AD6" s="342" t="s">
        <v>1535</v>
      </c>
      <c r="AE6" s="372">
        <v>45665</v>
      </c>
      <c r="AF6" s="372">
        <f t="shared" si="1"/>
        <v>46030</v>
      </c>
      <c r="AG6" s="152">
        <v>7.1</v>
      </c>
      <c r="AH6" s="152" t="s">
        <v>354</v>
      </c>
      <c r="AI6" s="140">
        <v>12</v>
      </c>
      <c r="AJ6" s="29">
        <v>2.3999999999999999E-6</v>
      </c>
      <c r="AK6" s="29">
        <v>2.9999999999999999E-7</v>
      </c>
      <c r="AL6" s="29">
        <v>3.4999999999999999E-6</v>
      </c>
      <c r="AO6" t="s">
        <v>360</v>
      </c>
    </row>
    <row r="7" spans="1:41" ht="15" customHeight="1">
      <c r="A7">
        <v>4</v>
      </c>
      <c r="B7" s="379" t="s">
        <v>292</v>
      </c>
      <c r="C7" s="313" t="s">
        <v>229</v>
      </c>
      <c r="D7" s="146" t="s">
        <v>360</v>
      </c>
      <c r="E7" s="380" t="s">
        <v>1120</v>
      </c>
      <c r="F7" s="147">
        <v>5</v>
      </c>
      <c r="G7" s="392" t="str">
        <f t="shared" si="0"/>
        <v>N/A-5 ,mg-04</v>
      </c>
      <c r="H7" s="382">
        <v>-5.0000000000000001E-4</v>
      </c>
      <c r="I7" s="483">
        <f t="shared" si="2"/>
        <v>5.0004999999999997</v>
      </c>
      <c r="J7" s="148">
        <v>2E-3</v>
      </c>
      <c r="K7" s="148">
        <v>2</v>
      </c>
      <c r="L7" s="397">
        <f t="shared" si="3"/>
        <v>5.0080000000000003E-4</v>
      </c>
      <c r="M7" s="399">
        <f t="shared" si="4"/>
        <v>2E-3</v>
      </c>
      <c r="N7" s="29">
        <v>8.0000000000000007E-7</v>
      </c>
      <c r="O7" s="147">
        <v>6.0000000000000002E-6</v>
      </c>
      <c r="P7" s="370">
        <f t="shared" si="5"/>
        <v>12</v>
      </c>
      <c r="Q7" s="366" t="s">
        <v>208</v>
      </c>
      <c r="R7" s="149">
        <v>5</v>
      </c>
      <c r="S7" s="149" t="str">
        <f t="shared" si="6"/>
        <v>5-05</v>
      </c>
      <c r="T7" s="149">
        <v>2.9E-5</v>
      </c>
      <c r="U7" s="149">
        <f t="shared" si="7"/>
        <v>4.9999710000000004</v>
      </c>
      <c r="W7" s="150">
        <v>4</v>
      </c>
      <c r="X7" s="149" t="s">
        <v>219</v>
      </c>
      <c r="Y7" s="149">
        <v>20000</v>
      </c>
      <c r="Z7" s="149">
        <v>7.0000000000000007E-2</v>
      </c>
      <c r="AA7" s="149">
        <f t="shared" si="8"/>
        <v>19999.93</v>
      </c>
      <c r="AB7" s="131" t="s">
        <v>229</v>
      </c>
      <c r="AC7" s="131" t="s">
        <v>300</v>
      </c>
      <c r="AD7" s="342" t="s">
        <v>1246</v>
      </c>
      <c r="AE7" s="372">
        <v>45330</v>
      </c>
      <c r="AF7" s="372">
        <f t="shared" si="1"/>
        <v>45696</v>
      </c>
      <c r="AG7" s="151">
        <v>7.95</v>
      </c>
      <c r="AH7" s="151" t="s">
        <v>292</v>
      </c>
      <c r="AI7" s="140">
        <v>12</v>
      </c>
      <c r="AJ7" s="29">
        <v>-1.6999999999999998E-6</v>
      </c>
      <c r="AK7" s="29">
        <v>5.9999999999999997E-7</v>
      </c>
      <c r="AL7" s="29">
        <v>1.5E-6</v>
      </c>
      <c r="AO7">
        <v>0</v>
      </c>
    </row>
    <row r="8" spans="1:41" ht="15" customHeight="1">
      <c r="A8">
        <v>5</v>
      </c>
      <c r="B8" s="379" t="s">
        <v>292</v>
      </c>
      <c r="C8" s="313" t="s">
        <v>229</v>
      </c>
      <c r="D8" s="146" t="s">
        <v>360</v>
      </c>
      <c r="E8" s="380" t="s">
        <v>1121</v>
      </c>
      <c r="F8" s="147">
        <v>10</v>
      </c>
      <c r="G8" s="392" t="str">
        <f t="shared" si="0"/>
        <v>N/A-10 ,mg-04</v>
      </c>
      <c r="H8" s="382">
        <v>2.9999999999999997E-4</v>
      </c>
      <c r="I8" s="483">
        <f t="shared" si="2"/>
        <v>9.9997000000000007</v>
      </c>
      <c r="J8" s="148">
        <v>2.7000000000000001E-3</v>
      </c>
      <c r="K8" s="148">
        <v>2</v>
      </c>
      <c r="L8" s="397">
        <f t="shared" si="3"/>
        <v>2.9899999999999995E-4</v>
      </c>
      <c r="M8" s="399">
        <f t="shared" si="4"/>
        <v>2.7000000000000001E-3</v>
      </c>
      <c r="N8" s="29">
        <v>9.9999999999999995E-7</v>
      </c>
      <c r="O8" s="147">
        <v>7.9999999999999996E-6</v>
      </c>
      <c r="P8" s="370">
        <f t="shared" si="5"/>
        <v>12</v>
      </c>
      <c r="Q8" s="366" t="s">
        <v>209</v>
      </c>
      <c r="R8" s="149">
        <v>10</v>
      </c>
      <c r="S8" s="149" t="str">
        <f t="shared" si="6"/>
        <v>10-05</v>
      </c>
      <c r="T8" s="149">
        <v>1.9999999999999999E-6</v>
      </c>
      <c r="U8" s="149">
        <f t="shared" si="7"/>
        <v>9.9999979999999997</v>
      </c>
      <c r="W8" s="150">
        <v>5</v>
      </c>
      <c r="X8" s="149" t="s">
        <v>219</v>
      </c>
      <c r="Y8" s="149">
        <v>20000</v>
      </c>
      <c r="Z8" s="149">
        <v>7.0000000000000007E-2</v>
      </c>
      <c r="AA8" s="149">
        <f t="shared" si="8"/>
        <v>19999.93</v>
      </c>
      <c r="AB8" s="131" t="s">
        <v>228</v>
      </c>
      <c r="AC8" s="178" t="s">
        <v>988</v>
      </c>
      <c r="AD8" s="342" t="s">
        <v>1404</v>
      </c>
      <c r="AE8" s="372">
        <v>45514</v>
      </c>
      <c r="AF8" s="372">
        <f t="shared" si="1"/>
        <v>45879</v>
      </c>
      <c r="AG8" s="151">
        <v>7.95</v>
      </c>
      <c r="AH8" s="151" t="s">
        <v>284</v>
      </c>
      <c r="AI8" s="140">
        <v>12</v>
      </c>
      <c r="AJ8" s="29">
        <v>-5.9999999999999997E-7</v>
      </c>
      <c r="AK8" s="29">
        <v>5.9999999999999997E-7</v>
      </c>
      <c r="AL8" s="29">
        <v>-1.1999999999999999E-6</v>
      </c>
      <c r="AO8">
        <v>1</v>
      </c>
    </row>
    <row r="9" spans="1:41" ht="15" customHeight="1">
      <c r="A9">
        <v>6</v>
      </c>
      <c r="B9" s="379" t="s">
        <v>292</v>
      </c>
      <c r="C9" s="313" t="s">
        <v>229</v>
      </c>
      <c r="D9" s="146" t="s">
        <v>153</v>
      </c>
      <c r="E9" s="380" t="s">
        <v>1122</v>
      </c>
      <c r="F9" s="147">
        <v>20</v>
      </c>
      <c r="G9" s="392" t="str">
        <f t="shared" si="0"/>
        <v>NO-20 ,mg-04</v>
      </c>
      <c r="H9" s="382">
        <v>5.0000000000000001E-4</v>
      </c>
      <c r="I9" s="483">
        <f t="shared" si="2"/>
        <v>19.999500000000001</v>
      </c>
      <c r="J9" s="148">
        <v>3.3E-3</v>
      </c>
      <c r="K9" s="148">
        <v>2</v>
      </c>
      <c r="L9" s="397">
        <f t="shared" si="3"/>
        <v>5.0210000000000001E-4</v>
      </c>
      <c r="M9" s="399">
        <f t="shared" si="4"/>
        <v>3.3E-3</v>
      </c>
      <c r="N9" s="29">
        <v>-2.0999999999999998E-6</v>
      </c>
      <c r="O9" s="147">
        <v>1.0000000000000001E-5</v>
      </c>
      <c r="P9" s="370">
        <f t="shared" si="5"/>
        <v>12</v>
      </c>
      <c r="Q9" s="366" t="s">
        <v>210</v>
      </c>
      <c r="R9" s="149">
        <v>20</v>
      </c>
      <c r="S9" s="149" t="str">
        <f t="shared" si="6"/>
        <v>20-05</v>
      </c>
      <c r="T9" s="149">
        <v>1.36E-4</v>
      </c>
      <c r="U9" s="149">
        <f t="shared" si="7"/>
        <v>19.999863999999999</v>
      </c>
      <c r="W9" s="150">
        <v>6</v>
      </c>
      <c r="X9" s="149" t="s">
        <v>219</v>
      </c>
      <c r="Y9" s="149">
        <v>20000</v>
      </c>
      <c r="Z9" s="149">
        <v>7.0000000000000007E-2</v>
      </c>
      <c r="AA9" s="149">
        <f t="shared" si="8"/>
        <v>19999.93</v>
      </c>
      <c r="AB9" s="131" t="s">
        <v>1016</v>
      </c>
      <c r="AC9" s="131" t="s">
        <v>1113</v>
      </c>
      <c r="AD9" s="342" t="s">
        <v>1537</v>
      </c>
      <c r="AE9" s="372">
        <v>45640</v>
      </c>
      <c r="AF9" s="372">
        <f t="shared" si="1"/>
        <v>46217</v>
      </c>
      <c r="AG9" s="151">
        <v>7.95</v>
      </c>
      <c r="AH9" s="152" t="s">
        <v>284</v>
      </c>
      <c r="AI9" s="140">
        <v>19</v>
      </c>
      <c r="AJ9" s="29">
        <v>-2.7999999999999999E-6</v>
      </c>
      <c r="AK9" s="29">
        <v>-4.3000000000000003E-6</v>
      </c>
      <c r="AL9" s="29">
        <v>4.0000000000000003E-7</v>
      </c>
      <c r="AM9" s="917"/>
      <c r="AO9">
        <v>2</v>
      </c>
    </row>
    <row r="10" spans="1:41" ht="15" customHeight="1">
      <c r="A10">
        <v>7</v>
      </c>
      <c r="B10" s="379" t="s">
        <v>292</v>
      </c>
      <c r="C10" s="313" t="s">
        <v>229</v>
      </c>
      <c r="D10" s="146" t="s">
        <v>152</v>
      </c>
      <c r="E10" s="380" t="s">
        <v>1122</v>
      </c>
      <c r="F10" s="147">
        <v>20</v>
      </c>
      <c r="G10" s="392" t="str">
        <f t="shared" si="0"/>
        <v>SI-20 ,mg-04</v>
      </c>
      <c r="H10" s="382">
        <v>4.4000000000000003E-3</v>
      </c>
      <c r="I10" s="483">
        <f t="shared" si="2"/>
        <v>19.9956</v>
      </c>
      <c r="J10" s="148">
        <v>3.3E-3</v>
      </c>
      <c r="K10" s="148">
        <v>2</v>
      </c>
      <c r="L10" s="397">
        <f t="shared" si="3"/>
        <v>4.4036000000000006E-3</v>
      </c>
      <c r="M10" s="399">
        <f t="shared" si="4"/>
        <v>3.3E-3</v>
      </c>
      <c r="N10" s="29">
        <v>-3.5999999999999998E-6</v>
      </c>
      <c r="O10" s="147">
        <v>1.0000000000000001E-5</v>
      </c>
      <c r="P10" s="370">
        <f t="shared" si="5"/>
        <v>12</v>
      </c>
      <c r="Q10" s="366" t="s">
        <v>210</v>
      </c>
      <c r="R10" s="149">
        <v>20</v>
      </c>
      <c r="S10" s="149" t="str">
        <f t="shared" si="6"/>
        <v>20-05</v>
      </c>
      <c r="T10" s="149">
        <v>3.1000000000000001E-5</v>
      </c>
      <c r="U10" s="149">
        <f t="shared" si="7"/>
        <v>19.999969</v>
      </c>
      <c r="W10" s="150">
        <v>7</v>
      </c>
      <c r="X10" s="149" t="s">
        <v>219</v>
      </c>
      <c r="Y10" s="149">
        <v>20000</v>
      </c>
      <c r="Z10" s="149">
        <v>7.0000000000000007E-2</v>
      </c>
      <c r="AA10" s="149">
        <f t="shared" si="8"/>
        <v>19999.93</v>
      </c>
      <c r="AB10" s="131" t="s">
        <v>992</v>
      </c>
      <c r="AC10" s="178" t="s">
        <v>300</v>
      </c>
      <c r="AD10" s="342" t="s">
        <v>1536</v>
      </c>
      <c r="AE10" s="372">
        <v>45625</v>
      </c>
      <c r="AF10" s="372">
        <f t="shared" si="1"/>
        <v>46202</v>
      </c>
      <c r="AG10" s="151">
        <v>7.95</v>
      </c>
      <c r="AH10" s="152" t="s">
        <v>284</v>
      </c>
      <c r="AI10" s="140">
        <v>19</v>
      </c>
      <c r="AJ10" s="29">
        <v>-6.4000000000000006E-6</v>
      </c>
      <c r="AK10" s="29">
        <v>-1.5E-6</v>
      </c>
      <c r="AL10" s="29">
        <v>-2.5999999999999997E-6</v>
      </c>
      <c r="AM10" s="917"/>
      <c r="AO10">
        <v>3</v>
      </c>
    </row>
    <row r="11" spans="1:41" ht="15" customHeight="1">
      <c r="A11">
        <v>8</v>
      </c>
      <c r="B11" s="379" t="s">
        <v>292</v>
      </c>
      <c r="C11" s="313" t="s">
        <v>229</v>
      </c>
      <c r="D11" s="146" t="s">
        <v>360</v>
      </c>
      <c r="E11" s="380" t="s">
        <v>1123</v>
      </c>
      <c r="F11" s="147">
        <v>50</v>
      </c>
      <c r="G11" s="392" t="str">
        <f t="shared" si="0"/>
        <v>N/A-50 ,mg-04</v>
      </c>
      <c r="H11" s="382">
        <v>2.2000000000000001E-3</v>
      </c>
      <c r="I11" s="483">
        <f t="shared" si="2"/>
        <v>49.997799999999998</v>
      </c>
      <c r="J11" s="148">
        <v>4.0000000000000001E-3</v>
      </c>
      <c r="K11" s="148">
        <v>2</v>
      </c>
      <c r="L11" s="397">
        <f t="shared" si="3"/>
        <v>2.1995000000000001E-3</v>
      </c>
      <c r="M11" s="399">
        <f t="shared" si="4"/>
        <v>4.0000000000000001E-3</v>
      </c>
      <c r="N11" s="29">
        <v>4.9999999999999998E-7</v>
      </c>
      <c r="O11" s="147">
        <v>1.2E-5</v>
      </c>
      <c r="P11" s="370">
        <f t="shared" si="5"/>
        <v>12</v>
      </c>
      <c r="Q11" s="366" t="s">
        <v>211</v>
      </c>
      <c r="R11" s="149">
        <v>50</v>
      </c>
      <c r="S11" s="149" t="str">
        <f t="shared" si="6"/>
        <v>50-05</v>
      </c>
      <c r="T11" s="149">
        <v>1.1E-4</v>
      </c>
      <c r="U11" s="149">
        <f t="shared" si="7"/>
        <v>49.999890000000001</v>
      </c>
      <c r="W11" s="150">
        <v>8</v>
      </c>
      <c r="X11" s="149" t="s">
        <v>219</v>
      </c>
      <c r="Y11" s="149">
        <v>20000</v>
      </c>
      <c r="Z11" s="149">
        <v>0.08</v>
      </c>
      <c r="AA11" s="149">
        <f t="shared" si="8"/>
        <v>19999.919999999998</v>
      </c>
      <c r="AB11" s="131" t="s">
        <v>1108</v>
      </c>
      <c r="AC11" s="131" t="s">
        <v>1113</v>
      </c>
      <c r="AD11" s="342" t="s">
        <v>1538</v>
      </c>
      <c r="AE11" s="372">
        <v>45640</v>
      </c>
      <c r="AF11" s="372">
        <f t="shared" si="1"/>
        <v>46217</v>
      </c>
      <c r="AG11" s="151">
        <v>7.95</v>
      </c>
      <c r="AH11" s="152" t="s">
        <v>284</v>
      </c>
      <c r="AI11" s="140">
        <v>19</v>
      </c>
      <c r="AJ11" s="29">
        <v>-2.3E-6</v>
      </c>
      <c r="AK11" s="29">
        <v>2.0000000000000002E-7</v>
      </c>
      <c r="AL11" s="29">
        <v>2.0000000000000002E-7</v>
      </c>
      <c r="AO11">
        <v>4</v>
      </c>
    </row>
    <row r="12" spans="1:41" ht="15" customHeight="1">
      <c r="A12">
        <v>9</v>
      </c>
      <c r="B12" s="379" t="s">
        <v>292</v>
      </c>
      <c r="C12" s="313" t="s">
        <v>229</v>
      </c>
      <c r="D12" s="146" t="s">
        <v>360</v>
      </c>
      <c r="E12" s="380" t="s">
        <v>1124</v>
      </c>
      <c r="F12" s="147">
        <v>100</v>
      </c>
      <c r="G12" s="392" t="str">
        <f t="shared" si="0"/>
        <v>N/A-100 ,mg-04</v>
      </c>
      <c r="H12" s="382">
        <v>-6.9999999999999999E-4</v>
      </c>
      <c r="I12" s="483">
        <f t="shared" si="2"/>
        <v>100.00069999999999</v>
      </c>
      <c r="J12" s="148">
        <v>5.3E-3</v>
      </c>
      <c r="K12" s="148">
        <v>2</v>
      </c>
      <c r="L12" s="397">
        <f t="shared" si="3"/>
        <v>7.0339999999999997E-4</v>
      </c>
      <c r="M12" s="399">
        <f t="shared" si="4"/>
        <v>5.3E-3</v>
      </c>
      <c r="N12" s="29">
        <v>3.3999999999999996E-6</v>
      </c>
      <c r="O12" s="147">
        <v>1.5999999999999999E-5</v>
      </c>
      <c r="P12" s="370">
        <f t="shared" si="5"/>
        <v>12</v>
      </c>
      <c r="Q12" s="366" t="s">
        <v>212</v>
      </c>
      <c r="R12" s="149">
        <v>100</v>
      </c>
      <c r="S12" s="149" t="str">
        <f t="shared" si="6"/>
        <v>100-05</v>
      </c>
      <c r="T12" s="149">
        <v>1.4999999999999999E-4</v>
      </c>
      <c r="U12" s="149">
        <f t="shared" si="7"/>
        <v>99.999849999999995</v>
      </c>
      <c r="W12" s="150">
        <v>9</v>
      </c>
      <c r="X12" s="149" t="s">
        <v>219</v>
      </c>
      <c r="Y12" s="149">
        <v>20000</v>
      </c>
      <c r="Z12" s="149">
        <v>7.0000000000000007E-2</v>
      </c>
      <c r="AA12" s="149">
        <f t="shared" si="8"/>
        <v>19999.93</v>
      </c>
      <c r="AB12" s="131" t="s">
        <v>1093</v>
      </c>
      <c r="AC12" s="131" t="s">
        <v>1211</v>
      </c>
      <c r="AD12" s="342" t="s">
        <v>1212</v>
      </c>
      <c r="AE12" s="372">
        <v>45012</v>
      </c>
      <c r="AF12" s="372">
        <f t="shared" si="1"/>
        <v>46261</v>
      </c>
      <c r="AG12" s="151">
        <v>7.95</v>
      </c>
      <c r="AH12" s="152" t="s">
        <v>284</v>
      </c>
      <c r="AI12" s="140">
        <v>41</v>
      </c>
      <c r="AJ12" s="29">
        <v>2.5999999999999997E-6</v>
      </c>
      <c r="AK12" s="29">
        <v>2.7E-6</v>
      </c>
      <c r="AL12" s="29">
        <v>4.9999999999999998E-7</v>
      </c>
      <c r="AO12">
        <v>5</v>
      </c>
    </row>
    <row r="13" spans="1:41" ht="15" customHeight="1">
      <c r="A13">
        <v>10</v>
      </c>
      <c r="B13" s="379" t="s">
        <v>292</v>
      </c>
      <c r="C13" s="313" t="s">
        <v>229</v>
      </c>
      <c r="D13" s="146" t="s">
        <v>153</v>
      </c>
      <c r="E13" s="380" t="s">
        <v>1125</v>
      </c>
      <c r="F13" s="147">
        <v>200</v>
      </c>
      <c r="G13" s="392" t="str">
        <f t="shared" si="0"/>
        <v>NO-200 ,mg-04</v>
      </c>
      <c r="H13" s="382">
        <v>-1.6999999999999999E-3</v>
      </c>
      <c r="I13" s="483">
        <f t="shared" si="2"/>
        <v>200.0017</v>
      </c>
      <c r="J13" s="148">
        <v>6.7000000000000002E-3</v>
      </c>
      <c r="K13" s="148">
        <v>2</v>
      </c>
      <c r="L13" s="397">
        <f t="shared" si="3"/>
        <v>1.702E-3</v>
      </c>
      <c r="M13" s="399">
        <f t="shared" si="4"/>
        <v>6.7000000000000002E-3</v>
      </c>
      <c r="N13" s="29">
        <v>1.9999999999999999E-6</v>
      </c>
      <c r="O13" s="147">
        <v>2.0000000000000002E-5</v>
      </c>
      <c r="P13" s="370">
        <f t="shared" si="5"/>
        <v>12</v>
      </c>
      <c r="Q13" s="366" t="s">
        <v>213</v>
      </c>
      <c r="R13" s="149">
        <v>200</v>
      </c>
      <c r="S13" s="149" t="str">
        <f t="shared" si="6"/>
        <v>200-05</v>
      </c>
      <c r="T13" s="149">
        <v>2.3000000000000001E-4</v>
      </c>
      <c r="U13" s="149">
        <f t="shared" si="7"/>
        <v>199.99977000000001</v>
      </c>
      <c r="W13" s="150">
        <v>10</v>
      </c>
      <c r="X13" s="149" t="s">
        <v>219</v>
      </c>
      <c r="Y13" s="149">
        <v>20000</v>
      </c>
      <c r="Z13" s="149">
        <v>7.0000000000000007E-2</v>
      </c>
      <c r="AA13" s="149">
        <f t="shared" si="8"/>
        <v>19999.93</v>
      </c>
      <c r="AB13" s="131" t="s">
        <v>1092</v>
      </c>
      <c r="AC13" s="131" t="s">
        <v>1405</v>
      </c>
      <c r="AD13" s="342" t="s">
        <v>1406</v>
      </c>
      <c r="AE13" s="372">
        <v>45518</v>
      </c>
      <c r="AF13" s="372">
        <f t="shared" si="1"/>
        <v>45791</v>
      </c>
      <c r="AG13" s="151">
        <v>7.95</v>
      </c>
      <c r="AH13" s="152" t="s">
        <v>292</v>
      </c>
      <c r="AI13" s="140">
        <v>9</v>
      </c>
      <c r="AJ13" s="29">
        <v>-1.1999999999999999E-6</v>
      </c>
      <c r="AK13" s="29">
        <v>-6.9999999999999997E-7</v>
      </c>
      <c r="AL13" s="29">
        <v>4.9999999999999998E-7</v>
      </c>
      <c r="AO13">
        <v>6</v>
      </c>
    </row>
    <row r="14" spans="1:41" ht="15" customHeight="1">
      <c r="A14">
        <v>11</v>
      </c>
      <c r="B14" s="379" t="s">
        <v>292</v>
      </c>
      <c r="C14" s="313" t="s">
        <v>229</v>
      </c>
      <c r="D14" s="146" t="s">
        <v>152</v>
      </c>
      <c r="E14" s="380" t="s">
        <v>1125</v>
      </c>
      <c r="F14" s="147">
        <v>200</v>
      </c>
      <c r="G14" s="392" t="str">
        <f t="shared" si="0"/>
        <v>SI-200 ,mg-04</v>
      </c>
      <c r="H14" s="382">
        <v>6.9999999999999999E-4</v>
      </c>
      <c r="I14" s="483">
        <f t="shared" si="2"/>
        <v>199.99930000000001</v>
      </c>
      <c r="J14" s="148">
        <v>6.7000000000000002E-3</v>
      </c>
      <c r="K14" s="148">
        <v>2</v>
      </c>
      <c r="L14" s="397">
        <f t="shared" si="3"/>
        <v>6.9979999999999999E-4</v>
      </c>
      <c r="M14" s="399">
        <f t="shared" si="4"/>
        <v>6.7000000000000002E-3</v>
      </c>
      <c r="N14" s="29">
        <v>2.0000000000000002E-7</v>
      </c>
      <c r="O14" s="147">
        <v>2.0000000000000002E-5</v>
      </c>
      <c r="P14" s="370">
        <f t="shared" si="5"/>
        <v>12</v>
      </c>
      <c r="Q14" s="366" t="s">
        <v>213</v>
      </c>
      <c r="R14" s="149">
        <v>200</v>
      </c>
      <c r="S14" s="149" t="str">
        <f t="shared" si="6"/>
        <v>200-05</v>
      </c>
      <c r="T14" s="149">
        <v>1.9000000000000001E-4</v>
      </c>
      <c r="U14" s="149">
        <f t="shared" si="7"/>
        <v>199.99981</v>
      </c>
      <c r="W14" s="150">
        <v>11</v>
      </c>
      <c r="X14" s="149" t="s">
        <v>219</v>
      </c>
      <c r="Y14" s="149">
        <v>20000</v>
      </c>
      <c r="Z14" s="149">
        <v>0.08</v>
      </c>
      <c r="AA14" s="149">
        <f t="shared" si="8"/>
        <v>19999.919999999998</v>
      </c>
      <c r="AB14" s="131" t="s">
        <v>1091</v>
      </c>
      <c r="AC14" s="131" t="s">
        <v>988</v>
      </c>
      <c r="AD14" s="342" t="s">
        <v>1356</v>
      </c>
      <c r="AE14" s="372">
        <v>45349</v>
      </c>
      <c r="AF14" s="372">
        <f t="shared" si="1"/>
        <v>45715</v>
      </c>
      <c r="AG14" s="151">
        <v>7.95</v>
      </c>
      <c r="AH14" s="152" t="s">
        <v>284</v>
      </c>
      <c r="AI14" s="140">
        <v>12</v>
      </c>
      <c r="AJ14" s="29">
        <v>-3.8E-6</v>
      </c>
      <c r="AK14" s="29">
        <v>1.7999999999999999E-6</v>
      </c>
      <c r="AL14" s="29">
        <v>5.4999999999999999E-6</v>
      </c>
      <c r="AO14">
        <v>7</v>
      </c>
    </row>
    <row r="15" spans="1:41" ht="15" customHeight="1">
      <c r="A15">
        <v>12</v>
      </c>
      <c r="B15" s="379" t="s">
        <v>292</v>
      </c>
      <c r="C15" s="313" t="s">
        <v>229</v>
      </c>
      <c r="D15" s="146" t="s">
        <v>360</v>
      </c>
      <c r="E15" s="380" t="s">
        <v>1126</v>
      </c>
      <c r="F15" s="147">
        <v>500</v>
      </c>
      <c r="G15" s="392" t="str">
        <f t="shared" si="0"/>
        <v>N/A-500 ,mg-04</v>
      </c>
      <c r="H15" s="382">
        <v>3.7000000000000002E-3</v>
      </c>
      <c r="I15" s="483">
        <f t="shared" si="2"/>
        <v>499.99630000000002</v>
      </c>
      <c r="J15" s="148">
        <v>8.3000000000000001E-3</v>
      </c>
      <c r="K15" s="148">
        <v>2</v>
      </c>
      <c r="L15" s="397">
        <f t="shared" si="3"/>
        <v>3.6985E-3</v>
      </c>
      <c r="M15" s="399">
        <f t="shared" si="4"/>
        <v>8.3000000000000001E-3</v>
      </c>
      <c r="N15" s="29">
        <v>1.5E-6</v>
      </c>
      <c r="O15" s="147">
        <v>2.5000000000000001E-5</v>
      </c>
      <c r="P15" s="370">
        <f t="shared" si="5"/>
        <v>12</v>
      </c>
      <c r="Q15" s="315" t="s">
        <v>214</v>
      </c>
      <c r="R15" s="29">
        <v>500</v>
      </c>
      <c r="S15" s="29" t="str">
        <f t="shared" si="6"/>
        <v>500-05</v>
      </c>
      <c r="T15" s="29">
        <v>1.41E-3</v>
      </c>
      <c r="U15" s="29">
        <f t="shared" si="7"/>
        <v>499.99858999999998</v>
      </c>
      <c r="V15"/>
      <c r="W15" s="316">
        <v>12</v>
      </c>
      <c r="X15" s="29" t="s">
        <v>219</v>
      </c>
      <c r="Y15" s="29">
        <v>20000</v>
      </c>
      <c r="Z15" s="29">
        <v>0.09</v>
      </c>
      <c r="AA15" s="29">
        <f t="shared" si="8"/>
        <v>19999.91</v>
      </c>
      <c r="AB15" s="131" t="s">
        <v>990</v>
      </c>
      <c r="AC15" s="131"/>
      <c r="AD15" s="342"/>
      <c r="AE15" s="372"/>
      <c r="AF15" s="372"/>
      <c r="AG15" s="152"/>
      <c r="AH15" s="152"/>
      <c r="AI15" s="140">
        <v>1</v>
      </c>
      <c r="AJ15" s="29">
        <v>-2.2000000000000001E-6</v>
      </c>
      <c r="AK15" s="29">
        <v>-6.9999999999999997E-7</v>
      </c>
      <c r="AL15" s="29">
        <v>-4.1999999999999996E-6</v>
      </c>
      <c r="AO15">
        <v>8</v>
      </c>
    </row>
    <row r="16" spans="1:41" ht="15" customHeight="1">
      <c r="A16">
        <v>13</v>
      </c>
      <c r="B16" s="379" t="s">
        <v>292</v>
      </c>
      <c r="C16" s="313" t="s">
        <v>229</v>
      </c>
      <c r="D16" s="146" t="s">
        <v>360</v>
      </c>
      <c r="E16" s="380" t="s">
        <v>1127</v>
      </c>
      <c r="F16" s="147">
        <v>1000</v>
      </c>
      <c r="G16" s="392" t="str">
        <f t="shared" si="0"/>
        <v>N/A-1000 ,mg-04</v>
      </c>
      <c r="H16" s="382">
        <v>-8.9999999999999993E-3</v>
      </c>
      <c r="I16" s="483">
        <f t="shared" si="2"/>
        <v>1000.009</v>
      </c>
      <c r="J16" s="148">
        <v>0.01</v>
      </c>
      <c r="K16" s="148">
        <v>2</v>
      </c>
      <c r="L16" s="397">
        <f t="shared" si="3"/>
        <v>9.0119999999999992E-3</v>
      </c>
      <c r="M16" s="399">
        <f t="shared" si="4"/>
        <v>0.01</v>
      </c>
      <c r="N16" s="29">
        <v>1.2E-5</v>
      </c>
      <c r="O16" s="147">
        <v>3.0000000000000001E-5</v>
      </c>
      <c r="P16" s="370">
        <f t="shared" si="5"/>
        <v>12</v>
      </c>
      <c r="Q16" s="366" t="s">
        <v>215</v>
      </c>
      <c r="R16" s="149">
        <v>1000</v>
      </c>
      <c r="S16" s="149" t="str">
        <f t="shared" si="6"/>
        <v>1000-05</v>
      </c>
      <c r="T16" s="149">
        <v>1E-3</v>
      </c>
      <c r="U16" s="149">
        <f t="shared" si="7"/>
        <v>999.99900000000002</v>
      </c>
      <c r="W16" s="150">
        <v>13</v>
      </c>
      <c r="X16" s="149" t="s">
        <v>219</v>
      </c>
      <c r="Y16" s="149">
        <v>20000</v>
      </c>
      <c r="Z16" s="149">
        <v>7.0000000000000007E-2</v>
      </c>
      <c r="AA16" s="149">
        <f t="shared" si="8"/>
        <v>19999.93</v>
      </c>
      <c r="AB16" s="131" t="s">
        <v>1207</v>
      </c>
      <c r="AC16" s="131" t="s">
        <v>988</v>
      </c>
      <c r="AD16" s="342" t="s">
        <v>1478</v>
      </c>
      <c r="AE16" s="372">
        <v>45549</v>
      </c>
      <c r="AF16" s="372">
        <f>EDATE(AE16,(AI16))</f>
        <v>45914</v>
      </c>
      <c r="AG16" s="151">
        <v>7.95</v>
      </c>
      <c r="AH16" s="152" t="s">
        <v>284</v>
      </c>
      <c r="AI16" s="140">
        <v>12</v>
      </c>
      <c r="AJ16" s="29">
        <v>-2.1000000000000002E-5</v>
      </c>
      <c r="AK16" s="29">
        <v>-2.4000000000000001E-5</v>
      </c>
      <c r="AL16" s="29">
        <v>1.2999999999999999E-5</v>
      </c>
      <c r="AO16">
        <v>9</v>
      </c>
    </row>
    <row r="17" spans="1:41" ht="15" customHeight="1">
      <c r="A17">
        <v>14</v>
      </c>
      <c r="B17" s="379" t="s">
        <v>292</v>
      </c>
      <c r="C17" s="313" t="s">
        <v>229</v>
      </c>
      <c r="D17" s="146" t="s">
        <v>153</v>
      </c>
      <c r="E17" s="380" t="s">
        <v>1128</v>
      </c>
      <c r="F17" s="147">
        <v>2000</v>
      </c>
      <c r="G17" s="392" t="str">
        <f t="shared" si="0"/>
        <v>NO-2000 ,mg-04</v>
      </c>
      <c r="H17" s="382">
        <v>-4.0000000000000001E-3</v>
      </c>
      <c r="I17" s="483">
        <f t="shared" si="2"/>
        <v>2000.0039999999999</v>
      </c>
      <c r="J17" s="148">
        <v>1.2999999999999999E-2</v>
      </c>
      <c r="K17" s="148">
        <v>2</v>
      </c>
      <c r="L17" s="397">
        <f t="shared" si="3"/>
        <v>4.0006E-3</v>
      </c>
      <c r="M17" s="399">
        <f t="shared" si="4"/>
        <v>1.2999999999999999E-2</v>
      </c>
      <c r="N17" s="29">
        <v>5.9999999999999997E-7</v>
      </c>
      <c r="O17" s="147">
        <v>4.0000000000000003E-5</v>
      </c>
      <c r="P17" s="370">
        <f t="shared" si="5"/>
        <v>12</v>
      </c>
      <c r="Q17" s="366" t="s">
        <v>216</v>
      </c>
      <c r="R17" s="149">
        <v>2000</v>
      </c>
      <c r="S17" s="149" t="str">
        <f t="shared" si="6"/>
        <v>2000-05</v>
      </c>
      <c r="T17" s="149">
        <v>6.9999999999999999E-4</v>
      </c>
      <c r="U17" s="149">
        <f t="shared" si="7"/>
        <v>1999.9992999999999</v>
      </c>
      <c r="W17" s="150">
        <v>14</v>
      </c>
      <c r="X17" s="149" t="s">
        <v>219</v>
      </c>
      <c r="Y17" s="149">
        <v>20000</v>
      </c>
      <c r="Z17" s="149">
        <v>7.0000000000000007E-2</v>
      </c>
      <c r="AA17" s="149">
        <f t="shared" si="8"/>
        <v>19999.93</v>
      </c>
      <c r="AB17" s="131" t="s">
        <v>1213</v>
      </c>
      <c r="AC17" s="131" t="s">
        <v>1214</v>
      </c>
      <c r="AD17" s="131" t="s">
        <v>1357</v>
      </c>
      <c r="AE17" s="372" t="s">
        <v>1358</v>
      </c>
      <c r="AF17" s="372" t="s">
        <v>1359</v>
      </c>
      <c r="AG17" s="131"/>
      <c r="AH17" s="131"/>
      <c r="AI17" s="140">
        <v>24</v>
      </c>
      <c r="AJ17" s="29">
        <v>8.9999999999999985E-6</v>
      </c>
      <c r="AK17" s="29">
        <v>-5.0000000000000004E-6</v>
      </c>
      <c r="AL17" s="29">
        <v>6.0000000000000002E-6</v>
      </c>
      <c r="AO17">
        <v>10</v>
      </c>
    </row>
    <row r="18" spans="1:41" ht="15" customHeight="1">
      <c r="A18">
        <v>15</v>
      </c>
      <c r="B18" s="379" t="s">
        <v>292</v>
      </c>
      <c r="C18" s="313" t="s">
        <v>229</v>
      </c>
      <c r="D18" s="146" t="s">
        <v>152</v>
      </c>
      <c r="E18" s="380" t="s">
        <v>1128</v>
      </c>
      <c r="F18" s="147">
        <v>2000</v>
      </c>
      <c r="G18" s="392" t="str">
        <f t="shared" si="0"/>
        <v>SI-2000 ,mg-04</v>
      </c>
      <c r="H18" s="382">
        <v>0.01</v>
      </c>
      <c r="I18" s="483">
        <f t="shared" si="2"/>
        <v>1999.99</v>
      </c>
      <c r="J18" s="148">
        <v>1.2999999999999999E-2</v>
      </c>
      <c r="K18" s="148">
        <v>2</v>
      </c>
      <c r="L18" s="397">
        <f t="shared" si="3"/>
        <v>1.0005E-2</v>
      </c>
      <c r="M18" s="399">
        <f t="shared" si="4"/>
        <v>1.2999999999999999E-2</v>
      </c>
      <c r="N18" s="29">
        <v>-5.0000000000000004E-6</v>
      </c>
      <c r="O18" s="147">
        <v>4.0000000000000003E-5</v>
      </c>
      <c r="P18" s="370">
        <f t="shared" si="5"/>
        <v>12</v>
      </c>
      <c r="Q18" s="366" t="s">
        <v>216</v>
      </c>
      <c r="R18" s="149">
        <v>2000</v>
      </c>
      <c r="S18" s="149" t="str">
        <f t="shared" si="6"/>
        <v>2000-05</v>
      </c>
      <c r="T18" s="149">
        <v>1E-3</v>
      </c>
      <c r="U18" s="149">
        <f t="shared" si="7"/>
        <v>1999.999</v>
      </c>
      <c r="W18" s="150">
        <v>15</v>
      </c>
      <c r="X18" s="149" t="s">
        <v>219</v>
      </c>
      <c r="Y18" s="149">
        <v>20000</v>
      </c>
      <c r="Z18" s="149">
        <v>7.0000000000000007E-2</v>
      </c>
      <c r="AA18" s="149">
        <f t="shared" si="8"/>
        <v>19999.93</v>
      </c>
      <c r="AB18" s="131"/>
      <c r="AC18" s="131"/>
      <c r="AD18" s="342"/>
      <c r="AE18" s="372"/>
      <c r="AF18" s="372"/>
      <c r="AG18" s="151"/>
      <c r="AH18" s="152"/>
      <c r="AI18" s="140"/>
      <c r="AJ18" s="29">
        <v>-3.9999999999999998E-6</v>
      </c>
      <c r="AK18" s="29">
        <v>6.9999999999999999E-6</v>
      </c>
      <c r="AL18" s="29">
        <v>-8.9999999999999985E-6</v>
      </c>
      <c r="AO18">
        <v>11</v>
      </c>
    </row>
    <row r="19" spans="1:41" ht="15" customHeight="1">
      <c r="A19">
        <v>16</v>
      </c>
      <c r="B19" s="379" t="s">
        <v>292</v>
      </c>
      <c r="C19" s="313" t="s">
        <v>229</v>
      </c>
      <c r="D19" s="146" t="s">
        <v>360</v>
      </c>
      <c r="E19" s="380" t="s">
        <v>1129</v>
      </c>
      <c r="F19" s="147">
        <v>5000</v>
      </c>
      <c r="G19" s="392" t="str">
        <f t="shared" si="0"/>
        <v>N/A-5000 ,mg-04</v>
      </c>
      <c r="H19" s="382">
        <v>1.2E-2</v>
      </c>
      <c r="I19" s="483">
        <f t="shared" si="2"/>
        <v>4999.9880000000003</v>
      </c>
      <c r="J19" s="148">
        <v>1.7000000000000001E-2</v>
      </c>
      <c r="K19" s="148">
        <v>2</v>
      </c>
      <c r="L19" s="397">
        <f t="shared" si="3"/>
        <v>1.2007E-2</v>
      </c>
      <c r="M19" s="399">
        <f t="shared" si="4"/>
        <v>1.7000000000000001E-2</v>
      </c>
      <c r="N19" s="29">
        <v>-6.9999999999999999E-6</v>
      </c>
      <c r="O19" s="147">
        <v>5.0000000000000002E-5</v>
      </c>
      <c r="P19" s="370">
        <f t="shared" si="5"/>
        <v>12</v>
      </c>
      <c r="Q19" s="366" t="s">
        <v>217</v>
      </c>
      <c r="R19" s="149">
        <v>5000</v>
      </c>
      <c r="S19" s="149" t="str">
        <f t="shared" si="6"/>
        <v>5000-05</v>
      </c>
      <c r="T19" s="149">
        <v>1.11E-2</v>
      </c>
      <c r="U19" s="149">
        <f t="shared" si="7"/>
        <v>4999.9889000000003</v>
      </c>
      <c r="W19" s="150">
        <v>16</v>
      </c>
      <c r="X19" s="149" t="s">
        <v>219</v>
      </c>
      <c r="Y19" s="149">
        <v>20000</v>
      </c>
      <c r="Z19" s="149">
        <v>7.0000000000000007E-2</v>
      </c>
      <c r="AA19" s="149">
        <f t="shared" si="8"/>
        <v>19999.93</v>
      </c>
      <c r="AB19" s="131"/>
      <c r="AC19" s="131"/>
      <c r="AD19" s="131"/>
      <c r="AE19" s="372"/>
      <c r="AF19" s="372"/>
      <c r="AG19" s="131"/>
      <c r="AH19" s="131"/>
      <c r="AJ19" s="29">
        <v>9.9999999999999995E-7</v>
      </c>
      <c r="AK19" s="29">
        <v>1.0000000000000001E-5</v>
      </c>
      <c r="AL19" s="29">
        <v>3.0000000000000001E-6</v>
      </c>
      <c r="AO19">
        <v>12</v>
      </c>
    </row>
    <row r="20" spans="1:41" ht="15" customHeight="1">
      <c r="A20">
        <v>17</v>
      </c>
      <c r="B20" s="379" t="s">
        <v>292</v>
      </c>
      <c r="C20" s="313" t="s">
        <v>229</v>
      </c>
      <c r="D20" s="146" t="s">
        <v>360</v>
      </c>
      <c r="E20" s="380" t="s">
        <v>1130</v>
      </c>
      <c r="F20" s="147">
        <v>10000</v>
      </c>
      <c r="G20" s="392" t="str">
        <f t="shared" si="0"/>
        <v>N/A-10000 ,mg-04</v>
      </c>
      <c r="H20" s="382">
        <v>-0.02</v>
      </c>
      <c r="I20" s="483">
        <f t="shared" si="2"/>
        <v>10000.02</v>
      </c>
      <c r="J20" s="148">
        <v>0.02</v>
      </c>
      <c r="K20" s="148">
        <v>2</v>
      </c>
      <c r="L20" s="397">
        <f t="shared" si="3"/>
        <v>2.0027E-2</v>
      </c>
      <c r="M20" s="399">
        <f t="shared" si="4"/>
        <v>0.02</v>
      </c>
      <c r="N20" s="29">
        <v>2.6999999999999999E-5</v>
      </c>
      <c r="O20" s="147">
        <v>6.0000000000000002E-5</v>
      </c>
      <c r="P20" s="370">
        <f t="shared" si="5"/>
        <v>12</v>
      </c>
      <c r="Q20" s="366" t="s">
        <v>231</v>
      </c>
      <c r="R20" s="149">
        <v>110</v>
      </c>
      <c r="S20" s="149" t="str">
        <f t="shared" si="6"/>
        <v>110-05</v>
      </c>
      <c r="T20" s="153">
        <f>T8</f>
        <v>1.9999999999999999E-6</v>
      </c>
      <c r="U20" s="153">
        <f>U8</f>
        <v>9.9999979999999997</v>
      </c>
      <c r="W20" s="150">
        <v>17</v>
      </c>
      <c r="X20" s="149" t="s">
        <v>219</v>
      </c>
      <c r="Y20" s="149">
        <v>20000</v>
      </c>
      <c r="Z20" s="149">
        <v>7.0000000000000007E-2</v>
      </c>
      <c r="AA20" s="149">
        <f t="shared" si="8"/>
        <v>19999.93</v>
      </c>
      <c r="AB20" s="131"/>
      <c r="AC20" s="131"/>
      <c r="AD20" s="131"/>
      <c r="AE20" s="372"/>
      <c r="AF20" s="372"/>
      <c r="AG20" s="131"/>
      <c r="AH20" s="131"/>
      <c r="AJ20" s="29">
        <v>3.1000000000000001E-5</v>
      </c>
      <c r="AK20" s="29">
        <v>1.9000000000000001E-5</v>
      </c>
      <c r="AL20" s="29">
        <v>2.0000000000000002E-5</v>
      </c>
      <c r="AO20">
        <v>13</v>
      </c>
    </row>
    <row r="21" spans="1:41" ht="15" customHeight="1">
      <c r="A21">
        <v>18</v>
      </c>
      <c r="B21" s="379" t="s">
        <v>292</v>
      </c>
      <c r="C21" s="313" t="s">
        <v>229</v>
      </c>
      <c r="D21" s="146" t="s">
        <v>153</v>
      </c>
      <c r="E21" s="380" t="s">
        <v>1131</v>
      </c>
      <c r="F21" s="147">
        <v>20000</v>
      </c>
      <c r="G21" s="392" t="str">
        <f t="shared" si="0"/>
        <v>NO-20000 ,mg-04</v>
      </c>
      <c r="H21" s="382">
        <v>-0.01</v>
      </c>
      <c r="I21" s="483">
        <f t="shared" si="2"/>
        <v>20000.009999999998</v>
      </c>
      <c r="J21" s="148">
        <v>2.7E-2</v>
      </c>
      <c r="K21" s="148">
        <v>2</v>
      </c>
      <c r="L21" s="397">
        <f t="shared" si="3"/>
        <v>1.0018000000000001E-2</v>
      </c>
      <c r="M21" s="399">
        <f t="shared" si="4"/>
        <v>2.7E-2</v>
      </c>
      <c r="N21" s="29">
        <v>1.7999999999999997E-5</v>
      </c>
      <c r="O21" s="147">
        <v>8.0000000000000007E-5</v>
      </c>
      <c r="P21" s="370">
        <f t="shared" si="5"/>
        <v>12</v>
      </c>
      <c r="Q21" s="366" t="s">
        <v>232</v>
      </c>
      <c r="R21" s="149">
        <v>120</v>
      </c>
      <c r="S21" s="149" t="str">
        <f t="shared" si="6"/>
        <v>120-05</v>
      </c>
      <c r="T21" s="153">
        <f>T12+T10</f>
        <v>1.8099999999999998E-4</v>
      </c>
      <c r="U21" s="153">
        <f>U12+U10</f>
        <v>119.999819</v>
      </c>
      <c r="W21" s="150">
        <v>18</v>
      </c>
      <c r="X21" s="149" t="s">
        <v>219</v>
      </c>
      <c r="Y21" s="149">
        <v>20000</v>
      </c>
      <c r="Z21" s="149">
        <v>0.08</v>
      </c>
      <c r="AA21" s="149">
        <f t="shared" si="8"/>
        <v>19999.919999999998</v>
      </c>
      <c r="AB21" s="131"/>
      <c r="AC21" s="131"/>
      <c r="AD21" s="131"/>
      <c r="AE21" s="372"/>
      <c r="AF21" s="372"/>
      <c r="AG21" s="131"/>
      <c r="AH21" s="131"/>
      <c r="AJ21" s="29">
        <v>2.8E-5</v>
      </c>
      <c r="AK21" s="29">
        <v>1.4999999999999999E-5</v>
      </c>
      <c r="AL21" s="29">
        <v>1.4999999999999999E-5</v>
      </c>
      <c r="AO21">
        <v>14</v>
      </c>
    </row>
    <row r="22" spans="1:41" ht="15" customHeight="1">
      <c r="A22">
        <v>19</v>
      </c>
      <c r="B22" s="379" t="s">
        <v>292</v>
      </c>
      <c r="C22" s="313" t="s">
        <v>229</v>
      </c>
      <c r="D22" s="146" t="s">
        <v>152</v>
      </c>
      <c r="E22" s="380" t="s">
        <v>1131</v>
      </c>
      <c r="F22" s="147">
        <v>20000</v>
      </c>
      <c r="G22" s="392" t="str">
        <f t="shared" si="0"/>
        <v>SI-20000 ,mg-04</v>
      </c>
      <c r="H22" s="382">
        <v>-4.0000000000000001E-3</v>
      </c>
      <c r="I22" s="483">
        <f t="shared" si="2"/>
        <v>20000.004000000001</v>
      </c>
      <c r="J22" s="148">
        <v>2.7E-2</v>
      </c>
      <c r="K22" s="148">
        <v>2</v>
      </c>
      <c r="L22" s="397">
        <f t="shared" si="3"/>
        <v>4.0030000000000005E-3</v>
      </c>
      <c r="M22" s="399">
        <f t="shared" si="4"/>
        <v>2.7E-2</v>
      </c>
      <c r="N22" s="29">
        <v>3.0000000000000001E-6</v>
      </c>
      <c r="O22" s="147">
        <v>8.0000000000000007E-5</v>
      </c>
      <c r="P22" s="370">
        <f t="shared" si="5"/>
        <v>12</v>
      </c>
      <c r="Q22" s="366" t="s">
        <v>233</v>
      </c>
      <c r="R22" s="149">
        <v>130</v>
      </c>
      <c r="S22" s="149" t="str">
        <f t="shared" si="6"/>
        <v>130-05</v>
      </c>
      <c r="T22" s="141">
        <f>T12+T9+T8</f>
        <v>2.8800000000000001E-4</v>
      </c>
      <c r="U22" s="141">
        <f>U12+U9+U8</f>
        <v>129.99971199999999</v>
      </c>
      <c r="W22" s="150">
        <v>19</v>
      </c>
      <c r="X22" s="149" t="s">
        <v>219</v>
      </c>
      <c r="Y22" s="149">
        <v>20000</v>
      </c>
      <c r="Z22" s="149">
        <v>7.0000000000000007E-2</v>
      </c>
      <c r="AA22" s="149">
        <f t="shared" si="8"/>
        <v>19999.93</v>
      </c>
      <c r="AB22" s="131"/>
      <c r="AC22" s="131"/>
      <c r="AD22" s="131"/>
      <c r="AE22" s="372"/>
      <c r="AF22" s="372"/>
      <c r="AG22" s="131"/>
      <c r="AH22" s="131"/>
      <c r="AJ22" s="29">
        <v>2.5000000000000001E-5</v>
      </c>
      <c r="AK22" s="29">
        <v>2.5000000000000001E-5</v>
      </c>
      <c r="AL22" s="29">
        <v>1.0000000000000001E-5</v>
      </c>
      <c r="AO22">
        <v>15</v>
      </c>
    </row>
    <row r="23" spans="1:41" ht="15" customHeight="1">
      <c r="A23">
        <v>20</v>
      </c>
      <c r="B23" s="379" t="s">
        <v>292</v>
      </c>
      <c r="C23" s="313" t="s">
        <v>229</v>
      </c>
      <c r="D23" s="146" t="s">
        <v>360</v>
      </c>
      <c r="E23" s="380" t="s">
        <v>1132</v>
      </c>
      <c r="F23" s="147">
        <v>50000</v>
      </c>
      <c r="G23" s="392" t="str">
        <f t="shared" si="0"/>
        <v>N/A-50000 ,mg-04</v>
      </c>
      <c r="H23" s="511">
        <v>-4.4999999999999998E-2</v>
      </c>
      <c r="I23" s="483">
        <f t="shared" si="2"/>
        <v>50000.044999999998</v>
      </c>
      <c r="J23" s="148">
        <v>3.3000000000000002E-2</v>
      </c>
      <c r="K23" s="148">
        <v>2</v>
      </c>
      <c r="L23" s="397">
        <f t="shared" si="3"/>
        <v>4.4953E-2</v>
      </c>
      <c r="M23" s="399">
        <f t="shared" si="4"/>
        <v>3.3000000000000002E-2</v>
      </c>
      <c r="N23" s="29">
        <v>-4.6999999999999997E-5</v>
      </c>
      <c r="O23" s="147">
        <v>1E-4</v>
      </c>
      <c r="P23" s="370">
        <f t="shared" si="5"/>
        <v>12</v>
      </c>
      <c r="Q23" s="366" t="s">
        <v>234</v>
      </c>
      <c r="R23" s="149">
        <v>140</v>
      </c>
      <c r="S23" s="149" t="str">
        <f t="shared" si="6"/>
        <v>140-05</v>
      </c>
      <c r="T23" s="141">
        <f>T12+T9+T10</f>
        <v>3.1700000000000001E-4</v>
      </c>
      <c r="U23" s="141">
        <f>U12+U9+U10</f>
        <v>139.999683</v>
      </c>
      <c r="W23" s="150">
        <v>20</v>
      </c>
      <c r="X23" s="149" t="s">
        <v>219</v>
      </c>
      <c r="Y23" s="149">
        <v>20000</v>
      </c>
      <c r="Z23" s="149">
        <v>0.09</v>
      </c>
      <c r="AA23" s="149">
        <f t="shared" si="8"/>
        <v>19999.91</v>
      </c>
      <c r="AB23" s="131"/>
      <c r="AC23" s="131"/>
      <c r="AD23" s="131"/>
      <c r="AE23" s="372"/>
      <c r="AF23" s="372"/>
      <c r="AG23" s="131"/>
      <c r="AH23" s="131"/>
      <c r="AJ23" s="29">
        <v>-2.0000000000000002E-5</v>
      </c>
      <c r="AK23" s="29">
        <v>-4.2000000000000004E-5</v>
      </c>
      <c r="AL23" s="29">
        <v>-3.5999999999999994E-5</v>
      </c>
      <c r="AO23">
        <v>16</v>
      </c>
    </row>
    <row r="24" spans="1:41" ht="15" customHeight="1">
      <c r="A24">
        <v>21</v>
      </c>
      <c r="B24" s="379" t="s">
        <v>292</v>
      </c>
      <c r="C24" s="313" t="s">
        <v>229</v>
      </c>
      <c r="D24" s="146" t="s">
        <v>360</v>
      </c>
      <c r="E24" s="380" t="s">
        <v>1133</v>
      </c>
      <c r="F24" s="147">
        <v>100000</v>
      </c>
      <c r="G24" s="392" t="str">
        <f t="shared" si="0"/>
        <v>N/A-100000 ,mg-04</v>
      </c>
      <c r="H24" s="382">
        <v>-2.4E-2</v>
      </c>
      <c r="I24" s="483">
        <f t="shared" si="2"/>
        <v>100000.024</v>
      </c>
      <c r="J24" s="148">
        <v>5.2999999999999999E-2</v>
      </c>
      <c r="K24" s="148">
        <v>2</v>
      </c>
      <c r="L24" s="397">
        <f t="shared" si="3"/>
        <v>2.3904000000000002E-2</v>
      </c>
      <c r="M24" s="399">
        <f t="shared" si="4"/>
        <v>5.2999999999999999E-2</v>
      </c>
      <c r="N24" s="29">
        <v>-9.6000000000000002E-5</v>
      </c>
      <c r="O24" s="147">
        <v>1.6000000000000001E-4</v>
      </c>
      <c r="P24" s="370">
        <f t="shared" si="5"/>
        <v>12</v>
      </c>
      <c r="Q24" s="366" t="s">
        <v>235</v>
      </c>
      <c r="R24" s="149">
        <v>150</v>
      </c>
      <c r="S24" s="149" t="str">
        <f t="shared" si="6"/>
        <v>150-05</v>
      </c>
      <c r="T24" s="141">
        <f>T12+T11</f>
        <v>2.5999999999999998E-4</v>
      </c>
      <c r="U24" s="141">
        <f>U12+U11</f>
        <v>149.99974</v>
      </c>
      <c r="W24" s="150">
        <v>21</v>
      </c>
      <c r="X24" s="149" t="s">
        <v>219</v>
      </c>
      <c r="Y24" s="149">
        <v>20000</v>
      </c>
      <c r="Z24" s="149">
        <v>0.09</v>
      </c>
      <c r="AA24" s="149">
        <f t="shared" si="8"/>
        <v>19999.91</v>
      </c>
      <c r="AB24" s="131"/>
      <c r="AC24" s="131"/>
      <c r="AD24" s="131"/>
      <c r="AE24" s="372"/>
      <c r="AF24" s="372"/>
      <c r="AG24" s="131"/>
      <c r="AH24" s="131"/>
      <c r="AJ24" s="29">
        <v>-2.5000000000000001E-5</v>
      </c>
      <c r="AK24" s="29">
        <v>-9.2999999999999997E-5</v>
      </c>
      <c r="AL24" s="29">
        <v>-9.5000000000000005E-5</v>
      </c>
      <c r="AO24">
        <v>17</v>
      </c>
    </row>
    <row r="25" spans="1:41" ht="15" customHeight="1">
      <c r="A25">
        <v>22</v>
      </c>
      <c r="B25" s="379" t="s">
        <v>292</v>
      </c>
      <c r="C25" s="313" t="s">
        <v>229</v>
      </c>
      <c r="D25" s="146" t="s">
        <v>153</v>
      </c>
      <c r="E25" s="380" t="s">
        <v>1134</v>
      </c>
      <c r="F25" s="147">
        <v>200000</v>
      </c>
      <c r="G25" s="392" t="str">
        <f t="shared" si="0"/>
        <v>NO-200000 ,mg-04</v>
      </c>
      <c r="H25" s="382">
        <v>0.17</v>
      </c>
      <c r="I25" s="483">
        <f t="shared" si="2"/>
        <v>199999.83</v>
      </c>
      <c r="J25" s="148">
        <v>0.1</v>
      </c>
      <c r="K25" s="148">
        <v>2</v>
      </c>
      <c r="L25" s="397">
        <f t="shared" si="3"/>
        <v>0.17015000000000002</v>
      </c>
      <c r="M25" s="399">
        <f t="shared" si="4"/>
        <v>0.1</v>
      </c>
      <c r="N25" s="29">
        <v>-1.4999999999999999E-4</v>
      </c>
      <c r="O25" s="147">
        <v>2.9999999999999997E-4</v>
      </c>
      <c r="P25" s="370">
        <f t="shared" si="5"/>
        <v>12</v>
      </c>
      <c r="Q25" s="366" t="s">
        <v>236</v>
      </c>
      <c r="R25" s="149">
        <v>160</v>
      </c>
      <c r="S25" s="149" t="str">
        <f t="shared" si="6"/>
        <v>160-05</v>
      </c>
      <c r="T25" s="141">
        <f>T12+T11+T8</f>
        <v>2.6199999999999997E-4</v>
      </c>
      <c r="U25" s="141">
        <f>U12+U11+U8</f>
        <v>159.99973800000001</v>
      </c>
      <c r="W25" s="150">
        <v>22</v>
      </c>
      <c r="X25" s="149" t="s">
        <v>219</v>
      </c>
      <c r="Y25" s="149">
        <v>20000</v>
      </c>
      <c r="Z25" s="149">
        <v>7.0000000000000007E-2</v>
      </c>
      <c r="AA25" s="149">
        <f t="shared" si="8"/>
        <v>19999.93</v>
      </c>
      <c r="AB25" s="131"/>
      <c r="AC25" s="131"/>
      <c r="AD25" s="131"/>
      <c r="AE25" s="372"/>
      <c r="AF25" s="372"/>
      <c r="AG25" s="131"/>
      <c r="AH25" s="131"/>
      <c r="AJ25" s="29">
        <v>-7.0000000000000007E-5</v>
      </c>
      <c r="AK25" s="29">
        <v>-1.4000000000000001E-4</v>
      </c>
      <c r="AL25" s="29">
        <v>-1.7999999999999998E-4</v>
      </c>
      <c r="AO25">
        <v>18</v>
      </c>
    </row>
    <row r="26" spans="1:41" ht="15" customHeight="1">
      <c r="A26">
        <v>23</v>
      </c>
      <c r="B26" s="379" t="s">
        <v>292</v>
      </c>
      <c r="C26" s="313" t="s">
        <v>229</v>
      </c>
      <c r="D26" s="146" t="s">
        <v>152</v>
      </c>
      <c r="E26" s="380" t="s">
        <v>1134</v>
      </c>
      <c r="F26" s="147">
        <v>200000</v>
      </c>
      <c r="G26" s="392" t="str">
        <f t="shared" si="0"/>
        <v>SI-200000 ,mg-04</v>
      </c>
      <c r="H26" s="382">
        <v>0.18</v>
      </c>
      <c r="I26" s="483">
        <f t="shared" si="2"/>
        <v>199999.82</v>
      </c>
      <c r="J26" s="148">
        <v>0.1</v>
      </c>
      <c r="K26" s="148">
        <v>2</v>
      </c>
      <c r="L26" s="397">
        <f t="shared" si="3"/>
        <v>0.18009</v>
      </c>
      <c r="M26" s="399">
        <f t="shared" si="4"/>
        <v>0.1</v>
      </c>
      <c r="N26" s="29">
        <v>-8.9999999999999992E-5</v>
      </c>
      <c r="O26" s="147">
        <v>2.9999999999999997E-4</v>
      </c>
      <c r="P26" s="370">
        <f t="shared" si="5"/>
        <v>12</v>
      </c>
      <c r="Q26" s="366" t="s">
        <v>237</v>
      </c>
      <c r="R26" s="149">
        <v>170</v>
      </c>
      <c r="S26" s="149" t="str">
        <f t="shared" si="6"/>
        <v>170-05</v>
      </c>
      <c r="T26" s="141">
        <f>T12+T11+T10</f>
        <v>2.9099999999999997E-4</v>
      </c>
      <c r="U26" s="141">
        <f>U12+U11+U10</f>
        <v>169.999709</v>
      </c>
      <c r="W26" s="150">
        <v>23</v>
      </c>
      <c r="X26" s="149" t="s">
        <v>219</v>
      </c>
      <c r="Y26" s="149">
        <v>20000</v>
      </c>
      <c r="Z26" s="149">
        <v>7.0000000000000007E-2</v>
      </c>
      <c r="AA26" s="149">
        <f t="shared" si="8"/>
        <v>19999.93</v>
      </c>
      <c r="AB26" t="s">
        <v>152</v>
      </c>
      <c r="AJ26" s="29">
        <v>-5.0000000000000002E-5</v>
      </c>
      <c r="AK26" s="29">
        <v>-1.1E-4</v>
      </c>
      <c r="AL26" s="29">
        <v>-1.7999999999999998E-4</v>
      </c>
      <c r="AO26">
        <v>19</v>
      </c>
    </row>
    <row r="27" spans="1:41" ht="15" customHeight="1">
      <c r="A27">
        <v>1</v>
      </c>
      <c r="B27" s="379" t="s">
        <v>292</v>
      </c>
      <c r="C27" s="313" t="s">
        <v>229</v>
      </c>
      <c r="D27" s="146" t="s">
        <v>360</v>
      </c>
      <c r="E27" s="380" t="s">
        <v>1157</v>
      </c>
      <c r="F27" s="147">
        <v>1E-3</v>
      </c>
      <c r="G27" s="392" t="str">
        <f t="shared" si="0"/>
        <v>N/A-0,001 ,g-04</v>
      </c>
      <c r="H27" s="383">
        <v>3.4999999999999999E-6</v>
      </c>
      <c r="I27" s="483">
        <f t="shared" si="2"/>
        <v>9.9649999999999999E-4</v>
      </c>
      <c r="J27" s="148">
        <v>1.9999999999999999E-6</v>
      </c>
      <c r="K27" s="148">
        <v>2</v>
      </c>
      <c r="L27" s="397">
        <f t="shared" si="3"/>
        <v>9.5000000000000005E-6</v>
      </c>
      <c r="M27" s="399">
        <f t="shared" si="4"/>
        <v>1.9999999999999999E-6</v>
      </c>
      <c r="N27" s="29">
        <v>-6.0000000000000002E-6</v>
      </c>
      <c r="O27" s="148">
        <v>1E-4</v>
      </c>
      <c r="P27" s="370">
        <f t="shared" si="5"/>
        <v>12</v>
      </c>
      <c r="Q27" s="366" t="s">
        <v>238</v>
      </c>
      <c r="R27" s="149">
        <v>180</v>
      </c>
      <c r="S27" s="149" t="str">
        <f t="shared" si="6"/>
        <v>180-05</v>
      </c>
      <c r="T27" s="141">
        <f>T24+T10+T8</f>
        <v>2.9299999999999997E-4</v>
      </c>
      <c r="U27" s="141">
        <f>U24+U10+U8</f>
        <v>179.999707</v>
      </c>
      <c r="W27" s="150">
        <v>24</v>
      </c>
      <c r="X27" s="149" t="s">
        <v>219</v>
      </c>
      <c r="Y27" s="149">
        <v>20000</v>
      </c>
      <c r="Z27" s="149">
        <v>0.09</v>
      </c>
      <c r="AA27" s="149">
        <f t="shared" si="8"/>
        <v>19999.91</v>
      </c>
      <c r="AB27" t="s">
        <v>153</v>
      </c>
      <c r="AJ27" s="29">
        <v>1.0000000000000001E-5</v>
      </c>
      <c r="AK27" s="29">
        <v>6.0000000000000002E-6</v>
      </c>
      <c r="AO27">
        <v>20</v>
      </c>
    </row>
    <row r="28" spans="1:41" ht="15" customHeight="1">
      <c r="A28">
        <v>2</v>
      </c>
      <c r="B28" s="379" t="s">
        <v>292</v>
      </c>
      <c r="C28" s="313" t="s">
        <v>229</v>
      </c>
      <c r="D28" s="146" t="s">
        <v>153</v>
      </c>
      <c r="E28" s="380" t="s">
        <v>1158</v>
      </c>
      <c r="F28" s="147">
        <v>2E-3</v>
      </c>
      <c r="G28" s="392" t="str">
        <f t="shared" si="0"/>
        <v>NO-0,002 ,g-04</v>
      </c>
      <c r="H28" s="383">
        <v>9.9999999999999995E-7</v>
      </c>
      <c r="I28" s="483">
        <f t="shared" si="2"/>
        <v>1.9989999999999999E-3</v>
      </c>
      <c r="J28" s="148">
        <v>1.9999999999999999E-6</v>
      </c>
      <c r="K28" s="148">
        <v>2</v>
      </c>
      <c r="L28" s="397">
        <f t="shared" si="3"/>
        <v>2.4000000000000001E-5</v>
      </c>
      <c r="M28" s="399">
        <f t="shared" si="4"/>
        <v>1.9999999999999999E-6</v>
      </c>
      <c r="N28" s="29">
        <v>-2.3E-5</v>
      </c>
      <c r="O28" s="148">
        <v>1.1999999999999999E-4</v>
      </c>
      <c r="P28" s="370">
        <f t="shared" si="5"/>
        <v>12</v>
      </c>
      <c r="Q28" s="366" t="s">
        <v>239</v>
      </c>
      <c r="R28" s="149">
        <v>190</v>
      </c>
      <c r="S28" s="149" t="str">
        <f t="shared" si="6"/>
        <v>190-05</v>
      </c>
      <c r="T28" s="141">
        <f>T27+T8</f>
        <v>2.9499999999999996E-4</v>
      </c>
      <c r="U28" s="141">
        <f>U27+U8</f>
        <v>189.99970500000001</v>
      </c>
      <c r="W28" s="150">
        <v>25</v>
      </c>
      <c r="X28" s="149" t="s">
        <v>219</v>
      </c>
      <c r="Y28" s="149">
        <v>20000</v>
      </c>
      <c r="Z28" s="149">
        <v>7.0000000000000007E-2</v>
      </c>
      <c r="AA28" s="149">
        <f t="shared" si="8"/>
        <v>19999.93</v>
      </c>
      <c r="AJ28" s="29">
        <v>2.0000000000000002E-5</v>
      </c>
      <c r="AK28" s="29">
        <v>2.3E-5</v>
      </c>
      <c r="AO28">
        <v>21</v>
      </c>
    </row>
    <row r="29" spans="1:41" ht="15" customHeight="1">
      <c r="A29">
        <v>3</v>
      </c>
      <c r="B29" s="379" t="s">
        <v>292</v>
      </c>
      <c r="C29" s="313" t="s">
        <v>229</v>
      </c>
      <c r="D29" s="146" t="s">
        <v>152</v>
      </c>
      <c r="E29" s="380" t="s">
        <v>1158</v>
      </c>
      <c r="F29" s="147">
        <v>2E-3</v>
      </c>
      <c r="G29" s="392" t="str">
        <f t="shared" si="0"/>
        <v>SI-0,002 ,g-04</v>
      </c>
      <c r="H29" s="383">
        <v>-2.7999999999999999E-6</v>
      </c>
      <c r="I29" s="483">
        <f t="shared" si="2"/>
        <v>2.0027999999999999E-3</v>
      </c>
      <c r="J29" s="148">
        <v>1.9999999999999999E-6</v>
      </c>
      <c r="K29" s="148">
        <v>2</v>
      </c>
      <c r="L29" s="397">
        <f t="shared" si="3"/>
        <v>2.8200000000000001E-5</v>
      </c>
      <c r="M29" s="399">
        <f t="shared" si="4"/>
        <v>1.9999999999999999E-6</v>
      </c>
      <c r="N29" s="29">
        <v>-3.1000000000000001E-5</v>
      </c>
      <c r="O29" s="148">
        <v>1.1999999999999999E-4</v>
      </c>
      <c r="P29" s="370">
        <f t="shared" si="5"/>
        <v>12</v>
      </c>
      <c r="Q29" s="366" t="s">
        <v>240</v>
      </c>
      <c r="R29" s="149">
        <v>210</v>
      </c>
      <c r="S29" s="149" t="str">
        <f t="shared" si="6"/>
        <v>210-05</v>
      </c>
      <c r="T29" s="141">
        <f>T13+T8</f>
        <v>2.32E-4</v>
      </c>
      <c r="U29" s="141">
        <f>U13+U8</f>
        <v>209.99976800000002</v>
      </c>
      <c r="W29" s="150">
        <v>26</v>
      </c>
      <c r="X29" s="149" t="s">
        <v>219</v>
      </c>
      <c r="Y29" s="149">
        <v>20000</v>
      </c>
      <c r="Z29" s="149">
        <v>7.0000000000000007E-2</v>
      </c>
      <c r="AA29" s="149">
        <f t="shared" si="8"/>
        <v>19999.93</v>
      </c>
      <c r="AJ29" s="29">
        <v>5.0000000000000002E-5</v>
      </c>
      <c r="AK29" s="29">
        <v>3.1000000000000001E-5</v>
      </c>
      <c r="AO29">
        <v>22</v>
      </c>
    </row>
    <row r="30" spans="1:41" ht="15" customHeight="1">
      <c r="A30">
        <v>4</v>
      </c>
      <c r="B30" s="379" t="s">
        <v>292</v>
      </c>
      <c r="C30" s="313" t="s">
        <v>229</v>
      </c>
      <c r="D30" s="146" t="s">
        <v>360</v>
      </c>
      <c r="E30" s="380" t="s">
        <v>1159</v>
      </c>
      <c r="F30" s="147">
        <v>5.0000000000000001E-3</v>
      </c>
      <c r="G30" s="392" t="str">
        <f t="shared" si="0"/>
        <v>N/A-0,005 ,g-04</v>
      </c>
      <c r="H30" s="383">
        <v>-4.9999999999999998E-7</v>
      </c>
      <c r="I30" s="483">
        <f t="shared" si="2"/>
        <v>5.0004999999999997E-3</v>
      </c>
      <c r="J30" s="148">
        <v>1.9999999999999999E-6</v>
      </c>
      <c r="K30" s="148">
        <v>2</v>
      </c>
      <c r="L30" s="397">
        <f t="shared" si="3"/>
        <v>2.1500000000000001E-5</v>
      </c>
      <c r="M30" s="399">
        <f t="shared" si="4"/>
        <v>1.9999999999999999E-6</v>
      </c>
      <c r="N30" s="29">
        <v>-2.1999999999999999E-5</v>
      </c>
      <c r="O30" s="148">
        <v>1.6000000000000001E-4</v>
      </c>
      <c r="P30" s="370">
        <f t="shared" si="5"/>
        <v>12</v>
      </c>
      <c r="Q30" s="367" t="s">
        <v>241</v>
      </c>
      <c r="R30" s="153">
        <v>1200</v>
      </c>
      <c r="S30" s="149" t="str">
        <f t="shared" si="6"/>
        <v>1200-05</v>
      </c>
      <c r="T30" s="141">
        <f>T16+T14</f>
        <v>1.1900000000000001E-3</v>
      </c>
      <c r="U30" s="141">
        <f>U16+U14</f>
        <v>1199.99881</v>
      </c>
      <c r="W30" s="150">
        <v>27</v>
      </c>
      <c r="X30" s="149" t="s">
        <v>219</v>
      </c>
      <c r="Y30" s="149">
        <v>20000</v>
      </c>
      <c r="Z30" s="149">
        <v>7.0000000000000007E-2</v>
      </c>
      <c r="AA30" s="149">
        <f t="shared" si="8"/>
        <v>19999.93</v>
      </c>
      <c r="AJ30" s="29">
        <v>1.0000000000000001E-5</v>
      </c>
      <c r="AK30" s="29">
        <v>2.1999999999999999E-5</v>
      </c>
      <c r="AO30">
        <v>23</v>
      </c>
    </row>
    <row r="31" spans="1:41" ht="15" customHeight="1">
      <c r="A31">
        <v>5</v>
      </c>
      <c r="B31" s="379" t="s">
        <v>292</v>
      </c>
      <c r="C31" s="313" t="s">
        <v>229</v>
      </c>
      <c r="D31" s="146" t="s">
        <v>360</v>
      </c>
      <c r="E31" s="380" t="s">
        <v>1160</v>
      </c>
      <c r="F31" s="147">
        <v>0.01</v>
      </c>
      <c r="G31" s="392" t="str">
        <f t="shared" si="0"/>
        <v>N/A-0,01 ,g-04</v>
      </c>
      <c r="H31" s="383">
        <v>2.9999999999999999E-7</v>
      </c>
      <c r="I31" s="483">
        <f t="shared" si="2"/>
        <v>9.9997000000000003E-3</v>
      </c>
      <c r="J31" s="148">
        <v>2.7E-6</v>
      </c>
      <c r="K31" s="148">
        <v>2</v>
      </c>
      <c r="L31" s="397">
        <f t="shared" si="3"/>
        <v>2.5300000000000002E-5</v>
      </c>
      <c r="M31" s="399">
        <f t="shared" si="4"/>
        <v>2.7E-6</v>
      </c>
      <c r="N31" s="29">
        <v>-2.5000000000000001E-5</v>
      </c>
      <c r="O31" s="148">
        <v>2.0000000000000001E-4</v>
      </c>
      <c r="P31" s="370">
        <f t="shared" si="5"/>
        <v>12</v>
      </c>
      <c r="Q31" s="367" t="s">
        <v>242</v>
      </c>
      <c r="R31" s="153">
        <v>1300</v>
      </c>
      <c r="S31" s="149" t="str">
        <f t="shared" si="6"/>
        <v>1300-05</v>
      </c>
      <c r="T31" s="141">
        <f>T16+T14+T12</f>
        <v>1.34E-3</v>
      </c>
      <c r="U31" s="141">
        <f>U16+U14+U12</f>
        <v>1299.99866</v>
      </c>
      <c r="W31" s="150">
        <v>28</v>
      </c>
      <c r="X31" s="149" t="s">
        <v>219</v>
      </c>
      <c r="Y31" s="149">
        <v>20000</v>
      </c>
      <c r="Z31" s="149">
        <v>7.0000000000000007E-2</v>
      </c>
      <c r="AA31" s="149">
        <f t="shared" si="8"/>
        <v>19999.93</v>
      </c>
      <c r="AJ31" s="29">
        <v>4.0000000000000003E-5</v>
      </c>
      <c r="AK31" s="29">
        <v>2.5000000000000001E-5</v>
      </c>
      <c r="AO31">
        <v>24</v>
      </c>
    </row>
    <row r="32" spans="1:41" ht="15" customHeight="1">
      <c r="A32">
        <v>6</v>
      </c>
      <c r="B32" s="379" t="s">
        <v>292</v>
      </c>
      <c r="C32" s="313" t="s">
        <v>229</v>
      </c>
      <c r="D32" s="146" t="s">
        <v>153</v>
      </c>
      <c r="E32" s="380" t="s">
        <v>1161</v>
      </c>
      <c r="F32" s="147">
        <v>0.02</v>
      </c>
      <c r="G32" s="392" t="str">
        <f t="shared" si="0"/>
        <v>NO-0,02 ,g-04</v>
      </c>
      <c r="H32" s="383">
        <v>4.9999999999999998E-7</v>
      </c>
      <c r="I32" s="483">
        <f t="shared" si="2"/>
        <v>1.99995E-2</v>
      </c>
      <c r="J32" s="148">
        <v>3.3000000000000002E-6</v>
      </c>
      <c r="K32" s="148">
        <v>2</v>
      </c>
      <c r="L32" s="397">
        <f t="shared" si="3"/>
        <v>1.6650000000000001E-4</v>
      </c>
      <c r="M32" s="399">
        <f t="shared" si="4"/>
        <v>3.3000000000000002E-6</v>
      </c>
      <c r="N32" s="29">
        <v>-1.66E-4</v>
      </c>
      <c r="O32" s="148">
        <v>2.5000000000000001E-4</v>
      </c>
      <c r="P32" s="370">
        <f t="shared" si="5"/>
        <v>12</v>
      </c>
      <c r="Q32" s="367" t="s">
        <v>243</v>
      </c>
      <c r="R32" s="153">
        <v>1400</v>
      </c>
      <c r="S32" s="149" t="str">
        <f t="shared" si="6"/>
        <v>1400-05</v>
      </c>
      <c r="T32" s="141">
        <f>T16+T13+T14</f>
        <v>1.42E-3</v>
      </c>
      <c r="U32" s="141">
        <f>U16+U13+U14</f>
        <v>1399.9985800000002</v>
      </c>
      <c r="W32" s="150">
        <v>29</v>
      </c>
      <c r="X32" s="149" t="s">
        <v>219</v>
      </c>
      <c r="Y32" s="149">
        <v>20000</v>
      </c>
      <c r="Z32" s="149">
        <v>7.0000000000000007E-2</v>
      </c>
      <c r="AA32" s="149">
        <f t="shared" si="8"/>
        <v>19999.93</v>
      </c>
      <c r="AB32" s="153"/>
      <c r="AJ32" s="29">
        <v>0</v>
      </c>
      <c r="AK32" s="29">
        <v>1.66E-4</v>
      </c>
      <c r="AO32">
        <v>25</v>
      </c>
    </row>
    <row r="33" spans="1:41" ht="15" customHeight="1">
      <c r="A33">
        <v>7</v>
      </c>
      <c r="B33" s="379" t="s">
        <v>292</v>
      </c>
      <c r="C33" s="313" t="s">
        <v>229</v>
      </c>
      <c r="D33" s="146" t="s">
        <v>152</v>
      </c>
      <c r="E33" s="380" t="s">
        <v>1161</v>
      </c>
      <c r="F33" s="147">
        <v>0.02</v>
      </c>
      <c r="G33" s="392" t="str">
        <f t="shared" si="0"/>
        <v>SI-0,02 ,g-04</v>
      </c>
      <c r="H33" s="383">
        <v>4.4000000000000002E-6</v>
      </c>
      <c r="I33" s="483">
        <f t="shared" si="2"/>
        <v>1.9995599999999999E-2</v>
      </c>
      <c r="J33" s="148">
        <v>3.3000000000000002E-6</v>
      </c>
      <c r="K33" s="148">
        <v>2</v>
      </c>
      <c r="L33" s="397">
        <f t="shared" si="3"/>
        <v>1.7399999999999999E-5</v>
      </c>
      <c r="M33" s="399">
        <f t="shared" si="4"/>
        <v>3.3000000000000002E-6</v>
      </c>
      <c r="N33" s="29">
        <v>-1.2999999999999999E-5</v>
      </c>
      <c r="O33" s="148">
        <v>2.5000000000000001E-4</v>
      </c>
      <c r="P33" s="370">
        <f t="shared" si="5"/>
        <v>12</v>
      </c>
      <c r="Q33" s="367" t="s">
        <v>244</v>
      </c>
      <c r="R33" s="153">
        <v>1500</v>
      </c>
      <c r="S33" s="149" t="str">
        <f t="shared" si="6"/>
        <v>1500-05</v>
      </c>
      <c r="T33" s="141">
        <f>T16+T15</f>
        <v>2.4099999999999998E-3</v>
      </c>
      <c r="U33" s="141">
        <f>U16+U15</f>
        <v>1499.9975899999999</v>
      </c>
      <c r="W33" s="150">
        <v>30</v>
      </c>
      <c r="X33" s="149" t="s">
        <v>219</v>
      </c>
      <c r="Y33" s="149">
        <v>20000</v>
      </c>
      <c r="Z33" s="149">
        <v>7.0000000000000007E-2</v>
      </c>
      <c r="AA33" s="149">
        <f t="shared" si="8"/>
        <v>19999.93</v>
      </c>
      <c r="AJ33" s="29">
        <v>2.0000000000000002E-5</v>
      </c>
      <c r="AK33" s="29">
        <v>1.2999999999999999E-5</v>
      </c>
      <c r="AO33">
        <v>26</v>
      </c>
    </row>
    <row r="34" spans="1:41" ht="15" customHeight="1">
      <c r="A34">
        <v>8</v>
      </c>
      <c r="B34" s="379" t="s">
        <v>292</v>
      </c>
      <c r="C34" s="313" t="s">
        <v>229</v>
      </c>
      <c r="D34" s="146" t="s">
        <v>360</v>
      </c>
      <c r="E34" s="380" t="s">
        <v>1162</v>
      </c>
      <c r="F34" s="147">
        <v>0.05</v>
      </c>
      <c r="G34" s="392" t="str">
        <f t="shared" si="0"/>
        <v>N/A-0,05 ,g-04</v>
      </c>
      <c r="H34" s="383">
        <v>2.2000000000000001E-6</v>
      </c>
      <c r="I34" s="483">
        <f t="shared" si="2"/>
        <v>4.9997800000000002E-2</v>
      </c>
      <c r="J34" s="148">
        <v>3.9999999999999998E-6</v>
      </c>
      <c r="K34" s="148">
        <v>2</v>
      </c>
      <c r="L34" s="397">
        <f t="shared" si="3"/>
        <v>3.2200000000000003E-5</v>
      </c>
      <c r="M34" s="399">
        <f t="shared" si="4"/>
        <v>3.9999999999999998E-6</v>
      </c>
      <c r="N34" s="29">
        <v>-3.0000000000000001E-5</v>
      </c>
      <c r="O34" s="148">
        <v>2.9999999999999997E-4</v>
      </c>
      <c r="P34" s="370">
        <f t="shared" si="5"/>
        <v>12</v>
      </c>
      <c r="Q34" s="367" t="s">
        <v>245</v>
      </c>
      <c r="R34" s="153">
        <v>1600</v>
      </c>
      <c r="S34" s="149" t="str">
        <f t="shared" si="6"/>
        <v>1600-05</v>
      </c>
      <c r="T34" s="141">
        <f>T33+T12</f>
        <v>2.5599999999999998E-3</v>
      </c>
      <c r="U34" s="141">
        <f>U33+U12</f>
        <v>1599.9974399999999</v>
      </c>
      <c r="W34" s="150">
        <v>31</v>
      </c>
      <c r="X34" s="149" t="s">
        <v>219</v>
      </c>
      <c r="Y34" s="149">
        <v>20000</v>
      </c>
      <c r="Z34" s="149">
        <v>7.0000000000000007E-2</v>
      </c>
      <c r="AA34" s="149">
        <f t="shared" si="8"/>
        <v>19999.93</v>
      </c>
      <c r="AJ34" s="29">
        <v>7.0000000000000007E-5</v>
      </c>
      <c r="AK34" s="29">
        <v>2.9999999999999997E-5</v>
      </c>
      <c r="AO34">
        <v>27</v>
      </c>
    </row>
    <row r="35" spans="1:41" ht="15" customHeight="1">
      <c r="A35">
        <v>9</v>
      </c>
      <c r="B35" s="379" t="s">
        <v>292</v>
      </c>
      <c r="C35" s="313" t="s">
        <v>229</v>
      </c>
      <c r="D35" s="146" t="s">
        <v>360</v>
      </c>
      <c r="E35" s="380" t="s">
        <v>1163</v>
      </c>
      <c r="F35" s="147">
        <v>0.1</v>
      </c>
      <c r="G35" s="392" t="str">
        <f t="shared" si="0"/>
        <v>N/A-0,1 ,g-04</v>
      </c>
      <c r="H35" s="383">
        <v>-6.9999999999999997E-7</v>
      </c>
      <c r="I35" s="483">
        <f t="shared" si="2"/>
        <v>0.10000070000000001</v>
      </c>
      <c r="J35" s="148">
        <v>5.3000000000000001E-6</v>
      </c>
      <c r="K35" s="148">
        <v>2</v>
      </c>
      <c r="L35" s="397">
        <f t="shared" si="3"/>
        <v>1.6930000000000002E-4</v>
      </c>
      <c r="M35" s="399">
        <f t="shared" si="4"/>
        <v>5.3000000000000001E-6</v>
      </c>
      <c r="N35" s="29">
        <v>-1.7000000000000001E-4</v>
      </c>
      <c r="O35" s="148">
        <v>5.0000000000000001E-4</v>
      </c>
      <c r="P35" s="370">
        <f t="shared" si="5"/>
        <v>12</v>
      </c>
      <c r="Q35" s="367" t="s">
        <v>246</v>
      </c>
      <c r="R35" s="153">
        <v>1700</v>
      </c>
      <c r="S35" s="149" t="str">
        <f t="shared" si="6"/>
        <v>1700-05</v>
      </c>
      <c r="T35" s="141">
        <f>T33+T13</f>
        <v>2.64E-3</v>
      </c>
      <c r="U35" s="141">
        <f>U33+U13</f>
        <v>1699.9973599999998</v>
      </c>
      <c r="W35" s="150">
        <v>32</v>
      </c>
      <c r="X35" s="149" t="s">
        <v>219</v>
      </c>
      <c r="Y35" s="149">
        <v>20000</v>
      </c>
      <c r="Z35" s="149">
        <v>7.0000000000000007E-2</v>
      </c>
      <c r="AA35" s="149">
        <f t="shared" si="8"/>
        <v>19999.93</v>
      </c>
      <c r="AJ35" s="29">
        <v>1.1999999999999999E-4</v>
      </c>
      <c r="AK35" s="29">
        <v>1.7000000000000001E-4</v>
      </c>
      <c r="AO35">
        <v>28</v>
      </c>
    </row>
    <row r="36" spans="1:41" ht="15" customHeight="1">
      <c r="A36">
        <v>10</v>
      </c>
      <c r="B36" s="379" t="s">
        <v>292</v>
      </c>
      <c r="C36" s="313" t="s">
        <v>229</v>
      </c>
      <c r="D36" s="146" t="s">
        <v>153</v>
      </c>
      <c r="E36" s="380" t="s">
        <v>1164</v>
      </c>
      <c r="F36" s="147">
        <v>0.2</v>
      </c>
      <c r="G36" s="392" t="str">
        <f t="shared" ref="G36:G65" si="9">+CONCATENATE(D36,"-",E36,"-",MID(C36,12,2))</f>
        <v>NO-0,2 ,g-04</v>
      </c>
      <c r="H36" s="383">
        <v>-1.6999999999999998E-6</v>
      </c>
      <c r="I36" s="483">
        <f t="shared" si="2"/>
        <v>0.2000017</v>
      </c>
      <c r="J36" s="148">
        <v>6.7000000000000002E-6</v>
      </c>
      <c r="K36" s="148">
        <v>2</v>
      </c>
      <c r="L36" s="397">
        <f t="shared" si="3"/>
        <v>1.717E-4</v>
      </c>
      <c r="M36" s="399">
        <f t="shared" si="4"/>
        <v>6.7000000000000002E-6</v>
      </c>
      <c r="N36" s="29">
        <v>1.7000000000000001E-4</v>
      </c>
      <c r="O36" s="148">
        <v>1E-3</v>
      </c>
      <c r="P36" s="370">
        <f t="shared" si="5"/>
        <v>12</v>
      </c>
      <c r="Q36" s="367" t="s">
        <v>247</v>
      </c>
      <c r="R36" s="153">
        <v>1800</v>
      </c>
      <c r="S36" s="149" t="str">
        <f t="shared" si="6"/>
        <v>1800-05</v>
      </c>
      <c r="T36" s="141">
        <f>T33+T13+T12</f>
        <v>2.7899999999999999E-3</v>
      </c>
      <c r="U36" s="141">
        <f>U33+U13+U12</f>
        <v>1799.9972099999998</v>
      </c>
      <c r="AJ36" s="29">
        <v>1.3000000000000002E-4</v>
      </c>
      <c r="AK36" s="29">
        <v>1.7000000000000001E-4</v>
      </c>
      <c r="AO36">
        <v>29</v>
      </c>
    </row>
    <row r="37" spans="1:41" ht="15" customHeight="1">
      <c r="A37">
        <v>11</v>
      </c>
      <c r="B37" s="379" t="s">
        <v>292</v>
      </c>
      <c r="C37" s="313" t="s">
        <v>229</v>
      </c>
      <c r="D37" s="146" t="s">
        <v>152</v>
      </c>
      <c r="E37" s="380" t="s">
        <v>1164</v>
      </c>
      <c r="F37" s="147">
        <v>0.2</v>
      </c>
      <c r="G37" s="392" t="str">
        <f t="shared" si="9"/>
        <v>SI-0,2 ,g-04</v>
      </c>
      <c r="H37" s="383">
        <v>6.9999999999999997E-7</v>
      </c>
      <c r="I37" s="483">
        <f t="shared" si="2"/>
        <v>0.19999930000000002</v>
      </c>
      <c r="J37" s="148">
        <v>6.7000000000000002E-6</v>
      </c>
      <c r="K37" s="148">
        <v>2</v>
      </c>
      <c r="L37" s="397">
        <f t="shared" si="3"/>
        <v>2.307E-4</v>
      </c>
      <c r="M37" s="399">
        <f t="shared" si="4"/>
        <v>6.7000000000000002E-6</v>
      </c>
      <c r="N37" s="29">
        <v>-2.3000000000000001E-4</v>
      </c>
      <c r="O37" s="148">
        <v>1E-3</v>
      </c>
      <c r="P37" s="370">
        <f t="shared" si="5"/>
        <v>12</v>
      </c>
      <c r="Q37" s="367" t="s">
        <v>248</v>
      </c>
      <c r="R37" s="153">
        <v>1900</v>
      </c>
      <c r="S37" s="149" t="str">
        <f t="shared" si="6"/>
        <v>1900-05</v>
      </c>
      <c r="T37" s="141">
        <f>T33+T13+T14</f>
        <v>2.8300000000000001E-3</v>
      </c>
      <c r="U37" s="141">
        <f>U33+U13+U14</f>
        <v>1899.9971699999999</v>
      </c>
      <c r="AJ37" s="29">
        <v>5.9999999999999995E-5</v>
      </c>
      <c r="AK37" s="29">
        <v>2.3000000000000001E-4</v>
      </c>
      <c r="AO37">
        <v>30</v>
      </c>
    </row>
    <row r="38" spans="1:41" ht="15" customHeight="1">
      <c r="A38">
        <v>12</v>
      </c>
      <c r="B38" s="379" t="s">
        <v>292</v>
      </c>
      <c r="C38" s="313" t="s">
        <v>229</v>
      </c>
      <c r="D38" s="146" t="s">
        <v>360</v>
      </c>
      <c r="E38" s="380" t="s">
        <v>1165</v>
      </c>
      <c r="F38" s="147">
        <v>0.5</v>
      </c>
      <c r="G38" s="392" t="str">
        <f t="shared" si="9"/>
        <v>N/A-0,5 ,g-04</v>
      </c>
      <c r="H38" s="383">
        <v>3.7000000000000002E-6</v>
      </c>
      <c r="I38" s="483">
        <f t="shared" si="2"/>
        <v>0.4999963</v>
      </c>
      <c r="J38" s="148">
        <v>8.3000000000000002E-6</v>
      </c>
      <c r="K38" s="148">
        <v>2</v>
      </c>
      <c r="L38" s="397">
        <f t="shared" si="3"/>
        <v>6.937E-4</v>
      </c>
      <c r="M38" s="399">
        <f t="shared" si="4"/>
        <v>8.3000000000000002E-6</v>
      </c>
      <c r="N38" s="29">
        <v>-6.8999999999999997E-4</v>
      </c>
      <c r="O38" s="148">
        <v>2.5000000000000001E-3</v>
      </c>
      <c r="P38" s="370">
        <f t="shared" si="5"/>
        <v>12</v>
      </c>
      <c r="Q38" s="367" t="s">
        <v>249</v>
      </c>
      <c r="R38" s="153">
        <v>2100</v>
      </c>
      <c r="S38" s="149" t="str">
        <f t="shared" si="6"/>
        <v>2100-05</v>
      </c>
      <c r="T38" s="141">
        <f>T17+T12</f>
        <v>8.4999999999999995E-4</v>
      </c>
      <c r="U38" s="141">
        <f>U17+U12</f>
        <v>2099.9991500000001</v>
      </c>
      <c r="AJ38" s="29">
        <v>2.1700000000000001E-3</v>
      </c>
      <c r="AK38" s="29">
        <v>6.8999999999999997E-4</v>
      </c>
      <c r="AO38">
        <v>31</v>
      </c>
    </row>
    <row r="39" spans="1:41" ht="15" customHeight="1">
      <c r="A39">
        <v>13</v>
      </c>
      <c r="B39" s="379" t="s">
        <v>292</v>
      </c>
      <c r="C39" s="313" t="s">
        <v>229</v>
      </c>
      <c r="D39" s="146" t="s">
        <v>360</v>
      </c>
      <c r="E39" s="380" t="s">
        <v>1018</v>
      </c>
      <c r="F39" s="147">
        <v>1</v>
      </c>
      <c r="G39" s="392" t="str">
        <f t="shared" si="9"/>
        <v>N/A-1 ,g-04</v>
      </c>
      <c r="H39" s="383">
        <v>-8.9999999999999985E-6</v>
      </c>
      <c r="I39" s="483">
        <f t="shared" si="2"/>
        <v>1.0000089999999999</v>
      </c>
      <c r="J39" s="148">
        <v>1.0000000000000001E-5</v>
      </c>
      <c r="K39" s="148">
        <v>2</v>
      </c>
      <c r="L39" s="397">
        <f t="shared" si="3"/>
        <v>1.3089999999999998E-3</v>
      </c>
      <c r="M39" s="399">
        <f t="shared" si="4"/>
        <v>1.0000000000000001E-5</v>
      </c>
      <c r="N39" s="29">
        <v>1.2999999999999999E-3</v>
      </c>
      <c r="O39" s="148">
        <v>5.0000000000000001E-3</v>
      </c>
      <c r="P39" s="370">
        <f t="shared" si="5"/>
        <v>12</v>
      </c>
      <c r="Q39" s="367" t="s">
        <v>250</v>
      </c>
      <c r="R39" s="141">
        <v>2200</v>
      </c>
      <c r="S39" s="149" t="str">
        <f t="shared" si="6"/>
        <v>2200-05</v>
      </c>
      <c r="AJ39" s="29">
        <v>1.2999999999999999E-3</v>
      </c>
      <c r="AK39" s="29">
        <v>1.2999999999999999E-3</v>
      </c>
      <c r="AO39">
        <v>32</v>
      </c>
    </row>
    <row r="40" spans="1:41" ht="15" customHeight="1">
      <c r="A40">
        <v>14</v>
      </c>
      <c r="B40" s="379" t="s">
        <v>292</v>
      </c>
      <c r="C40" s="313" t="s">
        <v>229</v>
      </c>
      <c r="D40" s="146" t="s">
        <v>153</v>
      </c>
      <c r="E40" s="380" t="s">
        <v>1019</v>
      </c>
      <c r="F40" s="147">
        <v>2</v>
      </c>
      <c r="G40" s="392" t="str">
        <f t="shared" si="9"/>
        <v>NO-2 ,g-04</v>
      </c>
      <c r="H40" s="383">
        <v>-3.9999999999999998E-6</v>
      </c>
      <c r="I40" s="483">
        <f t="shared" si="2"/>
        <v>2.0000040000000001</v>
      </c>
      <c r="J40" s="148">
        <v>1.2999999999999999E-5</v>
      </c>
      <c r="K40" s="148">
        <v>2</v>
      </c>
      <c r="L40" s="397">
        <f t="shared" si="3"/>
        <v>2.196E-3</v>
      </c>
      <c r="M40" s="399">
        <f t="shared" si="4"/>
        <v>1.2999999999999999E-5</v>
      </c>
      <c r="N40" s="29">
        <v>-2.2000000000000001E-3</v>
      </c>
      <c r="O40" s="148">
        <v>0.01</v>
      </c>
      <c r="P40" s="370">
        <f t="shared" si="5"/>
        <v>12</v>
      </c>
      <c r="Q40" s="141" t="s">
        <v>251</v>
      </c>
      <c r="R40" s="141">
        <v>2300</v>
      </c>
      <c r="S40" s="149" t="str">
        <f t="shared" si="6"/>
        <v>2300-05</v>
      </c>
      <c r="AJ40" s="29">
        <v>1.5E-3</v>
      </c>
      <c r="AK40" s="29">
        <v>2.2000000000000001E-3</v>
      </c>
      <c r="AO40">
        <v>33</v>
      </c>
    </row>
    <row r="41" spans="1:41" ht="15" customHeight="1">
      <c r="A41">
        <v>15</v>
      </c>
      <c r="B41" s="379" t="s">
        <v>292</v>
      </c>
      <c r="C41" s="313" t="s">
        <v>229</v>
      </c>
      <c r="D41" s="146" t="s">
        <v>152</v>
      </c>
      <c r="E41" s="380" t="s">
        <v>1019</v>
      </c>
      <c r="F41" s="147">
        <v>2</v>
      </c>
      <c r="G41" s="392" t="str">
        <f t="shared" si="9"/>
        <v>SI-2 ,g-04</v>
      </c>
      <c r="H41" s="384">
        <v>1.0000000000000001E-5</v>
      </c>
      <c r="I41" s="483">
        <f t="shared" si="2"/>
        <v>1.9999899999999999</v>
      </c>
      <c r="J41" s="155">
        <v>1.2999999999999999E-5</v>
      </c>
      <c r="K41" s="155">
        <v>2</v>
      </c>
      <c r="L41" s="397">
        <f t="shared" si="3"/>
        <v>1.2099999999999999E-3</v>
      </c>
      <c r="M41" s="399">
        <f t="shared" si="4"/>
        <v>1.2999999999999999E-5</v>
      </c>
      <c r="N41" s="146">
        <v>-1.1999999999999999E-3</v>
      </c>
      <c r="O41" s="155">
        <v>0.01</v>
      </c>
      <c r="P41" s="370">
        <f t="shared" si="5"/>
        <v>12</v>
      </c>
      <c r="Q41" s="141" t="s">
        <v>252</v>
      </c>
      <c r="R41" s="141">
        <v>2400</v>
      </c>
      <c r="S41" s="149" t="str">
        <f t="shared" si="6"/>
        <v>2400-05</v>
      </c>
      <c r="AJ41" s="146">
        <v>1.5E-3</v>
      </c>
      <c r="AK41" s="146">
        <v>1.1999999999999999E-3</v>
      </c>
      <c r="AO41">
        <v>34</v>
      </c>
    </row>
    <row r="42" spans="1:41" ht="15" customHeight="1">
      <c r="A42">
        <v>16</v>
      </c>
      <c r="B42" s="379" t="s">
        <v>292</v>
      </c>
      <c r="C42" s="313" t="s">
        <v>229</v>
      </c>
      <c r="D42" s="146" t="s">
        <v>360</v>
      </c>
      <c r="E42" s="380" t="s">
        <v>1020</v>
      </c>
      <c r="F42" s="147">
        <v>5</v>
      </c>
      <c r="G42" s="392" t="str">
        <f t="shared" si="9"/>
        <v>N/A-5 ,g-04</v>
      </c>
      <c r="H42" s="384">
        <v>1.2E-5</v>
      </c>
      <c r="I42" s="483">
        <f t="shared" si="2"/>
        <v>4.9999880000000001</v>
      </c>
      <c r="J42" s="155">
        <v>1.7E-5</v>
      </c>
      <c r="K42" s="155">
        <v>2</v>
      </c>
      <c r="L42" s="397">
        <f t="shared" si="3"/>
        <v>1.1212E-2</v>
      </c>
      <c r="M42" s="399">
        <f t="shared" si="4"/>
        <v>1.7E-5</v>
      </c>
      <c r="N42" s="146">
        <v>-1.12E-2</v>
      </c>
      <c r="O42" s="155">
        <v>2.5000000000000001E-2</v>
      </c>
      <c r="P42" s="370">
        <f t="shared" si="5"/>
        <v>12</v>
      </c>
      <c r="Q42"/>
      <c r="R42"/>
      <c r="S42" s="29"/>
      <c r="T42"/>
      <c r="U42"/>
      <c r="V42"/>
      <c r="W42"/>
      <c r="X42"/>
      <c r="Y42"/>
      <c r="Z42"/>
      <c r="AA42"/>
      <c r="AJ42" s="146">
        <v>2.1000000000000003E-3</v>
      </c>
      <c r="AK42" s="146">
        <v>1.12E-2</v>
      </c>
      <c r="AO42">
        <v>35</v>
      </c>
    </row>
    <row r="43" spans="1:41" ht="15" customHeight="1">
      <c r="A43">
        <v>17</v>
      </c>
      <c r="B43" s="379" t="s">
        <v>292</v>
      </c>
      <c r="C43" s="313" t="s">
        <v>229</v>
      </c>
      <c r="D43" s="146" t="s">
        <v>360</v>
      </c>
      <c r="E43" s="380" t="s">
        <v>1021</v>
      </c>
      <c r="F43" s="147">
        <v>10</v>
      </c>
      <c r="G43" s="392" t="str">
        <f t="shared" si="9"/>
        <v>N/A-10 ,g-04</v>
      </c>
      <c r="H43" s="447">
        <v>-2.0000000000000002E-5</v>
      </c>
      <c r="I43" s="483">
        <f t="shared" si="2"/>
        <v>10.000019999999999</v>
      </c>
      <c r="J43" s="148">
        <v>2.0000000000000002E-5</v>
      </c>
      <c r="K43" s="148">
        <v>2</v>
      </c>
      <c r="L43" s="397">
        <f t="shared" si="3"/>
        <v>1.9994000000000002E-5</v>
      </c>
      <c r="M43" s="399">
        <f t="shared" si="4"/>
        <v>2.0000000000000002E-5</v>
      </c>
      <c r="N43" s="29">
        <v>-6E-9</v>
      </c>
      <c r="O43" s="147">
        <v>1E-4</v>
      </c>
      <c r="P43" s="370">
        <f t="shared" si="5"/>
        <v>12</v>
      </c>
      <c r="S43" s="149"/>
      <c r="AJ43" s="29">
        <v>1E-8</v>
      </c>
      <c r="AK43" s="29">
        <v>6E-9</v>
      </c>
      <c r="AO43">
        <v>36</v>
      </c>
    </row>
    <row r="44" spans="1:41" ht="15" customHeight="1">
      <c r="A44">
        <v>18</v>
      </c>
      <c r="B44" s="379" t="s">
        <v>292</v>
      </c>
      <c r="C44" s="313" t="s">
        <v>229</v>
      </c>
      <c r="D44" s="146" t="s">
        <v>153</v>
      </c>
      <c r="E44" s="380" t="s">
        <v>1022</v>
      </c>
      <c r="F44" s="147">
        <v>20</v>
      </c>
      <c r="G44" s="392" t="str">
        <f t="shared" si="9"/>
        <v>NO-20 ,g-04</v>
      </c>
      <c r="H44" s="385">
        <v>-1.0000000000000001E-5</v>
      </c>
      <c r="I44" s="483">
        <f t="shared" si="2"/>
        <v>20.00001</v>
      </c>
      <c r="J44" s="148">
        <v>2.6999999999999999E-5</v>
      </c>
      <c r="K44" s="148">
        <v>2</v>
      </c>
      <c r="L44" s="397">
        <f t="shared" si="3"/>
        <v>9.9770000000000012E-6</v>
      </c>
      <c r="M44" s="399">
        <f t="shared" si="4"/>
        <v>2.6999999999999999E-5</v>
      </c>
      <c r="N44" s="29">
        <v>-2.3000000000000001E-8</v>
      </c>
      <c r="O44" s="147">
        <v>1.2E-4</v>
      </c>
      <c r="P44" s="370">
        <f t="shared" si="5"/>
        <v>12</v>
      </c>
      <c r="S44" s="149"/>
      <c r="AJ44" s="29">
        <v>2E-8</v>
      </c>
      <c r="AK44" s="29">
        <v>2.3000000000000001E-8</v>
      </c>
      <c r="AO44">
        <v>37</v>
      </c>
    </row>
    <row r="45" spans="1:41" ht="15" customHeight="1">
      <c r="A45">
        <v>19</v>
      </c>
      <c r="B45" s="379" t="s">
        <v>292</v>
      </c>
      <c r="C45" s="313" t="s">
        <v>229</v>
      </c>
      <c r="D45" s="146" t="s">
        <v>152</v>
      </c>
      <c r="E45" s="380" t="s">
        <v>1022</v>
      </c>
      <c r="F45" s="147">
        <v>20</v>
      </c>
      <c r="G45" s="392" t="str">
        <f t="shared" si="9"/>
        <v>SI-20 ,g-04</v>
      </c>
      <c r="H45" s="385">
        <v>-3.9999999999999998E-6</v>
      </c>
      <c r="I45" s="483">
        <f t="shared" si="2"/>
        <v>20.000004000000001</v>
      </c>
      <c r="J45" s="148">
        <v>2.6999999999999999E-5</v>
      </c>
      <c r="K45" s="148">
        <v>2</v>
      </c>
      <c r="L45" s="397">
        <f t="shared" si="3"/>
        <v>3.9689999999999996E-6</v>
      </c>
      <c r="M45" s="399">
        <f t="shared" si="4"/>
        <v>2.6999999999999999E-5</v>
      </c>
      <c r="N45" s="29">
        <v>-3.1E-8</v>
      </c>
      <c r="O45" s="147">
        <v>1.2E-4</v>
      </c>
      <c r="P45" s="370">
        <f t="shared" si="5"/>
        <v>12</v>
      </c>
      <c r="S45" s="149"/>
      <c r="AJ45" s="29">
        <v>5.0000000000000004E-8</v>
      </c>
      <c r="AK45" s="29">
        <v>3.1E-8</v>
      </c>
      <c r="AO45">
        <v>38</v>
      </c>
    </row>
    <row r="46" spans="1:41" ht="15" customHeight="1">
      <c r="A46">
        <v>20</v>
      </c>
      <c r="B46" s="379" t="s">
        <v>292</v>
      </c>
      <c r="C46" s="313" t="s">
        <v>229</v>
      </c>
      <c r="D46" s="146" t="s">
        <v>360</v>
      </c>
      <c r="E46" s="380" t="s">
        <v>1023</v>
      </c>
      <c r="F46" s="147">
        <v>50</v>
      </c>
      <c r="G46" s="392" t="str">
        <f t="shared" si="9"/>
        <v>N/A-50 ,g-04</v>
      </c>
      <c r="H46" s="510">
        <v>-4.4999999999999996E-5</v>
      </c>
      <c r="I46" s="483">
        <f t="shared" si="2"/>
        <v>50.000045</v>
      </c>
      <c r="J46" s="148">
        <v>3.3000000000000003E-5</v>
      </c>
      <c r="K46" s="148">
        <v>2</v>
      </c>
      <c r="L46" s="397">
        <f t="shared" si="3"/>
        <v>4.4977999999999995E-5</v>
      </c>
      <c r="M46" s="399">
        <f t="shared" si="4"/>
        <v>3.3000000000000003E-5</v>
      </c>
      <c r="N46" s="29">
        <v>-2.1999999999999998E-8</v>
      </c>
      <c r="O46" s="147">
        <v>1.6000000000000001E-4</v>
      </c>
      <c r="P46" s="370">
        <f t="shared" si="5"/>
        <v>12</v>
      </c>
      <c r="S46" s="149"/>
      <c r="AJ46" s="29">
        <v>1E-8</v>
      </c>
      <c r="AK46" s="29">
        <v>2.1999999999999998E-8</v>
      </c>
      <c r="AO46">
        <v>39</v>
      </c>
    </row>
    <row r="47" spans="1:41" ht="15" customHeight="1">
      <c r="A47">
        <v>21</v>
      </c>
      <c r="B47" s="379" t="s">
        <v>292</v>
      </c>
      <c r="C47" s="313" t="s">
        <v>229</v>
      </c>
      <c r="D47" s="146" t="s">
        <v>360</v>
      </c>
      <c r="E47" s="380" t="s">
        <v>1024</v>
      </c>
      <c r="F47" s="147">
        <v>100</v>
      </c>
      <c r="G47" s="392" t="str">
        <f t="shared" si="9"/>
        <v>N/A-100 ,g-04</v>
      </c>
      <c r="H47" s="385">
        <v>-2.4000000000000001E-5</v>
      </c>
      <c r="I47" s="483">
        <f t="shared" si="2"/>
        <v>100.000024</v>
      </c>
      <c r="J47" s="148">
        <v>5.3000000000000001E-5</v>
      </c>
      <c r="K47" s="148">
        <v>2</v>
      </c>
      <c r="L47" s="397">
        <f t="shared" si="3"/>
        <v>2.3975E-5</v>
      </c>
      <c r="M47" s="399">
        <f t="shared" si="4"/>
        <v>5.3000000000000001E-5</v>
      </c>
      <c r="N47" s="29">
        <v>-2.4999999999999999E-8</v>
      </c>
      <c r="O47" s="147">
        <v>2.0000000000000001E-4</v>
      </c>
      <c r="P47" s="370">
        <f t="shared" si="5"/>
        <v>12</v>
      </c>
      <c r="S47" s="149"/>
      <c r="AJ47" s="29">
        <v>4.0000000000000001E-8</v>
      </c>
      <c r="AK47" s="29">
        <v>2.5000000000000002E-8</v>
      </c>
      <c r="AO47">
        <v>40</v>
      </c>
    </row>
    <row r="48" spans="1:41" ht="15" customHeight="1">
      <c r="A48">
        <v>22</v>
      </c>
      <c r="B48" s="379" t="s">
        <v>292</v>
      </c>
      <c r="C48" s="313" t="s">
        <v>229</v>
      </c>
      <c r="D48" s="146" t="s">
        <v>153</v>
      </c>
      <c r="E48" s="380" t="s">
        <v>1025</v>
      </c>
      <c r="F48" s="147">
        <v>200</v>
      </c>
      <c r="G48" s="392" t="str">
        <f t="shared" si="9"/>
        <v>NO-200 ,g-04</v>
      </c>
      <c r="H48" s="385">
        <v>1.7000000000000001E-4</v>
      </c>
      <c r="I48" s="483">
        <f t="shared" si="2"/>
        <v>199.99983</v>
      </c>
      <c r="J48" s="148">
        <v>1E-4</v>
      </c>
      <c r="K48" s="148">
        <v>2</v>
      </c>
      <c r="L48" s="397">
        <f t="shared" si="3"/>
        <v>1.7016600000000002E-4</v>
      </c>
      <c r="M48" s="399">
        <f t="shared" si="4"/>
        <v>1E-4</v>
      </c>
      <c r="N48" s="29">
        <v>-1.66E-7</v>
      </c>
      <c r="O48" s="147">
        <v>2.5000000000000001E-4</v>
      </c>
      <c r="P48" s="370">
        <f t="shared" si="5"/>
        <v>12</v>
      </c>
      <c r="S48" s="149"/>
      <c r="AJ48" s="29">
        <v>0</v>
      </c>
      <c r="AK48" s="29">
        <v>1.66E-7</v>
      </c>
      <c r="AO48">
        <v>41</v>
      </c>
    </row>
    <row r="49" spans="1:41" ht="15" customHeight="1">
      <c r="A49">
        <v>23</v>
      </c>
      <c r="B49" s="379" t="s">
        <v>292</v>
      </c>
      <c r="C49" s="313" t="s">
        <v>229</v>
      </c>
      <c r="D49" s="146" t="s">
        <v>152</v>
      </c>
      <c r="E49" s="380" t="s">
        <v>1025</v>
      </c>
      <c r="F49" s="147">
        <v>200</v>
      </c>
      <c r="G49" s="392" t="str">
        <f t="shared" si="9"/>
        <v>SI-200 ,g-04</v>
      </c>
      <c r="H49" s="385">
        <v>1.7999999999999998E-4</v>
      </c>
      <c r="I49" s="483">
        <f t="shared" si="2"/>
        <v>199.99982</v>
      </c>
      <c r="J49" s="148">
        <v>1E-4</v>
      </c>
      <c r="K49" s="148">
        <v>2</v>
      </c>
      <c r="L49" s="397">
        <f t="shared" si="3"/>
        <v>1.8001299999999997E-4</v>
      </c>
      <c r="M49" s="399">
        <f t="shared" si="4"/>
        <v>1E-4</v>
      </c>
      <c r="N49" s="29">
        <v>-1.3000000000000001E-8</v>
      </c>
      <c r="O49" s="147">
        <v>2.5000000000000001E-4</v>
      </c>
      <c r="P49" s="370">
        <f t="shared" si="5"/>
        <v>12</v>
      </c>
      <c r="S49" s="149"/>
      <c r="AJ49" s="29">
        <v>2E-8</v>
      </c>
      <c r="AK49" s="29">
        <v>1.2999999999999999E-8</v>
      </c>
      <c r="AO49">
        <v>42</v>
      </c>
    </row>
    <row r="50" spans="1:41" ht="15" customHeight="1">
      <c r="A50">
        <v>1</v>
      </c>
      <c r="B50" s="379" t="s">
        <v>292</v>
      </c>
      <c r="C50" s="313" t="s">
        <v>229</v>
      </c>
      <c r="D50" s="146" t="s">
        <v>360</v>
      </c>
      <c r="E50" s="380" t="s">
        <v>1179</v>
      </c>
      <c r="F50" s="147">
        <v>9.9999999999999995E-7</v>
      </c>
      <c r="G50" s="392" t="str">
        <f t="shared" si="9"/>
        <v>N/A-0,000001 ,kg-04</v>
      </c>
      <c r="H50" s="385">
        <v>3.4999999999999999E-9</v>
      </c>
      <c r="I50" s="483">
        <f t="shared" si="2"/>
        <v>9.964999999999999E-7</v>
      </c>
      <c r="J50" s="148">
        <v>2.0000000000000001E-9</v>
      </c>
      <c r="K50" s="148">
        <v>2</v>
      </c>
      <c r="L50" s="397">
        <f t="shared" si="3"/>
        <v>3.3499999999999996E-8</v>
      </c>
      <c r="M50" s="399">
        <f t="shared" si="4"/>
        <v>2.0000000000000001E-9</v>
      </c>
      <c r="N50" s="29">
        <v>-2.9999999999999997E-8</v>
      </c>
      <c r="O50" s="147">
        <v>2.9999999999999997E-4</v>
      </c>
      <c r="P50" s="370">
        <f t="shared" si="5"/>
        <v>12</v>
      </c>
      <c r="S50" s="149"/>
      <c r="AJ50" s="29">
        <v>7.0000000000000005E-8</v>
      </c>
      <c r="AK50" s="29">
        <v>2.9999999999999997E-8</v>
      </c>
      <c r="AO50">
        <v>43</v>
      </c>
    </row>
    <row r="51" spans="1:41" ht="15" customHeight="1">
      <c r="A51">
        <v>2</v>
      </c>
      <c r="B51" s="379" t="s">
        <v>292</v>
      </c>
      <c r="C51" s="313" t="s">
        <v>229</v>
      </c>
      <c r="D51" s="146" t="s">
        <v>153</v>
      </c>
      <c r="E51" s="380" t="s">
        <v>1180</v>
      </c>
      <c r="F51" s="147">
        <v>1.9999999999999999E-6</v>
      </c>
      <c r="G51" s="392" t="str">
        <f t="shared" si="9"/>
        <v>NO-0,000002 ,kg-04</v>
      </c>
      <c r="H51" s="385">
        <v>1.0000000000000001E-9</v>
      </c>
      <c r="I51" s="483">
        <f t="shared" si="2"/>
        <v>1.9989999999999998E-6</v>
      </c>
      <c r="J51" s="148">
        <v>2.0000000000000001E-9</v>
      </c>
      <c r="K51" s="148">
        <v>2</v>
      </c>
      <c r="L51" s="397">
        <f t="shared" si="3"/>
        <v>1.7099999999999998E-7</v>
      </c>
      <c r="M51" s="399">
        <f t="shared" si="4"/>
        <v>2.0000000000000001E-9</v>
      </c>
      <c r="N51" s="29">
        <v>-1.6999999999999999E-7</v>
      </c>
      <c r="O51" s="147">
        <v>5.0000000000000001E-4</v>
      </c>
      <c r="P51" s="370">
        <f t="shared" si="5"/>
        <v>12</v>
      </c>
      <c r="S51" s="149"/>
      <c r="AJ51" s="29">
        <v>1.1999999999999999E-7</v>
      </c>
      <c r="AK51" s="29">
        <v>1.7000000000000001E-7</v>
      </c>
      <c r="AO51">
        <v>44</v>
      </c>
    </row>
    <row r="52" spans="1:41" ht="15" customHeight="1">
      <c r="A52">
        <v>3</v>
      </c>
      <c r="B52" s="379" t="s">
        <v>292</v>
      </c>
      <c r="C52" s="313" t="s">
        <v>229</v>
      </c>
      <c r="D52" s="146" t="s">
        <v>152</v>
      </c>
      <c r="E52" s="380" t="s">
        <v>1180</v>
      </c>
      <c r="F52" s="147">
        <v>1.9999999999999999E-6</v>
      </c>
      <c r="G52" s="392" t="str">
        <f t="shared" si="9"/>
        <v>SI-0,000002 ,kg-04</v>
      </c>
      <c r="H52" s="385">
        <v>-2.7999999999999998E-9</v>
      </c>
      <c r="I52" s="483">
        <f t="shared" si="2"/>
        <v>2.0028000000000001E-6</v>
      </c>
      <c r="J52" s="148">
        <v>2.0000000000000001E-9</v>
      </c>
      <c r="K52" s="148">
        <v>2</v>
      </c>
      <c r="L52" s="397">
        <f t="shared" si="3"/>
        <v>1.7280000000000001E-7</v>
      </c>
      <c r="M52" s="399">
        <f t="shared" si="4"/>
        <v>2.0000000000000001E-9</v>
      </c>
      <c r="N52" s="29">
        <v>1.7000000000000001E-7</v>
      </c>
      <c r="O52" s="147">
        <v>1E-3</v>
      </c>
      <c r="P52" s="370">
        <f t="shared" si="5"/>
        <v>12</v>
      </c>
      <c r="S52" s="149"/>
      <c r="AJ52" s="29">
        <v>1.3000000000000003E-7</v>
      </c>
      <c r="AK52" s="29">
        <v>1.7000000000000001E-7</v>
      </c>
      <c r="AO52">
        <v>45</v>
      </c>
    </row>
    <row r="53" spans="1:41" ht="15" customHeight="1">
      <c r="A53">
        <v>4</v>
      </c>
      <c r="B53" s="379" t="s">
        <v>292</v>
      </c>
      <c r="C53" s="313" t="s">
        <v>229</v>
      </c>
      <c r="D53" s="146" t="s">
        <v>360</v>
      </c>
      <c r="E53" s="380" t="s">
        <v>1181</v>
      </c>
      <c r="F53" s="147">
        <v>5.0000000000000004E-6</v>
      </c>
      <c r="G53" s="392" t="str">
        <f t="shared" si="9"/>
        <v>N/A-0,000005 ,kg-04</v>
      </c>
      <c r="H53" s="385">
        <v>-5.0000000000000003E-10</v>
      </c>
      <c r="I53" s="483">
        <f t="shared" si="2"/>
        <v>5.0005000000000007E-6</v>
      </c>
      <c r="J53" s="148">
        <v>2.0000000000000001E-9</v>
      </c>
      <c r="K53" s="148">
        <v>2</v>
      </c>
      <c r="L53" s="397">
        <f t="shared" si="3"/>
        <v>2.2949999999999998E-7</v>
      </c>
      <c r="M53" s="399">
        <f t="shared" si="4"/>
        <v>2.0000000000000001E-9</v>
      </c>
      <c r="N53" s="29">
        <v>-2.2999999999999999E-7</v>
      </c>
      <c r="O53" s="147">
        <v>1E-3</v>
      </c>
      <c r="P53" s="370">
        <f t="shared" si="5"/>
        <v>12</v>
      </c>
      <c r="S53" s="149"/>
      <c r="AJ53" s="29">
        <v>5.9999999999999995E-8</v>
      </c>
      <c r="AK53" s="29">
        <v>2.2999999999999999E-7</v>
      </c>
      <c r="AO53">
        <v>46</v>
      </c>
    </row>
    <row r="54" spans="1:41" ht="15" customHeight="1">
      <c r="A54">
        <v>5</v>
      </c>
      <c r="B54" s="379" t="s">
        <v>292</v>
      </c>
      <c r="C54" s="313" t="s">
        <v>229</v>
      </c>
      <c r="D54" s="146" t="s">
        <v>360</v>
      </c>
      <c r="E54" s="380" t="s">
        <v>1182</v>
      </c>
      <c r="F54" s="147">
        <v>1.0000000000000001E-5</v>
      </c>
      <c r="G54" s="392" t="str">
        <f t="shared" si="9"/>
        <v>N/A-0,00001 ,kg-04</v>
      </c>
      <c r="H54" s="385">
        <v>3E-10</v>
      </c>
      <c r="I54" s="483">
        <f t="shared" si="2"/>
        <v>9.9997000000000002E-6</v>
      </c>
      <c r="J54" s="148">
        <v>2.7000000000000002E-9</v>
      </c>
      <c r="K54" s="148">
        <v>2</v>
      </c>
      <c r="L54" s="397">
        <f t="shared" si="3"/>
        <v>6.9029999999999998E-7</v>
      </c>
      <c r="M54" s="399">
        <f t="shared" si="4"/>
        <v>2.7000000000000002E-9</v>
      </c>
      <c r="N54" s="29">
        <v>-6.8999999999999996E-7</v>
      </c>
      <c r="O54" s="147">
        <v>2.5000000000000001E-3</v>
      </c>
      <c r="P54" s="370">
        <f t="shared" si="5"/>
        <v>12</v>
      </c>
      <c r="S54" s="149"/>
      <c r="AJ54" s="29">
        <v>2.17E-6</v>
      </c>
      <c r="AK54" s="29">
        <v>6.8999999999999996E-7</v>
      </c>
      <c r="AO54">
        <v>47</v>
      </c>
    </row>
    <row r="55" spans="1:41" ht="15" customHeight="1">
      <c r="A55">
        <v>6</v>
      </c>
      <c r="B55" s="379" t="s">
        <v>292</v>
      </c>
      <c r="C55" s="313" t="s">
        <v>229</v>
      </c>
      <c r="D55" s="146" t="s">
        <v>153</v>
      </c>
      <c r="E55" s="380" t="s">
        <v>1183</v>
      </c>
      <c r="F55" s="147">
        <v>2.0000000000000002E-5</v>
      </c>
      <c r="G55" s="392" t="str">
        <f t="shared" si="9"/>
        <v>NO-0,00002 ,kg-04</v>
      </c>
      <c r="H55" s="385">
        <v>5.0000000000000003E-10</v>
      </c>
      <c r="I55" s="483">
        <f t="shared" si="2"/>
        <v>1.9999500000000001E-5</v>
      </c>
      <c r="J55" s="148">
        <v>3.3000000000000002E-9</v>
      </c>
      <c r="K55" s="148">
        <v>2</v>
      </c>
      <c r="L55" s="397">
        <f t="shared" si="3"/>
        <v>1.2994999999999998E-6</v>
      </c>
      <c r="M55" s="399">
        <f t="shared" si="4"/>
        <v>3.3000000000000002E-9</v>
      </c>
      <c r="N55" s="29">
        <v>1.2999999999999998E-6</v>
      </c>
      <c r="O55" s="147">
        <v>5.0000000000000001E-3</v>
      </c>
      <c r="P55" s="370">
        <f t="shared" si="5"/>
        <v>12</v>
      </c>
      <c r="S55" s="149"/>
      <c r="AJ55" s="29">
        <v>1.2999999999999998E-6</v>
      </c>
      <c r="AK55" s="29">
        <v>1.2999999999999998E-6</v>
      </c>
      <c r="AO55">
        <v>48</v>
      </c>
    </row>
    <row r="56" spans="1:41" ht="15" customHeight="1">
      <c r="A56">
        <v>7</v>
      </c>
      <c r="B56" s="379" t="s">
        <v>292</v>
      </c>
      <c r="C56" s="313" t="s">
        <v>229</v>
      </c>
      <c r="D56" s="146" t="s">
        <v>152</v>
      </c>
      <c r="E56" s="380" t="s">
        <v>1183</v>
      </c>
      <c r="F56" s="147">
        <v>2.0000000000000002E-5</v>
      </c>
      <c r="G56" s="392" t="str">
        <f t="shared" si="9"/>
        <v>SI-0,00002 ,kg-04</v>
      </c>
      <c r="H56" s="385">
        <v>4.4000000000000005E-9</v>
      </c>
      <c r="I56" s="483">
        <f t="shared" si="2"/>
        <v>1.9995600000000002E-5</v>
      </c>
      <c r="J56" s="148">
        <v>3.3000000000000002E-9</v>
      </c>
      <c r="K56" s="148">
        <v>2</v>
      </c>
      <c r="L56" s="397">
        <f t="shared" si="3"/>
        <v>2.2044E-6</v>
      </c>
      <c r="M56" s="399">
        <f t="shared" si="4"/>
        <v>3.3000000000000002E-9</v>
      </c>
      <c r="N56" s="29">
        <v>-2.2000000000000001E-6</v>
      </c>
      <c r="O56" s="147">
        <v>0.01</v>
      </c>
      <c r="P56" s="370">
        <f t="shared" si="5"/>
        <v>12</v>
      </c>
      <c r="S56" s="149"/>
      <c r="AJ56" s="29">
        <v>1.5E-6</v>
      </c>
      <c r="AK56" s="29">
        <v>2.2000000000000001E-6</v>
      </c>
      <c r="AO56">
        <v>49</v>
      </c>
    </row>
    <row r="57" spans="1:41" ht="15" customHeight="1">
      <c r="A57">
        <v>8</v>
      </c>
      <c r="B57" s="379" t="s">
        <v>292</v>
      </c>
      <c r="C57" s="313" t="s">
        <v>229</v>
      </c>
      <c r="D57" s="146" t="s">
        <v>360</v>
      </c>
      <c r="E57" s="380" t="s">
        <v>1184</v>
      </c>
      <c r="F57" s="147">
        <v>5.0000000000000002E-5</v>
      </c>
      <c r="G57" s="392" t="str">
        <f t="shared" si="9"/>
        <v>N/A-0,00005 ,kg-04</v>
      </c>
      <c r="H57" s="386">
        <v>2.2000000000000003E-9</v>
      </c>
      <c r="I57" s="483">
        <f t="shared" si="2"/>
        <v>4.9997800000000004E-5</v>
      </c>
      <c r="J57" s="155">
        <v>4.0000000000000002E-9</v>
      </c>
      <c r="K57" s="155">
        <v>2</v>
      </c>
      <c r="L57" s="397">
        <f t="shared" si="3"/>
        <v>1.2021999999999999E-6</v>
      </c>
      <c r="M57" s="399">
        <f t="shared" si="4"/>
        <v>4.0000000000000002E-9</v>
      </c>
      <c r="N57" s="146">
        <v>-1.1999999999999999E-6</v>
      </c>
      <c r="O57" s="154">
        <v>0.01</v>
      </c>
      <c r="P57" s="370">
        <f t="shared" si="5"/>
        <v>12</v>
      </c>
      <c r="S57" s="149"/>
      <c r="AJ57" s="146">
        <v>1.5E-6</v>
      </c>
      <c r="AK57" s="146">
        <v>1.1999999999999999E-6</v>
      </c>
      <c r="AO57">
        <v>50</v>
      </c>
    </row>
    <row r="58" spans="1:41" ht="15" customHeight="1">
      <c r="A58">
        <v>9</v>
      </c>
      <c r="B58" s="379" t="s">
        <v>292</v>
      </c>
      <c r="C58" s="313" t="s">
        <v>229</v>
      </c>
      <c r="D58" s="146" t="s">
        <v>360</v>
      </c>
      <c r="E58" s="380" t="s">
        <v>1185</v>
      </c>
      <c r="F58" s="147">
        <v>1E-4</v>
      </c>
      <c r="G58" s="392" t="str">
        <f t="shared" si="9"/>
        <v>N/A-0,0001 ,kg-04</v>
      </c>
      <c r="H58" s="386">
        <v>-6.9999999999999996E-10</v>
      </c>
      <c r="I58" s="483">
        <f t="shared" si="2"/>
        <v>1.000007E-4</v>
      </c>
      <c r="J58" s="155">
        <v>5.3000000000000003E-9</v>
      </c>
      <c r="K58" s="155">
        <v>2</v>
      </c>
      <c r="L58" s="397">
        <f t="shared" si="3"/>
        <v>1.11993E-5</v>
      </c>
      <c r="M58" s="399">
        <f t="shared" si="4"/>
        <v>5.3000000000000003E-9</v>
      </c>
      <c r="N58" s="146">
        <v>-1.1199999999999999E-5</v>
      </c>
      <c r="O58" s="154">
        <v>2.5000000000000001E-5</v>
      </c>
      <c r="P58" s="370">
        <f t="shared" si="5"/>
        <v>12</v>
      </c>
      <c r="Q58"/>
      <c r="R58"/>
      <c r="S58" s="29"/>
      <c r="T58"/>
      <c r="U58"/>
      <c r="V58"/>
      <c r="W58"/>
      <c r="X58"/>
      <c r="Y58"/>
      <c r="Z58"/>
      <c r="AA58"/>
      <c r="AJ58" s="146">
        <v>2.1000000000000002E-6</v>
      </c>
      <c r="AK58" s="146">
        <v>1.1199999999999999E-5</v>
      </c>
      <c r="AO58">
        <v>51</v>
      </c>
    </row>
    <row r="59" spans="1:41" ht="15" customHeight="1">
      <c r="A59">
        <v>10</v>
      </c>
      <c r="B59" s="379" t="s">
        <v>292</v>
      </c>
      <c r="C59" s="313" t="s">
        <v>229</v>
      </c>
      <c r="D59" s="146" t="s">
        <v>153</v>
      </c>
      <c r="E59" s="380" t="s">
        <v>1186</v>
      </c>
      <c r="F59" s="147">
        <v>2.0000000000000001E-4</v>
      </c>
      <c r="G59" s="392" t="str">
        <f t="shared" si="9"/>
        <v>NO-0,0002 ,kg-04</v>
      </c>
      <c r="H59" s="146">
        <v>-1.6999999999999999E-9</v>
      </c>
      <c r="I59" s="483">
        <f t="shared" si="2"/>
        <v>2.0000170000000002E-4</v>
      </c>
      <c r="J59" s="155">
        <v>6.7000000000000004E-9</v>
      </c>
      <c r="K59" s="155">
        <v>2</v>
      </c>
      <c r="L59" s="397">
        <f t="shared" si="3"/>
        <v>7.5017000000000005E-6</v>
      </c>
      <c r="M59" s="399">
        <f t="shared" si="4"/>
        <v>6.7000000000000004E-9</v>
      </c>
      <c r="N59" s="146">
        <v>7.5000000000000002E-6</v>
      </c>
      <c r="O59" s="154">
        <v>2.5000000000000001E-5</v>
      </c>
      <c r="P59" s="370">
        <f t="shared" si="5"/>
        <v>12</v>
      </c>
      <c r="S59" s="149"/>
      <c r="AE59" s="177"/>
      <c r="AF59" s="177"/>
      <c r="AJ59" s="146">
        <f>0.9/1000000</f>
        <v>9.0000000000000007E-7</v>
      </c>
      <c r="AK59" s="146">
        <v>7.4999999999999997E-3</v>
      </c>
      <c r="AO59">
        <v>52</v>
      </c>
    </row>
    <row r="60" spans="1:41" ht="15" customHeight="1">
      <c r="A60">
        <v>11</v>
      </c>
      <c r="B60" s="379" t="s">
        <v>292</v>
      </c>
      <c r="C60" s="313" t="s">
        <v>229</v>
      </c>
      <c r="D60" s="146" t="s">
        <v>152</v>
      </c>
      <c r="E60" s="380" t="s">
        <v>1186</v>
      </c>
      <c r="F60" s="147">
        <v>2.0000000000000001E-4</v>
      </c>
      <c r="G60" s="392" t="str">
        <f t="shared" si="9"/>
        <v>SI-0,0002 ,kg-04</v>
      </c>
      <c r="H60" s="146">
        <v>6.9999999999999996E-10</v>
      </c>
      <c r="I60" s="483">
        <f t="shared" si="2"/>
        <v>1.9999930000000001E-4</v>
      </c>
      <c r="J60" s="155">
        <v>6.7000000000000004E-9</v>
      </c>
      <c r="K60" s="155">
        <v>2</v>
      </c>
      <c r="L60" s="397">
        <f t="shared" si="3"/>
        <v>7.4999992999999999E-3</v>
      </c>
      <c r="M60" s="399">
        <f t="shared" si="4"/>
        <v>6.7000000000000004E-9</v>
      </c>
      <c r="N60" s="146">
        <v>7.4999999999999997E-3</v>
      </c>
      <c r="O60" s="154">
        <v>2.5000000000000001E-2</v>
      </c>
      <c r="P60" s="370">
        <f t="shared" si="5"/>
        <v>12</v>
      </c>
      <c r="Q60"/>
      <c r="R60"/>
      <c r="S60" s="29"/>
      <c r="T60"/>
      <c r="U60"/>
      <c r="V60"/>
      <c r="W60"/>
      <c r="X60"/>
      <c r="Y60"/>
      <c r="Z60"/>
      <c r="AA60"/>
      <c r="AJ60" s="146">
        <v>0</v>
      </c>
      <c r="AK60" s="146">
        <v>7.4999999999999993E-6</v>
      </c>
      <c r="AO60">
        <v>53</v>
      </c>
    </row>
    <row r="61" spans="1:41" ht="15" customHeight="1">
      <c r="A61">
        <v>12</v>
      </c>
      <c r="B61" s="379" t="s">
        <v>292</v>
      </c>
      <c r="C61" s="313" t="s">
        <v>229</v>
      </c>
      <c r="D61" s="146" t="s">
        <v>360</v>
      </c>
      <c r="E61" s="380" t="s">
        <v>1187</v>
      </c>
      <c r="F61" s="147">
        <v>5.0000000000000001E-4</v>
      </c>
      <c r="G61" s="392" t="str">
        <f t="shared" si="9"/>
        <v>N/A-0,0005 ,kg-04</v>
      </c>
      <c r="H61" s="146">
        <v>3.7E-9</v>
      </c>
      <c r="I61" s="483">
        <f t="shared" si="2"/>
        <v>4.9999630000000005E-4</v>
      </c>
      <c r="J61" s="155">
        <v>8.2999999999999999E-9</v>
      </c>
      <c r="K61" s="155">
        <v>2</v>
      </c>
      <c r="L61" s="397">
        <f t="shared" si="3"/>
        <v>8.2999999999999999E-9</v>
      </c>
      <c r="M61" s="399">
        <f t="shared" si="4"/>
        <v>8.2999999999999999E-9</v>
      </c>
      <c r="N61" s="146">
        <v>0</v>
      </c>
      <c r="O61" s="445">
        <v>0.05</v>
      </c>
      <c r="P61" s="370">
        <f t="shared" si="5"/>
        <v>12</v>
      </c>
      <c r="Q61"/>
      <c r="R61"/>
      <c r="S61" s="29"/>
      <c r="T61"/>
      <c r="U61"/>
      <c r="V61"/>
      <c r="W61"/>
      <c r="X61"/>
      <c r="Y61"/>
      <c r="Z61"/>
      <c r="AA61"/>
      <c r="AJ61" s="146"/>
      <c r="AK61" s="146"/>
      <c r="AO61">
        <v>54</v>
      </c>
    </row>
    <row r="62" spans="1:41" ht="15" customHeight="1">
      <c r="A62">
        <v>13</v>
      </c>
      <c r="B62" s="379" t="s">
        <v>292</v>
      </c>
      <c r="C62" s="313" t="s">
        <v>229</v>
      </c>
      <c r="D62" s="146" t="s">
        <v>360</v>
      </c>
      <c r="E62" s="380" t="s">
        <v>1188</v>
      </c>
      <c r="F62" s="147">
        <v>1E-3</v>
      </c>
      <c r="G62" s="392" t="str">
        <f t="shared" si="9"/>
        <v>N/A-0,001 ,kg-04</v>
      </c>
      <c r="H62" s="146">
        <v>-8.9999999999999995E-9</v>
      </c>
      <c r="I62" s="483">
        <f t="shared" si="2"/>
        <v>1.0000090000000001E-3</v>
      </c>
      <c r="J62" s="155">
        <v>1E-8</v>
      </c>
      <c r="K62" s="155">
        <v>2</v>
      </c>
      <c r="L62" s="397">
        <f t="shared" si="3"/>
        <v>1E-8</v>
      </c>
      <c r="M62" s="399">
        <f t="shared" si="4"/>
        <v>1E-8</v>
      </c>
      <c r="N62" s="146">
        <v>0</v>
      </c>
      <c r="O62" s="446">
        <v>5.0000000000000002E-5</v>
      </c>
      <c r="P62" s="370">
        <f t="shared" si="5"/>
        <v>12</v>
      </c>
      <c r="Q62"/>
      <c r="R62"/>
      <c r="S62" s="29"/>
      <c r="T62"/>
      <c r="U62"/>
      <c r="V62"/>
      <c r="W62"/>
      <c r="X62"/>
      <c r="Y62"/>
      <c r="Z62"/>
      <c r="AA62"/>
      <c r="AE62" s="177"/>
      <c r="AF62" s="177"/>
      <c r="AJ62" s="146"/>
      <c r="AK62" s="146"/>
      <c r="AO62">
        <v>55</v>
      </c>
    </row>
    <row r="63" spans="1:41" ht="15" customHeight="1">
      <c r="A63">
        <v>14</v>
      </c>
      <c r="B63" s="379" t="s">
        <v>292</v>
      </c>
      <c r="C63" s="313" t="s">
        <v>229</v>
      </c>
      <c r="D63" s="146" t="s">
        <v>153</v>
      </c>
      <c r="E63" s="380" t="s">
        <v>1189</v>
      </c>
      <c r="F63" s="147">
        <v>2E-3</v>
      </c>
      <c r="G63" s="392" t="str">
        <f t="shared" si="9"/>
        <v>NO-0,002 ,kg-04</v>
      </c>
      <c r="H63" s="146">
        <v>-4.0000000000000002E-9</v>
      </c>
      <c r="I63" s="483">
        <f t="shared" si="2"/>
        <v>2.0000040000000001E-3</v>
      </c>
      <c r="J63" s="155">
        <v>1.2999999999999999E-8</v>
      </c>
      <c r="K63" s="155">
        <v>2</v>
      </c>
      <c r="L63" s="397">
        <f t="shared" si="3"/>
        <v>3.0000040000000001E-3</v>
      </c>
      <c r="M63" s="399">
        <f t="shared" si="4"/>
        <v>1.2999999999999999E-8</v>
      </c>
      <c r="N63" s="146">
        <v>3.0000000000000001E-3</v>
      </c>
      <c r="O63" s="355">
        <v>0.1</v>
      </c>
      <c r="P63" s="370">
        <f t="shared" si="5"/>
        <v>12</v>
      </c>
      <c r="S63" s="149"/>
      <c r="AJ63" s="146">
        <v>0</v>
      </c>
      <c r="AK63" s="146">
        <v>3.0000000000000001E-3</v>
      </c>
      <c r="AO63">
        <v>56</v>
      </c>
    </row>
    <row r="64" spans="1:41" ht="15" customHeight="1">
      <c r="A64">
        <v>15</v>
      </c>
      <c r="B64" s="379" t="s">
        <v>292</v>
      </c>
      <c r="C64" s="313" t="s">
        <v>229</v>
      </c>
      <c r="D64" s="146" t="s">
        <v>152</v>
      </c>
      <c r="E64" s="380" t="s">
        <v>1189</v>
      </c>
      <c r="F64" s="147">
        <v>2E-3</v>
      </c>
      <c r="G64" s="392" t="str">
        <f t="shared" si="9"/>
        <v>SI-0,002 ,kg-04</v>
      </c>
      <c r="H64" s="146">
        <v>1E-8</v>
      </c>
      <c r="I64" s="483">
        <f t="shared" si="2"/>
        <v>1.9999900000000001E-3</v>
      </c>
      <c r="J64" s="155">
        <v>1.2999999999999999E-8</v>
      </c>
      <c r="K64" s="155">
        <v>2</v>
      </c>
      <c r="L64" s="397">
        <f t="shared" si="3"/>
        <v>2.9900000000000002E-6</v>
      </c>
      <c r="M64" s="399">
        <f t="shared" si="4"/>
        <v>1.2999999999999999E-8</v>
      </c>
      <c r="N64" s="146">
        <v>3.0000000000000001E-6</v>
      </c>
      <c r="O64" s="355">
        <v>0.1</v>
      </c>
      <c r="P64" s="370">
        <f t="shared" si="5"/>
        <v>12</v>
      </c>
      <c r="S64" s="149"/>
      <c r="AJ64" s="146">
        <v>0</v>
      </c>
      <c r="AK64" s="146">
        <v>3.0000000000000001E-6</v>
      </c>
      <c r="AO64">
        <v>57</v>
      </c>
    </row>
    <row r="65" spans="1:41" s="212" customFormat="1">
      <c r="A65" s="212">
        <v>16</v>
      </c>
      <c r="B65" s="379" t="s">
        <v>292</v>
      </c>
      <c r="C65" s="313" t="s">
        <v>229</v>
      </c>
      <c r="D65" s="146" t="s">
        <v>360</v>
      </c>
      <c r="E65" s="380" t="s">
        <v>1190</v>
      </c>
      <c r="F65" s="147">
        <v>5.0000000000000001E-3</v>
      </c>
      <c r="G65" s="392" t="str">
        <f t="shared" si="9"/>
        <v>N/A-0,005 ,kg-04</v>
      </c>
      <c r="H65" s="317">
        <v>1.2E-8</v>
      </c>
      <c r="I65" s="483">
        <f t="shared" si="2"/>
        <v>4.9999880000000003E-3</v>
      </c>
      <c r="J65" s="321">
        <v>1.7E-8</v>
      </c>
      <c r="K65" s="321">
        <v>2</v>
      </c>
      <c r="L65" s="397">
        <f t="shared" si="3"/>
        <v>1.9879999999999999E-6</v>
      </c>
      <c r="M65" s="399">
        <f t="shared" si="4"/>
        <v>1.7E-8</v>
      </c>
      <c r="N65" s="317">
        <v>1.9999999999999999E-6</v>
      </c>
      <c r="O65" s="188">
        <v>2.5000000000000001E-4</v>
      </c>
      <c r="P65" s="370">
        <f t="shared" si="5"/>
        <v>12</v>
      </c>
      <c r="Q65" s="319" t="s">
        <v>253</v>
      </c>
      <c r="R65" s="319">
        <v>2500</v>
      </c>
      <c r="S65" s="320" t="str">
        <f t="shared" si="6"/>
        <v>2500-05</v>
      </c>
      <c r="T65" s="319"/>
      <c r="U65" s="319"/>
      <c r="V65" s="319"/>
      <c r="W65" s="319"/>
      <c r="X65" s="319"/>
      <c r="Y65" s="319"/>
      <c r="Z65" s="319"/>
      <c r="AA65" s="319"/>
      <c r="AB65"/>
      <c r="AC65"/>
      <c r="AD65"/>
      <c r="AE65"/>
      <c r="AF65"/>
      <c r="AG65"/>
      <c r="AH65"/>
      <c r="AJ65" s="317">
        <f>0.9/1000000</f>
        <v>9.0000000000000007E-7</v>
      </c>
      <c r="AK65" s="188">
        <f>0.004/1000</f>
        <v>3.9999999999999998E-6</v>
      </c>
      <c r="AO65">
        <v>58</v>
      </c>
    </row>
    <row r="66" spans="1:41">
      <c r="A66">
        <v>17</v>
      </c>
      <c r="B66" s="379" t="s">
        <v>292</v>
      </c>
      <c r="C66" s="313" t="s">
        <v>229</v>
      </c>
      <c r="D66" s="146" t="s">
        <v>360</v>
      </c>
      <c r="E66" s="380" t="s">
        <v>1191</v>
      </c>
      <c r="F66" s="147">
        <v>0.01</v>
      </c>
      <c r="G66" s="392" t="str">
        <f t="shared" ref="G66:G96" si="10">+CONCATENATE(D66,"-",E66,"-",MID(C66,12,2))</f>
        <v>N/A-0,01 ,kg-04</v>
      </c>
      <c r="H66" s="29">
        <v>-2E-8</v>
      </c>
      <c r="I66" s="483">
        <f t="shared" si="2"/>
        <v>1.000002E-2</v>
      </c>
      <c r="J66" s="148">
        <v>2E-8</v>
      </c>
      <c r="K66" s="148">
        <v>2</v>
      </c>
      <c r="L66" s="397">
        <f t="shared" si="3"/>
        <v>1.0020000000000001E-5</v>
      </c>
      <c r="M66" s="399">
        <f t="shared" si="4"/>
        <v>2E-8</v>
      </c>
      <c r="N66" s="29">
        <v>1.0000000000000001E-5</v>
      </c>
      <c r="O66" s="23">
        <v>5.0000000000000001E-4</v>
      </c>
      <c r="P66" s="370">
        <f t="shared" si="5"/>
        <v>12</v>
      </c>
      <c r="Q66" s="141" t="s">
        <v>254</v>
      </c>
      <c r="R66" s="141">
        <v>2600</v>
      </c>
      <c r="S66" s="149" t="str">
        <f t="shared" si="6"/>
        <v>2600-05</v>
      </c>
      <c r="AJ66" s="23">
        <f>0.01/1000</f>
        <v>1.0000000000000001E-5</v>
      </c>
      <c r="AK66" s="23">
        <f>0.01/1000</f>
        <v>1.0000000000000001E-5</v>
      </c>
      <c r="AO66">
        <v>59</v>
      </c>
    </row>
    <row r="67" spans="1:41">
      <c r="A67">
        <v>18</v>
      </c>
      <c r="B67" s="379" t="s">
        <v>292</v>
      </c>
      <c r="C67" s="313" t="s">
        <v>229</v>
      </c>
      <c r="D67" s="146" t="s">
        <v>153</v>
      </c>
      <c r="E67" s="380" t="s">
        <v>1192</v>
      </c>
      <c r="F67" s="147">
        <v>0.02</v>
      </c>
      <c r="G67" s="392" t="str">
        <f t="shared" si="10"/>
        <v>NO-0,02 ,kg-04</v>
      </c>
      <c r="H67" s="29">
        <v>-1E-8</v>
      </c>
      <c r="I67" s="483">
        <f t="shared" si="2"/>
        <v>2.0000010000000002E-2</v>
      </c>
      <c r="J67" s="148">
        <v>2.7E-8</v>
      </c>
      <c r="K67" s="148">
        <v>2</v>
      </c>
      <c r="L67" s="397">
        <f t="shared" si="3"/>
        <v>8.0010000000000001E-5</v>
      </c>
      <c r="M67" s="399">
        <f t="shared" si="4"/>
        <v>2.7E-8</v>
      </c>
      <c r="N67" s="29">
        <v>8.0000000000000007E-5</v>
      </c>
      <c r="O67" s="338">
        <v>1E-3</v>
      </c>
      <c r="P67" s="370">
        <f t="shared" si="5"/>
        <v>12</v>
      </c>
      <c r="Q67" s="141" t="s">
        <v>255</v>
      </c>
      <c r="R67" s="141">
        <v>2700</v>
      </c>
      <c r="S67" s="149" t="str">
        <f t="shared" si="6"/>
        <v>2700-05</v>
      </c>
      <c r="AJ67" s="23">
        <f>0.06/1000</f>
        <v>5.9999999999999995E-5</v>
      </c>
      <c r="AK67" s="23">
        <f>0.09/1000</f>
        <v>8.9999999999999992E-5</v>
      </c>
      <c r="AO67">
        <v>60</v>
      </c>
    </row>
    <row r="68" spans="1:41">
      <c r="A68">
        <v>19</v>
      </c>
      <c r="B68" s="379" t="s">
        <v>292</v>
      </c>
      <c r="C68" s="313" t="s">
        <v>229</v>
      </c>
      <c r="D68" s="146" t="s">
        <v>152</v>
      </c>
      <c r="E68" s="380" t="s">
        <v>1192</v>
      </c>
      <c r="F68" s="147">
        <v>0.02</v>
      </c>
      <c r="G68" s="392" t="str">
        <f t="shared" si="10"/>
        <v>SI-0,02 ,kg-04</v>
      </c>
      <c r="H68" s="29">
        <v>-4.0000000000000002E-9</v>
      </c>
      <c r="I68" s="483">
        <f t="shared" si="2"/>
        <v>2.0000004000000002E-2</v>
      </c>
      <c r="J68" s="148">
        <v>2.7E-8</v>
      </c>
      <c r="K68" s="148">
        <v>2</v>
      </c>
      <c r="L68" s="397">
        <f t="shared" si="3"/>
        <v>8.0004000000000002E-5</v>
      </c>
      <c r="M68" s="399">
        <f t="shared" si="4"/>
        <v>2.7E-8</v>
      </c>
      <c r="N68" s="29">
        <v>8.0000000000000007E-5</v>
      </c>
      <c r="O68" s="338">
        <v>1E-3</v>
      </c>
      <c r="P68" s="370">
        <f t="shared" si="5"/>
        <v>12</v>
      </c>
      <c r="Q68" s="141" t="s">
        <v>256</v>
      </c>
      <c r="R68" s="141">
        <v>2800</v>
      </c>
      <c r="S68" s="149" t="str">
        <f t="shared" si="6"/>
        <v>2800-05</v>
      </c>
      <c r="AJ68" s="23">
        <f>0.07/1000</f>
        <v>7.0000000000000007E-5</v>
      </c>
      <c r="AK68" s="23">
        <f t="shared" ref="AK68:AK96" si="11">0.09/1000</f>
        <v>8.9999999999999992E-5</v>
      </c>
      <c r="AO68">
        <v>61</v>
      </c>
    </row>
    <row r="69" spans="1:41">
      <c r="A69">
        <v>20</v>
      </c>
      <c r="B69" s="379" t="s">
        <v>292</v>
      </c>
      <c r="C69" s="313" t="s">
        <v>229</v>
      </c>
      <c r="D69" s="146" t="s">
        <v>360</v>
      </c>
      <c r="E69" s="380" t="s">
        <v>1193</v>
      </c>
      <c r="F69" s="147">
        <v>0.05</v>
      </c>
      <c r="G69" s="392" t="str">
        <f t="shared" si="10"/>
        <v>N/A-0,05 ,kg-04</v>
      </c>
      <c r="H69" s="340">
        <v>-4.4999999999999999E-8</v>
      </c>
      <c r="I69" s="483">
        <f t="shared" ref="I69:I132" si="12">F69-H69</f>
        <v>5.0000045E-2</v>
      </c>
      <c r="J69" s="148">
        <v>3.3000000000000004E-8</v>
      </c>
      <c r="K69" s="148">
        <v>2</v>
      </c>
      <c r="L69" s="397">
        <f t="shared" ref="L69:L132" si="13">IF(AND(B69="E2",N69&lt;&gt;0),ABS(H69-N69),M69)</f>
        <v>8.004500000000001E-5</v>
      </c>
      <c r="M69" s="399">
        <f t="shared" ref="M69:M132" si="14">J69</f>
        <v>3.3000000000000004E-8</v>
      </c>
      <c r="N69" s="29">
        <v>8.0000000000000007E-5</v>
      </c>
      <c r="O69" s="338">
        <v>1E-3</v>
      </c>
      <c r="P69" s="370">
        <f t="shared" ref="P69:P132" si="15">VLOOKUP(C69,$AB$4:$AI$25,8,FALSE)</f>
        <v>12</v>
      </c>
      <c r="Q69" s="141" t="s">
        <v>257</v>
      </c>
      <c r="R69" s="141">
        <v>2900</v>
      </c>
      <c r="S69" s="149" t="str">
        <f t="shared" si="6"/>
        <v>2900-05</v>
      </c>
      <c r="AJ69" s="23">
        <f>0.07/1000</f>
        <v>7.0000000000000007E-5</v>
      </c>
      <c r="AK69" s="23">
        <f t="shared" si="11"/>
        <v>8.9999999999999992E-5</v>
      </c>
      <c r="AO69">
        <v>62</v>
      </c>
    </row>
    <row r="70" spans="1:41">
      <c r="A70">
        <v>21</v>
      </c>
      <c r="B70" s="379" t="s">
        <v>292</v>
      </c>
      <c r="C70" s="313" t="s">
        <v>229</v>
      </c>
      <c r="D70" s="146" t="s">
        <v>360</v>
      </c>
      <c r="E70" s="380" t="s">
        <v>1194</v>
      </c>
      <c r="F70" s="147">
        <v>0.1</v>
      </c>
      <c r="G70" s="392" t="str">
        <f t="shared" si="10"/>
        <v>N/A-0,1 ,kg-04</v>
      </c>
      <c r="H70" s="29">
        <v>-2.4E-8</v>
      </c>
      <c r="I70" s="483">
        <f t="shared" si="12"/>
        <v>0.10000002400000001</v>
      </c>
      <c r="J70" s="148">
        <v>5.2999999999999998E-8</v>
      </c>
      <c r="K70" s="148">
        <v>2</v>
      </c>
      <c r="L70" s="397">
        <f t="shared" si="13"/>
        <v>8.0024000000000005E-5</v>
      </c>
      <c r="M70" s="399">
        <f t="shared" si="14"/>
        <v>5.2999999999999998E-8</v>
      </c>
      <c r="N70" s="29">
        <v>8.0000000000000007E-5</v>
      </c>
      <c r="O70" s="335">
        <v>1E-3</v>
      </c>
      <c r="P70" s="370">
        <f t="shared" si="15"/>
        <v>12</v>
      </c>
      <c r="Q70" s="141" t="s">
        <v>258</v>
      </c>
      <c r="R70" s="141">
        <v>3000</v>
      </c>
      <c r="S70" s="149" t="str">
        <f t="shared" si="6"/>
        <v>3000-05</v>
      </c>
      <c r="AB70" s="212"/>
      <c r="AC70" s="212"/>
      <c r="AD70" s="212"/>
      <c r="AE70" s="212"/>
      <c r="AF70" s="212"/>
      <c r="AG70" s="212"/>
      <c r="AH70" s="212"/>
      <c r="AJ70" s="23">
        <v>7.0000000000000007E-5</v>
      </c>
      <c r="AK70" s="23">
        <f t="shared" si="11"/>
        <v>8.9999999999999992E-5</v>
      </c>
      <c r="AO70">
        <v>63</v>
      </c>
    </row>
    <row r="71" spans="1:41">
      <c r="A71">
        <v>22</v>
      </c>
      <c r="B71" s="379" t="s">
        <v>292</v>
      </c>
      <c r="C71" s="313" t="s">
        <v>229</v>
      </c>
      <c r="D71" s="146" t="s">
        <v>153</v>
      </c>
      <c r="E71" s="380" t="s">
        <v>1195</v>
      </c>
      <c r="F71" s="147">
        <v>0.2</v>
      </c>
      <c r="G71" s="392" t="str">
        <f t="shared" si="10"/>
        <v>NO-0,2 ,kg-04</v>
      </c>
      <c r="H71" s="29">
        <v>1.7000000000000001E-7</v>
      </c>
      <c r="I71" s="483">
        <f t="shared" si="12"/>
        <v>0.19999983000000002</v>
      </c>
      <c r="J71" s="148">
        <v>1.0000000000000001E-7</v>
      </c>
      <c r="K71" s="148">
        <v>2</v>
      </c>
      <c r="L71" s="397">
        <f t="shared" si="13"/>
        <v>7.9830000000000013E-5</v>
      </c>
      <c r="M71" s="399">
        <f t="shared" si="14"/>
        <v>1.0000000000000001E-7</v>
      </c>
      <c r="N71" s="29">
        <v>8.0000000000000007E-5</v>
      </c>
      <c r="O71" s="338">
        <v>1E-3</v>
      </c>
      <c r="P71" s="370">
        <f t="shared" si="15"/>
        <v>12</v>
      </c>
      <c r="Q71" s="141" t="s">
        <v>259</v>
      </c>
      <c r="R71" s="141">
        <v>3100</v>
      </c>
      <c r="S71" s="149" t="str">
        <f t="shared" si="6"/>
        <v>3100-05</v>
      </c>
      <c r="AJ71" s="23">
        <v>7.0000000000000007E-5</v>
      </c>
      <c r="AK71" s="23">
        <f t="shared" si="11"/>
        <v>8.9999999999999992E-5</v>
      </c>
      <c r="AO71">
        <v>64</v>
      </c>
    </row>
    <row r="72" spans="1:41">
      <c r="A72">
        <v>23</v>
      </c>
      <c r="B72" s="379" t="s">
        <v>292</v>
      </c>
      <c r="C72" s="313" t="s">
        <v>229</v>
      </c>
      <c r="D72" s="146" t="s">
        <v>152</v>
      </c>
      <c r="E72" s="380" t="s">
        <v>1195</v>
      </c>
      <c r="F72" s="147">
        <v>0.2</v>
      </c>
      <c r="G72" s="392" t="str">
        <f t="shared" si="10"/>
        <v>SI-0,2 ,kg-04</v>
      </c>
      <c r="H72" s="29">
        <v>1.8E-7</v>
      </c>
      <c r="I72" s="483">
        <f t="shared" si="12"/>
        <v>0.19999982000000002</v>
      </c>
      <c r="J72" s="148">
        <v>1.0000000000000001E-7</v>
      </c>
      <c r="K72" s="148">
        <v>2</v>
      </c>
      <c r="L72" s="397">
        <f t="shared" si="13"/>
        <v>8.981999999999999E-5</v>
      </c>
      <c r="M72" s="399">
        <f t="shared" si="14"/>
        <v>1.0000000000000001E-7</v>
      </c>
      <c r="N72" s="29">
        <v>8.9999999999999992E-5</v>
      </c>
      <c r="O72" s="338">
        <v>1E-3</v>
      </c>
      <c r="P72" s="370">
        <f t="shared" si="15"/>
        <v>12</v>
      </c>
      <c r="Q72" s="141" t="s">
        <v>260</v>
      </c>
      <c r="R72" s="141">
        <v>3200</v>
      </c>
      <c r="S72" s="149" t="str">
        <f t="shared" si="6"/>
        <v>3200-05</v>
      </c>
      <c r="AJ72" s="23">
        <v>8.0000000000000007E-5</v>
      </c>
      <c r="AK72" s="23">
        <f t="shared" si="11"/>
        <v>8.9999999999999992E-5</v>
      </c>
      <c r="AO72">
        <v>65</v>
      </c>
    </row>
    <row r="73" spans="1:41">
      <c r="A73">
        <v>1</v>
      </c>
      <c r="B73" s="379" t="s">
        <v>292</v>
      </c>
      <c r="C73" s="313" t="s">
        <v>1092</v>
      </c>
      <c r="D73" s="146" t="s">
        <v>1208</v>
      </c>
      <c r="E73" s="380" t="s">
        <v>1118</v>
      </c>
      <c r="F73" s="147">
        <v>1</v>
      </c>
      <c r="G73" s="392" t="str">
        <f t="shared" si="10"/>
        <v>N /A-1 ,mg-19</v>
      </c>
      <c r="H73" s="29">
        <v>-6.9999999999999999E-4</v>
      </c>
      <c r="I73" s="483">
        <f t="shared" si="12"/>
        <v>1.0006999999999999</v>
      </c>
      <c r="J73" s="148">
        <v>2E-3</v>
      </c>
      <c r="K73" s="148">
        <v>2</v>
      </c>
      <c r="L73" s="397">
        <f t="shared" si="13"/>
        <v>7.9000000000000001E-4</v>
      </c>
      <c r="M73" s="399">
        <f t="shared" si="14"/>
        <v>2E-3</v>
      </c>
      <c r="N73" s="29">
        <v>8.9999999999999992E-5</v>
      </c>
      <c r="O73" s="338">
        <v>1E-3</v>
      </c>
      <c r="P73" s="370">
        <f t="shared" si="15"/>
        <v>9</v>
      </c>
      <c r="Q73" s="141" t="s">
        <v>261</v>
      </c>
      <c r="R73" s="141">
        <v>3300</v>
      </c>
      <c r="S73" s="149" t="str">
        <f t="shared" si="6"/>
        <v>3300-05</v>
      </c>
      <c r="AJ73" s="23">
        <v>7.0000000000000007E-5</v>
      </c>
      <c r="AK73" s="23">
        <f t="shared" si="11"/>
        <v>8.9999999999999992E-5</v>
      </c>
      <c r="AO73">
        <v>66</v>
      </c>
    </row>
    <row r="74" spans="1:41">
      <c r="A74">
        <v>2</v>
      </c>
      <c r="B74" s="379" t="s">
        <v>292</v>
      </c>
      <c r="C74" s="313" t="s">
        <v>1092</v>
      </c>
      <c r="D74" s="146" t="s">
        <v>1209</v>
      </c>
      <c r="E74" s="380" t="s">
        <v>1119</v>
      </c>
      <c r="F74" s="147">
        <v>2</v>
      </c>
      <c r="G74" s="392" t="str">
        <f t="shared" si="10"/>
        <v>N O-2 ,mg-19</v>
      </c>
      <c r="H74" s="29">
        <v>-3.5000000000000001E-3</v>
      </c>
      <c r="I74" s="483">
        <f t="shared" si="12"/>
        <v>2.0034999999999998</v>
      </c>
      <c r="J74" s="148">
        <v>2E-3</v>
      </c>
      <c r="K74" s="148">
        <v>2</v>
      </c>
      <c r="L74" s="397">
        <f t="shared" si="13"/>
        <v>3.5899999999999999E-3</v>
      </c>
      <c r="M74" s="399">
        <f t="shared" si="14"/>
        <v>2E-3</v>
      </c>
      <c r="N74" s="29">
        <v>8.9999999999999992E-5</v>
      </c>
      <c r="O74" s="338">
        <v>1E-3</v>
      </c>
      <c r="P74" s="370">
        <f t="shared" si="15"/>
        <v>9</v>
      </c>
      <c r="Q74" s="141" t="s">
        <v>262</v>
      </c>
      <c r="R74" s="141">
        <v>3400</v>
      </c>
      <c r="S74" s="149" t="str">
        <f t="shared" si="6"/>
        <v>3400-05</v>
      </c>
      <c r="AJ74" s="23">
        <v>7.0000000000000007E-5</v>
      </c>
      <c r="AK74" s="23">
        <f t="shared" si="11"/>
        <v>8.9999999999999992E-5</v>
      </c>
      <c r="AO74">
        <v>67</v>
      </c>
    </row>
    <row r="75" spans="1:41">
      <c r="A75">
        <v>3</v>
      </c>
      <c r="B75" s="379" t="s">
        <v>292</v>
      </c>
      <c r="C75" s="313" t="s">
        <v>1092</v>
      </c>
      <c r="D75" s="146" t="s">
        <v>1210</v>
      </c>
      <c r="E75" s="380" t="s">
        <v>1119</v>
      </c>
      <c r="F75" s="147">
        <v>2</v>
      </c>
      <c r="G75" s="392" t="str">
        <f t="shared" si="10"/>
        <v>S I-2 ,mg-19</v>
      </c>
      <c r="H75" s="29">
        <v>-3.0000000000000001E-3</v>
      </c>
      <c r="I75" s="483">
        <f t="shared" si="12"/>
        <v>2.0030000000000001</v>
      </c>
      <c r="J75" s="148">
        <v>2E-3</v>
      </c>
      <c r="K75" s="148">
        <v>2</v>
      </c>
      <c r="L75" s="397">
        <f t="shared" si="13"/>
        <v>3.0899999999999999E-3</v>
      </c>
      <c r="M75" s="399">
        <f t="shared" si="14"/>
        <v>2E-3</v>
      </c>
      <c r="N75" s="29">
        <v>8.9999999999999992E-5</v>
      </c>
      <c r="O75" s="338">
        <v>1E-3</v>
      </c>
      <c r="P75" s="370">
        <f t="shared" si="15"/>
        <v>9</v>
      </c>
      <c r="Q75" s="141" t="s">
        <v>263</v>
      </c>
      <c r="R75" s="141">
        <v>3500</v>
      </c>
      <c r="S75" s="149" t="str">
        <f t="shared" si="6"/>
        <v>3500-05</v>
      </c>
      <c r="AJ75" s="23">
        <v>8.0000000000000007E-5</v>
      </c>
      <c r="AK75" s="23">
        <f t="shared" si="11"/>
        <v>8.9999999999999992E-5</v>
      </c>
      <c r="AO75">
        <v>68</v>
      </c>
    </row>
    <row r="76" spans="1:41">
      <c r="A76">
        <v>4</v>
      </c>
      <c r="B76" s="379" t="s">
        <v>292</v>
      </c>
      <c r="C76" s="313" t="s">
        <v>1092</v>
      </c>
      <c r="D76" s="146" t="s">
        <v>1208</v>
      </c>
      <c r="E76" s="380" t="s">
        <v>1120</v>
      </c>
      <c r="F76" s="147">
        <v>5</v>
      </c>
      <c r="G76" s="392" t="str">
        <f t="shared" si="10"/>
        <v>N /A-5 ,mg-19</v>
      </c>
      <c r="H76" s="29">
        <v>-4.7999999999999996E-3</v>
      </c>
      <c r="I76" s="483">
        <f t="shared" si="12"/>
        <v>5.0048000000000004</v>
      </c>
      <c r="J76" s="148">
        <v>2E-3</v>
      </c>
      <c r="K76" s="148">
        <v>2</v>
      </c>
      <c r="L76" s="397">
        <f t="shared" si="13"/>
        <v>4.8899999999999994E-3</v>
      </c>
      <c r="M76" s="399">
        <f t="shared" si="14"/>
        <v>2E-3</v>
      </c>
      <c r="N76" s="29">
        <v>8.9999999999999992E-5</v>
      </c>
      <c r="O76" s="338">
        <v>1E-3</v>
      </c>
      <c r="P76" s="370">
        <f t="shared" si="15"/>
        <v>9</v>
      </c>
      <c r="Q76" s="141" t="s">
        <v>264</v>
      </c>
      <c r="R76" s="141">
        <v>3600</v>
      </c>
      <c r="S76" s="149" t="str">
        <f t="shared" si="6"/>
        <v>3600-05</v>
      </c>
      <c r="AJ76" s="23">
        <v>8.9999999999999992E-5</v>
      </c>
      <c r="AK76" s="23">
        <f t="shared" si="11"/>
        <v>8.9999999999999992E-5</v>
      </c>
      <c r="AO76">
        <v>69</v>
      </c>
    </row>
    <row r="77" spans="1:41">
      <c r="A77">
        <v>5</v>
      </c>
      <c r="B77" s="379" t="s">
        <v>292</v>
      </c>
      <c r="C77" s="313" t="s">
        <v>1092</v>
      </c>
      <c r="D77" s="146" t="s">
        <v>1208</v>
      </c>
      <c r="E77" s="380" t="s">
        <v>1121</v>
      </c>
      <c r="F77" s="147">
        <v>10</v>
      </c>
      <c r="G77" s="392" t="str">
        <f t="shared" si="10"/>
        <v>N /A-10 ,mg-19</v>
      </c>
      <c r="H77" s="29">
        <v>-8.5000000000000006E-3</v>
      </c>
      <c r="I77" s="483">
        <f t="shared" si="12"/>
        <v>10.0085</v>
      </c>
      <c r="J77" s="148">
        <v>2.7000000000000001E-3</v>
      </c>
      <c r="K77" s="148">
        <v>2</v>
      </c>
      <c r="L77" s="397">
        <f t="shared" si="13"/>
        <v>8.5900000000000004E-3</v>
      </c>
      <c r="M77" s="399">
        <f t="shared" si="14"/>
        <v>2.7000000000000001E-3</v>
      </c>
      <c r="N77" s="29">
        <v>8.9999999999999992E-5</v>
      </c>
      <c r="O77" s="338">
        <v>1E-3</v>
      </c>
      <c r="P77" s="370">
        <f t="shared" si="15"/>
        <v>9</v>
      </c>
      <c r="Q77" s="141" t="s">
        <v>265</v>
      </c>
      <c r="R77" s="141">
        <v>3700</v>
      </c>
      <c r="S77" s="149" t="str">
        <f t="shared" ref="S77:S96" si="16">+CONCATENATE(R77,"-",MID($Q$1,12,2))</f>
        <v>3700-05</v>
      </c>
      <c r="AJ77" s="23">
        <v>7.0000000000000007E-5</v>
      </c>
      <c r="AK77" s="23">
        <f t="shared" si="11"/>
        <v>8.9999999999999992E-5</v>
      </c>
      <c r="AO77">
        <v>70</v>
      </c>
    </row>
    <row r="78" spans="1:41">
      <c r="A78">
        <v>6</v>
      </c>
      <c r="B78" s="379" t="s">
        <v>292</v>
      </c>
      <c r="C78" s="313" t="s">
        <v>1092</v>
      </c>
      <c r="D78" s="146" t="s">
        <v>1209</v>
      </c>
      <c r="E78" s="380" t="s">
        <v>1122</v>
      </c>
      <c r="F78" s="147">
        <v>20</v>
      </c>
      <c r="G78" s="392" t="str">
        <f t="shared" si="10"/>
        <v>N O-20 ,mg-19</v>
      </c>
      <c r="H78" s="29">
        <v>-1.55E-2</v>
      </c>
      <c r="I78" s="483">
        <f t="shared" si="12"/>
        <v>20.015499999999999</v>
      </c>
      <c r="J78" s="148">
        <v>3.3E-3</v>
      </c>
      <c r="K78" s="148">
        <v>2</v>
      </c>
      <c r="L78" s="397">
        <f t="shared" si="13"/>
        <v>1.5570000000000001E-2</v>
      </c>
      <c r="M78" s="399">
        <f t="shared" si="14"/>
        <v>3.3E-3</v>
      </c>
      <c r="N78" s="29">
        <v>7.0000000000000007E-5</v>
      </c>
      <c r="O78" s="338">
        <v>1E-3</v>
      </c>
      <c r="P78" s="370">
        <f t="shared" si="15"/>
        <v>9</v>
      </c>
      <c r="S78" s="149"/>
      <c r="AJ78" s="23">
        <v>7.0000000000000007E-5</v>
      </c>
      <c r="AK78" s="23">
        <f t="shared" si="11"/>
        <v>8.9999999999999992E-5</v>
      </c>
      <c r="AO78">
        <v>71</v>
      </c>
    </row>
    <row r="79" spans="1:41">
      <c r="A79">
        <v>7</v>
      </c>
      <c r="B79" s="379" t="s">
        <v>292</v>
      </c>
      <c r="C79" s="313" t="s">
        <v>1092</v>
      </c>
      <c r="D79" s="146" t="s">
        <v>1210</v>
      </c>
      <c r="E79" s="380" t="s">
        <v>1122</v>
      </c>
      <c r="F79" s="147">
        <v>20</v>
      </c>
      <c r="G79" s="392" t="str">
        <f t="shared" si="10"/>
        <v>S I-20 ,mg-19</v>
      </c>
      <c r="H79" s="29">
        <v>-7.6E-3</v>
      </c>
      <c r="I79" s="483">
        <f t="shared" si="12"/>
        <v>20.0076</v>
      </c>
      <c r="J79" s="148">
        <v>3.3E-3</v>
      </c>
      <c r="K79" s="148">
        <v>2</v>
      </c>
      <c r="L79" s="397">
        <f t="shared" si="13"/>
        <v>7.6899999999999998E-3</v>
      </c>
      <c r="M79" s="399">
        <f t="shared" si="14"/>
        <v>3.3E-3</v>
      </c>
      <c r="N79" s="29">
        <v>8.9999999999999992E-5</v>
      </c>
      <c r="O79" s="338">
        <v>1E-3</v>
      </c>
      <c r="P79" s="370">
        <f t="shared" si="15"/>
        <v>9</v>
      </c>
      <c r="Q79" s="141" t="s">
        <v>266</v>
      </c>
      <c r="R79" s="141">
        <v>3800</v>
      </c>
      <c r="S79" s="149" t="str">
        <f t="shared" si="16"/>
        <v>3800-05</v>
      </c>
      <c r="AJ79" s="23">
        <v>7.0000000000000007E-5</v>
      </c>
      <c r="AK79" s="23">
        <f t="shared" si="11"/>
        <v>8.9999999999999992E-5</v>
      </c>
      <c r="AO79">
        <v>72</v>
      </c>
    </row>
    <row r="80" spans="1:41">
      <c r="A80">
        <v>8</v>
      </c>
      <c r="B80" s="379" t="s">
        <v>292</v>
      </c>
      <c r="C80" s="313" t="s">
        <v>1092</v>
      </c>
      <c r="D80" s="146" t="s">
        <v>1208</v>
      </c>
      <c r="E80" s="380" t="s">
        <v>1123</v>
      </c>
      <c r="F80" s="147">
        <v>50</v>
      </c>
      <c r="G80" s="392" t="str">
        <f t="shared" si="10"/>
        <v>N /A-50 ,mg-19</v>
      </c>
      <c r="H80" s="29">
        <v>-5.1999999999999998E-3</v>
      </c>
      <c r="I80" s="483">
        <f t="shared" si="12"/>
        <v>50.005200000000002</v>
      </c>
      <c r="J80" s="148">
        <v>4.0000000000000001E-3</v>
      </c>
      <c r="K80" s="148">
        <v>2</v>
      </c>
      <c r="L80" s="397">
        <f t="shared" si="13"/>
        <v>5.2899999999999996E-3</v>
      </c>
      <c r="M80" s="399">
        <f t="shared" si="14"/>
        <v>4.0000000000000001E-3</v>
      </c>
      <c r="N80" s="29">
        <v>8.9999999999999992E-5</v>
      </c>
      <c r="O80" s="338">
        <v>1E-3</v>
      </c>
      <c r="P80" s="370">
        <f t="shared" si="15"/>
        <v>9</v>
      </c>
      <c r="Q80" s="141" t="s">
        <v>267</v>
      </c>
      <c r="R80" s="141">
        <v>3900</v>
      </c>
      <c r="S80" s="149" t="str">
        <f t="shared" si="16"/>
        <v>3900-05</v>
      </c>
      <c r="AJ80" s="23">
        <v>7.0000000000000007E-5</v>
      </c>
      <c r="AK80" s="23">
        <f t="shared" si="11"/>
        <v>8.9999999999999992E-5</v>
      </c>
      <c r="AO80">
        <v>73</v>
      </c>
    </row>
    <row r="81" spans="1:41">
      <c r="A81">
        <v>9</v>
      </c>
      <c r="B81" s="379" t="s">
        <v>292</v>
      </c>
      <c r="C81" s="313" t="s">
        <v>1092</v>
      </c>
      <c r="D81" s="146" t="s">
        <v>1208</v>
      </c>
      <c r="E81" s="380" t="s">
        <v>1124</v>
      </c>
      <c r="F81" s="147">
        <v>100</v>
      </c>
      <c r="G81" s="392" t="str">
        <f t="shared" si="10"/>
        <v>N /A-100 ,mg-19</v>
      </c>
      <c r="H81" s="29">
        <v>-1.26E-2</v>
      </c>
      <c r="I81" s="483">
        <f t="shared" si="12"/>
        <v>100.01260000000001</v>
      </c>
      <c r="J81" s="148">
        <v>5.3E-3</v>
      </c>
      <c r="K81" s="148">
        <v>2</v>
      </c>
      <c r="L81" s="397">
        <f t="shared" si="13"/>
        <v>1.269E-2</v>
      </c>
      <c r="M81" s="399">
        <f t="shared" si="14"/>
        <v>5.3E-3</v>
      </c>
      <c r="N81" s="29">
        <v>8.9999999999999992E-5</v>
      </c>
      <c r="O81" s="338">
        <v>1E-3</v>
      </c>
      <c r="P81" s="370">
        <f t="shared" si="15"/>
        <v>9</v>
      </c>
      <c r="Q81" s="141" t="s">
        <v>268</v>
      </c>
      <c r="R81" s="141">
        <v>4000</v>
      </c>
      <c r="S81" s="149" t="str">
        <f t="shared" si="16"/>
        <v>4000-05</v>
      </c>
      <c r="AJ81" s="23">
        <v>7.0000000000000007E-5</v>
      </c>
      <c r="AK81" s="23">
        <f t="shared" si="11"/>
        <v>8.9999999999999992E-5</v>
      </c>
      <c r="AO81">
        <v>74</v>
      </c>
    </row>
    <row r="82" spans="1:41">
      <c r="A82">
        <v>10</v>
      </c>
      <c r="B82" s="379" t="s">
        <v>292</v>
      </c>
      <c r="C82" s="313" t="s">
        <v>1092</v>
      </c>
      <c r="D82" s="146" t="s">
        <v>1209</v>
      </c>
      <c r="E82" s="380" t="s">
        <v>1125</v>
      </c>
      <c r="F82" s="147">
        <v>200</v>
      </c>
      <c r="G82" s="392" t="str">
        <f t="shared" si="10"/>
        <v>N O-200 ,mg-19</v>
      </c>
      <c r="H82" s="29">
        <v>-2.3099999999999999E-2</v>
      </c>
      <c r="I82" s="483">
        <f t="shared" si="12"/>
        <v>200.0231</v>
      </c>
      <c r="J82" s="148">
        <v>6.7000000000000002E-3</v>
      </c>
      <c r="K82" s="148">
        <v>2</v>
      </c>
      <c r="L82" s="397">
        <f t="shared" si="13"/>
        <v>2.3189999999999999E-2</v>
      </c>
      <c r="M82" s="399">
        <f t="shared" si="14"/>
        <v>6.7000000000000002E-3</v>
      </c>
      <c r="N82" s="29">
        <v>8.9999999999999992E-5</v>
      </c>
      <c r="O82" s="338">
        <v>1E-3</v>
      </c>
      <c r="P82" s="370">
        <f t="shared" si="15"/>
        <v>9</v>
      </c>
      <c r="Q82" s="141" t="s">
        <v>269</v>
      </c>
      <c r="R82" s="141">
        <v>4100</v>
      </c>
      <c r="S82" s="149" t="str">
        <f t="shared" si="16"/>
        <v>4100-05</v>
      </c>
      <c r="AJ82" s="23">
        <v>8.0000000000000007E-5</v>
      </c>
      <c r="AK82" s="23">
        <f t="shared" si="11"/>
        <v>8.9999999999999992E-5</v>
      </c>
      <c r="AO82">
        <v>75</v>
      </c>
    </row>
    <row r="83" spans="1:41">
      <c r="A83">
        <v>11</v>
      </c>
      <c r="B83" s="379" t="s">
        <v>292</v>
      </c>
      <c r="C83" s="313" t="s">
        <v>1092</v>
      </c>
      <c r="D83" s="146" t="s">
        <v>1210</v>
      </c>
      <c r="E83" s="380" t="s">
        <v>1125</v>
      </c>
      <c r="F83" s="147">
        <v>200</v>
      </c>
      <c r="G83" s="392" t="str">
        <f t="shared" si="10"/>
        <v>S I-200 ,mg-19</v>
      </c>
      <c r="H83" s="29">
        <v>-2.3800000000000002E-2</v>
      </c>
      <c r="I83" s="483">
        <f t="shared" si="12"/>
        <v>200.02379999999999</v>
      </c>
      <c r="J83" s="148">
        <v>6.7000000000000002E-3</v>
      </c>
      <c r="K83" s="148">
        <v>2</v>
      </c>
      <c r="L83" s="397">
        <f t="shared" si="13"/>
        <v>2.3890000000000002E-2</v>
      </c>
      <c r="M83" s="399">
        <f t="shared" si="14"/>
        <v>6.7000000000000002E-3</v>
      </c>
      <c r="N83" s="29">
        <v>8.9999999999999992E-5</v>
      </c>
      <c r="O83" s="338">
        <v>1E-3</v>
      </c>
      <c r="P83" s="370">
        <f t="shared" si="15"/>
        <v>9</v>
      </c>
      <c r="Q83" s="141" t="s">
        <v>270</v>
      </c>
      <c r="R83" s="141">
        <v>4200</v>
      </c>
      <c r="S83" s="149" t="str">
        <f t="shared" si="16"/>
        <v>4200-05</v>
      </c>
      <c r="AJ83" s="23">
        <v>7.0000000000000007E-5</v>
      </c>
      <c r="AK83" s="23">
        <f t="shared" si="11"/>
        <v>8.9999999999999992E-5</v>
      </c>
      <c r="AO83">
        <v>76</v>
      </c>
    </row>
    <row r="84" spans="1:41">
      <c r="A84">
        <v>12</v>
      </c>
      <c r="B84" s="379" t="s">
        <v>292</v>
      </c>
      <c r="C84" s="313" t="s">
        <v>1092</v>
      </c>
      <c r="D84" s="146" t="s">
        <v>1208</v>
      </c>
      <c r="E84" s="380" t="s">
        <v>1126</v>
      </c>
      <c r="F84" s="147">
        <v>500</v>
      </c>
      <c r="G84" s="392" t="str">
        <f t="shared" si="10"/>
        <v>N /A-500 ,mg-19</v>
      </c>
      <c r="H84" s="29">
        <v>-1.9099999999999999E-2</v>
      </c>
      <c r="I84" s="483">
        <f t="shared" si="12"/>
        <v>500.01909999999998</v>
      </c>
      <c r="J84" s="148">
        <v>8.3000000000000001E-3</v>
      </c>
      <c r="K84" s="148">
        <v>2</v>
      </c>
      <c r="L84" s="397">
        <f t="shared" si="13"/>
        <v>1.9189999999999999E-2</v>
      </c>
      <c r="M84" s="399">
        <f t="shared" si="14"/>
        <v>8.3000000000000001E-3</v>
      </c>
      <c r="N84" s="29">
        <v>8.9999999999999992E-5</v>
      </c>
      <c r="O84" s="338">
        <v>1E-3</v>
      </c>
      <c r="P84" s="370">
        <f t="shared" si="15"/>
        <v>9</v>
      </c>
      <c r="Q84" s="141" t="s">
        <v>271</v>
      </c>
      <c r="R84" s="141">
        <v>4300</v>
      </c>
      <c r="S84" s="149" t="str">
        <f t="shared" si="16"/>
        <v>4300-05</v>
      </c>
      <c r="AJ84" s="23">
        <v>8.9999999999999992E-5</v>
      </c>
      <c r="AK84" s="23">
        <f t="shared" si="11"/>
        <v>8.9999999999999992E-5</v>
      </c>
      <c r="AO84">
        <v>77</v>
      </c>
    </row>
    <row r="85" spans="1:41">
      <c r="A85">
        <v>13</v>
      </c>
      <c r="B85" s="379" t="s">
        <v>292</v>
      </c>
      <c r="C85" s="313" t="s">
        <v>1092</v>
      </c>
      <c r="D85" s="146" t="s">
        <v>360</v>
      </c>
      <c r="E85" s="380" t="s">
        <v>1127</v>
      </c>
      <c r="F85" s="147">
        <v>1000</v>
      </c>
      <c r="G85" s="392" t="str">
        <f t="shared" si="10"/>
        <v>N/A-1000 ,mg-19</v>
      </c>
      <c r="H85" s="29">
        <v>-1E-100</v>
      </c>
      <c r="I85" s="483">
        <f t="shared" si="12"/>
        <v>1000</v>
      </c>
      <c r="J85" s="148">
        <v>0.01</v>
      </c>
      <c r="K85" s="148">
        <v>2</v>
      </c>
      <c r="L85" s="397">
        <f t="shared" si="13"/>
        <v>8.9999999999999992E-5</v>
      </c>
      <c r="M85" s="399">
        <f t="shared" si="14"/>
        <v>0.01</v>
      </c>
      <c r="N85" s="29">
        <v>8.9999999999999992E-5</v>
      </c>
      <c r="O85" s="338">
        <v>1E-3</v>
      </c>
      <c r="P85" s="370">
        <f t="shared" si="15"/>
        <v>9</v>
      </c>
      <c r="Q85" s="141" t="s">
        <v>272</v>
      </c>
      <c r="R85" s="141">
        <v>4400</v>
      </c>
      <c r="S85" s="149" t="str">
        <f t="shared" si="16"/>
        <v>4400-05</v>
      </c>
      <c r="AJ85" s="23">
        <v>9.0000000000000006E-5</v>
      </c>
      <c r="AK85" s="23">
        <f t="shared" si="11"/>
        <v>8.9999999999999992E-5</v>
      </c>
      <c r="AO85">
        <v>78</v>
      </c>
    </row>
    <row r="86" spans="1:41">
      <c r="A86">
        <v>14</v>
      </c>
      <c r="B86" s="379" t="s">
        <v>292</v>
      </c>
      <c r="C86" s="313" t="s">
        <v>1092</v>
      </c>
      <c r="D86" s="146" t="s">
        <v>153</v>
      </c>
      <c r="E86" s="380" t="s">
        <v>1128</v>
      </c>
      <c r="F86" s="147">
        <v>2000</v>
      </c>
      <c r="G86" s="392" t="str">
        <f t="shared" si="10"/>
        <v>NO-2000 ,mg-19</v>
      </c>
      <c r="H86" s="29">
        <v>-1.6E-2</v>
      </c>
      <c r="I86" s="483">
        <f t="shared" si="12"/>
        <v>2000.0160000000001</v>
      </c>
      <c r="J86" s="148">
        <v>1.2999999999999999E-2</v>
      </c>
      <c r="K86" s="148">
        <v>2</v>
      </c>
      <c r="L86" s="397">
        <f t="shared" si="13"/>
        <v>1.609E-2</v>
      </c>
      <c r="M86" s="399">
        <f t="shared" si="14"/>
        <v>1.2999999999999999E-2</v>
      </c>
      <c r="N86" s="29">
        <v>8.9999999999999992E-5</v>
      </c>
      <c r="O86" s="338">
        <v>1E-3</v>
      </c>
      <c r="P86" s="370">
        <f t="shared" si="15"/>
        <v>9</v>
      </c>
      <c r="Q86" s="141" t="s">
        <v>273</v>
      </c>
      <c r="R86" s="141">
        <v>4500</v>
      </c>
      <c r="S86" s="149" t="str">
        <f t="shared" si="16"/>
        <v>4500-05</v>
      </c>
      <c r="AJ86" s="23">
        <v>7.0000000000000007E-5</v>
      </c>
      <c r="AK86" s="23">
        <f t="shared" si="11"/>
        <v>8.9999999999999992E-5</v>
      </c>
      <c r="AO86">
        <v>79</v>
      </c>
    </row>
    <row r="87" spans="1:41">
      <c r="A87">
        <v>15</v>
      </c>
      <c r="B87" s="379" t="s">
        <v>292</v>
      </c>
      <c r="C87" s="313" t="s">
        <v>1092</v>
      </c>
      <c r="D87" s="146" t="s">
        <v>152</v>
      </c>
      <c r="E87" s="380" t="s">
        <v>1128</v>
      </c>
      <c r="F87" s="147">
        <v>2000</v>
      </c>
      <c r="G87" s="392" t="str">
        <f t="shared" si="10"/>
        <v>SI-2000 ,mg-19</v>
      </c>
      <c r="H87" s="29">
        <v>-1.2999999999999999E-2</v>
      </c>
      <c r="I87" s="483">
        <f t="shared" si="12"/>
        <v>2000.0129999999999</v>
      </c>
      <c r="J87" s="148">
        <v>1.2999999999999999E-2</v>
      </c>
      <c r="K87" s="148">
        <v>2</v>
      </c>
      <c r="L87" s="397">
        <f t="shared" si="13"/>
        <v>1.308E-2</v>
      </c>
      <c r="M87" s="399">
        <f t="shared" si="14"/>
        <v>1.2999999999999999E-2</v>
      </c>
      <c r="N87" s="29">
        <v>8.0000000000000007E-5</v>
      </c>
      <c r="O87" s="338">
        <v>1E-3</v>
      </c>
      <c r="P87" s="370">
        <f t="shared" si="15"/>
        <v>9</v>
      </c>
      <c r="Q87" s="141" t="s">
        <v>274</v>
      </c>
      <c r="R87" s="141">
        <v>4600</v>
      </c>
      <c r="S87" s="149" t="str">
        <f t="shared" si="16"/>
        <v>4600-05</v>
      </c>
      <c r="AJ87" s="23">
        <v>7.0000000000000007E-5</v>
      </c>
      <c r="AK87" s="23">
        <f t="shared" si="11"/>
        <v>8.9999999999999992E-5</v>
      </c>
      <c r="AO87">
        <v>80</v>
      </c>
    </row>
    <row r="88" spans="1:41">
      <c r="A88">
        <v>16</v>
      </c>
      <c r="B88" s="379" t="s">
        <v>292</v>
      </c>
      <c r="C88" s="313" t="s">
        <v>1092</v>
      </c>
      <c r="D88" s="146" t="s">
        <v>360</v>
      </c>
      <c r="E88" s="380" t="s">
        <v>1129</v>
      </c>
      <c r="F88" s="147">
        <v>5000</v>
      </c>
      <c r="G88" s="392" t="str">
        <f t="shared" si="10"/>
        <v>N/A-5000 ,mg-19</v>
      </c>
      <c r="H88" s="29">
        <v>-0.01</v>
      </c>
      <c r="I88" s="483">
        <f t="shared" si="12"/>
        <v>5000.01</v>
      </c>
      <c r="J88" s="148">
        <v>1.7000000000000001E-2</v>
      </c>
      <c r="K88" s="148">
        <v>2</v>
      </c>
      <c r="L88" s="397">
        <f t="shared" si="13"/>
        <v>1.008E-2</v>
      </c>
      <c r="M88" s="399">
        <f t="shared" si="14"/>
        <v>1.7000000000000001E-2</v>
      </c>
      <c r="N88" s="29">
        <v>8.0000000000000007E-5</v>
      </c>
      <c r="O88" s="338">
        <v>1E-3</v>
      </c>
      <c r="P88" s="370">
        <f t="shared" si="15"/>
        <v>9</v>
      </c>
      <c r="Q88" s="141" t="s">
        <v>275</v>
      </c>
      <c r="R88" s="141">
        <v>4700</v>
      </c>
      <c r="S88" s="149" t="str">
        <f t="shared" si="16"/>
        <v>4700-05</v>
      </c>
      <c r="AJ88" s="23">
        <v>8.9999999999999992E-5</v>
      </c>
      <c r="AK88" s="23">
        <f t="shared" si="11"/>
        <v>8.9999999999999992E-5</v>
      </c>
      <c r="AO88">
        <v>81</v>
      </c>
    </row>
    <row r="89" spans="1:41">
      <c r="A89">
        <v>17</v>
      </c>
      <c r="B89" s="379" t="s">
        <v>292</v>
      </c>
      <c r="C89" s="313" t="s">
        <v>1092</v>
      </c>
      <c r="D89" s="146" t="s">
        <v>360</v>
      </c>
      <c r="E89" s="380" t="s">
        <v>1130</v>
      </c>
      <c r="F89" s="147">
        <v>10000</v>
      </c>
      <c r="G89" s="392" t="str">
        <f t="shared" si="10"/>
        <v>N/A-10000 ,mg-19</v>
      </c>
      <c r="H89" s="29">
        <v>-7.0000000000000001E-3</v>
      </c>
      <c r="I89" s="483">
        <f t="shared" si="12"/>
        <v>10000.007</v>
      </c>
      <c r="J89" s="148">
        <v>0.02</v>
      </c>
      <c r="K89" s="148">
        <v>2</v>
      </c>
      <c r="L89" s="397">
        <f t="shared" si="13"/>
        <v>7.0800000000000004E-3</v>
      </c>
      <c r="M89" s="399">
        <f t="shared" si="14"/>
        <v>0.02</v>
      </c>
      <c r="N89" s="29">
        <v>8.0000000000000007E-5</v>
      </c>
      <c r="O89" s="338">
        <v>1E-3</v>
      </c>
      <c r="P89" s="370">
        <f t="shared" si="15"/>
        <v>9</v>
      </c>
      <c r="Q89" s="141" t="s">
        <v>276</v>
      </c>
      <c r="R89" s="141">
        <v>4800</v>
      </c>
      <c r="S89" s="149" t="str">
        <f t="shared" si="16"/>
        <v>4800-05</v>
      </c>
      <c r="AJ89" s="23">
        <v>7.0000000000000007E-5</v>
      </c>
      <c r="AK89" s="23">
        <f t="shared" si="11"/>
        <v>8.9999999999999992E-5</v>
      </c>
      <c r="AO89">
        <v>82</v>
      </c>
    </row>
    <row r="90" spans="1:41">
      <c r="A90">
        <v>18</v>
      </c>
      <c r="B90" s="379" t="s">
        <v>292</v>
      </c>
      <c r="C90" s="313" t="s">
        <v>1092</v>
      </c>
      <c r="D90" s="146" t="s">
        <v>153</v>
      </c>
      <c r="E90" s="380" t="s">
        <v>1131</v>
      </c>
      <c r="F90" s="147">
        <v>20000</v>
      </c>
      <c r="G90" s="392" t="str">
        <f t="shared" si="10"/>
        <v>NO-20000 ,mg-19</v>
      </c>
      <c r="H90" s="29">
        <v>-4.4999999999999998E-2</v>
      </c>
      <c r="I90" s="483">
        <f t="shared" si="12"/>
        <v>20000.044999999998</v>
      </c>
      <c r="J90" s="148">
        <v>2.7E-2</v>
      </c>
      <c r="K90" s="148">
        <v>2</v>
      </c>
      <c r="L90" s="397">
        <f t="shared" si="13"/>
        <v>4.5079999999999995E-2</v>
      </c>
      <c r="M90" s="399">
        <f t="shared" si="14"/>
        <v>2.7E-2</v>
      </c>
      <c r="N90" s="29">
        <v>8.0000000000000007E-5</v>
      </c>
      <c r="O90" s="338">
        <v>1E-3</v>
      </c>
      <c r="P90" s="370">
        <f t="shared" si="15"/>
        <v>9</v>
      </c>
      <c r="Q90" s="141" t="s">
        <v>277</v>
      </c>
      <c r="R90" s="141">
        <v>4900</v>
      </c>
      <c r="S90" s="149" t="str">
        <f t="shared" si="16"/>
        <v>4900-05</v>
      </c>
      <c r="AJ90" s="23">
        <v>7.0000000000000007E-5</v>
      </c>
      <c r="AK90" s="23">
        <f t="shared" si="11"/>
        <v>8.9999999999999992E-5</v>
      </c>
      <c r="AO90">
        <v>83</v>
      </c>
    </row>
    <row r="91" spans="1:41">
      <c r="A91">
        <v>19</v>
      </c>
      <c r="B91" s="379" t="s">
        <v>292</v>
      </c>
      <c r="C91" s="313" t="s">
        <v>1092</v>
      </c>
      <c r="D91" s="146" t="s">
        <v>152</v>
      </c>
      <c r="E91" s="380" t="s">
        <v>1131</v>
      </c>
      <c r="F91" s="147">
        <v>20000</v>
      </c>
      <c r="G91" s="392" t="str">
        <f t="shared" si="10"/>
        <v>SI-20000 ,mg-19</v>
      </c>
      <c r="H91" s="29">
        <v>-4.2999999999999997E-2</v>
      </c>
      <c r="I91" s="483">
        <f t="shared" si="12"/>
        <v>20000.043000000001</v>
      </c>
      <c r="J91" s="148">
        <v>2.7E-2</v>
      </c>
      <c r="K91" s="148">
        <v>2</v>
      </c>
      <c r="L91" s="397">
        <f t="shared" si="13"/>
        <v>4.3079999999999993E-2</v>
      </c>
      <c r="M91" s="399">
        <f t="shared" si="14"/>
        <v>2.7E-2</v>
      </c>
      <c r="N91" s="29">
        <v>8.0000000000000007E-5</v>
      </c>
      <c r="O91" s="338">
        <v>1E-3</v>
      </c>
      <c r="P91" s="370">
        <f t="shared" si="15"/>
        <v>9</v>
      </c>
      <c r="Q91" s="141" t="s">
        <v>278</v>
      </c>
      <c r="R91" s="141">
        <v>5100</v>
      </c>
      <c r="S91" s="149" t="str">
        <f t="shared" si="16"/>
        <v>5100-05</v>
      </c>
      <c r="AJ91" s="23">
        <v>7.0000000000000007E-5</v>
      </c>
      <c r="AK91" s="23">
        <f t="shared" si="11"/>
        <v>8.9999999999999992E-5</v>
      </c>
      <c r="AO91">
        <v>84</v>
      </c>
    </row>
    <row r="92" spans="1:41">
      <c r="A92">
        <v>20</v>
      </c>
      <c r="B92" s="379" t="s">
        <v>292</v>
      </c>
      <c r="C92" s="313" t="s">
        <v>1092</v>
      </c>
      <c r="D92" s="146" t="s">
        <v>360</v>
      </c>
      <c r="E92" s="380" t="s">
        <v>1132</v>
      </c>
      <c r="F92" s="147">
        <v>50000</v>
      </c>
      <c r="G92" s="392" t="str">
        <f t="shared" si="10"/>
        <v>N/A-50000 ,mg-19</v>
      </c>
      <c r="H92" s="512">
        <v>-2.4E-2</v>
      </c>
      <c r="I92" s="483">
        <f t="shared" si="12"/>
        <v>50000.023999999998</v>
      </c>
      <c r="J92" s="148">
        <v>3.3000000000000002E-2</v>
      </c>
      <c r="K92" s="148">
        <v>2</v>
      </c>
      <c r="L92" s="397">
        <f t="shared" si="13"/>
        <v>2.4080000000000001E-2</v>
      </c>
      <c r="M92" s="399">
        <f t="shared" si="14"/>
        <v>3.3000000000000002E-2</v>
      </c>
      <c r="N92" s="29">
        <v>8.0000000000000007E-5</v>
      </c>
      <c r="O92" s="513">
        <v>1E-3</v>
      </c>
      <c r="P92" s="370">
        <f t="shared" si="15"/>
        <v>9</v>
      </c>
      <c r="Q92" s="141" t="s">
        <v>279</v>
      </c>
      <c r="R92" s="141">
        <v>5200</v>
      </c>
      <c r="S92" s="149" t="str">
        <f t="shared" si="16"/>
        <v>5200-05</v>
      </c>
      <c r="AJ92" s="23">
        <v>7.0000000000000007E-5</v>
      </c>
      <c r="AK92" s="23">
        <f t="shared" si="11"/>
        <v>8.9999999999999992E-5</v>
      </c>
      <c r="AO92">
        <v>85</v>
      </c>
    </row>
    <row r="93" spans="1:41">
      <c r="A93">
        <v>21</v>
      </c>
      <c r="B93" s="379" t="s">
        <v>292</v>
      </c>
      <c r="C93" s="313" t="s">
        <v>1092</v>
      </c>
      <c r="D93" s="146" t="s">
        <v>360</v>
      </c>
      <c r="E93" s="380" t="s">
        <v>1133</v>
      </c>
      <c r="F93" s="147">
        <v>100000</v>
      </c>
      <c r="G93" s="392" t="str">
        <f t="shared" si="10"/>
        <v>N/A-100000 ,mg-19</v>
      </c>
      <c r="H93" s="29">
        <v>0.01</v>
      </c>
      <c r="I93" s="483">
        <f t="shared" si="12"/>
        <v>99999.99</v>
      </c>
      <c r="J93" s="148">
        <v>5.2999999999999999E-2</v>
      </c>
      <c r="K93" s="148">
        <v>2</v>
      </c>
      <c r="L93" s="397">
        <f t="shared" si="13"/>
        <v>9.92E-3</v>
      </c>
      <c r="M93" s="399">
        <f t="shared" si="14"/>
        <v>5.2999999999999999E-2</v>
      </c>
      <c r="N93" s="29">
        <v>8.0000000000000007E-5</v>
      </c>
      <c r="O93" s="335">
        <v>1E-3</v>
      </c>
      <c r="P93" s="370">
        <f t="shared" si="15"/>
        <v>9</v>
      </c>
      <c r="Q93" s="141" t="s">
        <v>280</v>
      </c>
      <c r="R93" s="141">
        <v>5300</v>
      </c>
      <c r="S93" s="149" t="str">
        <f t="shared" si="16"/>
        <v>5300-05</v>
      </c>
      <c r="AJ93" s="23">
        <v>7.0000000000000007E-5</v>
      </c>
      <c r="AK93" s="23">
        <f t="shared" si="11"/>
        <v>8.9999999999999992E-5</v>
      </c>
      <c r="AO93">
        <v>86</v>
      </c>
    </row>
    <row r="94" spans="1:41">
      <c r="A94">
        <v>22</v>
      </c>
      <c r="B94" s="379" t="s">
        <v>292</v>
      </c>
      <c r="C94" s="313" t="s">
        <v>1092</v>
      </c>
      <c r="D94" s="146" t="s">
        <v>153</v>
      </c>
      <c r="E94" s="380" t="s">
        <v>1134</v>
      </c>
      <c r="F94" s="147">
        <v>200000</v>
      </c>
      <c r="G94" s="392" t="str">
        <f t="shared" si="10"/>
        <v>NO-200000 ,mg-19</v>
      </c>
      <c r="H94" s="29">
        <v>-0.04</v>
      </c>
      <c r="I94" s="483">
        <f t="shared" si="12"/>
        <v>200000.04</v>
      </c>
      <c r="J94" s="148">
        <v>0.1</v>
      </c>
      <c r="K94" s="148">
        <v>2</v>
      </c>
      <c r="L94" s="397">
        <f t="shared" si="13"/>
        <v>4.0070000000000001E-2</v>
      </c>
      <c r="M94" s="399">
        <f t="shared" si="14"/>
        <v>0.1</v>
      </c>
      <c r="N94" s="29">
        <v>7.0000000000000007E-5</v>
      </c>
      <c r="O94" s="338">
        <v>1E-3</v>
      </c>
      <c r="P94" s="370">
        <f t="shared" si="15"/>
        <v>9</v>
      </c>
      <c r="Q94" s="141" t="s">
        <v>281</v>
      </c>
      <c r="R94" s="141">
        <v>5400</v>
      </c>
      <c r="S94" s="149" t="str">
        <f t="shared" si="16"/>
        <v>5400-05</v>
      </c>
      <c r="AJ94" s="23">
        <v>7.0000000000000007E-5</v>
      </c>
      <c r="AK94" s="23">
        <f t="shared" si="11"/>
        <v>8.9999999999999992E-5</v>
      </c>
    </row>
    <row r="95" spans="1:41">
      <c r="A95">
        <v>23</v>
      </c>
      <c r="B95" s="379" t="s">
        <v>292</v>
      </c>
      <c r="C95" s="313" t="s">
        <v>1092</v>
      </c>
      <c r="D95" s="146" t="s">
        <v>152</v>
      </c>
      <c r="E95" s="380" t="s">
        <v>1134</v>
      </c>
      <c r="F95" s="147">
        <v>200000</v>
      </c>
      <c r="G95" s="392" t="str">
        <f t="shared" si="10"/>
        <v>SI-200000 ,mg-19</v>
      </c>
      <c r="H95" s="29">
        <v>-0.04</v>
      </c>
      <c r="I95" s="483">
        <f t="shared" si="12"/>
        <v>200000.04</v>
      </c>
      <c r="J95" s="148">
        <v>0.1</v>
      </c>
      <c r="K95" s="148">
        <v>2</v>
      </c>
      <c r="L95" s="397">
        <f t="shared" si="13"/>
        <v>4.0079999999999998E-2</v>
      </c>
      <c r="M95" s="399">
        <f t="shared" si="14"/>
        <v>0.1</v>
      </c>
      <c r="N95" s="29">
        <v>8.0000000000000007E-5</v>
      </c>
      <c r="O95" s="338">
        <v>1E-3</v>
      </c>
      <c r="P95" s="370">
        <f t="shared" si="15"/>
        <v>9</v>
      </c>
      <c r="Q95" s="141" t="s">
        <v>282</v>
      </c>
      <c r="R95" s="141">
        <v>5500</v>
      </c>
      <c r="S95" s="149" t="str">
        <f t="shared" si="16"/>
        <v>5500-05</v>
      </c>
      <c r="AJ95" s="23">
        <v>7.0000000000000007E-5</v>
      </c>
      <c r="AK95" s="23">
        <f t="shared" si="11"/>
        <v>8.9999999999999992E-5</v>
      </c>
    </row>
    <row r="96" spans="1:41">
      <c r="A96">
        <v>1</v>
      </c>
      <c r="B96" s="379" t="s">
        <v>292</v>
      </c>
      <c r="C96" s="313" t="s">
        <v>1092</v>
      </c>
      <c r="D96" s="146" t="s">
        <v>1208</v>
      </c>
      <c r="E96" s="380" t="s">
        <v>1157</v>
      </c>
      <c r="F96" s="147">
        <v>1E-3</v>
      </c>
      <c r="G96" s="392" t="str">
        <f t="shared" si="10"/>
        <v>N /A-0,001 ,g-19</v>
      </c>
      <c r="H96" s="29">
        <v>-6.9999999999999997E-7</v>
      </c>
      <c r="I96" s="483">
        <f t="shared" si="12"/>
        <v>1.0007E-3</v>
      </c>
      <c r="J96" s="148">
        <v>1.9999999999999999E-6</v>
      </c>
      <c r="K96" s="148">
        <v>2</v>
      </c>
      <c r="L96" s="397">
        <f t="shared" si="13"/>
        <v>8.070000000000001E-5</v>
      </c>
      <c r="M96" s="399">
        <f t="shared" si="14"/>
        <v>1.9999999999999999E-6</v>
      </c>
      <c r="N96" s="29">
        <v>8.0000000000000007E-5</v>
      </c>
      <c r="O96" s="338">
        <v>1E-3</v>
      </c>
      <c r="P96" s="370">
        <f t="shared" si="15"/>
        <v>9</v>
      </c>
      <c r="Q96" s="141" t="s">
        <v>283</v>
      </c>
      <c r="R96" s="141">
        <v>5600</v>
      </c>
      <c r="S96" s="149" t="str">
        <f t="shared" si="16"/>
        <v>5600-05</v>
      </c>
      <c r="AJ96" s="23">
        <v>7.0000000000000007E-5</v>
      </c>
      <c r="AK96" s="23">
        <f t="shared" si="11"/>
        <v>8.9999999999999992E-5</v>
      </c>
    </row>
    <row r="97" spans="1:37" s="212" customFormat="1">
      <c r="A97" s="212">
        <v>2</v>
      </c>
      <c r="B97" s="379" t="s">
        <v>292</v>
      </c>
      <c r="C97" s="313" t="s">
        <v>1092</v>
      </c>
      <c r="D97" s="146" t="s">
        <v>1209</v>
      </c>
      <c r="E97" s="380" t="s">
        <v>1158</v>
      </c>
      <c r="F97" s="147">
        <v>2E-3</v>
      </c>
      <c r="G97" s="392" t="str">
        <f t="shared" ref="G97:G135" si="17">+CONCATENATE(D97,"-",E97,"-",MID(C97,12,2))</f>
        <v>N O-0,002 ,g-19</v>
      </c>
      <c r="H97" s="188">
        <v>-3.4999999999999999E-6</v>
      </c>
      <c r="I97" s="483">
        <f t="shared" si="12"/>
        <v>2.0035000000000001E-3</v>
      </c>
      <c r="J97" s="321">
        <v>1.9999999999999999E-6</v>
      </c>
      <c r="K97" s="318">
        <v>2</v>
      </c>
      <c r="L97" s="397">
        <f t="shared" si="13"/>
        <v>9.0350000000000001E-4</v>
      </c>
      <c r="M97" s="399">
        <f t="shared" si="14"/>
        <v>1.9999999999999999E-6</v>
      </c>
      <c r="N97" s="317">
        <v>8.9999999999999998E-4</v>
      </c>
      <c r="O97" s="188">
        <v>0.25</v>
      </c>
      <c r="P97" s="370">
        <f t="shared" si="15"/>
        <v>9</v>
      </c>
      <c r="Q97" s="319"/>
      <c r="R97" s="319"/>
      <c r="S97" s="319"/>
      <c r="T97" s="319"/>
      <c r="U97" s="319"/>
      <c r="V97" s="319"/>
      <c r="W97" s="319"/>
      <c r="X97" s="319"/>
      <c r="Y97" s="319"/>
      <c r="Z97" s="319"/>
      <c r="AA97" s="319"/>
      <c r="AB97"/>
      <c r="AC97"/>
      <c r="AD97"/>
      <c r="AE97"/>
      <c r="AF97"/>
      <c r="AG97"/>
      <c r="AH97"/>
      <c r="AJ97" s="317">
        <f>0.9/1000</f>
        <v>8.9999999999999998E-4</v>
      </c>
      <c r="AK97" s="188">
        <v>4.0000000000000001E-3</v>
      </c>
    </row>
    <row r="98" spans="1:37" s="212" customFormat="1">
      <c r="A98" s="212">
        <v>3</v>
      </c>
      <c r="B98" s="379" t="s">
        <v>292</v>
      </c>
      <c r="C98" s="313" t="s">
        <v>1092</v>
      </c>
      <c r="D98" s="146" t="s">
        <v>1210</v>
      </c>
      <c r="E98" s="380" t="s">
        <v>1158</v>
      </c>
      <c r="F98" s="147">
        <v>2E-3</v>
      </c>
      <c r="G98" s="392" t="str">
        <f t="shared" si="17"/>
        <v>S I-0,002 ,g-19</v>
      </c>
      <c r="H98" s="188">
        <v>-3.0000000000000001E-6</v>
      </c>
      <c r="I98" s="483">
        <f t="shared" si="12"/>
        <v>2.003E-3</v>
      </c>
      <c r="J98" s="318">
        <v>1.9999999999999999E-6</v>
      </c>
      <c r="K98" s="318">
        <v>2</v>
      </c>
      <c r="L98" s="397">
        <f t="shared" si="13"/>
        <v>9.0299999999999994E-4</v>
      </c>
      <c r="M98" s="399">
        <f t="shared" si="14"/>
        <v>1.9999999999999999E-6</v>
      </c>
      <c r="N98" s="317">
        <v>8.9999999999999998E-4</v>
      </c>
      <c r="O98" s="188">
        <v>0.5</v>
      </c>
      <c r="P98" s="370">
        <f t="shared" si="15"/>
        <v>9</v>
      </c>
      <c r="Q98" s="319"/>
      <c r="R98" s="319"/>
      <c r="S98" s="319"/>
      <c r="T98" s="319"/>
      <c r="U98" s="319"/>
      <c r="V98" s="319"/>
      <c r="W98" s="319"/>
      <c r="X98" s="319"/>
      <c r="Y98" s="319"/>
      <c r="Z98" s="319"/>
      <c r="AA98" s="319"/>
      <c r="AB98"/>
      <c r="AC98"/>
      <c r="AD98"/>
      <c r="AE98"/>
      <c r="AF98"/>
      <c r="AG98"/>
      <c r="AH98"/>
      <c r="AJ98" s="317">
        <f>0.9/1000</f>
        <v>8.9999999999999998E-4</v>
      </c>
      <c r="AK98" s="188">
        <v>0.01</v>
      </c>
    </row>
    <row r="99" spans="1:37" s="212" customFormat="1">
      <c r="A99" s="212">
        <v>4</v>
      </c>
      <c r="B99" s="379" t="s">
        <v>292</v>
      </c>
      <c r="C99" s="313" t="s">
        <v>1092</v>
      </c>
      <c r="D99" s="146" t="s">
        <v>1208</v>
      </c>
      <c r="E99" s="380" t="s">
        <v>1159</v>
      </c>
      <c r="F99" s="147">
        <v>5.0000000000000001E-3</v>
      </c>
      <c r="G99" s="392" t="str">
        <f t="shared" si="17"/>
        <v>N /A-0,005 ,g-19</v>
      </c>
      <c r="H99" s="188">
        <v>-4.7999999999999998E-6</v>
      </c>
      <c r="I99" s="483">
        <f t="shared" si="12"/>
        <v>5.0048000000000002E-3</v>
      </c>
      <c r="J99" s="318">
        <v>1.9999999999999999E-6</v>
      </c>
      <c r="K99" s="318">
        <v>2</v>
      </c>
      <c r="L99" s="397">
        <f t="shared" si="13"/>
        <v>9.0479999999999998E-4</v>
      </c>
      <c r="M99" s="399">
        <f t="shared" si="14"/>
        <v>1.9999999999999999E-6</v>
      </c>
      <c r="N99" s="317">
        <v>8.9999999999999998E-4</v>
      </c>
      <c r="O99" s="388">
        <v>1</v>
      </c>
      <c r="P99" s="370">
        <f t="shared" si="15"/>
        <v>9</v>
      </c>
      <c r="Q99" s="319"/>
      <c r="R99" s="319"/>
      <c r="S99" s="319"/>
      <c r="T99" s="319"/>
      <c r="U99" s="319"/>
      <c r="V99" s="319"/>
      <c r="W99" s="319"/>
      <c r="X99" s="319"/>
      <c r="Y99" s="319"/>
      <c r="Z99" s="319"/>
      <c r="AA99" s="319"/>
      <c r="AB99"/>
      <c r="AC99"/>
      <c r="AD99"/>
      <c r="AE99"/>
      <c r="AF99"/>
      <c r="AG99"/>
      <c r="AH99"/>
      <c r="AJ99" s="317">
        <f>0.9/1000</f>
        <v>8.9999999999999998E-4</v>
      </c>
      <c r="AK99" s="188">
        <v>0.06</v>
      </c>
    </row>
    <row r="100" spans="1:37" s="212" customFormat="1">
      <c r="A100" s="212">
        <v>5</v>
      </c>
      <c r="B100" s="379" t="s">
        <v>292</v>
      </c>
      <c r="C100" s="313" t="s">
        <v>1092</v>
      </c>
      <c r="D100" s="146" t="s">
        <v>1208</v>
      </c>
      <c r="E100" s="380" t="s">
        <v>1160</v>
      </c>
      <c r="F100" s="147">
        <v>0.01</v>
      </c>
      <c r="G100" s="392" t="str">
        <f t="shared" si="17"/>
        <v>N /A-0,01 ,g-19</v>
      </c>
      <c r="H100" s="188">
        <v>-8.4999999999999999E-6</v>
      </c>
      <c r="I100" s="483">
        <f t="shared" si="12"/>
        <v>1.00085E-2</v>
      </c>
      <c r="J100" s="318">
        <v>2.7E-6</v>
      </c>
      <c r="K100" s="318">
        <v>2</v>
      </c>
      <c r="L100" s="397">
        <f t="shared" si="13"/>
        <v>9.0850000000000002E-4</v>
      </c>
      <c r="M100" s="399">
        <f t="shared" si="14"/>
        <v>2.7E-6</v>
      </c>
      <c r="N100" s="317">
        <v>8.9999999999999998E-4</v>
      </c>
      <c r="O100" s="388">
        <v>1</v>
      </c>
      <c r="P100" s="370">
        <f t="shared" si="15"/>
        <v>9</v>
      </c>
      <c r="Q100" s="319"/>
      <c r="R100" s="319"/>
      <c r="S100" s="319"/>
      <c r="T100" s="319"/>
      <c r="U100" s="319"/>
      <c r="V100" s="319"/>
      <c r="W100" s="319"/>
      <c r="X100" s="319"/>
      <c r="Y100" s="319"/>
      <c r="Z100" s="319"/>
      <c r="AA100" s="319"/>
      <c r="AB100"/>
      <c r="AC100"/>
      <c r="AD100"/>
      <c r="AE100"/>
      <c r="AF100"/>
      <c r="AG100"/>
      <c r="AH100"/>
      <c r="AJ100" s="317">
        <f>0.9/1000</f>
        <v>8.9999999999999998E-4</v>
      </c>
      <c r="AK100" s="188">
        <v>7.0000000000000007E-2</v>
      </c>
    </row>
    <row r="101" spans="1:37" s="212" customFormat="1">
      <c r="A101" s="212">
        <v>6</v>
      </c>
      <c r="B101" s="379" t="s">
        <v>292</v>
      </c>
      <c r="C101" s="313" t="s">
        <v>1092</v>
      </c>
      <c r="D101" s="146" t="s">
        <v>1209</v>
      </c>
      <c r="E101" s="380" t="s">
        <v>1161</v>
      </c>
      <c r="F101" s="147">
        <v>0.02</v>
      </c>
      <c r="G101" s="392" t="str">
        <f>+CONCATENATE(D101,"-",E101,"-",MID(C101,12,2))</f>
        <v>N O-0,02 ,g-19</v>
      </c>
      <c r="H101" s="188">
        <v>-1.5500000000000001E-5</v>
      </c>
      <c r="I101" s="483">
        <f t="shared" si="12"/>
        <v>2.0015500000000002E-2</v>
      </c>
      <c r="J101" s="318">
        <v>3.3000000000000002E-6</v>
      </c>
      <c r="K101" s="318">
        <v>2</v>
      </c>
      <c r="L101" s="397">
        <f t="shared" si="13"/>
        <v>9.1549999999999997E-4</v>
      </c>
      <c r="M101" s="399">
        <f t="shared" si="14"/>
        <v>3.3000000000000002E-6</v>
      </c>
      <c r="N101" s="317">
        <v>8.9999999999999998E-4</v>
      </c>
      <c r="O101" s="388">
        <v>1</v>
      </c>
      <c r="P101" s="370">
        <f t="shared" si="15"/>
        <v>9</v>
      </c>
      <c r="Q101" s="319"/>
      <c r="R101" s="319"/>
      <c r="S101" s="319"/>
      <c r="T101" s="319"/>
      <c r="U101" s="319"/>
      <c r="V101" s="319"/>
      <c r="W101" s="319"/>
      <c r="X101" s="319"/>
      <c r="Y101" s="319"/>
      <c r="Z101" s="319"/>
      <c r="AA101" s="319"/>
      <c r="AB101"/>
      <c r="AC101"/>
      <c r="AD101"/>
      <c r="AE101"/>
      <c r="AF101"/>
      <c r="AG101"/>
      <c r="AH101"/>
      <c r="AJ101" s="317">
        <f>0.9/1000</f>
        <v>8.9999999999999998E-4</v>
      </c>
      <c r="AK101" s="188">
        <v>7.0000000000000007E-2</v>
      </c>
    </row>
    <row r="102" spans="1:37" s="212" customFormat="1">
      <c r="A102" s="212">
        <v>7</v>
      </c>
      <c r="B102" s="379" t="s">
        <v>292</v>
      </c>
      <c r="C102" s="313" t="s">
        <v>1092</v>
      </c>
      <c r="D102" s="146" t="s">
        <v>1210</v>
      </c>
      <c r="E102" s="380" t="s">
        <v>1161</v>
      </c>
      <c r="F102" s="147">
        <v>0.02</v>
      </c>
      <c r="G102" s="392" t="str">
        <f>+CONCATENATE(D102,"-",E102,"-",MID(C102,12,2))</f>
        <v>S I-0,02 ,g-19</v>
      </c>
      <c r="H102" s="188">
        <v>-7.6000000000000001E-6</v>
      </c>
      <c r="I102" s="483">
        <f t="shared" si="12"/>
        <v>2.00076E-2</v>
      </c>
      <c r="J102" s="318">
        <v>3.3000000000000002E-6</v>
      </c>
      <c r="K102" s="318">
        <v>2</v>
      </c>
      <c r="L102" s="397">
        <f t="shared" si="13"/>
        <v>3.3000000000000002E-6</v>
      </c>
      <c r="M102" s="399">
        <f t="shared" si="14"/>
        <v>3.3000000000000002E-6</v>
      </c>
      <c r="N102" s="317">
        <v>0</v>
      </c>
      <c r="O102" s="318">
        <v>0</v>
      </c>
      <c r="P102" s="370">
        <f t="shared" si="15"/>
        <v>9</v>
      </c>
      <c r="Q102" s="319"/>
      <c r="R102" s="319"/>
      <c r="S102" s="319"/>
      <c r="T102" s="319"/>
      <c r="U102" s="319"/>
      <c r="V102" s="319"/>
      <c r="W102" s="319"/>
      <c r="X102" s="319"/>
      <c r="Y102" s="319"/>
      <c r="Z102" s="319"/>
      <c r="AA102" s="319"/>
      <c r="AJ102" s="317">
        <f>0/1000</f>
        <v>0</v>
      </c>
      <c r="AK102" s="188">
        <v>0</v>
      </c>
    </row>
    <row r="103" spans="1:37" s="212" customFormat="1" ht="15" customHeight="1">
      <c r="A103" s="212">
        <v>8</v>
      </c>
      <c r="B103" s="379" t="s">
        <v>292</v>
      </c>
      <c r="C103" s="313" t="s">
        <v>1092</v>
      </c>
      <c r="D103" s="146" t="s">
        <v>1208</v>
      </c>
      <c r="E103" s="380" t="s">
        <v>1162</v>
      </c>
      <c r="F103" s="147">
        <v>0.05</v>
      </c>
      <c r="G103" s="392" t="str">
        <f>+CONCATENATE(D103,"-",E103,"-",MID(C103,12,2))</f>
        <v>N /A-0,05 ,g-19</v>
      </c>
      <c r="H103" s="188">
        <v>-5.1999999999999993E-6</v>
      </c>
      <c r="I103" s="483">
        <f t="shared" si="12"/>
        <v>5.00052E-2</v>
      </c>
      <c r="J103" s="318">
        <v>3.9999999999999998E-6</v>
      </c>
      <c r="K103" s="318">
        <v>2</v>
      </c>
      <c r="L103" s="397">
        <f t="shared" si="13"/>
        <v>3.9999999999999998E-6</v>
      </c>
      <c r="M103" s="399">
        <f t="shared" si="14"/>
        <v>3.9999999999999998E-6</v>
      </c>
      <c r="N103" s="317">
        <v>0</v>
      </c>
      <c r="O103" s="318">
        <v>0</v>
      </c>
      <c r="P103" s="370">
        <f t="shared" si="15"/>
        <v>9</v>
      </c>
      <c r="Q103" s="319"/>
      <c r="R103" s="319"/>
      <c r="S103" s="319"/>
      <c r="T103" s="319"/>
      <c r="U103" s="319"/>
      <c r="V103" s="319"/>
      <c r="W103" s="319"/>
      <c r="X103" s="319"/>
      <c r="Y103" s="319"/>
      <c r="Z103" s="319"/>
      <c r="AA103" s="319"/>
      <c r="AJ103" s="317">
        <f>0/1000</f>
        <v>0</v>
      </c>
      <c r="AK103" s="188">
        <v>0</v>
      </c>
    </row>
    <row r="104" spans="1:37" s="212" customFormat="1">
      <c r="A104" s="352">
        <v>9</v>
      </c>
      <c r="B104" s="379" t="s">
        <v>292</v>
      </c>
      <c r="C104" s="313" t="s">
        <v>1092</v>
      </c>
      <c r="D104" s="146" t="s">
        <v>1208</v>
      </c>
      <c r="E104" s="380" t="s">
        <v>1163</v>
      </c>
      <c r="F104" s="147">
        <v>0.1</v>
      </c>
      <c r="G104" s="392" t="str">
        <f t="shared" si="17"/>
        <v>N /A-0,1 ,g-19</v>
      </c>
      <c r="H104" s="188">
        <v>-1.26E-5</v>
      </c>
      <c r="I104" s="483">
        <f t="shared" si="12"/>
        <v>0.10001260000000001</v>
      </c>
      <c r="J104" s="318">
        <v>5.3000000000000001E-6</v>
      </c>
      <c r="K104" s="318">
        <v>2</v>
      </c>
      <c r="L104" s="397">
        <f t="shared" si="13"/>
        <v>5.3000000000000001E-6</v>
      </c>
      <c r="M104" s="399">
        <f t="shared" si="14"/>
        <v>5.3000000000000001E-6</v>
      </c>
      <c r="N104" s="317">
        <v>0</v>
      </c>
      <c r="O104" s="188">
        <v>2.5000000000000001E-4</v>
      </c>
      <c r="P104" s="370">
        <f t="shared" si="15"/>
        <v>9</v>
      </c>
      <c r="Q104" s="319"/>
      <c r="R104" s="319"/>
      <c r="S104" s="319"/>
      <c r="T104" s="319"/>
      <c r="U104" s="319"/>
      <c r="V104" s="319"/>
      <c r="W104" s="319"/>
      <c r="X104" s="319"/>
      <c r="Y104" s="319"/>
      <c r="Z104" s="319"/>
      <c r="AA104" s="319"/>
      <c r="AJ104" s="317">
        <v>0</v>
      </c>
      <c r="AK104" s="188">
        <v>3.0000000000000001E-6</v>
      </c>
    </row>
    <row r="105" spans="1:37" s="212" customFormat="1" ht="15" customHeight="1">
      <c r="A105" s="352">
        <v>10</v>
      </c>
      <c r="B105" s="379" t="s">
        <v>292</v>
      </c>
      <c r="C105" s="313" t="s">
        <v>1092</v>
      </c>
      <c r="D105" s="146" t="s">
        <v>1209</v>
      </c>
      <c r="E105" s="380" t="s">
        <v>1164</v>
      </c>
      <c r="F105" s="147">
        <v>0.2</v>
      </c>
      <c r="G105" s="392" t="str">
        <f t="shared" si="17"/>
        <v>N O-0,2 ,g-19</v>
      </c>
      <c r="H105" s="188">
        <v>-2.3099999999999999E-5</v>
      </c>
      <c r="I105" s="483">
        <f t="shared" si="12"/>
        <v>0.20002310000000001</v>
      </c>
      <c r="J105" s="318">
        <v>6.7000000000000002E-6</v>
      </c>
      <c r="K105" s="318">
        <v>2</v>
      </c>
      <c r="L105" s="397">
        <f t="shared" si="13"/>
        <v>6.7000000000000002E-6</v>
      </c>
      <c r="M105" s="399">
        <f t="shared" si="14"/>
        <v>6.7000000000000002E-6</v>
      </c>
      <c r="N105" s="317">
        <v>0</v>
      </c>
      <c r="O105" s="188">
        <v>2.5000000000000001E-4</v>
      </c>
      <c r="P105" s="370">
        <f t="shared" si="15"/>
        <v>9</v>
      </c>
      <c r="Q105" s="319"/>
      <c r="R105" s="319"/>
      <c r="S105" s="319"/>
      <c r="T105" s="319"/>
      <c r="U105" s="319"/>
      <c r="V105" s="319"/>
      <c r="W105" s="319"/>
      <c r="X105" s="319"/>
      <c r="Y105" s="319"/>
      <c r="Z105" s="319"/>
      <c r="AA105" s="319"/>
      <c r="AJ105" s="317">
        <v>0</v>
      </c>
      <c r="AK105" s="188">
        <v>1.9999999999999999E-6</v>
      </c>
    </row>
    <row r="106" spans="1:37" s="212" customFormat="1" ht="15" customHeight="1">
      <c r="A106" s="352">
        <v>11</v>
      </c>
      <c r="B106" s="379" t="s">
        <v>292</v>
      </c>
      <c r="C106" s="313" t="s">
        <v>1092</v>
      </c>
      <c r="D106" s="146" t="s">
        <v>1210</v>
      </c>
      <c r="E106" s="380" t="s">
        <v>1164</v>
      </c>
      <c r="F106" s="147">
        <v>0.2</v>
      </c>
      <c r="G106" s="392" t="str">
        <f t="shared" si="17"/>
        <v>S I-0,2 ,g-19</v>
      </c>
      <c r="H106" s="317">
        <v>-2.3800000000000003E-5</v>
      </c>
      <c r="I106" s="483">
        <f t="shared" si="12"/>
        <v>0.2000238</v>
      </c>
      <c r="J106" s="318">
        <v>6.7000000000000002E-6</v>
      </c>
      <c r="K106" s="318">
        <v>2</v>
      </c>
      <c r="L106" s="397">
        <f t="shared" si="13"/>
        <v>6.7000000000000002E-6</v>
      </c>
      <c r="M106" s="399">
        <f t="shared" si="14"/>
        <v>6.7000000000000002E-6</v>
      </c>
      <c r="N106" s="317">
        <v>0</v>
      </c>
      <c r="O106" s="188">
        <v>5.0000000000000001E-4</v>
      </c>
      <c r="P106" s="370">
        <f t="shared" si="15"/>
        <v>9</v>
      </c>
      <c r="Q106" s="319"/>
      <c r="R106" s="319"/>
      <c r="S106" s="319"/>
      <c r="T106" s="319"/>
      <c r="U106" s="319"/>
      <c r="V106" s="319"/>
      <c r="W106" s="319"/>
      <c r="X106" s="319"/>
      <c r="Y106" s="319"/>
      <c r="Z106" s="319"/>
      <c r="AA106" s="319"/>
      <c r="AJ106" s="317">
        <v>0</v>
      </c>
      <c r="AK106" s="188">
        <v>1E-4</v>
      </c>
    </row>
    <row r="107" spans="1:37" s="212" customFormat="1" ht="15" customHeight="1">
      <c r="A107" s="352">
        <v>12</v>
      </c>
      <c r="B107" s="379" t="s">
        <v>292</v>
      </c>
      <c r="C107" s="313" t="s">
        <v>1092</v>
      </c>
      <c r="D107" s="146" t="s">
        <v>1208</v>
      </c>
      <c r="E107" s="380" t="s">
        <v>1165</v>
      </c>
      <c r="F107" s="147">
        <v>0.5</v>
      </c>
      <c r="G107" s="392" t="str">
        <f t="shared" si="17"/>
        <v>N /A-0,5 ,g-19</v>
      </c>
      <c r="H107" s="188">
        <v>-1.91E-5</v>
      </c>
      <c r="I107" s="483">
        <f t="shared" si="12"/>
        <v>0.50001910000000005</v>
      </c>
      <c r="J107" s="318">
        <v>8.3000000000000002E-6</v>
      </c>
      <c r="K107" s="318">
        <v>2</v>
      </c>
      <c r="L107" s="397">
        <f t="shared" si="13"/>
        <v>8.3000000000000002E-6</v>
      </c>
      <c r="M107" s="399">
        <f t="shared" si="14"/>
        <v>8.3000000000000002E-6</v>
      </c>
      <c r="N107" s="317">
        <v>0</v>
      </c>
      <c r="O107" s="188">
        <v>5.0000000000000001E-4</v>
      </c>
      <c r="P107" s="370">
        <f t="shared" si="15"/>
        <v>9</v>
      </c>
      <c r="Q107" s="319"/>
      <c r="R107" s="319"/>
      <c r="S107" s="319"/>
      <c r="T107" s="319"/>
      <c r="U107" s="319"/>
      <c r="V107" s="319"/>
      <c r="W107" s="319"/>
      <c r="X107" s="319"/>
      <c r="Y107" s="319"/>
      <c r="Z107" s="319"/>
      <c r="AA107" s="319"/>
      <c r="AJ107" s="317">
        <v>0</v>
      </c>
      <c r="AK107" s="188">
        <v>1.0000000000000001E-5</v>
      </c>
    </row>
    <row r="108" spans="1:37" s="212" customFormat="1" ht="15" customHeight="1">
      <c r="A108" s="352">
        <v>13</v>
      </c>
      <c r="B108" s="379" t="s">
        <v>292</v>
      </c>
      <c r="C108" s="313" t="s">
        <v>1092</v>
      </c>
      <c r="D108" s="146" t="s">
        <v>360</v>
      </c>
      <c r="E108" s="380" t="s">
        <v>1018</v>
      </c>
      <c r="F108" s="147">
        <v>1</v>
      </c>
      <c r="G108" s="392" t="str">
        <f t="shared" si="17"/>
        <v>N/A-1 ,g-19</v>
      </c>
      <c r="H108" s="23">
        <v>-1.0000000000000001E-103</v>
      </c>
      <c r="I108" s="483">
        <f t="shared" si="12"/>
        <v>1</v>
      </c>
      <c r="J108" s="318">
        <v>1.0000000000000001E-5</v>
      </c>
      <c r="K108" s="318">
        <v>2</v>
      </c>
      <c r="L108" s="397">
        <f t="shared" si="13"/>
        <v>1.0000000000000001E-5</v>
      </c>
      <c r="M108" s="399">
        <f t="shared" si="14"/>
        <v>1.0000000000000001E-5</v>
      </c>
      <c r="N108" s="317">
        <v>0</v>
      </c>
      <c r="O108" s="387">
        <v>1E-3</v>
      </c>
      <c r="P108" s="370">
        <f t="shared" si="15"/>
        <v>9</v>
      </c>
      <c r="Q108" s="319"/>
      <c r="R108" s="319"/>
      <c r="S108" s="319"/>
      <c r="T108" s="319"/>
      <c r="U108" s="319"/>
      <c r="V108" s="319"/>
      <c r="W108" s="319"/>
      <c r="X108" s="319"/>
      <c r="Y108" s="319"/>
      <c r="Z108" s="319"/>
      <c r="AA108" s="319"/>
      <c r="AJ108" s="317">
        <v>0</v>
      </c>
      <c r="AK108" s="188">
        <v>8.0000000000000007E-5</v>
      </c>
    </row>
    <row r="109" spans="1:37" ht="15" customHeight="1">
      <c r="A109" s="353">
        <v>14</v>
      </c>
      <c r="B109" s="379" t="s">
        <v>292</v>
      </c>
      <c r="C109" s="313" t="s">
        <v>1092</v>
      </c>
      <c r="D109" s="146" t="s">
        <v>153</v>
      </c>
      <c r="E109" s="380" t="s">
        <v>1019</v>
      </c>
      <c r="F109" s="147">
        <v>2</v>
      </c>
      <c r="G109" s="392" t="str">
        <f t="shared" si="17"/>
        <v>NO-2 ,g-19</v>
      </c>
      <c r="H109" s="23">
        <v>-1.5999999999999999E-5</v>
      </c>
      <c r="I109" s="483">
        <f t="shared" si="12"/>
        <v>2.000016</v>
      </c>
      <c r="J109" s="156">
        <v>1.2999999999999999E-5</v>
      </c>
      <c r="K109" s="156">
        <v>2</v>
      </c>
      <c r="L109" s="397">
        <f t="shared" si="13"/>
        <v>1.2999999999999999E-5</v>
      </c>
      <c r="M109" s="399">
        <f t="shared" si="14"/>
        <v>1.2999999999999999E-5</v>
      </c>
      <c r="N109" s="29">
        <v>0</v>
      </c>
      <c r="O109" s="387">
        <v>1E-3</v>
      </c>
      <c r="P109" s="370">
        <f t="shared" si="15"/>
        <v>9</v>
      </c>
      <c r="AB109" s="212"/>
      <c r="AC109" s="212"/>
      <c r="AD109" s="212"/>
      <c r="AE109" s="212"/>
      <c r="AF109" s="212"/>
      <c r="AG109" s="212"/>
      <c r="AH109" s="212"/>
      <c r="AJ109" s="29">
        <v>0</v>
      </c>
      <c r="AK109" s="23">
        <v>8.0000000000000007E-5</v>
      </c>
    </row>
    <row r="110" spans="1:37" ht="15" customHeight="1">
      <c r="A110" s="353">
        <v>15</v>
      </c>
      <c r="B110" s="379" t="s">
        <v>292</v>
      </c>
      <c r="C110" s="313" t="s">
        <v>1092</v>
      </c>
      <c r="D110" s="146" t="s">
        <v>152</v>
      </c>
      <c r="E110" s="380" t="s">
        <v>1019</v>
      </c>
      <c r="F110" s="147">
        <v>2</v>
      </c>
      <c r="G110" s="392" t="str">
        <f t="shared" si="17"/>
        <v>SI-2 ,g-19</v>
      </c>
      <c r="H110" s="23">
        <v>-1.2999999999999999E-5</v>
      </c>
      <c r="I110" s="483">
        <f t="shared" si="12"/>
        <v>2.000013</v>
      </c>
      <c r="J110" s="156">
        <v>1.2999999999999999E-5</v>
      </c>
      <c r="K110" s="156">
        <v>2</v>
      </c>
      <c r="L110" s="397">
        <f t="shared" si="13"/>
        <v>1.2999999999999999E-5</v>
      </c>
      <c r="M110" s="399">
        <f t="shared" si="14"/>
        <v>1.2999999999999999E-5</v>
      </c>
      <c r="N110" s="29">
        <v>0</v>
      </c>
      <c r="O110" s="387">
        <v>1E-3</v>
      </c>
      <c r="P110" s="370">
        <f t="shared" si="15"/>
        <v>9</v>
      </c>
      <c r="AB110" s="212"/>
      <c r="AC110" s="212"/>
      <c r="AD110" s="212"/>
      <c r="AE110" s="212"/>
      <c r="AF110" s="212"/>
      <c r="AG110" s="212"/>
      <c r="AH110" s="212"/>
      <c r="AJ110" s="29">
        <v>0</v>
      </c>
      <c r="AK110" s="23">
        <v>8.0000000000000007E-5</v>
      </c>
    </row>
    <row r="111" spans="1:37" ht="15" customHeight="1">
      <c r="A111" s="353">
        <v>16</v>
      </c>
      <c r="B111" s="379" t="s">
        <v>292</v>
      </c>
      <c r="C111" s="313" t="s">
        <v>1092</v>
      </c>
      <c r="D111" s="146" t="s">
        <v>360</v>
      </c>
      <c r="E111" s="380" t="s">
        <v>1020</v>
      </c>
      <c r="F111" s="147">
        <v>5</v>
      </c>
      <c r="G111" s="392" t="str">
        <f t="shared" si="17"/>
        <v>N/A-5 ,g-19</v>
      </c>
      <c r="H111" s="23">
        <v>-1.0000000000000001E-5</v>
      </c>
      <c r="I111" s="483">
        <f t="shared" si="12"/>
        <v>5.0000099999999996</v>
      </c>
      <c r="J111" s="156">
        <v>1.7E-5</v>
      </c>
      <c r="K111" s="156">
        <v>2</v>
      </c>
      <c r="L111" s="397">
        <f t="shared" si="13"/>
        <v>1.7E-5</v>
      </c>
      <c r="M111" s="399">
        <f t="shared" si="14"/>
        <v>1.7E-5</v>
      </c>
      <c r="N111" s="29">
        <v>0</v>
      </c>
      <c r="O111" s="387">
        <v>1E-3</v>
      </c>
      <c r="P111" s="370">
        <f t="shared" si="15"/>
        <v>9</v>
      </c>
      <c r="AB111" s="212"/>
      <c r="AC111" s="212"/>
      <c r="AD111" s="212"/>
      <c r="AE111" s="212"/>
      <c r="AF111" s="212"/>
      <c r="AG111" s="212"/>
      <c r="AH111" s="212"/>
      <c r="AJ111" s="29">
        <v>0</v>
      </c>
      <c r="AK111" s="23">
        <v>8.0000000000000007E-5</v>
      </c>
    </row>
    <row r="112" spans="1:37" ht="15" customHeight="1">
      <c r="A112" s="353">
        <v>17</v>
      </c>
      <c r="B112" s="379" t="s">
        <v>292</v>
      </c>
      <c r="C112" s="313" t="s">
        <v>1092</v>
      </c>
      <c r="D112" s="146" t="s">
        <v>360</v>
      </c>
      <c r="E112" s="380" t="s">
        <v>1021</v>
      </c>
      <c r="F112" s="147">
        <v>10</v>
      </c>
      <c r="G112" s="392" t="str">
        <f t="shared" si="17"/>
        <v>N/A-10 ,g-19</v>
      </c>
      <c r="H112" s="23">
        <v>-6.9999999999999999E-6</v>
      </c>
      <c r="I112" s="483">
        <f t="shared" si="12"/>
        <v>10.000007</v>
      </c>
      <c r="J112" s="156">
        <v>2.0000000000000002E-5</v>
      </c>
      <c r="K112" s="156">
        <v>2</v>
      </c>
      <c r="L112" s="397">
        <f t="shared" si="13"/>
        <v>2.0000000000000002E-5</v>
      </c>
      <c r="M112" s="399">
        <f t="shared" si="14"/>
        <v>2.0000000000000002E-5</v>
      </c>
      <c r="N112" s="29">
        <v>0</v>
      </c>
      <c r="O112" s="387">
        <v>1E-3</v>
      </c>
      <c r="P112" s="370">
        <f t="shared" si="15"/>
        <v>9</v>
      </c>
      <c r="AB112" s="212"/>
      <c r="AC112" s="212"/>
      <c r="AD112" s="212"/>
      <c r="AE112" s="212"/>
      <c r="AF112" s="212"/>
      <c r="AG112" s="212"/>
      <c r="AH112" s="212"/>
      <c r="AJ112" s="29">
        <v>0</v>
      </c>
      <c r="AK112" s="23">
        <v>8.0000000000000007E-5</v>
      </c>
    </row>
    <row r="113" spans="1:37" ht="15" customHeight="1">
      <c r="A113" s="353">
        <v>18</v>
      </c>
      <c r="B113" s="379" t="s">
        <v>292</v>
      </c>
      <c r="C113" s="313" t="s">
        <v>1092</v>
      </c>
      <c r="D113" s="146" t="s">
        <v>153</v>
      </c>
      <c r="E113" s="380" t="s">
        <v>1022</v>
      </c>
      <c r="F113" s="147">
        <v>20</v>
      </c>
      <c r="G113" s="392" t="str">
        <f t="shared" si="17"/>
        <v>NO-20 ,g-19</v>
      </c>
      <c r="H113" s="23">
        <v>-4.4999999999999996E-5</v>
      </c>
      <c r="I113" s="483">
        <f t="shared" si="12"/>
        <v>20.000045</v>
      </c>
      <c r="J113" s="156">
        <v>2.6999999999999999E-5</v>
      </c>
      <c r="K113" s="156">
        <v>2</v>
      </c>
      <c r="L113" s="397">
        <f t="shared" si="13"/>
        <v>2.6999999999999999E-5</v>
      </c>
      <c r="M113" s="399">
        <f t="shared" si="14"/>
        <v>2.6999999999999999E-5</v>
      </c>
      <c r="N113" s="29">
        <v>0</v>
      </c>
      <c r="O113" s="387">
        <v>1E-3</v>
      </c>
      <c r="P113" s="370">
        <f t="shared" si="15"/>
        <v>9</v>
      </c>
      <c r="AB113" s="212"/>
      <c r="AC113" s="212"/>
      <c r="AD113" s="212"/>
      <c r="AE113" s="212"/>
      <c r="AF113" s="212"/>
      <c r="AG113" s="212"/>
      <c r="AH113" s="212"/>
      <c r="AJ113" s="29">
        <v>0</v>
      </c>
      <c r="AK113" s="23">
        <v>8.0000000000000007E-5</v>
      </c>
    </row>
    <row r="114" spans="1:37" ht="15" customHeight="1">
      <c r="A114" s="353">
        <v>19</v>
      </c>
      <c r="B114" s="379" t="s">
        <v>292</v>
      </c>
      <c r="C114" s="313" t="s">
        <v>1092</v>
      </c>
      <c r="D114" s="146" t="s">
        <v>152</v>
      </c>
      <c r="E114" s="380" t="s">
        <v>1022</v>
      </c>
      <c r="F114" s="147">
        <v>20</v>
      </c>
      <c r="G114" s="392" t="str">
        <f t="shared" si="17"/>
        <v>SI-20 ,g-19</v>
      </c>
      <c r="H114" s="23">
        <v>-4.2999999999999995E-5</v>
      </c>
      <c r="I114" s="483">
        <f t="shared" si="12"/>
        <v>20.000043000000002</v>
      </c>
      <c r="J114" s="156">
        <v>2.6999999999999999E-5</v>
      </c>
      <c r="K114" s="156">
        <v>2</v>
      </c>
      <c r="L114" s="397">
        <f t="shared" si="13"/>
        <v>2.6999999999999999E-5</v>
      </c>
      <c r="M114" s="399">
        <f t="shared" si="14"/>
        <v>2.6999999999999999E-5</v>
      </c>
      <c r="N114" s="29">
        <v>0</v>
      </c>
      <c r="O114" s="387">
        <v>1E-3</v>
      </c>
      <c r="P114" s="370">
        <f t="shared" si="15"/>
        <v>9</v>
      </c>
      <c r="AJ114" s="29">
        <v>0</v>
      </c>
      <c r="AK114" s="23">
        <v>7.0000000000000007E-5</v>
      </c>
    </row>
    <row r="115" spans="1:37" ht="15" customHeight="1">
      <c r="A115" s="353">
        <v>20</v>
      </c>
      <c r="B115" s="379" t="s">
        <v>292</v>
      </c>
      <c r="C115" s="313" t="s">
        <v>1092</v>
      </c>
      <c r="D115" s="146" t="s">
        <v>360</v>
      </c>
      <c r="E115" s="380" t="s">
        <v>1023</v>
      </c>
      <c r="F115" s="147">
        <v>50</v>
      </c>
      <c r="G115" s="392" t="str">
        <f t="shared" si="17"/>
        <v>N/A-50 ,g-19</v>
      </c>
      <c r="H115" s="23">
        <v>-2.4000000000000001E-5</v>
      </c>
      <c r="I115" s="483">
        <f t="shared" si="12"/>
        <v>50.000024000000003</v>
      </c>
      <c r="J115" s="156">
        <v>3.3000000000000003E-5</v>
      </c>
      <c r="K115" s="156">
        <v>2</v>
      </c>
      <c r="L115" s="397">
        <f t="shared" si="13"/>
        <v>3.3000000000000003E-5</v>
      </c>
      <c r="M115" s="399">
        <f t="shared" si="14"/>
        <v>3.3000000000000003E-5</v>
      </c>
      <c r="N115" s="29">
        <v>0</v>
      </c>
      <c r="O115" s="387">
        <v>1E-3</v>
      </c>
      <c r="P115" s="370">
        <f t="shared" si="15"/>
        <v>9</v>
      </c>
      <c r="AJ115" s="29">
        <v>0</v>
      </c>
      <c r="AK115" s="23">
        <v>8.0000000000000007E-5</v>
      </c>
    </row>
    <row r="116" spans="1:37" ht="15" customHeight="1">
      <c r="A116" s="353">
        <v>21</v>
      </c>
      <c r="B116" s="379" t="s">
        <v>292</v>
      </c>
      <c r="C116" s="313" t="s">
        <v>1092</v>
      </c>
      <c r="D116" s="146" t="s">
        <v>360</v>
      </c>
      <c r="E116" s="380" t="s">
        <v>1024</v>
      </c>
      <c r="F116" s="147">
        <v>100</v>
      </c>
      <c r="G116" s="392" t="str">
        <f t="shared" si="17"/>
        <v>N/A-100 ,g-19</v>
      </c>
      <c r="H116" s="23">
        <v>1.0000000000000001E-5</v>
      </c>
      <c r="I116" s="483">
        <f t="shared" si="12"/>
        <v>99.999989999999997</v>
      </c>
      <c r="J116" s="156">
        <v>5.3000000000000001E-5</v>
      </c>
      <c r="K116" s="156">
        <v>2</v>
      </c>
      <c r="L116" s="397">
        <f t="shared" si="13"/>
        <v>5.3000000000000001E-5</v>
      </c>
      <c r="M116" s="399">
        <f t="shared" si="14"/>
        <v>5.3000000000000001E-5</v>
      </c>
      <c r="N116" s="29">
        <v>0</v>
      </c>
      <c r="O116" s="387">
        <v>1E-3</v>
      </c>
      <c r="P116" s="370">
        <f t="shared" si="15"/>
        <v>9</v>
      </c>
      <c r="AJ116" s="29">
        <v>0</v>
      </c>
      <c r="AK116" s="23">
        <v>8.0000000000000007E-5</v>
      </c>
    </row>
    <row r="117" spans="1:37" ht="15" customHeight="1">
      <c r="A117" s="353">
        <v>22</v>
      </c>
      <c r="B117" s="379" t="s">
        <v>292</v>
      </c>
      <c r="C117" s="313" t="s">
        <v>1092</v>
      </c>
      <c r="D117" s="146" t="s">
        <v>153</v>
      </c>
      <c r="E117" s="380" t="s">
        <v>1025</v>
      </c>
      <c r="F117" s="147">
        <v>200</v>
      </c>
      <c r="G117" s="392" t="str">
        <f t="shared" si="17"/>
        <v>NO-200 ,g-19</v>
      </c>
      <c r="H117" s="23">
        <v>-4.0000000000000003E-5</v>
      </c>
      <c r="I117" s="483">
        <f t="shared" si="12"/>
        <v>200.00004000000001</v>
      </c>
      <c r="J117" s="156">
        <v>1E-4</v>
      </c>
      <c r="K117" s="156">
        <v>2</v>
      </c>
      <c r="L117" s="397">
        <f t="shared" si="13"/>
        <v>1E-4</v>
      </c>
      <c r="M117" s="399">
        <f t="shared" si="14"/>
        <v>1E-4</v>
      </c>
      <c r="N117" s="29">
        <v>0</v>
      </c>
      <c r="O117" s="387">
        <v>1E-3</v>
      </c>
      <c r="P117" s="370">
        <f t="shared" si="15"/>
        <v>9</v>
      </c>
      <c r="AJ117" s="29">
        <v>0</v>
      </c>
      <c r="AK117" s="23">
        <v>8.0000000000000007E-5</v>
      </c>
    </row>
    <row r="118" spans="1:37" ht="15" customHeight="1">
      <c r="A118" s="353">
        <v>23</v>
      </c>
      <c r="B118" s="379" t="s">
        <v>292</v>
      </c>
      <c r="C118" s="313" t="s">
        <v>1092</v>
      </c>
      <c r="D118" s="146" t="s">
        <v>152</v>
      </c>
      <c r="E118" s="380" t="s">
        <v>1025</v>
      </c>
      <c r="F118" s="147">
        <v>200</v>
      </c>
      <c r="G118" s="392" t="str">
        <f t="shared" si="17"/>
        <v>SI-200 ,g-19</v>
      </c>
      <c r="H118" s="23">
        <v>-4.0000000000000003E-5</v>
      </c>
      <c r="I118" s="483">
        <f t="shared" si="12"/>
        <v>200.00004000000001</v>
      </c>
      <c r="J118" s="156">
        <v>1E-4</v>
      </c>
      <c r="K118" s="156">
        <v>2</v>
      </c>
      <c r="L118" s="397">
        <f t="shared" si="13"/>
        <v>1E-4</v>
      </c>
      <c r="M118" s="399">
        <f t="shared" si="14"/>
        <v>1E-4</v>
      </c>
      <c r="N118" s="29">
        <v>0</v>
      </c>
      <c r="O118" s="387">
        <v>1E-3</v>
      </c>
      <c r="P118" s="370">
        <f t="shared" si="15"/>
        <v>9</v>
      </c>
      <c r="AJ118" s="29">
        <v>0</v>
      </c>
      <c r="AK118" s="23">
        <v>8.0000000000000007E-5</v>
      </c>
    </row>
    <row r="119" spans="1:37" ht="15" customHeight="1">
      <c r="A119" s="444">
        <v>1</v>
      </c>
      <c r="B119" s="379" t="s">
        <v>292</v>
      </c>
      <c r="C119" s="313" t="s">
        <v>1092</v>
      </c>
      <c r="D119" s="146" t="s">
        <v>1208</v>
      </c>
      <c r="E119" s="380" t="s">
        <v>1179</v>
      </c>
      <c r="F119" s="147">
        <v>9.9999999999999995E-7</v>
      </c>
      <c r="G119" s="392" t="str">
        <f t="shared" si="17"/>
        <v>N /A-0,000001 ,kg-19</v>
      </c>
      <c r="H119" s="23">
        <v>-6.9999999999999996E-10</v>
      </c>
      <c r="I119" s="483">
        <f t="shared" si="12"/>
        <v>1.0007E-6</v>
      </c>
      <c r="J119" s="156">
        <v>2.0000000000000001E-9</v>
      </c>
      <c r="K119" s="156">
        <v>2</v>
      </c>
      <c r="L119" s="397">
        <f t="shared" si="13"/>
        <v>2.0000000000000001E-9</v>
      </c>
      <c r="M119" s="399">
        <f t="shared" si="14"/>
        <v>2.0000000000000001E-9</v>
      </c>
      <c r="N119" s="29">
        <v>0</v>
      </c>
      <c r="O119" s="387">
        <v>1E-3</v>
      </c>
      <c r="P119" s="370">
        <f t="shared" si="15"/>
        <v>9</v>
      </c>
      <c r="AJ119" s="29">
        <v>0</v>
      </c>
      <c r="AK119" s="23">
        <v>8.0000000000000007E-5</v>
      </c>
    </row>
    <row r="120" spans="1:37" ht="15" customHeight="1">
      <c r="A120" s="444">
        <v>2</v>
      </c>
      <c r="B120" s="379" t="s">
        <v>292</v>
      </c>
      <c r="C120" s="313" t="s">
        <v>1092</v>
      </c>
      <c r="D120" s="146" t="s">
        <v>1209</v>
      </c>
      <c r="E120" s="380" t="s">
        <v>1180</v>
      </c>
      <c r="F120" s="147">
        <v>1.9999999999999999E-6</v>
      </c>
      <c r="G120" s="392" t="str">
        <f t="shared" si="17"/>
        <v>N O-0,000002 ,kg-19</v>
      </c>
      <c r="H120" s="23">
        <v>-3.4999999999999999E-9</v>
      </c>
      <c r="I120" s="483">
        <f t="shared" si="12"/>
        <v>2.0035E-6</v>
      </c>
      <c r="J120" s="156">
        <v>2.0000000000000001E-9</v>
      </c>
      <c r="K120" s="156">
        <v>2</v>
      </c>
      <c r="L120" s="397">
        <f t="shared" si="13"/>
        <v>2.0000000000000001E-9</v>
      </c>
      <c r="M120" s="399">
        <f t="shared" si="14"/>
        <v>2.0000000000000001E-9</v>
      </c>
      <c r="N120" s="29">
        <v>0</v>
      </c>
      <c r="O120" s="387">
        <v>1E-3</v>
      </c>
      <c r="P120" s="370">
        <f t="shared" si="15"/>
        <v>9</v>
      </c>
      <c r="AJ120" s="29">
        <v>0</v>
      </c>
      <c r="AK120" s="23">
        <v>7.0000000000000007E-5</v>
      </c>
    </row>
    <row r="121" spans="1:37" ht="15" customHeight="1">
      <c r="A121" s="353">
        <v>3</v>
      </c>
      <c r="B121" s="379" t="s">
        <v>292</v>
      </c>
      <c r="C121" s="313" t="s">
        <v>1092</v>
      </c>
      <c r="D121" s="146" t="s">
        <v>1210</v>
      </c>
      <c r="E121" s="380" t="s">
        <v>1180</v>
      </c>
      <c r="F121" s="147">
        <v>1.9999999999999999E-6</v>
      </c>
      <c r="G121" s="392" t="str">
        <f t="shared" si="17"/>
        <v>S I-0,000002 ,kg-19</v>
      </c>
      <c r="H121" s="23">
        <v>-3E-9</v>
      </c>
      <c r="I121" s="483">
        <f t="shared" si="12"/>
        <v>2.0029999999999997E-6</v>
      </c>
      <c r="J121" s="156">
        <v>2.0000000000000001E-9</v>
      </c>
      <c r="K121" s="156">
        <v>2</v>
      </c>
      <c r="L121" s="397">
        <f t="shared" si="13"/>
        <v>2.0000000000000001E-9</v>
      </c>
      <c r="M121" s="399">
        <f t="shared" si="14"/>
        <v>2.0000000000000001E-9</v>
      </c>
      <c r="N121" s="29">
        <v>0</v>
      </c>
      <c r="O121" s="387">
        <v>1E-3</v>
      </c>
      <c r="P121" s="370">
        <f t="shared" si="15"/>
        <v>9</v>
      </c>
      <c r="AJ121" s="29">
        <v>0</v>
      </c>
      <c r="AK121" s="23">
        <v>8.0000000000000007E-5</v>
      </c>
    </row>
    <row r="122" spans="1:37" ht="15" customHeight="1">
      <c r="A122" s="353">
        <v>4</v>
      </c>
      <c r="B122" s="379" t="s">
        <v>292</v>
      </c>
      <c r="C122" s="313" t="s">
        <v>1092</v>
      </c>
      <c r="D122" s="146" t="s">
        <v>1208</v>
      </c>
      <c r="E122" s="380" t="s">
        <v>1181</v>
      </c>
      <c r="F122" s="147">
        <v>5.0000000000000004E-6</v>
      </c>
      <c r="G122" s="392" t="str">
        <f t="shared" si="17"/>
        <v>N /A-0,000005 ,kg-19</v>
      </c>
      <c r="H122" s="23">
        <v>-4.8E-9</v>
      </c>
      <c r="I122" s="483">
        <f t="shared" si="12"/>
        <v>5.0048000000000008E-6</v>
      </c>
      <c r="J122" s="156">
        <v>2.0000000000000001E-9</v>
      </c>
      <c r="K122" s="156">
        <v>2</v>
      </c>
      <c r="L122" s="397">
        <f t="shared" si="13"/>
        <v>2.0000000000000001E-9</v>
      </c>
      <c r="M122" s="399">
        <f t="shared" si="14"/>
        <v>2.0000000000000001E-9</v>
      </c>
      <c r="N122" s="29">
        <v>0</v>
      </c>
      <c r="O122" s="387">
        <v>1E-3</v>
      </c>
      <c r="P122" s="370">
        <f t="shared" si="15"/>
        <v>9</v>
      </c>
      <c r="AJ122" s="29">
        <v>0</v>
      </c>
      <c r="AK122" s="23">
        <v>8.0000000000000007E-5</v>
      </c>
    </row>
    <row r="123" spans="1:37" ht="15" customHeight="1">
      <c r="A123" s="353">
        <v>5</v>
      </c>
      <c r="B123" s="379" t="s">
        <v>292</v>
      </c>
      <c r="C123" s="313" t="s">
        <v>1092</v>
      </c>
      <c r="D123" s="146" t="s">
        <v>1208</v>
      </c>
      <c r="E123" s="380" t="s">
        <v>1182</v>
      </c>
      <c r="F123" s="147">
        <v>1.0000000000000001E-5</v>
      </c>
      <c r="G123" s="392" t="str">
        <f t="shared" si="17"/>
        <v>N /A-0,00001 ,kg-19</v>
      </c>
      <c r="H123" s="23">
        <v>-8.5E-9</v>
      </c>
      <c r="I123" s="483">
        <f t="shared" si="12"/>
        <v>1.0008500000000001E-5</v>
      </c>
      <c r="J123" s="156">
        <v>2.7000000000000002E-9</v>
      </c>
      <c r="K123" s="156">
        <v>2</v>
      </c>
      <c r="L123" s="397">
        <f t="shared" si="13"/>
        <v>2.7000000000000002E-9</v>
      </c>
      <c r="M123" s="399">
        <f t="shared" si="14"/>
        <v>2.7000000000000002E-9</v>
      </c>
      <c r="N123" s="29">
        <v>0</v>
      </c>
      <c r="O123" s="387">
        <v>1E-3</v>
      </c>
      <c r="P123" s="370">
        <f t="shared" si="15"/>
        <v>9</v>
      </c>
      <c r="AJ123" s="29">
        <v>0</v>
      </c>
      <c r="AK123" s="23">
        <v>8.9999999999999992E-5</v>
      </c>
    </row>
    <row r="124" spans="1:37" ht="15" customHeight="1">
      <c r="A124" s="353">
        <v>6</v>
      </c>
      <c r="B124" s="379" t="s">
        <v>292</v>
      </c>
      <c r="C124" s="313" t="s">
        <v>1092</v>
      </c>
      <c r="D124" s="146" t="s">
        <v>1209</v>
      </c>
      <c r="E124" s="380" t="s">
        <v>1183</v>
      </c>
      <c r="F124" s="147">
        <v>2.0000000000000002E-5</v>
      </c>
      <c r="G124" s="392" t="str">
        <f t="shared" si="17"/>
        <v>N O-0,00002 ,kg-19</v>
      </c>
      <c r="H124" s="23">
        <v>-1.55E-8</v>
      </c>
      <c r="I124" s="483">
        <f t="shared" si="12"/>
        <v>2.0015500000000002E-5</v>
      </c>
      <c r="J124" s="156">
        <v>3.3000000000000002E-9</v>
      </c>
      <c r="K124" s="156">
        <v>2</v>
      </c>
      <c r="L124" s="397">
        <f t="shared" si="13"/>
        <v>3.3000000000000002E-9</v>
      </c>
      <c r="M124" s="399">
        <f t="shared" si="14"/>
        <v>3.3000000000000002E-9</v>
      </c>
      <c r="N124" s="29">
        <v>0</v>
      </c>
      <c r="O124" s="387">
        <v>1E-3</v>
      </c>
      <c r="P124" s="370">
        <f t="shared" si="15"/>
        <v>9</v>
      </c>
      <c r="AJ124" s="29">
        <v>0</v>
      </c>
      <c r="AK124" s="23">
        <v>8.0000000000000007E-5</v>
      </c>
    </row>
    <row r="125" spans="1:37" ht="15" customHeight="1">
      <c r="A125" s="353">
        <v>7</v>
      </c>
      <c r="B125" s="379" t="s">
        <v>292</v>
      </c>
      <c r="C125" s="313" t="s">
        <v>1092</v>
      </c>
      <c r="D125" s="146" t="s">
        <v>1210</v>
      </c>
      <c r="E125" s="380" t="s">
        <v>1183</v>
      </c>
      <c r="F125" s="147">
        <v>2.0000000000000002E-5</v>
      </c>
      <c r="G125" s="392" t="str">
        <f t="shared" si="17"/>
        <v>S I-0,00002 ,kg-19</v>
      </c>
      <c r="H125" s="23">
        <v>-7.6000000000000002E-9</v>
      </c>
      <c r="I125" s="483">
        <f t="shared" si="12"/>
        <v>2.0007600000000001E-5</v>
      </c>
      <c r="J125" s="156">
        <v>3.3000000000000002E-9</v>
      </c>
      <c r="K125" s="156">
        <v>2</v>
      </c>
      <c r="L125" s="397">
        <f t="shared" si="13"/>
        <v>3.3000000000000002E-9</v>
      </c>
      <c r="M125" s="399">
        <f t="shared" si="14"/>
        <v>3.3000000000000002E-9</v>
      </c>
      <c r="N125" s="29">
        <v>0</v>
      </c>
      <c r="O125" s="387">
        <v>1E-3</v>
      </c>
      <c r="P125" s="370">
        <f t="shared" si="15"/>
        <v>9</v>
      </c>
      <c r="AJ125" s="29">
        <v>0</v>
      </c>
      <c r="AK125" s="23">
        <v>8.9999999999999992E-5</v>
      </c>
    </row>
    <row r="126" spans="1:37" ht="15" customHeight="1">
      <c r="A126" s="353">
        <v>8</v>
      </c>
      <c r="B126" s="379" t="s">
        <v>292</v>
      </c>
      <c r="C126" s="313" t="s">
        <v>1092</v>
      </c>
      <c r="D126" s="146" t="s">
        <v>1208</v>
      </c>
      <c r="E126" s="380" t="s">
        <v>1184</v>
      </c>
      <c r="F126" s="147">
        <v>5.0000000000000002E-5</v>
      </c>
      <c r="G126" s="392" t="str">
        <f t="shared" si="17"/>
        <v>N /A-0,00005 ,kg-19</v>
      </c>
      <c r="H126" s="23">
        <v>-5.1999999999999994E-9</v>
      </c>
      <c r="I126" s="483">
        <f t="shared" si="12"/>
        <v>5.00052E-5</v>
      </c>
      <c r="J126" s="156">
        <v>4.0000000000000002E-9</v>
      </c>
      <c r="K126" s="156">
        <v>2</v>
      </c>
      <c r="L126" s="397">
        <f t="shared" si="13"/>
        <v>4.0000000000000002E-9</v>
      </c>
      <c r="M126" s="399">
        <f t="shared" si="14"/>
        <v>4.0000000000000002E-9</v>
      </c>
      <c r="N126" s="29">
        <v>0</v>
      </c>
      <c r="O126" s="387">
        <v>1E-3</v>
      </c>
      <c r="P126" s="370">
        <f t="shared" si="15"/>
        <v>9</v>
      </c>
      <c r="AJ126" s="29">
        <v>0</v>
      </c>
      <c r="AK126" s="23">
        <v>8.9999999999999992E-5</v>
      </c>
    </row>
    <row r="127" spans="1:37" ht="15" customHeight="1">
      <c r="A127" s="353">
        <v>9</v>
      </c>
      <c r="B127" s="379" t="s">
        <v>292</v>
      </c>
      <c r="C127" s="313" t="s">
        <v>1092</v>
      </c>
      <c r="D127" s="146" t="s">
        <v>1208</v>
      </c>
      <c r="E127" s="380" t="s">
        <v>1185</v>
      </c>
      <c r="F127" s="147">
        <v>1E-4</v>
      </c>
      <c r="G127" s="392" t="str">
        <f t="shared" si="17"/>
        <v>N /A-0,0001 ,kg-19</v>
      </c>
      <c r="H127" s="23">
        <v>-1.26E-8</v>
      </c>
      <c r="I127" s="483">
        <f t="shared" si="12"/>
        <v>1.0001260000000001E-4</v>
      </c>
      <c r="J127" s="156">
        <v>5.3000000000000003E-9</v>
      </c>
      <c r="K127" s="156">
        <v>2</v>
      </c>
      <c r="L127" s="397">
        <f t="shared" si="13"/>
        <v>5.3000000000000003E-9</v>
      </c>
      <c r="M127" s="399">
        <f t="shared" si="14"/>
        <v>5.3000000000000003E-9</v>
      </c>
      <c r="N127" s="29">
        <v>0</v>
      </c>
      <c r="O127" s="387">
        <v>1E-3</v>
      </c>
      <c r="P127" s="370">
        <f t="shared" si="15"/>
        <v>9</v>
      </c>
      <c r="AJ127" s="29">
        <v>0</v>
      </c>
      <c r="AK127" s="23">
        <v>8.9999999999999992E-5</v>
      </c>
    </row>
    <row r="128" spans="1:37" ht="15" customHeight="1">
      <c r="A128" s="353">
        <v>10</v>
      </c>
      <c r="B128" s="379" t="s">
        <v>292</v>
      </c>
      <c r="C128" s="313" t="s">
        <v>1092</v>
      </c>
      <c r="D128" s="146" t="s">
        <v>1209</v>
      </c>
      <c r="E128" s="380" t="s">
        <v>1186</v>
      </c>
      <c r="F128" s="147">
        <v>2.0000000000000001E-4</v>
      </c>
      <c r="G128" s="392" t="str">
        <f t="shared" si="17"/>
        <v>N O-0,0002 ,kg-19</v>
      </c>
      <c r="H128" s="23">
        <v>-2.3099999999999998E-8</v>
      </c>
      <c r="I128" s="483">
        <f t="shared" si="12"/>
        <v>2.000231E-4</v>
      </c>
      <c r="J128" s="156">
        <v>6.7000000000000004E-9</v>
      </c>
      <c r="K128" s="156">
        <v>2</v>
      </c>
      <c r="L128" s="397">
        <f t="shared" si="13"/>
        <v>6.7000000000000004E-9</v>
      </c>
      <c r="M128" s="399">
        <f t="shared" si="14"/>
        <v>6.7000000000000004E-9</v>
      </c>
      <c r="N128" s="29">
        <v>0</v>
      </c>
      <c r="O128" s="387">
        <v>1E-3</v>
      </c>
      <c r="P128" s="370">
        <f t="shared" si="15"/>
        <v>9</v>
      </c>
      <c r="AJ128" s="29">
        <v>0</v>
      </c>
      <c r="AK128" s="23">
        <v>8.9999999999999992E-5</v>
      </c>
    </row>
    <row r="129" spans="1:37" ht="15" customHeight="1">
      <c r="A129" s="353">
        <v>11</v>
      </c>
      <c r="B129" s="379" t="s">
        <v>292</v>
      </c>
      <c r="C129" s="313" t="s">
        <v>1092</v>
      </c>
      <c r="D129" s="146" t="s">
        <v>1210</v>
      </c>
      <c r="E129" s="380" t="s">
        <v>1186</v>
      </c>
      <c r="F129" s="147">
        <v>2.0000000000000001E-4</v>
      </c>
      <c r="G129" s="392" t="str">
        <f t="shared" si="17"/>
        <v>S I-0,0002 ,kg-19</v>
      </c>
      <c r="H129" s="23">
        <v>-2.3800000000000001E-8</v>
      </c>
      <c r="I129" s="483">
        <f t="shared" si="12"/>
        <v>2.0002380000000002E-4</v>
      </c>
      <c r="J129" s="156">
        <v>6.7000000000000004E-9</v>
      </c>
      <c r="K129" s="156">
        <v>2</v>
      </c>
      <c r="L129" s="397">
        <f t="shared" si="13"/>
        <v>6.7000000000000004E-9</v>
      </c>
      <c r="M129" s="399">
        <f t="shared" si="14"/>
        <v>6.7000000000000004E-9</v>
      </c>
      <c r="N129" s="29">
        <v>0</v>
      </c>
      <c r="O129" s="387">
        <v>1E-3</v>
      </c>
      <c r="P129" s="370">
        <f t="shared" si="15"/>
        <v>9</v>
      </c>
      <c r="AJ129" s="29">
        <v>0</v>
      </c>
      <c r="AK129" s="23">
        <v>8.9999999999999992E-5</v>
      </c>
    </row>
    <row r="130" spans="1:37" ht="15" customHeight="1">
      <c r="A130" s="353">
        <v>12</v>
      </c>
      <c r="B130" s="379" t="s">
        <v>292</v>
      </c>
      <c r="C130" s="313" t="s">
        <v>1092</v>
      </c>
      <c r="D130" s="146" t="s">
        <v>1208</v>
      </c>
      <c r="E130" s="380" t="s">
        <v>1187</v>
      </c>
      <c r="F130" s="147">
        <v>5.0000000000000001E-4</v>
      </c>
      <c r="G130" s="392" t="str">
        <f t="shared" si="17"/>
        <v>N /A-0,0005 ,kg-19</v>
      </c>
      <c r="H130" s="23">
        <v>-1.9099999999999999E-8</v>
      </c>
      <c r="I130" s="483">
        <f t="shared" si="12"/>
        <v>5.0001910000000002E-4</v>
      </c>
      <c r="J130" s="156">
        <v>8.2999999999999999E-9</v>
      </c>
      <c r="K130" s="156">
        <v>2</v>
      </c>
      <c r="L130" s="397">
        <f t="shared" si="13"/>
        <v>8.2999999999999999E-9</v>
      </c>
      <c r="M130" s="399">
        <f t="shared" si="14"/>
        <v>8.2999999999999999E-9</v>
      </c>
      <c r="N130" s="29">
        <v>0</v>
      </c>
      <c r="O130" s="387">
        <v>1E-3</v>
      </c>
      <c r="P130" s="370">
        <f t="shared" si="15"/>
        <v>9</v>
      </c>
      <c r="AJ130" s="29">
        <v>0</v>
      </c>
      <c r="AK130" s="23">
        <v>8.9999999999999992E-5</v>
      </c>
    </row>
    <row r="131" spans="1:37" ht="15" customHeight="1">
      <c r="A131" s="353">
        <v>13</v>
      </c>
      <c r="B131" s="379" t="s">
        <v>292</v>
      </c>
      <c r="C131" s="313" t="s">
        <v>1092</v>
      </c>
      <c r="D131" s="146" t="s">
        <v>360</v>
      </c>
      <c r="E131" s="380" t="s">
        <v>1188</v>
      </c>
      <c r="F131" s="147">
        <v>1E-3</v>
      </c>
      <c r="G131" s="392" t="str">
        <f t="shared" si="17"/>
        <v>N/A-0,001 ,kg-19</v>
      </c>
      <c r="H131" s="23">
        <v>-1.0000000000000001E-106</v>
      </c>
      <c r="I131" s="483">
        <f t="shared" si="12"/>
        <v>1E-3</v>
      </c>
      <c r="J131" s="156">
        <v>1E-8</v>
      </c>
      <c r="K131" s="156">
        <v>2</v>
      </c>
      <c r="L131" s="397">
        <f t="shared" si="13"/>
        <v>1E-8</v>
      </c>
      <c r="M131" s="399">
        <f t="shared" si="14"/>
        <v>1E-8</v>
      </c>
      <c r="N131" s="29">
        <v>0</v>
      </c>
      <c r="O131" s="387">
        <v>1E-3</v>
      </c>
      <c r="P131" s="370">
        <f t="shared" si="15"/>
        <v>9</v>
      </c>
      <c r="AJ131" s="29">
        <v>0</v>
      </c>
      <c r="AK131" s="23">
        <v>8.9999999999999992E-5</v>
      </c>
    </row>
    <row r="132" spans="1:37" ht="15" customHeight="1">
      <c r="A132" s="353">
        <v>14</v>
      </c>
      <c r="B132" s="379" t="s">
        <v>292</v>
      </c>
      <c r="C132" s="313" t="s">
        <v>1092</v>
      </c>
      <c r="D132" s="146" t="s">
        <v>153</v>
      </c>
      <c r="E132" s="380" t="s">
        <v>1189</v>
      </c>
      <c r="F132" s="147">
        <v>2E-3</v>
      </c>
      <c r="G132" s="392" t="str">
        <f t="shared" si="17"/>
        <v>NO-0,002 ,kg-19</v>
      </c>
      <c r="H132" s="23">
        <v>-1.6000000000000001E-8</v>
      </c>
      <c r="I132" s="483">
        <f t="shared" si="12"/>
        <v>2.0000159999999999E-3</v>
      </c>
      <c r="J132" s="156">
        <v>1.2999999999999999E-8</v>
      </c>
      <c r="K132" s="156">
        <v>2</v>
      </c>
      <c r="L132" s="397">
        <f t="shared" si="13"/>
        <v>1.2999999999999999E-8</v>
      </c>
      <c r="M132" s="399">
        <f t="shared" si="14"/>
        <v>1.2999999999999999E-8</v>
      </c>
      <c r="N132" s="29">
        <v>0</v>
      </c>
      <c r="O132" s="387">
        <v>1E-3</v>
      </c>
      <c r="P132" s="370">
        <f t="shared" si="15"/>
        <v>9</v>
      </c>
      <c r="AJ132" s="29">
        <v>0</v>
      </c>
      <c r="AK132" s="23">
        <v>8.9999999999999992E-5</v>
      </c>
    </row>
    <row r="133" spans="1:37" ht="15" customHeight="1">
      <c r="A133" s="353">
        <v>15</v>
      </c>
      <c r="B133" s="379" t="s">
        <v>292</v>
      </c>
      <c r="C133" s="313" t="s">
        <v>1092</v>
      </c>
      <c r="D133" s="146" t="s">
        <v>152</v>
      </c>
      <c r="E133" s="380" t="s">
        <v>1189</v>
      </c>
      <c r="F133" s="147">
        <v>2E-3</v>
      </c>
      <c r="G133" s="392" t="str">
        <f t="shared" si="17"/>
        <v>SI-0,002 ,kg-19</v>
      </c>
      <c r="H133" s="23">
        <v>-1.2999999999999999E-8</v>
      </c>
      <c r="I133" s="483">
        <f t="shared" ref="I133:I196" si="18">F133-H133</f>
        <v>2.0000130000000001E-3</v>
      </c>
      <c r="J133" s="156">
        <v>1.2999999999999999E-8</v>
      </c>
      <c r="K133" s="156">
        <v>2</v>
      </c>
      <c r="L133" s="397">
        <f t="shared" ref="L133:L196" si="19">IF(AND(B133="E2",N133&lt;&gt;0),ABS(H133-N133),M133)</f>
        <v>1.2999999999999999E-8</v>
      </c>
      <c r="M133" s="399">
        <f t="shared" ref="M133:M196" si="20">J133</f>
        <v>1.2999999999999999E-8</v>
      </c>
      <c r="N133" s="29">
        <v>0</v>
      </c>
      <c r="O133" s="387">
        <v>1E-3</v>
      </c>
      <c r="P133" s="370">
        <f t="shared" ref="P133:P196" si="21">VLOOKUP(C133,$AB$4:$AI$25,8,FALSE)</f>
        <v>9</v>
      </c>
      <c r="AJ133" s="29">
        <v>0</v>
      </c>
      <c r="AK133" s="23">
        <v>8.9999999999999992E-5</v>
      </c>
    </row>
    <row r="134" spans="1:37" ht="15" customHeight="1">
      <c r="A134" s="353">
        <v>16</v>
      </c>
      <c r="B134" s="379" t="s">
        <v>292</v>
      </c>
      <c r="C134" s="313" t="s">
        <v>1092</v>
      </c>
      <c r="D134" s="146" t="s">
        <v>360</v>
      </c>
      <c r="E134" s="380" t="s">
        <v>1190</v>
      </c>
      <c r="F134" s="147">
        <v>5.0000000000000001E-3</v>
      </c>
      <c r="G134" s="392" t="str">
        <f t="shared" si="17"/>
        <v>N/A-0,005 ,kg-19</v>
      </c>
      <c r="H134" s="23">
        <v>-1E-8</v>
      </c>
      <c r="I134" s="483">
        <f t="shared" si="18"/>
        <v>5.00001E-3</v>
      </c>
      <c r="J134" s="156">
        <v>1.7E-8</v>
      </c>
      <c r="K134" s="156">
        <v>2</v>
      </c>
      <c r="L134" s="397">
        <f t="shared" si="19"/>
        <v>1.7E-8</v>
      </c>
      <c r="M134" s="399">
        <f t="shared" si="20"/>
        <v>1.7E-8</v>
      </c>
      <c r="N134" s="29">
        <v>0</v>
      </c>
      <c r="O134" s="387">
        <v>1E-3</v>
      </c>
      <c r="P134" s="370">
        <f t="shared" si="21"/>
        <v>9</v>
      </c>
      <c r="AJ134" s="29">
        <v>0</v>
      </c>
      <c r="AK134" s="23">
        <v>8.9999999999999992E-5</v>
      </c>
    </row>
    <row r="135" spans="1:37" s="157" customFormat="1" ht="15" customHeight="1">
      <c r="A135" s="353">
        <v>17</v>
      </c>
      <c r="B135" s="379" t="s">
        <v>292</v>
      </c>
      <c r="C135" s="313" t="s">
        <v>1092</v>
      </c>
      <c r="D135" s="146" t="s">
        <v>360</v>
      </c>
      <c r="E135" s="380" t="s">
        <v>1191</v>
      </c>
      <c r="F135" s="147">
        <v>0.01</v>
      </c>
      <c r="G135" s="392" t="str">
        <f t="shared" si="17"/>
        <v>N/A-0,01 ,kg-19</v>
      </c>
      <c r="H135" s="23">
        <v>-6.9999999999999998E-9</v>
      </c>
      <c r="I135" s="483">
        <f t="shared" si="18"/>
        <v>1.0000007E-2</v>
      </c>
      <c r="J135" s="156">
        <v>2E-8</v>
      </c>
      <c r="K135" s="156">
        <v>2</v>
      </c>
      <c r="L135" s="397">
        <f t="shared" si="19"/>
        <v>2E-8</v>
      </c>
      <c r="M135" s="399">
        <f t="shared" si="20"/>
        <v>2E-8</v>
      </c>
      <c r="N135" s="29">
        <v>0</v>
      </c>
      <c r="O135" s="387">
        <v>1E-3</v>
      </c>
      <c r="P135" s="370">
        <f t="shared" si="21"/>
        <v>9</v>
      </c>
      <c r="Q135" s="141"/>
      <c r="R135" s="141"/>
      <c r="S135" s="141"/>
      <c r="T135" s="141"/>
      <c r="U135" s="141"/>
      <c r="V135" s="141"/>
      <c r="W135" s="141"/>
      <c r="X135" s="141"/>
      <c r="Y135" s="141"/>
      <c r="Z135" s="141"/>
      <c r="AA135" s="141"/>
      <c r="AB135"/>
      <c r="AC135"/>
      <c r="AD135"/>
      <c r="AE135"/>
      <c r="AF135"/>
      <c r="AG135"/>
      <c r="AH135"/>
      <c r="AJ135" s="29">
        <v>0</v>
      </c>
      <c r="AK135" s="23">
        <v>7.0000000000000007E-5</v>
      </c>
    </row>
    <row r="136" spans="1:37" ht="15" customHeight="1">
      <c r="A136" s="353">
        <v>18</v>
      </c>
      <c r="B136" s="379" t="s">
        <v>292</v>
      </c>
      <c r="C136" s="313" t="s">
        <v>1092</v>
      </c>
      <c r="D136" s="146" t="s">
        <v>153</v>
      </c>
      <c r="E136" s="380" t="s">
        <v>1192</v>
      </c>
      <c r="F136" s="147">
        <v>0.02</v>
      </c>
      <c r="G136" s="392" t="str">
        <f t="shared" ref="G136:G199" si="22">+CONCATENATE(D136,"-",E136,"-",MID(C136,12,2))</f>
        <v>NO-0,02 ,kg-19</v>
      </c>
      <c r="H136" s="23">
        <v>-4.4999999999999999E-8</v>
      </c>
      <c r="I136" s="483">
        <f t="shared" si="18"/>
        <v>2.0000045000000001E-2</v>
      </c>
      <c r="J136" s="156">
        <v>2.7E-8</v>
      </c>
      <c r="K136" s="156">
        <v>2</v>
      </c>
      <c r="L136" s="397">
        <f t="shared" si="19"/>
        <v>2.7E-8</v>
      </c>
      <c r="M136" s="399">
        <f t="shared" si="20"/>
        <v>2.7E-8</v>
      </c>
      <c r="N136" s="29">
        <v>0</v>
      </c>
      <c r="O136" s="387">
        <v>1E-3</v>
      </c>
      <c r="P136" s="370">
        <f t="shared" si="21"/>
        <v>9</v>
      </c>
      <c r="AJ136" s="29">
        <v>0</v>
      </c>
      <c r="AK136" s="23">
        <v>8.9999999999999992E-5</v>
      </c>
    </row>
    <row r="137" spans="1:37" ht="15" customHeight="1">
      <c r="A137" s="353">
        <v>19</v>
      </c>
      <c r="B137" s="379" t="s">
        <v>292</v>
      </c>
      <c r="C137" s="313" t="s">
        <v>1092</v>
      </c>
      <c r="D137" s="146" t="s">
        <v>152</v>
      </c>
      <c r="E137" s="380" t="s">
        <v>1192</v>
      </c>
      <c r="F137" s="147">
        <v>0.02</v>
      </c>
      <c r="G137" s="392" t="str">
        <f t="shared" si="22"/>
        <v>SI-0,02 ,kg-19</v>
      </c>
      <c r="H137" s="23">
        <v>-4.2999999999999995E-8</v>
      </c>
      <c r="I137" s="483">
        <f t="shared" si="18"/>
        <v>2.0000043000000002E-2</v>
      </c>
      <c r="J137" s="156">
        <v>2.7E-8</v>
      </c>
      <c r="K137" s="156">
        <v>2</v>
      </c>
      <c r="L137" s="397">
        <f t="shared" si="19"/>
        <v>2.7E-8</v>
      </c>
      <c r="M137" s="399">
        <f t="shared" si="20"/>
        <v>2.7E-8</v>
      </c>
      <c r="N137" s="29">
        <v>0</v>
      </c>
      <c r="O137" s="387">
        <v>1E-3</v>
      </c>
      <c r="P137" s="370">
        <f t="shared" si="21"/>
        <v>9</v>
      </c>
      <c r="AJ137" s="29">
        <v>0</v>
      </c>
      <c r="AK137" s="23">
        <v>8.9999999999999992E-5</v>
      </c>
    </row>
    <row r="138" spans="1:37" ht="15" customHeight="1">
      <c r="A138">
        <v>20</v>
      </c>
      <c r="B138" s="379" t="s">
        <v>292</v>
      </c>
      <c r="C138" s="313" t="s">
        <v>1092</v>
      </c>
      <c r="D138" s="146" t="s">
        <v>360</v>
      </c>
      <c r="E138" s="380" t="s">
        <v>1193</v>
      </c>
      <c r="F138" s="147">
        <v>0.05</v>
      </c>
      <c r="G138" s="392" t="str">
        <f t="shared" si="22"/>
        <v>N/A-0,05 ,kg-19</v>
      </c>
      <c r="H138" s="23">
        <v>-2.4E-8</v>
      </c>
      <c r="I138" s="483">
        <f t="shared" si="18"/>
        <v>5.0000024000000004E-2</v>
      </c>
      <c r="J138" s="156">
        <v>3.3000000000000004E-8</v>
      </c>
      <c r="K138" s="156">
        <v>2</v>
      </c>
      <c r="L138" s="397">
        <f t="shared" si="19"/>
        <v>3.3000000000000004E-8</v>
      </c>
      <c r="M138" s="399">
        <f t="shared" si="20"/>
        <v>3.3000000000000004E-8</v>
      </c>
      <c r="N138" s="29">
        <v>0</v>
      </c>
      <c r="O138" s="387">
        <v>1E-3</v>
      </c>
      <c r="P138" s="370">
        <f t="shared" si="21"/>
        <v>9</v>
      </c>
      <c r="AJ138" s="29">
        <v>0</v>
      </c>
      <c r="AK138" s="23">
        <v>8.0000000000000007E-5</v>
      </c>
    </row>
    <row r="139" spans="1:37" ht="15" customHeight="1">
      <c r="A139">
        <v>21</v>
      </c>
      <c r="B139" s="379" t="s">
        <v>292</v>
      </c>
      <c r="C139" s="313" t="s">
        <v>1092</v>
      </c>
      <c r="D139" s="146" t="s">
        <v>360</v>
      </c>
      <c r="E139" s="380" t="s">
        <v>1194</v>
      </c>
      <c r="F139" s="147">
        <v>0.1</v>
      </c>
      <c r="G139" s="392" t="str">
        <f t="shared" si="22"/>
        <v>N/A-0,1 ,kg-19</v>
      </c>
      <c r="H139" s="23">
        <v>1E-8</v>
      </c>
      <c r="I139" s="483">
        <f t="shared" si="18"/>
        <v>9.9999990000000011E-2</v>
      </c>
      <c r="J139" s="156">
        <v>5.2999999999999998E-8</v>
      </c>
      <c r="K139" s="156">
        <v>2</v>
      </c>
      <c r="L139" s="397">
        <f t="shared" si="19"/>
        <v>5.2999999999999998E-8</v>
      </c>
      <c r="M139" s="399">
        <f t="shared" si="20"/>
        <v>5.2999999999999998E-8</v>
      </c>
      <c r="N139" s="29">
        <v>0</v>
      </c>
      <c r="O139" s="387">
        <v>1E-3</v>
      </c>
      <c r="P139" s="370">
        <f t="shared" si="21"/>
        <v>9</v>
      </c>
      <c r="AJ139" s="29">
        <v>0</v>
      </c>
      <c r="AK139" s="23">
        <v>8.0000000000000007E-5</v>
      </c>
    </row>
    <row r="140" spans="1:37" ht="15" customHeight="1">
      <c r="A140">
        <v>22</v>
      </c>
      <c r="B140" s="379" t="s">
        <v>292</v>
      </c>
      <c r="C140" s="313" t="s">
        <v>1092</v>
      </c>
      <c r="D140" s="146" t="s">
        <v>153</v>
      </c>
      <c r="E140" s="380" t="s">
        <v>1195</v>
      </c>
      <c r="F140" s="147">
        <v>0.2</v>
      </c>
      <c r="G140" s="392" t="str">
        <f t="shared" si="22"/>
        <v>NO-0,2 ,kg-19</v>
      </c>
      <c r="H140" s="23">
        <v>-4.0000000000000001E-8</v>
      </c>
      <c r="I140" s="483">
        <f t="shared" si="18"/>
        <v>0.20000004000000002</v>
      </c>
      <c r="J140" s="156">
        <v>1.0000000000000001E-7</v>
      </c>
      <c r="K140" s="156">
        <v>2</v>
      </c>
      <c r="L140" s="397">
        <f t="shared" si="19"/>
        <v>1.0000000000000001E-7</v>
      </c>
      <c r="M140" s="399">
        <f t="shared" si="20"/>
        <v>1.0000000000000001E-7</v>
      </c>
      <c r="N140" s="29">
        <v>0</v>
      </c>
      <c r="O140" s="387">
        <v>1E-3</v>
      </c>
      <c r="P140" s="370">
        <f t="shared" si="21"/>
        <v>9</v>
      </c>
      <c r="AB140" s="157"/>
      <c r="AC140" s="157"/>
      <c r="AD140" s="157"/>
      <c r="AE140" s="157"/>
      <c r="AF140" s="157"/>
      <c r="AG140" s="157"/>
      <c r="AH140" s="157"/>
      <c r="AJ140" s="29">
        <v>0</v>
      </c>
      <c r="AK140" s="23">
        <v>8.0000000000000007E-5</v>
      </c>
    </row>
    <row r="141" spans="1:37" ht="15" customHeight="1">
      <c r="A141">
        <v>23</v>
      </c>
      <c r="B141" s="379" t="s">
        <v>292</v>
      </c>
      <c r="C141" s="313" t="s">
        <v>1092</v>
      </c>
      <c r="D141" s="146" t="s">
        <v>152</v>
      </c>
      <c r="E141" s="380" t="s">
        <v>1195</v>
      </c>
      <c r="F141" s="147">
        <v>0.2</v>
      </c>
      <c r="G141" s="392" t="str">
        <f t="shared" si="22"/>
        <v>SI-0,2 ,kg-19</v>
      </c>
      <c r="H141" s="23">
        <v>-4.0000000000000001E-8</v>
      </c>
      <c r="I141" s="483">
        <f t="shared" si="18"/>
        <v>0.20000004000000002</v>
      </c>
      <c r="J141" s="156">
        <v>1.0000000000000001E-7</v>
      </c>
      <c r="K141" s="156">
        <v>2</v>
      </c>
      <c r="L141" s="397">
        <f t="shared" si="19"/>
        <v>1.0000000000000001E-7</v>
      </c>
      <c r="M141" s="399">
        <f t="shared" si="20"/>
        <v>1.0000000000000001E-7</v>
      </c>
      <c r="N141" s="29">
        <v>0</v>
      </c>
      <c r="O141" s="387">
        <v>1E-3</v>
      </c>
      <c r="P141" s="370">
        <f t="shared" si="21"/>
        <v>9</v>
      </c>
      <c r="AJ141" s="29">
        <v>0</v>
      </c>
      <c r="AK141" s="23">
        <v>8.0000000000000007E-5</v>
      </c>
    </row>
    <row r="142" spans="1:37" ht="15" customHeight="1">
      <c r="A142">
        <v>1</v>
      </c>
      <c r="B142" s="379" t="s">
        <v>284</v>
      </c>
      <c r="C142" s="313" t="s">
        <v>228</v>
      </c>
      <c r="D142" s="146" t="s">
        <v>360</v>
      </c>
      <c r="E142" s="380" t="s">
        <v>1127</v>
      </c>
      <c r="F142" s="147">
        <v>1000</v>
      </c>
      <c r="G142" s="392" t="str">
        <f t="shared" si="22"/>
        <v>N/A-1000 ,mg-05</v>
      </c>
      <c r="H142" s="23">
        <v>1.2E-2</v>
      </c>
      <c r="I142" s="483">
        <f t="shared" si="18"/>
        <v>999.98800000000006</v>
      </c>
      <c r="J142" s="156">
        <v>3.3000000000000002E-2</v>
      </c>
      <c r="K142" s="156">
        <v>2</v>
      </c>
      <c r="L142" s="397">
        <f t="shared" si="19"/>
        <v>3.3000000000000002E-2</v>
      </c>
      <c r="M142" s="399">
        <f t="shared" si="20"/>
        <v>3.3000000000000002E-2</v>
      </c>
      <c r="N142" s="29">
        <v>0</v>
      </c>
      <c r="O142" s="387">
        <v>1E-3</v>
      </c>
      <c r="P142" s="370">
        <f t="shared" si="21"/>
        <v>12</v>
      </c>
      <c r="AJ142" s="29">
        <v>0</v>
      </c>
      <c r="AK142" s="23">
        <v>9.0000000000000006E-5</v>
      </c>
    </row>
    <row r="143" spans="1:37" ht="15" customHeight="1">
      <c r="A143">
        <v>2</v>
      </c>
      <c r="B143" s="379" t="s">
        <v>284</v>
      </c>
      <c r="C143" s="313" t="s">
        <v>228</v>
      </c>
      <c r="D143" s="146" t="s">
        <v>153</v>
      </c>
      <c r="E143" s="380" t="s">
        <v>1128</v>
      </c>
      <c r="F143" s="147">
        <v>2000</v>
      </c>
      <c r="G143" s="392" t="str">
        <f t="shared" si="22"/>
        <v>NO-2000 ,mg-05</v>
      </c>
      <c r="H143" s="23">
        <v>-2E-3</v>
      </c>
      <c r="I143" s="483">
        <f t="shared" si="18"/>
        <v>2000.002</v>
      </c>
      <c r="J143" s="156">
        <v>0.04</v>
      </c>
      <c r="K143" s="156">
        <v>2</v>
      </c>
      <c r="L143" s="397">
        <f t="shared" si="19"/>
        <v>0.04</v>
      </c>
      <c r="M143" s="399">
        <f t="shared" si="20"/>
        <v>0.04</v>
      </c>
      <c r="N143" s="29">
        <v>0</v>
      </c>
      <c r="O143" s="387">
        <v>1E-3</v>
      </c>
      <c r="P143" s="370">
        <f t="shared" si="21"/>
        <v>12</v>
      </c>
      <c r="AJ143" s="29">
        <v>0</v>
      </c>
      <c r="AK143" s="23">
        <v>9.0000000000000006E-5</v>
      </c>
    </row>
    <row r="144" spans="1:37" ht="15" customHeight="1">
      <c r="A144">
        <v>3</v>
      </c>
      <c r="B144" s="379" t="s">
        <v>284</v>
      </c>
      <c r="C144" s="313" t="s">
        <v>228</v>
      </c>
      <c r="D144" s="146" t="s">
        <v>152</v>
      </c>
      <c r="E144" s="380" t="s">
        <v>1128</v>
      </c>
      <c r="F144" s="147">
        <v>2000</v>
      </c>
      <c r="G144" s="392" t="str">
        <f t="shared" si="22"/>
        <v>SI-2000 ,mg-05</v>
      </c>
      <c r="H144" s="23">
        <v>1.4999999999999999E-2</v>
      </c>
      <c r="I144" s="483">
        <f t="shared" si="18"/>
        <v>1999.9849999999999</v>
      </c>
      <c r="J144" s="156">
        <v>0.04</v>
      </c>
      <c r="K144" s="156">
        <v>2</v>
      </c>
      <c r="L144" s="397">
        <f t="shared" si="19"/>
        <v>0.04</v>
      </c>
      <c r="M144" s="399">
        <f t="shared" si="20"/>
        <v>0.04</v>
      </c>
      <c r="N144" s="29">
        <v>0</v>
      </c>
      <c r="O144" s="387">
        <v>1E-3</v>
      </c>
      <c r="P144" s="370">
        <f t="shared" si="21"/>
        <v>12</v>
      </c>
      <c r="AJ144" s="29">
        <v>0</v>
      </c>
      <c r="AK144" s="23">
        <v>9.0000000000000006E-5</v>
      </c>
    </row>
    <row r="145" spans="1:37" ht="15" customHeight="1">
      <c r="A145">
        <v>4</v>
      </c>
      <c r="B145" s="379" t="s">
        <v>284</v>
      </c>
      <c r="C145" s="313" t="s">
        <v>228</v>
      </c>
      <c r="D145" s="146" t="s">
        <v>360</v>
      </c>
      <c r="E145" s="380" t="s">
        <v>1129</v>
      </c>
      <c r="F145" s="147">
        <v>5000</v>
      </c>
      <c r="G145" s="392" t="str">
        <f t="shared" si="22"/>
        <v>N/A-5000 ,mg-05</v>
      </c>
      <c r="H145" s="23">
        <v>0.03</v>
      </c>
      <c r="I145" s="483">
        <f t="shared" si="18"/>
        <v>4999.97</v>
      </c>
      <c r="J145" s="156">
        <v>5.2999999999999999E-2</v>
      </c>
      <c r="K145" s="156">
        <v>2</v>
      </c>
      <c r="L145" s="397">
        <f t="shared" si="19"/>
        <v>5.2999999999999999E-2</v>
      </c>
      <c r="M145" s="399">
        <f t="shared" si="20"/>
        <v>5.2999999999999999E-2</v>
      </c>
      <c r="N145" s="29">
        <v>0</v>
      </c>
      <c r="O145" s="387">
        <v>1E-3</v>
      </c>
      <c r="P145" s="370">
        <f t="shared" si="21"/>
        <v>12</v>
      </c>
      <c r="AJ145" s="29">
        <v>0</v>
      </c>
      <c r="AK145" s="23">
        <v>9.0000000000000006E-5</v>
      </c>
    </row>
    <row r="146" spans="1:37" ht="15" customHeight="1">
      <c r="A146">
        <v>5</v>
      </c>
      <c r="B146" s="379" t="s">
        <v>284</v>
      </c>
      <c r="C146" s="313" t="s">
        <v>228</v>
      </c>
      <c r="D146" s="146" t="s">
        <v>360</v>
      </c>
      <c r="E146" s="380" t="s">
        <v>1130</v>
      </c>
      <c r="F146" s="147">
        <v>10000</v>
      </c>
      <c r="G146" s="392" t="str">
        <f t="shared" si="22"/>
        <v>N/A-10000 ,mg-05</v>
      </c>
      <c r="H146" s="23">
        <v>3.3000000000000002E-2</v>
      </c>
      <c r="I146" s="483">
        <f t="shared" si="18"/>
        <v>9999.9670000000006</v>
      </c>
      <c r="J146" s="156">
        <v>6.7000000000000004E-2</v>
      </c>
      <c r="K146" s="156">
        <v>2</v>
      </c>
      <c r="L146" s="397">
        <f t="shared" si="19"/>
        <v>6.7000000000000004E-2</v>
      </c>
      <c r="M146" s="399">
        <f t="shared" si="20"/>
        <v>6.7000000000000004E-2</v>
      </c>
      <c r="N146" s="29">
        <v>0</v>
      </c>
      <c r="O146" s="387">
        <v>1E-3</v>
      </c>
      <c r="P146" s="370">
        <f t="shared" si="21"/>
        <v>12</v>
      </c>
      <c r="AJ146" s="29">
        <v>0</v>
      </c>
      <c r="AK146" s="23">
        <v>9.0000000000000006E-5</v>
      </c>
    </row>
    <row r="147" spans="1:37" ht="15" customHeight="1">
      <c r="A147">
        <v>6</v>
      </c>
      <c r="B147" s="379" t="s">
        <v>284</v>
      </c>
      <c r="C147" s="313" t="s">
        <v>228</v>
      </c>
      <c r="D147" s="146" t="s">
        <v>153</v>
      </c>
      <c r="E147" s="380" t="s">
        <v>1131</v>
      </c>
      <c r="F147" s="147">
        <v>20000</v>
      </c>
      <c r="G147" s="392" t="str">
        <f t="shared" si="22"/>
        <v>NO-20000 ,mg-05</v>
      </c>
      <c r="H147" s="23">
        <v>0.01</v>
      </c>
      <c r="I147" s="483">
        <f t="shared" si="18"/>
        <v>19999.990000000002</v>
      </c>
      <c r="J147" s="156">
        <v>8.3000000000000004E-2</v>
      </c>
      <c r="K147" s="156">
        <v>2</v>
      </c>
      <c r="L147" s="397">
        <f t="shared" si="19"/>
        <v>8.3000000000000004E-2</v>
      </c>
      <c r="M147" s="399">
        <f t="shared" si="20"/>
        <v>8.3000000000000004E-2</v>
      </c>
      <c r="N147" s="29">
        <v>0</v>
      </c>
      <c r="O147" s="387">
        <v>1E-3</v>
      </c>
      <c r="P147" s="370">
        <f t="shared" si="21"/>
        <v>12</v>
      </c>
      <c r="AJ147" s="29">
        <v>0</v>
      </c>
      <c r="AK147" s="23">
        <v>9.0000000000000006E-5</v>
      </c>
    </row>
    <row r="148" spans="1:37" ht="15" customHeight="1">
      <c r="A148">
        <v>7</v>
      </c>
      <c r="B148" s="379" t="s">
        <v>284</v>
      </c>
      <c r="C148" s="313" t="s">
        <v>228</v>
      </c>
      <c r="D148" s="146" t="s">
        <v>152</v>
      </c>
      <c r="E148" s="380" t="s">
        <v>1131</v>
      </c>
      <c r="F148" s="147">
        <v>20000</v>
      </c>
      <c r="G148" s="392" t="str">
        <f t="shared" si="22"/>
        <v>SI-20000 ,mg-05</v>
      </c>
      <c r="H148" s="23">
        <v>-7.6999999999999999E-2</v>
      </c>
      <c r="I148" s="483">
        <f t="shared" si="18"/>
        <v>20000.077000000001</v>
      </c>
      <c r="J148" s="156">
        <v>8.3000000000000004E-2</v>
      </c>
      <c r="K148" s="156">
        <v>2</v>
      </c>
      <c r="L148" s="397">
        <f t="shared" si="19"/>
        <v>8.3000000000000004E-2</v>
      </c>
      <c r="M148" s="399">
        <f t="shared" si="20"/>
        <v>8.3000000000000004E-2</v>
      </c>
      <c r="N148" s="29">
        <v>0</v>
      </c>
      <c r="O148" s="387">
        <v>1E-3</v>
      </c>
      <c r="P148" s="370">
        <f t="shared" si="21"/>
        <v>12</v>
      </c>
      <c r="AJ148" s="29">
        <v>0</v>
      </c>
      <c r="AK148" s="23">
        <v>9.0000000000000006E-5</v>
      </c>
    </row>
    <row r="149" spans="1:37" ht="15" customHeight="1">
      <c r="A149">
        <v>8</v>
      </c>
      <c r="B149" s="379" t="s">
        <v>284</v>
      </c>
      <c r="C149" s="313" t="s">
        <v>228</v>
      </c>
      <c r="D149" s="146" t="s">
        <v>360</v>
      </c>
      <c r="E149" s="380" t="s">
        <v>1132</v>
      </c>
      <c r="F149" s="147">
        <v>50000</v>
      </c>
      <c r="G149" s="392" t="str">
        <f t="shared" si="22"/>
        <v>N/A-50000 ,mg-05</v>
      </c>
      <c r="H149" s="23">
        <v>0.05</v>
      </c>
      <c r="I149" s="483">
        <f t="shared" si="18"/>
        <v>49999.95</v>
      </c>
      <c r="J149" s="156">
        <v>0.1</v>
      </c>
      <c r="K149" s="156">
        <v>2</v>
      </c>
      <c r="L149" s="397">
        <f t="shared" si="19"/>
        <v>0.1</v>
      </c>
      <c r="M149" s="399">
        <f t="shared" si="20"/>
        <v>0.1</v>
      </c>
      <c r="N149" s="29">
        <v>0</v>
      </c>
      <c r="O149" s="387">
        <v>1E-3</v>
      </c>
      <c r="P149" s="370">
        <f t="shared" si="21"/>
        <v>12</v>
      </c>
      <c r="AJ149" s="29">
        <v>0</v>
      </c>
      <c r="AK149" s="23">
        <v>8.0000000000000007E-5</v>
      </c>
    </row>
    <row r="150" spans="1:37" ht="15" customHeight="1">
      <c r="A150">
        <v>9</v>
      </c>
      <c r="B150" s="379" t="s">
        <v>284</v>
      </c>
      <c r="C150" s="313" t="s">
        <v>228</v>
      </c>
      <c r="D150" s="146" t="s">
        <v>360</v>
      </c>
      <c r="E150" s="380" t="s">
        <v>1133</v>
      </c>
      <c r="F150" s="147">
        <v>100000</v>
      </c>
      <c r="G150" s="392" t="str">
        <f t="shared" si="22"/>
        <v>N/A-100000 ,mg-05</v>
      </c>
      <c r="H150" s="23">
        <v>-0.03</v>
      </c>
      <c r="I150" s="483">
        <f t="shared" si="18"/>
        <v>100000.03</v>
      </c>
      <c r="J150" s="156">
        <v>0.17</v>
      </c>
      <c r="K150" s="156">
        <v>2</v>
      </c>
      <c r="L150" s="397">
        <f t="shared" si="19"/>
        <v>0.17</v>
      </c>
      <c r="M150" s="399">
        <f t="shared" si="20"/>
        <v>0.17</v>
      </c>
      <c r="N150" s="29">
        <v>0</v>
      </c>
      <c r="O150" s="387">
        <v>1E-3</v>
      </c>
      <c r="P150" s="370">
        <f t="shared" si="21"/>
        <v>12</v>
      </c>
      <c r="AJ150" s="29">
        <v>0</v>
      </c>
      <c r="AK150" s="23">
        <v>8.0000000000000007E-5</v>
      </c>
    </row>
    <row r="151" spans="1:37" ht="15" customHeight="1">
      <c r="A151">
        <v>10</v>
      </c>
      <c r="B151" s="379" t="s">
        <v>284</v>
      </c>
      <c r="C151" s="313" t="s">
        <v>228</v>
      </c>
      <c r="D151" s="146" t="s">
        <v>153</v>
      </c>
      <c r="E151" s="380" t="s">
        <v>1134</v>
      </c>
      <c r="F151" s="147">
        <v>200000</v>
      </c>
      <c r="G151" s="392" t="str">
        <f t="shared" si="22"/>
        <v>NO-200000 ,mg-05</v>
      </c>
      <c r="H151" s="23">
        <v>0.1</v>
      </c>
      <c r="I151" s="483">
        <f t="shared" si="18"/>
        <v>199999.9</v>
      </c>
      <c r="J151" s="156">
        <v>0.33</v>
      </c>
      <c r="K151" s="156">
        <v>2</v>
      </c>
      <c r="L151" s="397">
        <f t="shared" si="19"/>
        <v>0.33</v>
      </c>
      <c r="M151" s="399">
        <f t="shared" si="20"/>
        <v>0.33</v>
      </c>
      <c r="N151" s="29">
        <v>0</v>
      </c>
      <c r="O151" s="387">
        <v>1E-3</v>
      </c>
      <c r="P151" s="370">
        <f t="shared" si="21"/>
        <v>12</v>
      </c>
      <c r="AJ151" s="29">
        <v>0</v>
      </c>
      <c r="AK151" s="23">
        <v>8.0000000000000007E-5</v>
      </c>
    </row>
    <row r="152" spans="1:37" ht="15" customHeight="1">
      <c r="A152">
        <v>11</v>
      </c>
      <c r="B152" s="379" t="s">
        <v>284</v>
      </c>
      <c r="C152" s="313" t="s">
        <v>228</v>
      </c>
      <c r="D152" s="146" t="s">
        <v>152</v>
      </c>
      <c r="E152" s="380" t="s">
        <v>1134</v>
      </c>
      <c r="F152" s="147">
        <v>200000</v>
      </c>
      <c r="G152" s="393" t="str">
        <f t="shared" si="22"/>
        <v>SI-200000 ,mg-05</v>
      </c>
      <c r="H152" s="23">
        <v>-0.14000000000000001</v>
      </c>
      <c r="I152" s="483">
        <f t="shared" si="18"/>
        <v>200000.14</v>
      </c>
      <c r="J152" s="334">
        <v>0.33</v>
      </c>
      <c r="K152" s="334">
        <v>2</v>
      </c>
      <c r="L152" s="397">
        <f t="shared" si="19"/>
        <v>0.33</v>
      </c>
      <c r="M152" s="399">
        <f t="shared" si="20"/>
        <v>0.33</v>
      </c>
      <c r="N152" s="146">
        <v>0</v>
      </c>
      <c r="O152" s="387">
        <v>1E-3</v>
      </c>
      <c r="P152" s="370">
        <f t="shared" si="21"/>
        <v>12</v>
      </c>
      <c r="AJ152" s="29">
        <v>0</v>
      </c>
      <c r="AK152" s="23">
        <v>8.0000000000000007E-5</v>
      </c>
    </row>
    <row r="153" spans="1:37">
      <c r="A153">
        <v>12</v>
      </c>
      <c r="B153" s="379" t="s">
        <v>284</v>
      </c>
      <c r="C153" s="313" t="s">
        <v>228</v>
      </c>
      <c r="D153" s="146" t="s">
        <v>360</v>
      </c>
      <c r="E153" s="380" t="s">
        <v>1135</v>
      </c>
      <c r="F153" s="147">
        <v>500000</v>
      </c>
      <c r="G153" s="394" t="str">
        <f t="shared" si="22"/>
        <v>N/A-500000 ,mg-05</v>
      </c>
      <c r="H153" s="23">
        <v>-1E-53</v>
      </c>
      <c r="I153" s="483">
        <f t="shared" si="18"/>
        <v>500000</v>
      </c>
      <c r="J153" s="329">
        <v>0.83</v>
      </c>
      <c r="K153" s="148">
        <v>2</v>
      </c>
      <c r="L153" s="397">
        <f t="shared" si="19"/>
        <v>0.83</v>
      </c>
      <c r="M153" s="399">
        <f t="shared" si="20"/>
        <v>0.83</v>
      </c>
      <c r="N153" s="29">
        <v>0</v>
      </c>
      <c r="O153" s="335">
        <v>1E-4</v>
      </c>
      <c r="P153" s="370">
        <f t="shared" si="21"/>
        <v>12</v>
      </c>
    </row>
    <row r="154" spans="1:37">
      <c r="A154">
        <v>13</v>
      </c>
      <c r="B154" s="379" t="s">
        <v>284</v>
      </c>
      <c r="C154" s="313" t="s">
        <v>228</v>
      </c>
      <c r="D154" s="146" t="s">
        <v>360</v>
      </c>
      <c r="E154" s="380" t="s">
        <v>1196</v>
      </c>
      <c r="F154" s="147">
        <v>1000000</v>
      </c>
      <c r="G154" s="394" t="str">
        <f t="shared" si="22"/>
        <v>N/A-1000000 ,mg-05</v>
      </c>
      <c r="H154" s="23">
        <v>0.8</v>
      </c>
      <c r="I154" s="483">
        <f t="shared" si="18"/>
        <v>999999.2</v>
      </c>
      <c r="J154" s="330">
        <v>1.7</v>
      </c>
      <c r="K154" s="148">
        <v>2</v>
      </c>
      <c r="L154" s="397">
        <f t="shared" si="19"/>
        <v>1.7</v>
      </c>
      <c r="M154" s="399">
        <f t="shared" si="20"/>
        <v>1.7</v>
      </c>
      <c r="N154" s="29">
        <v>0</v>
      </c>
      <c r="O154" s="335">
        <v>1.2E-4</v>
      </c>
      <c r="P154" s="370">
        <f t="shared" si="21"/>
        <v>12</v>
      </c>
    </row>
    <row r="155" spans="1:37">
      <c r="A155">
        <v>14</v>
      </c>
      <c r="B155" s="379" t="s">
        <v>284</v>
      </c>
      <c r="C155" s="313" t="s">
        <v>228</v>
      </c>
      <c r="D155" s="146" t="s">
        <v>153</v>
      </c>
      <c r="E155" s="380" t="s">
        <v>1197</v>
      </c>
      <c r="F155" s="147">
        <v>2000000</v>
      </c>
      <c r="G155" s="394" t="str">
        <f t="shared" si="22"/>
        <v>NO-2000000 ,mg-05</v>
      </c>
      <c r="H155" s="23">
        <v>0.1</v>
      </c>
      <c r="I155" s="483">
        <f t="shared" si="18"/>
        <v>1999999.9</v>
      </c>
      <c r="J155" s="330">
        <v>3.3</v>
      </c>
      <c r="K155" s="148">
        <v>2</v>
      </c>
      <c r="L155" s="397">
        <f t="shared" si="19"/>
        <v>3.3</v>
      </c>
      <c r="M155" s="399">
        <f t="shared" si="20"/>
        <v>3.3</v>
      </c>
      <c r="N155" s="29">
        <v>0</v>
      </c>
      <c r="O155" s="335">
        <v>1.2E-4</v>
      </c>
      <c r="P155" s="370">
        <f t="shared" si="21"/>
        <v>12</v>
      </c>
    </row>
    <row r="156" spans="1:37">
      <c r="A156">
        <v>15</v>
      </c>
      <c r="B156" s="379" t="s">
        <v>284</v>
      </c>
      <c r="C156" s="313" t="s">
        <v>228</v>
      </c>
      <c r="D156" s="146" t="s">
        <v>152</v>
      </c>
      <c r="E156" s="380" t="s">
        <v>1197</v>
      </c>
      <c r="F156" s="147">
        <v>2000000</v>
      </c>
      <c r="G156" s="394" t="str">
        <f t="shared" si="22"/>
        <v>SI-2000000 ,mg-05</v>
      </c>
      <c r="H156" s="23">
        <v>-0.2</v>
      </c>
      <c r="I156" s="483">
        <f t="shared" si="18"/>
        <v>2000000.2</v>
      </c>
      <c r="J156" s="329">
        <v>3.3</v>
      </c>
      <c r="K156" s="148">
        <v>2</v>
      </c>
      <c r="L156" s="397">
        <f t="shared" si="19"/>
        <v>3.3</v>
      </c>
      <c r="M156" s="399">
        <f t="shared" si="20"/>
        <v>3.3</v>
      </c>
      <c r="N156" s="29">
        <v>0</v>
      </c>
      <c r="O156" s="335">
        <v>1.6000000000000001E-4</v>
      </c>
      <c r="P156" s="370">
        <f t="shared" si="21"/>
        <v>12</v>
      </c>
    </row>
    <row r="157" spans="1:37">
      <c r="A157">
        <v>16</v>
      </c>
      <c r="B157" s="379" t="s">
        <v>284</v>
      </c>
      <c r="C157" s="313" t="s">
        <v>228</v>
      </c>
      <c r="D157" s="146" t="s">
        <v>360</v>
      </c>
      <c r="E157" s="380" t="s">
        <v>1198</v>
      </c>
      <c r="F157" s="147">
        <v>5000000</v>
      </c>
      <c r="G157" s="394" t="str">
        <f t="shared" si="22"/>
        <v>N/A-5000000 ,mg-05</v>
      </c>
      <c r="H157" s="23">
        <v>-1.5</v>
      </c>
      <c r="I157" s="483">
        <f t="shared" si="18"/>
        <v>5000001.5</v>
      </c>
      <c r="J157" s="329">
        <v>8.3000000000000007</v>
      </c>
      <c r="K157" s="148">
        <v>2</v>
      </c>
      <c r="L157" s="397">
        <f t="shared" si="19"/>
        <v>8.3000000000000007</v>
      </c>
      <c r="M157" s="399">
        <f t="shared" si="20"/>
        <v>8.3000000000000007</v>
      </c>
      <c r="N157" s="29">
        <v>0</v>
      </c>
      <c r="O157" s="335">
        <v>2.0000000000000001E-4</v>
      </c>
      <c r="P157" s="370">
        <f t="shared" si="21"/>
        <v>12</v>
      </c>
    </row>
    <row r="158" spans="1:37">
      <c r="A158">
        <v>1</v>
      </c>
      <c r="B158" s="379" t="s">
        <v>284</v>
      </c>
      <c r="C158" s="313" t="s">
        <v>228</v>
      </c>
      <c r="D158" s="146" t="s">
        <v>360</v>
      </c>
      <c r="E158" s="380" t="s">
        <v>1018</v>
      </c>
      <c r="F158" s="147">
        <v>1</v>
      </c>
      <c r="G158" s="394" t="str">
        <f t="shared" si="22"/>
        <v>N/A-1 ,g-05</v>
      </c>
      <c r="H158" s="23">
        <v>1.2E-5</v>
      </c>
      <c r="I158" s="483">
        <f t="shared" si="18"/>
        <v>0.99998799999999999</v>
      </c>
      <c r="J158" s="329">
        <v>3.3000000000000003E-5</v>
      </c>
      <c r="K158" s="148">
        <v>2</v>
      </c>
      <c r="L158" s="397">
        <f t="shared" si="19"/>
        <v>3.3000000000000003E-5</v>
      </c>
      <c r="M158" s="399">
        <f t="shared" si="20"/>
        <v>3.3000000000000003E-5</v>
      </c>
      <c r="N158" s="29">
        <v>0</v>
      </c>
      <c r="O158" s="335">
        <v>2.5000000000000001E-4</v>
      </c>
      <c r="P158" s="370">
        <f t="shared" si="21"/>
        <v>12</v>
      </c>
    </row>
    <row r="159" spans="1:37">
      <c r="A159">
        <v>2</v>
      </c>
      <c r="B159" s="379" t="s">
        <v>284</v>
      </c>
      <c r="C159" s="313" t="s">
        <v>228</v>
      </c>
      <c r="D159" s="146" t="s">
        <v>153</v>
      </c>
      <c r="E159" s="380" t="s">
        <v>1019</v>
      </c>
      <c r="F159" s="147">
        <v>2</v>
      </c>
      <c r="G159" s="394" t="str">
        <f t="shared" si="22"/>
        <v>NO-2 ,g-05</v>
      </c>
      <c r="H159" s="23">
        <v>-1.9999999999999999E-6</v>
      </c>
      <c r="I159" s="483">
        <f t="shared" si="18"/>
        <v>2.0000019999999998</v>
      </c>
      <c r="J159" s="329">
        <v>4.0000000000000003E-5</v>
      </c>
      <c r="K159" s="148">
        <v>2</v>
      </c>
      <c r="L159" s="397">
        <f t="shared" si="19"/>
        <v>4.0000000000000003E-5</v>
      </c>
      <c r="M159" s="399">
        <f t="shared" si="20"/>
        <v>4.0000000000000003E-5</v>
      </c>
      <c r="N159" s="29">
        <v>0</v>
      </c>
      <c r="O159" s="335">
        <v>2.5000000000000001E-4</v>
      </c>
      <c r="P159" s="370">
        <f t="shared" si="21"/>
        <v>12</v>
      </c>
    </row>
    <row r="160" spans="1:37">
      <c r="A160">
        <v>3</v>
      </c>
      <c r="B160" s="379" t="s">
        <v>284</v>
      </c>
      <c r="C160" s="313" t="s">
        <v>228</v>
      </c>
      <c r="D160" s="146" t="s">
        <v>152</v>
      </c>
      <c r="E160" s="380" t="s">
        <v>1019</v>
      </c>
      <c r="F160" s="147">
        <v>2</v>
      </c>
      <c r="G160" s="394" t="str">
        <f t="shared" si="22"/>
        <v>SI-2 ,g-05</v>
      </c>
      <c r="H160" s="23">
        <v>1.4999999999999999E-5</v>
      </c>
      <c r="I160" s="483">
        <f t="shared" si="18"/>
        <v>1.9999849999999999</v>
      </c>
      <c r="J160" s="330">
        <v>4.0000000000000003E-5</v>
      </c>
      <c r="K160" s="148">
        <v>2</v>
      </c>
      <c r="L160" s="397">
        <f t="shared" si="19"/>
        <v>4.0000000000000003E-5</v>
      </c>
      <c r="M160" s="399">
        <f t="shared" si="20"/>
        <v>4.0000000000000003E-5</v>
      </c>
      <c r="N160" s="29">
        <v>0</v>
      </c>
      <c r="O160" s="335">
        <v>2.9999999999999997E-4</v>
      </c>
      <c r="P160" s="370">
        <f t="shared" si="21"/>
        <v>12</v>
      </c>
    </row>
    <row r="161" spans="1:27">
      <c r="A161">
        <v>4</v>
      </c>
      <c r="B161" s="379" t="s">
        <v>284</v>
      </c>
      <c r="C161" s="313" t="s">
        <v>228</v>
      </c>
      <c r="D161" s="146" t="s">
        <v>360</v>
      </c>
      <c r="E161" s="380" t="s">
        <v>1020</v>
      </c>
      <c r="F161" s="147">
        <v>5</v>
      </c>
      <c r="G161" s="394" t="str">
        <f t="shared" si="22"/>
        <v>N/A-5 ,g-05</v>
      </c>
      <c r="H161" s="23">
        <v>2.9999999999999997E-5</v>
      </c>
      <c r="I161" s="483">
        <f t="shared" si="18"/>
        <v>4.9999700000000002</v>
      </c>
      <c r="J161" s="330">
        <v>5.3000000000000001E-5</v>
      </c>
      <c r="K161" s="148">
        <v>2</v>
      </c>
      <c r="L161" s="397">
        <f t="shared" si="19"/>
        <v>5.3000000000000001E-5</v>
      </c>
      <c r="M161" s="399">
        <f t="shared" si="20"/>
        <v>5.3000000000000001E-5</v>
      </c>
      <c r="N161" s="29">
        <v>0</v>
      </c>
      <c r="O161" s="335">
        <v>5.0000000000000001E-4</v>
      </c>
      <c r="P161" s="370">
        <f t="shared" si="21"/>
        <v>12</v>
      </c>
    </row>
    <row r="162" spans="1:27">
      <c r="A162">
        <v>5</v>
      </c>
      <c r="B162" s="379" t="s">
        <v>284</v>
      </c>
      <c r="C162" s="313" t="s">
        <v>228</v>
      </c>
      <c r="D162" s="146" t="s">
        <v>360</v>
      </c>
      <c r="E162" s="380" t="s">
        <v>1021</v>
      </c>
      <c r="F162" s="147">
        <v>10</v>
      </c>
      <c r="G162" s="394" t="str">
        <f t="shared" si="22"/>
        <v>N/A-10 ,g-05</v>
      </c>
      <c r="H162" s="23">
        <v>3.3000000000000003E-5</v>
      </c>
      <c r="I162" s="483">
        <f t="shared" si="18"/>
        <v>9.9999669999999998</v>
      </c>
      <c r="J162" s="330">
        <v>6.7000000000000002E-5</v>
      </c>
      <c r="K162" s="148">
        <v>2</v>
      </c>
      <c r="L162" s="397">
        <f t="shared" si="19"/>
        <v>6.7000000000000002E-5</v>
      </c>
      <c r="M162" s="399">
        <f t="shared" si="20"/>
        <v>6.7000000000000002E-5</v>
      </c>
      <c r="N162" s="29">
        <v>0</v>
      </c>
      <c r="O162" s="338">
        <v>1E-3</v>
      </c>
      <c r="P162" s="370">
        <f t="shared" si="21"/>
        <v>12</v>
      </c>
    </row>
    <row r="163" spans="1:27">
      <c r="A163">
        <v>6</v>
      </c>
      <c r="B163" s="379" t="s">
        <v>284</v>
      </c>
      <c r="C163" s="313" t="s">
        <v>228</v>
      </c>
      <c r="D163" s="146" t="s">
        <v>153</v>
      </c>
      <c r="E163" s="380" t="s">
        <v>1022</v>
      </c>
      <c r="F163" s="147">
        <v>20</v>
      </c>
      <c r="G163" s="394" t="str">
        <f t="shared" si="22"/>
        <v>NO-20 ,g-05</v>
      </c>
      <c r="H163" s="23">
        <v>1.0000000000000001E-5</v>
      </c>
      <c r="I163" s="483">
        <f t="shared" si="18"/>
        <v>19.99999</v>
      </c>
      <c r="J163" s="330">
        <v>8.2999999999999998E-5</v>
      </c>
      <c r="K163" s="148">
        <v>2</v>
      </c>
      <c r="L163" s="397">
        <f t="shared" si="19"/>
        <v>8.2999999999999998E-5</v>
      </c>
      <c r="M163" s="399">
        <f t="shared" si="20"/>
        <v>8.2999999999999998E-5</v>
      </c>
      <c r="N163" s="29">
        <v>0</v>
      </c>
      <c r="O163" s="338">
        <v>1E-3</v>
      </c>
      <c r="P163" s="370">
        <f t="shared" si="21"/>
        <v>12</v>
      </c>
    </row>
    <row r="164" spans="1:27">
      <c r="A164">
        <v>7</v>
      </c>
      <c r="B164" s="379" t="s">
        <v>284</v>
      </c>
      <c r="C164" s="313" t="s">
        <v>228</v>
      </c>
      <c r="D164" s="146" t="s">
        <v>152</v>
      </c>
      <c r="E164" s="380" t="s">
        <v>1022</v>
      </c>
      <c r="F164" s="147">
        <v>20</v>
      </c>
      <c r="G164" s="394" t="str">
        <f t="shared" si="22"/>
        <v>SI-20 ,g-05</v>
      </c>
      <c r="H164" s="23">
        <v>-7.7000000000000001E-5</v>
      </c>
      <c r="I164" s="483">
        <f t="shared" si="18"/>
        <v>20.000077000000001</v>
      </c>
      <c r="J164" s="330">
        <v>8.2999999999999998E-5</v>
      </c>
      <c r="K164" s="148">
        <v>2</v>
      </c>
      <c r="L164" s="397">
        <f t="shared" si="19"/>
        <v>8.2999999999999998E-5</v>
      </c>
      <c r="M164" s="399">
        <f t="shared" si="20"/>
        <v>8.2999999999999998E-5</v>
      </c>
      <c r="N164" s="29">
        <v>0</v>
      </c>
      <c r="O164" s="339">
        <v>2.5000000000000001E-3</v>
      </c>
      <c r="P164" s="370">
        <f t="shared" si="21"/>
        <v>12</v>
      </c>
    </row>
    <row r="165" spans="1:27">
      <c r="A165">
        <v>8</v>
      </c>
      <c r="B165" s="379" t="s">
        <v>284</v>
      </c>
      <c r="C165" s="313" t="s">
        <v>228</v>
      </c>
      <c r="D165" s="146" t="s">
        <v>360</v>
      </c>
      <c r="E165" s="380" t="s">
        <v>1023</v>
      </c>
      <c r="F165" s="147">
        <v>50</v>
      </c>
      <c r="G165" s="394" t="str">
        <f t="shared" si="22"/>
        <v>N/A-50 ,g-05</v>
      </c>
      <c r="H165" s="23">
        <v>5.0000000000000002E-5</v>
      </c>
      <c r="I165" s="483">
        <f t="shared" si="18"/>
        <v>49.999949999999998</v>
      </c>
      <c r="J165" s="331">
        <v>1E-4</v>
      </c>
      <c r="K165" s="148">
        <v>2</v>
      </c>
      <c r="L165" s="397">
        <f t="shared" si="19"/>
        <v>1E-4</v>
      </c>
      <c r="M165" s="399">
        <f t="shared" si="20"/>
        <v>1E-4</v>
      </c>
      <c r="N165" s="29">
        <v>0</v>
      </c>
      <c r="O165" s="29">
        <v>5.0000000000000001E-3</v>
      </c>
      <c r="P165" s="370">
        <f t="shared" si="21"/>
        <v>12</v>
      </c>
    </row>
    <row r="166" spans="1:27" s="347" customFormat="1">
      <c r="A166" s="347">
        <v>9</v>
      </c>
      <c r="B166" s="379" t="s">
        <v>284</v>
      </c>
      <c r="C166" s="313" t="s">
        <v>228</v>
      </c>
      <c r="D166" s="146" t="s">
        <v>360</v>
      </c>
      <c r="E166" s="380" t="s">
        <v>1024</v>
      </c>
      <c r="F166" s="147">
        <v>100</v>
      </c>
      <c r="G166" s="403" t="str">
        <f t="shared" si="22"/>
        <v>N/A-100 ,g-05</v>
      </c>
      <c r="H166" s="402">
        <v>-2.9999999999999997E-5</v>
      </c>
      <c r="I166" s="483">
        <f t="shared" si="18"/>
        <v>100.00003</v>
      </c>
      <c r="J166" s="404">
        <v>1.7000000000000001E-4</v>
      </c>
      <c r="K166" s="405">
        <v>2</v>
      </c>
      <c r="L166" s="397">
        <f t="shared" si="19"/>
        <v>1.7000000000000001E-4</v>
      </c>
      <c r="M166" s="399">
        <f t="shared" si="20"/>
        <v>1.7000000000000001E-4</v>
      </c>
      <c r="N166" s="401">
        <v>0</v>
      </c>
      <c r="O166" s="401">
        <v>0.01</v>
      </c>
      <c r="P166" s="406">
        <f t="shared" si="21"/>
        <v>12</v>
      </c>
      <c r="Q166" s="407"/>
      <c r="R166" s="407"/>
      <c r="S166" s="407"/>
      <c r="T166" s="407"/>
      <c r="U166" s="407"/>
      <c r="V166" s="407"/>
      <c r="W166" s="407"/>
      <c r="X166" s="407"/>
      <c r="Y166" s="407"/>
      <c r="Z166" s="407"/>
      <c r="AA166" s="407"/>
    </row>
    <row r="167" spans="1:27">
      <c r="A167">
        <v>10</v>
      </c>
      <c r="B167" s="379" t="s">
        <v>284</v>
      </c>
      <c r="C167" s="313" t="s">
        <v>228</v>
      </c>
      <c r="D167" s="29" t="s">
        <v>153</v>
      </c>
      <c r="E167" s="514" t="s">
        <v>1025</v>
      </c>
      <c r="F167" s="29">
        <v>200</v>
      </c>
      <c r="G167" s="394" t="str">
        <f t="shared" si="22"/>
        <v>NO-200 ,g-05</v>
      </c>
      <c r="H167" s="23">
        <v>1E-4</v>
      </c>
      <c r="I167" s="483">
        <f t="shared" si="18"/>
        <v>199.9999</v>
      </c>
      <c r="J167" s="331">
        <v>3.3E-4</v>
      </c>
      <c r="K167" s="148">
        <v>2</v>
      </c>
      <c r="L167" s="509">
        <f t="shared" si="19"/>
        <v>3.3E-4</v>
      </c>
      <c r="M167" s="399">
        <f t="shared" si="20"/>
        <v>3.3E-4</v>
      </c>
      <c r="N167" s="29">
        <v>0</v>
      </c>
      <c r="O167" s="29">
        <v>0.01</v>
      </c>
      <c r="P167" s="370">
        <f t="shared" si="21"/>
        <v>12</v>
      </c>
    </row>
    <row r="168" spans="1:27">
      <c r="A168">
        <v>11</v>
      </c>
      <c r="B168" s="379" t="s">
        <v>284</v>
      </c>
      <c r="C168" s="313" t="s">
        <v>228</v>
      </c>
      <c r="D168" s="29" t="s">
        <v>152</v>
      </c>
      <c r="E168" s="514" t="s">
        <v>1025</v>
      </c>
      <c r="F168" s="29">
        <v>200</v>
      </c>
      <c r="G168" s="394" t="str">
        <f t="shared" si="22"/>
        <v>SI-200 ,g-05</v>
      </c>
      <c r="H168" s="156">
        <v>-1.4000000000000001E-4</v>
      </c>
      <c r="I168" s="483">
        <f t="shared" si="18"/>
        <v>200.00013999999999</v>
      </c>
      <c r="J168" s="332">
        <v>3.3E-4</v>
      </c>
      <c r="K168" s="148">
        <v>2</v>
      </c>
      <c r="L168" s="509">
        <f t="shared" si="19"/>
        <v>3.3E-4</v>
      </c>
      <c r="M168" s="399">
        <f t="shared" si="20"/>
        <v>3.3E-4</v>
      </c>
      <c r="N168" s="29">
        <v>0</v>
      </c>
      <c r="O168" s="148">
        <v>9.9999999999999995E-8</v>
      </c>
      <c r="P168" s="370">
        <f t="shared" si="21"/>
        <v>12</v>
      </c>
    </row>
    <row r="169" spans="1:27">
      <c r="A169">
        <v>12</v>
      </c>
      <c r="B169" s="379" t="s">
        <v>284</v>
      </c>
      <c r="C169" s="313" t="s">
        <v>228</v>
      </c>
      <c r="D169" s="29" t="s">
        <v>360</v>
      </c>
      <c r="E169" s="514" t="s">
        <v>1026</v>
      </c>
      <c r="F169" s="29">
        <v>500</v>
      </c>
      <c r="G169" s="394" t="str">
        <f t="shared" si="22"/>
        <v>N/A-500 ,g-05</v>
      </c>
      <c r="H169" s="23">
        <v>-1E-56</v>
      </c>
      <c r="I169" s="483">
        <f t="shared" si="18"/>
        <v>500</v>
      </c>
      <c r="J169" s="318">
        <v>8.3000000000000001E-4</v>
      </c>
      <c r="K169" s="148">
        <v>2</v>
      </c>
      <c r="L169" s="509">
        <f t="shared" si="19"/>
        <v>8.3000000000000001E-4</v>
      </c>
      <c r="M169" s="399">
        <f t="shared" si="20"/>
        <v>8.3000000000000001E-4</v>
      </c>
      <c r="N169" s="29">
        <v>0</v>
      </c>
      <c r="O169" s="29">
        <v>1.1999999999999999E-7</v>
      </c>
      <c r="P169" s="370">
        <f t="shared" si="21"/>
        <v>12</v>
      </c>
    </row>
    <row r="170" spans="1:27">
      <c r="A170">
        <v>13</v>
      </c>
      <c r="B170" s="379" t="s">
        <v>284</v>
      </c>
      <c r="C170" s="313" t="s">
        <v>228</v>
      </c>
      <c r="D170" s="29" t="s">
        <v>360</v>
      </c>
      <c r="E170" s="514" t="s">
        <v>1027</v>
      </c>
      <c r="F170" s="29">
        <v>1000</v>
      </c>
      <c r="G170" s="394" t="str">
        <f t="shared" si="22"/>
        <v>N/A-1000 ,g-05</v>
      </c>
      <c r="H170" s="23">
        <v>8.0000000000000004E-4</v>
      </c>
      <c r="I170" s="483">
        <f t="shared" si="18"/>
        <v>999.99919999999997</v>
      </c>
      <c r="J170" s="318">
        <v>1.6999999999999999E-3</v>
      </c>
      <c r="K170" s="148">
        <v>2</v>
      </c>
      <c r="L170" s="509">
        <f t="shared" si="19"/>
        <v>1.6999999999999999E-3</v>
      </c>
      <c r="M170" s="399">
        <f t="shared" si="20"/>
        <v>1.6999999999999999E-3</v>
      </c>
      <c r="N170" s="29">
        <v>0</v>
      </c>
      <c r="O170" s="29">
        <v>1.1999999999999999E-7</v>
      </c>
      <c r="P170" s="370">
        <f t="shared" si="21"/>
        <v>12</v>
      </c>
    </row>
    <row r="171" spans="1:27">
      <c r="A171">
        <v>14</v>
      </c>
      <c r="B171" s="379" t="s">
        <v>284</v>
      </c>
      <c r="C171" s="313" t="s">
        <v>228</v>
      </c>
      <c r="D171" s="29" t="s">
        <v>153</v>
      </c>
      <c r="E171" s="514" t="s">
        <v>1028</v>
      </c>
      <c r="F171" s="29">
        <v>2000</v>
      </c>
      <c r="G171" s="394" t="str">
        <f t="shared" si="22"/>
        <v>NO-2000 ,g-05</v>
      </c>
      <c r="H171" s="23">
        <v>1E-4</v>
      </c>
      <c r="I171" s="483">
        <f t="shared" si="18"/>
        <v>1999.9999</v>
      </c>
      <c r="J171" s="332">
        <v>3.3E-3</v>
      </c>
      <c r="K171" s="148">
        <v>2</v>
      </c>
      <c r="L171" s="509">
        <f t="shared" si="19"/>
        <v>3.3E-3</v>
      </c>
      <c r="M171" s="399">
        <f t="shared" si="20"/>
        <v>3.3E-3</v>
      </c>
      <c r="N171" s="29">
        <v>0</v>
      </c>
      <c r="O171" s="29">
        <v>1.6E-7</v>
      </c>
      <c r="P171" s="370">
        <f t="shared" si="21"/>
        <v>12</v>
      </c>
    </row>
    <row r="172" spans="1:27">
      <c r="A172">
        <v>15</v>
      </c>
      <c r="B172" s="379" t="s">
        <v>284</v>
      </c>
      <c r="C172" s="313" t="s">
        <v>228</v>
      </c>
      <c r="D172" s="29" t="s">
        <v>152</v>
      </c>
      <c r="E172" s="514" t="s">
        <v>1028</v>
      </c>
      <c r="F172" s="29">
        <v>2000</v>
      </c>
      <c r="G172" s="394" t="str">
        <f t="shared" si="22"/>
        <v>SI-2000 ,g-05</v>
      </c>
      <c r="H172" s="23">
        <v>-2.0000000000000001E-4</v>
      </c>
      <c r="I172" s="483">
        <f t="shared" si="18"/>
        <v>2000.0001999999999</v>
      </c>
      <c r="J172" s="332">
        <v>3.3E-3</v>
      </c>
      <c r="K172" s="148">
        <v>2</v>
      </c>
      <c r="L172" s="509">
        <f t="shared" si="19"/>
        <v>3.3E-3</v>
      </c>
      <c r="M172" s="399">
        <f t="shared" si="20"/>
        <v>3.3E-3</v>
      </c>
      <c r="N172" s="29">
        <v>0</v>
      </c>
      <c r="O172" s="148">
        <v>1.9999999999999999E-7</v>
      </c>
      <c r="P172" s="370">
        <f t="shared" si="21"/>
        <v>12</v>
      </c>
    </row>
    <row r="173" spans="1:27">
      <c r="A173">
        <v>16</v>
      </c>
      <c r="B173" s="379" t="s">
        <v>284</v>
      </c>
      <c r="C173" s="313" t="s">
        <v>228</v>
      </c>
      <c r="D173" s="29" t="s">
        <v>360</v>
      </c>
      <c r="E173" s="514" t="s">
        <v>411</v>
      </c>
      <c r="F173" s="29">
        <v>5000</v>
      </c>
      <c r="G173" s="394" t="str">
        <f t="shared" si="22"/>
        <v>N/A-5000 ,g-05</v>
      </c>
      <c r="H173" s="23">
        <v>-1.5E-3</v>
      </c>
      <c r="I173" s="483">
        <f t="shared" si="18"/>
        <v>5000.0015000000003</v>
      </c>
      <c r="J173" s="332">
        <v>8.3000000000000001E-3</v>
      </c>
      <c r="K173" s="148">
        <v>2</v>
      </c>
      <c r="L173" s="509">
        <f t="shared" si="19"/>
        <v>8.3000000000000001E-3</v>
      </c>
      <c r="M173" s="399">
        <f t="shared" si="20"/>
        <v>8.3000000000000001E-3</v>
      </c>
      <c r="N173" s="29">
        <v>0</v>
      </c>
      <c r="O173" s="29">
        <v>2.4999999999999999E-7</v>
      </c>
      <c r="P173" s="370">
        <f t="shared" si="21"/>
        <v>12</v>
      </c>
    </row>
    <row r="174" spans="1:27">
      <c r="A174">
        <v>1</v>
      </c>
      <c r="B174" s="379" t="s">
        <v>284</v>
      </c>
      <c r="C174" s="313" t="s">
        <v>228</v>
      </c>
      <c r="D174" s="29" t="s">
        <v>360</v>
      </c>
      <c r="E174" s="514" t="s">
        <v>1188</v>
      </c>
      <c r="F174" s="29">
        <v>1E-3</v>
      </c>
      <c r="G174" s="394" t="str">
        <f t="shared" si="22"/>
        <v>N/A-0,001 ,kg-05</v>
      </c>
      <c r="H174" s="23">
        <v>1.2E-8</v>
      </c>
      <c r="I174" s="483">
        <f t="shared" si="18"/>
        <v>9.9998800000000005E-4</v>
      </c>
      <c r="J174" s="332">
        <v>3.3000000000000004E-8</v>
      </c>
      <c r="K174" s="148">
        <v>2</v>
      </c>
      <c r="L174" s="509">
        <f t="shared" si="19"/>
        <v>3.3000000000000004E-8</v>
      </c>
      <c r="M174" s="399">
        <f t="shared" si="20"/>
        <v>3.3000000000000004E-8</v>
      </c>
      <c r="N174" s="29">
        <v>0</v>
      </c>
      <c r="O174" s="29">
        <v>2.4999999999999999E-7</v>
      </c>
      <c r="P174" s="370">
        <f t="shared" si="21"/>
        <v>12</v>
      </c>
    </row>
    <row r="175" spans="1:27">
      <c r="A175">
        <v>2</v>
      </c>
      <c r="B175" s="379" t="s">
        <v>284</v>
      </c>
      <c r="C175" s="313" t="s">
        <v>228</v>
      </c>
      <c r="D175" s="29" t="s">
        <v>153</v>
      </c>
      <c r="E175" s="514" t="s">
        <v>1189</v>
      </c>
      <c r="F175" s="29">
        <v>2E-3</v>
      </c>
      <c r="G175" s="394" t="str">
        <f t="shared" si="22"/>
        <v>NO-0,002 ,kg-05</v>
      </c>
      <c r="H175" s="23">
        <v>-2.0000000000000001E-9</v>
      </c>
      <c r="I175" s="483">
        <f t="shared" si="18"/>
        <v>2.0000019999999999E-3</v>
      </c>
      <c r="J175" s="318">
        <v>4.0000000000000001E-8</v>
      </c>
      <c r="K175" s="148">
        <v>2</v>
      </c>
      <c r="L175" s="509">
        <f t="shared" si="19"/>
        <v>4.0000000000000001E-8</v>
      </c>
      <c r="M175" s="399">
        <f t="shared" si="20"/>
        <v>4.0000000000000001E-8</v>
      </c>
      <c r="N175" s="29">
        <v>0</v>
      </c>
      <c r="O175" s="148">
        <v>2.9999999999999999E-7</v>
      </c>
      <c r="P175" s="370">
        <f t="shared" si="21"/>
        <v>12</v>
      </c>
    </row>
    <row r="176" spans="1:27">
      <c r="A176">
        <v>3</v>
      </c>
      <c r="B176" s="379" t="s">
        <v>284</v>
      </c>
      <c r="C176" s="313" t="s">
        <v>228</v>
      </c>
      <c r="D176" s="29" t="s">
        <v>152</v>
      </c>
      <c r="E176" s="514" t="s">
        <v>1189</v>
      </c>
      <c r="F176" s="29">
        <v>2E-3</v>
      </c>
      <c r="G176" s="394" t="str">
        <f t="shared" si="22"/>
        <v>SI-0,002 ,kg-05</v>
      </c>
      <c r="H176" s="23">
        <v>1.4999999999999999E-8</v>
      </c>
      <c r="I176" s="483">
        <f t="shared" si="18"/>
        <v>1.9999850000000001E-3</v>
      </c>
      <c r="J176" s="318">
        <v>4.0000000000000001E-8</v>
      </c>
      <c r="K176" s="148">
        <v>2</v>
      </c>
      <c r="L176" s="509">
        <f t="shared" si="19"/>
        <v>4.0000000000000001E-8</v>
      </c>
      <c r="M176" s="399">
        <f t="shared" si="20"/>
        <v>4.0000000000000001E-8</v>
      </c>
      <c r="N176" s="29">
        <v>0</v>
      </c>
      <c r="O176" s="148">
        <v>4.9999999999999998E-7</v>
      </c>
      <c r="P176" s="370">
        <f t="shared" si="21"/>
        <v>12</v>
      </c>
    </row>
    <row r="177" spans="1:16">
      <c r="A177">
        <v>4</v>
      </c>
      <c r="B177" s="379" t="s">
        <v>284</v>
      </c>
      <c r="C177" s="313" t="s">
        <v>228</v>
      </c>
      <c r="D177" s="29" t="s">
        <v>360</v>
      </c>
      <c r="E177" s="514" t="s">
        <v>1190</v>
      </c>
      <c r="F177" s="29">
        <v>5.0000000000000001E-3</v>
      </c>
      <c r="G177" s="394" t="str">
        <f t="shared" si="22"/>
        <v>N/A-0,005 ,kg-05</v>
      </c>
      <c r="H177" s="23">
        <v>2.9999999999999997E-8</v>
      </c>
      <c r="I177" s="483">
        <f t="shared" si="18"/>
        <v>4.9999700000000003E-3</v>
      </c>
      <c r="J177" s="318">
        <v>5.2999999999999998E-8</v>
      </c>
      <c r="K177" s="148">
        <v>2</v>
      </c>
      <c r="L177" s="509">
        <f t="shared" si="19"/>
        <v>5.2999999999999998E-8</v>
      </c>
      <c r="M177" s="399">
        <f t="shared" si="20"/>
        <v>5.2999999999999998E-8</v>
      </c>
      <c r="N177" s="29">
        <v>0</v>
      </c>
      <c r="O177" s="340">
        <v>9.9999999999999995E-7</v>
      </c>
      <c r="P177" s="370">
        <f t="shared" si="21"/>
        <v>12</v>
      </c>
    </row>
    <row r="178" spans="1:16">
      <c r="A178">
        <v>5</v>
      </c>
      <c r="B178" s="379" t="s">
        <v>284</v>
      </c>
      <c r="C178" s="313" t="s">
        <v>228</v>
      </c>
      <c r="D178" s="29" t="s">
        <v>360</v>
      </c>
      <c r="E178" s="514" t="s">
        <v>1191</v>
      </c>
      <c r="F178" s="29">
        <v>0.01</v>
      </c>
      <c r="G178" s="394" t="str">
        <f t="shared" si="22"/>
        <v>N/A-0,01 ,kg-05</v>
      </c>
      <c r="H178" s="23">
        <v>3.3000000000000004E-8</v>
      </c>
      <c r="I178" s="483">
        <f t="shared" si="18"/>
        <v>9.9999670000000002E-3</v>
      </c>
      <c r="J178" s="318">
        <v>6.7000000000000004E-8</v>
      </c>
      <c r="K178" s="148">
        <v>2</v>
      </c>
      <c r="L178" s="509">
        <f t="shared" si="19"/>
        <v>6.7000000000000004E-8</v>
      </c>
      <c r="M178" s="399">
        <f t="shared" si="20"/>
        <v>6.7000000000000004E-8</v>
      </c>
      <c r="N178" s="29">
        <v>0</v>
      </c>
      <c r="O178" s="29">
        <v>9.9999999999999995E-7</v>
      </c>
      <c r="P178" s="370">
        <f t="shared" si="21"/>
        <v>12</v>
      </c>
    </row>
    <row r="179" spans="1:16">
      <c r="A179">
        <v>6</v>
      </c>
      <c r="B179" s="379" t="s">
        <v>284</v>
      </c>
      <c r="C179" s="313" t="s">
        <v>228</v>
      </c>
      <c r="D179" s="29" t="s">
        <v>153</v>
      </c>
      <c r="E179" s="514" t="s">
        <v>1192</v>
      </c>
      <c r="F179" s="29">
        <v>0.02</v>
      </c>
      <c r="G179" s="394" t="str">
        <f t="shared" si="22"/>
        <v>NO-0,02 ,kg-05</v>
      </c>
      <c r="H179" s="23">
        <v>1E-8</v>
      </c>
      <c r="I179" s="483">
        <f t="shared" si="18"/>
        <v>1.9999989999999999E-2</v>
      </c>
      <c r="J179" s="318">
        <v>8.3000000000000002E-8</v>
      </c>
      <c r="K179" s="148">
        <v>2</v>
      </c>
      <c r="L179" s="509">
        <f t="shared" si="19"/>
        <v>8.3000000000000002E-8</v>
      </c>
      <c r="M179" s="399">
        <f t="shared" si="20"/>
        <v>8.3000000000000002E-8</v>
      </c>
      <c r="N179" s="29">
        <v>0</v>
      </c>
      <c r="O179" s="29">
        <v>2.5000000000000002E-6</v>
      </c>
      <c r="P179" s="370">
        <f t="shared" si="21"/>
        <v>12</v>
      </c>
    </row>
    <row r="180" spans="1:16">
      <c r="A180">
        <v>7</v>
      </c>
      <c r="B180" s="379" t="s">
        <v>284</v>
      </c>
      <c r="C180" s="313" t="s">
        <v>228</v>
      </c>
      <c r="D180" s="29" t="s">
        <v>152</v>
      </c>
      <c r="E180" s="514" t="s">
        <v>1192</v>
      </c>
      <c r="F180" s="29">
        <v>0.02</v>
      </c>
      <c r="G180" s="394" t="str">
        <f t="shared" si="22"/>
        <v>SI-0,02 ,kg-05</v>
      </c>
      <c r="H180" s="23">
        <v>-7.7000000000000001E-8</v>
      </c>
      <c r="I180" s="483">
        <f t="shared" si="18"/>
        <v>2.0000077000000002E-2</v>
      </c>
      <c r="J180" s="333">
        <v>8.3000000000000002E-8</v>
      </c>
      <c r="K180" s="148">
        <v>2</v>
      </c>
      <c r="L180" s="509">
        <f t="shared" si="19"/>
        <v>8.3000000000000002E-8</v>
      </c>
      <c r="M180" s="399">
        <f t="shared" si="20"/>
        <v>8.3000000000000002E-8</v>
      </c>
      <c r="N180" s="29">
        <v>0</v>
      </c>
      <c r="O180" s="29">
        <v>5.0000000000000004E-6</v>
      </c>
      <c r="P180" s="370">
        <f t="shared" si="21"/>
        <v>12</v>
      </c>
    </row>
    <row r="181" spans="1:16">
      <c r="A181">
        <v>8</v>
      </c>
      <c r="B181" s="379" t="s">
        <v>284</v>
      </c>
      <c r="C181" s="313" t="s">
        <v>228</v>
      </c>
      <c r="D181" s="29" t="s">
        <v>360</v>
      </c>
      <c r="E181" s="514" t="s">
        <v>1193</v>
      </c>
      <c r="F181" s="29">
        <v>0.05</v>
      </c>
      <c r="G181" s="394" t="str">
        <f t="shared" si="22"/>
        <v>N/A-0,05 ,kg-05</v>
      </c>
      <c r="H181" s="23">
        <v>5.0000000000000004E-8</v>
      </c>
      <c r="I181" s="483">
        <f t="shared" si="18"/>
        <v>4.9999950000000001E-2</v>
      </c>
      <c r="J181" s="333">
        <v>1.0000000000000001E-7</v>
      </c>
      <c r="K181" s="148">
        <v>2</v>
      </c>
      <c r="L181" s="509">
        <f t="shared" si="19"/>
        <v>1.0000000000000001E-7</v>
      </c>
      <c r="M181" s="399">
        <f t="shared" si="20"/>
        <v>1.0000000000000001E-7</v>
      </c>
      <c r="N181" s="29">
        <v>0</v>
      </c>
      <c r="O181" s="29">
        <v>1.0000000000000001E-5</v>
      </c>
      <c r="P181" s="370">
        <f t="shared" si="21"/>
        <v>12</v>
      </c>
    </row>
    <row r="182" spans="1:16">
      <c r="A182">
        <v>9</v>
      </c>
      <c r="B182" s="379" t="s">
        <v>284</v>
      </c>
      <c r="C182" s="313" t="s">
        <v>228</v>
      </c>
      <c r="D182" s="29" t="s">
        <v>360</v>
      </c>
      <c r="E182" s="514" t="s">
        <v>1194</v>
      </c>
      <c r="F182" s="29">
        <v>0.1</v>
      </c>
      <c r="G182" s="394" t="str">
        <f t="shared" si="22"/>
        <v>N/A-0,1 ,kg-05</v>
      </c>
      <c r="H182" s="23">
        <v>-2.9999999999999997E-8</v>
      </c>
      <c r="I182" s="483">
        <f t="shared" si="18"/>
        <v>0.10000003</v>
      </c>
      <c r="J182" s="333">
        <v>1.7000000000000001E-7</v>
      </c>
      <c r="K182" s="148">
        <v>2</v>
      </c>
      <c r="L182" s="509">
        <f t="shared" si="19"/>
        <v>1.7000000000000001E-7</v>
      </c>
      <c r="M182" s="399">
        <f t="shared" si="20"/>
        <v>1.7000000000000001E-7</v>
      </c>
      <c r="N182" s="29">
        <v>0</v>
      </c>
      <c r="O182" s="29">
        <v>1.0000000000000001E-5</v>
      </c>
      <c r="P182" s="370">
        <f t="shared" si="21"/>
        <v>12</v>
      </c>
    </row>
    <row r="183" spans="1:16">
      <c r="A183">
        <v>10</v>
      </c>
      <c r="B183" s="379" t="s">
        <v>284</v>
      </c>
      <c r="C183" s="313" t="s">
        <v>228</v>
      </c>
      <c r="D183" s="29" t="s">
        <v>153</v>
      </c>
      <c r="E183" s="514" t="s">
        <v>1195</v>
      </c>
      <c r="F183" s="29">
        <v>0.2</v>
      </c>
      <c r="G183" s="394" t="str">
        <f t="shared" si="22"/>
        <v>NO-0,2 ,kg-05</v>
      </c>
      <c r="H183" s="23">
        <v>1.0000000000000001E-7</v>
      </c>
      <c r="I183" s="483">
        <f t="shared" si="18"/>
        <v>0.19999990000000001</v>
      </c>
      <c r="J183" s="333">
        <v>3.3000000000000002E-7</v>
      </c>
      <c r="K183" s="148">
        <v>2</v>
      </c>
      <c r="L183" s="509">
        <f t="shared" si="19"/>
        <v>3.3000000000000002E-7</v>
      </c>
      <c r="M183" s="399">
        <f t="shared" si="20"/>
        <v>3.3000000000000002E-7</v>
      </c>
      <c r="N183" s="29">
        <v>0</v>
      </c>
      <c r="O183" s="29">
        <v>6.0000000000000002E-6</v>
      </c>
      <c r="P183" s="370">
        <f t="shared" si="21"/>
        <v>12</v>
      </c>
    </row>
    <row r="184" spans="1:16">
      <c r="A184">
        <v>11</v>
      </c>
      <c r="B184" s="379" t="s">
        <v>284</v>
      </c>
      <c r="C184" s="313" t="s">
        <v>228</v>
      </c>
      <c r="D184" s="29" t="s">
        <v>152</v>
      </c>
      <c r="E184" s="514" t="s">
        <v>1195</v>
      </c>
      <c r="F184" s="29">
        <v>0.2</v>
      </c>
      <c r="G184" s="394" t="str">
        <f t="shared" si="22"/>
        <v>SI-0,2 ,kg-05</v>
      </c>
      <c r="H184" s="23">
        <v>-1.4000000000000001E-7</v>
      </c>
      <c r="I184" s="483">
        <f t="shared" si="18"/>
        <v>0.20000014000000002</v>
      </c>
      <c r="J184" s="333">
        <v>3.3000000000000002E-7</v>
      </c>
      <c r="K184" s="148">
        <v>2</v>
      </c>
      <c r="L184" s="509">
        <f t="shared" si="19"/>
        <v>3.3000000000000002E-7</v>
      </c>
      <c r="M184" s="399">
        <f t="shared" si="20"/>
        <v>3.3000000000000002E-7</v>
      </c>
      <c r="N184" s="29">
        <v>0</v>
      </c>
      <c r="O184" s="29">
        <v>6.0000000000000002E-6</v>
      </c>
      <c r="P184" s="370">
        <f t="shared" si="21"/>
        <v>12</v>
      </c>
    </row>
    <row r="185" spans="1:16">
      <c r="A185">
        <v>12</v>
      </c>
      <c r="B185" s="379" t="s">
        <v>284</v>
      </c>
      <c r="C185" s="313" t="s">
        <v>228</v>
      </c>
      <c r="D185" s="29" t="s">
        <v>360</v>
      </c>
      <c r="E185" s="514" t="s">
        <v>1199</v>
      </c>
      <c r="F185" s="29">
        <v>0.5</v>
      </c>
      <c r="G185" s="394" t="str">
        <f t="shared" si="22"/>
        <v>N/A-0,5 ,kg-05</v>
      </c>
      <c r="H185" s="23">
        <v>-1E-59</v>
      </c>
      <c r="I185" s="483">
        <f t="shared" si="18"/>
        <v>0.5</v>
      </c>
      <c r="J185" s="333">
        <v>8.2999999999999999E-7</v>
      </c>
      <c r="K185" s="148">
        <v>2</v>
      </c>
      <c r="L185" s="509">
        <f t="shared" si="19"/>
        <v>8.2999999999999999E-7</v>
      </c>
      <c r="M185" s="399">
        <f t="shared" si="20"/>
        <v>8.2999999999999999E-7</v>
      </c>
      <c r="N185" s="29">
        <v>0</v>
      </c>
      <c r="O185" s="29">
        <v>6.0000000000000002E-6</v>
      </c>
      <c r="P185" s="370">
        <f t="shared" si="21"/>
        <v>12</v>
      </c>
    </row>
    <row r="186" spans="1:16">
      <c r="A186">
        <v>13</v>
      </c>
      <c r="B186" s="379" t="s">
        <v>284</v>
      </c>
      <c r="C186" s="313" t="s">
        <v>228</v>
      </c>
      <c r="D186" s="29" t="s">
        <v>360</v>
      </c>
      <c r="E186" s="514" t="s">
        <v>1029</v>
      </c>
      <c r="F186" s="29">
        <v>1</v>
      </c>
      <c r="G186" s="394" t="str">
        <f t="shared" si="22"/>
        <v>N/A-1 ,kg-05</v>
      </c>
      <c r="H186" s="23">
        <v>8.0000000000000007E-7</v>
      </c>
      <c r="I186" s="483">
        <f t="shared" si="18"/>
        <v>0.99999919999999998</v>
      </c>
      <c r="J186" s="333">
        <v>1.7E-6</v>
      </c>
      <c r="K186" s="148">
        <v>2</v>
      </c>
      <c r="L186" s="509">
        <f t="shared" si="19"/>
        <v>1.7E-6</v>
      </c>
      <c r="M186" s="399">
        <f t="shared" si="20"/>
        <v>1.7E-6</v>
      </c>
      <c r="N186" s="29">
        <v>0</v>
      </c>
      <c r="O186" s="29">
        <v>6.0000000000000002E-6</v>
      </c>
      <c r="P186" s="370">
        <f t="shared" si="21"/>
        <v>12</v>
      </c>
    </row>
    <row r="187" spans="1:16">
      <c r="A187">
        <v>14</v>
      </c>
      <c r="B187" s="379" t="s">
        <v>284</v>
      </c>
      <c r="C187" s="313" t="s">
        <v>228</v>
      </c>
      <c r="D187" s="29" t="s">
        <v>153</v>
      </c>
      <c r="E187" s="514" t="s">
        <v>1030</v>
      </c>
      <c r="F187" s="29">
        <v>2</v>
      </c>
      <c r="G187" s="394" t="str">
        <f t="shared" si="22"/>
        <v>NO-2 ,kg-05</v>
      </c>
      <c r="H187" s="23">
        <v>1.0000000000000001E-7</v>
      </c>
      <c r="I187" s="483">
        <f t="shared" si="18"/>
        <v>1.9999998999999999</v>
      </c>
      <c r="J187" s="333">
        <v>3.3000000000000002E-6</v>
      </c>
      <c r="K187" s="148">
        <v>2</v>
      </c>
      <c r="L187" s="509">
        <f t="shared" si="19"/>
        <v>3.3000000000000002E-6</v>
      </c>
      <c r="M187" s="399">
        <f t="shared" si="20"/>
        <v>3.3000000000000002E-6</v>
      </c>
      <c r="N187" s="29">
        <v>0</v>
      </c>
      <c r="O187" s="29">
        <v>7.9999999999999996E-6</v>
      </c>
      <c r="P187" s="370">
        <f t="shared" si="21"/>
        <v>12</v>
      </c>
    </row>
    <row r="188" spans="1:16">
      <c r="A188">
        <v>15</v>
      </c>
      <c r="B188" s="379" t="s">
        <v>284</v>
      </c>
      <c r="C188" s="313" t="s">
        <v>228</v>
      </c>
      <c r="D188" s="29" t="s">
        <v>152</v>
      </c>
      <c r="E188" s="514" t="s">
        <v>1030</v>
      </c>
      <c r="F188" s="29">
        <v>2</v>
      </c>
      <c r="G188" s="394" t="str">
        <f t="shared" si="22"/>
        <v>SI-2 ,kg-05</v>
      </c>
      <c r="H188" s="23">
        <v>-2.0000000000000002E-7</v>
      </c>
      <c r="I188" s="483">
        <f t="shared" si="18"/>
        <v>2.0000002000000001</v>
      </c>
      <c r="J188" s="333">
        <v>3.3000000000000002E-6</v>
      </c>
      <c r="K188" s="148">
        <v>2</v>
      </c>
      <c r="L188" s="509">
        <f t="shared" si="19"/>
        <v>3.3000000000000002E-6</v>
      </c>
      <c r="M188" s="399">
        <f t="shared" si="20"/>
        <v>3.3000000000000002E-6</v>
      </c>
      <c r="N188" s="29">
        <v>0</v>
      </c>
      <c r="O188" s="340">
        <v>1.0000000000000001E-5</v>
      </c>
      <c r="P188" s="370">
        <f t="shared" si="21"/>
        <v>12</v>
      </c>
    </row>
    <row r="189" spans="1:16">
      <c r="A189">
        <v>16</v>
      </c>
      <c r="B189" s="379" t="s">
        <v>284</v>
      </c>
      <c r="C189" s="313" t="s">
        <v>228</v>
      </c>
      <c r="D189" s="29" t="s">
        <v>360</v>
      </c>
      <c r="E189" s="514" t="s">
        <v>361</v>
      </c>
      <c r="F189" s="29">
        <v>5</v>
      </c>
      <c r="G189" s="394" t="str">
        <f t="shared" si="22"/>
        <v>N/A-5 ,kg-05</v>
      </c>
      <c r="H189" s="23">
        <v>-1.5E-6</v>
      </c>
      <c r="I189" s="483">
        <f t="shared" si="18"/>
        <v>5.0000014999999998</v>
      </c>
      <c r="J189" s="333">
        <v>8.3000000000000002E-6</v>
      </c>
      <c r="K189" s="148">
        <v>2</v>
      </c>
      <c r="L189" s="509">
        <f t="shared" si="19"/>
        <v>8.3000000000000002E-6</v>
      </c>
      <c r="M189" s="399">
        <f t="shared" si="20"/>
        <v>8.3000000000000002E-6</v>
      </c>
      <c r="N189" s="29">
        <v>0</v>
      </c>
      <c r="O189" s="340">
        <v>1.0000000000000001E-5</v>
      </c>
      <c r="P189" s="370">
        <f t="shared" si="21"/>
        <v>12</v>
      </c>
    </row>
    <row r="190" spans="1:16">
      <c r="A190">
        <v>3</v>
      </c>
      <c r="B190" s="379" t="s">
        <v>284</v>
      </c>
      <c r="C190" s="313" t="s">
        <v>1091</v>
      </c>
      <c r="D190" s="29" t="s">
        <v>360</v>
      </c>
      <c r="E190" s="514" t="s">
        <v>1127</v>
      </c>
      <c r="F190" s="29">
        <v>1000</v>
      </c>
      <c r="G190" s="394" t="str">
        <f t="shared" si="22"/>
        <v>N/A-1000 ,mg-20</v>
      </c>
      <c r="H190" s="23">
        <v>2.8000000000000001E-2</v>
      </c>
      <c r="I190" s="483">
        <f t="shared" si="18"/>
        <v>999.97199999999998</v>
      </c>
      <c r="J190" s="333">
        <v>3.3000000000000002E-2</v>
      </c>
      <c r="K190" s="148">
        <v>2</v>
      </c>
      <c r="L190" s="509">
        <f t="shared" si="19"/>
        <v>3.3000000000000002E-2</v>
      </c>
      <c r="M190" s="399">
        <f t="shared" si="20"/>
        <v>3.3000000000000002E-2</v>
      </c>
      <c r="N190" s="29">
        <v>0</v>
      </c>
      <c r="O190" s="29">
        <v>1.2E-5</v>
      </c>
      <c r="P190" s="370">
        <f t="shared" si="21"/>
        <v>12</v>
      </c>
    </row>
    <row r="191" spans="1:16">
      <c r="A191">
        <v>4</v>
      </c>
      <c r="B191" s="379" t="s">
        <v>284</v>
      </c>
      <c r="C191" s="313" t="s">
        <v>1091</v>
      </c>
      <c r="D191" s="29" t="s">
        <v>153</v>
      </c>
      <c r="E191" s="514" t="s">
        <v>1128</v>
      </c>
      <c r="F191" s="29">
        <v>2000</v>
      </c>
      <c r="G191" s="394" t="str">
        <f t="shared" si="22"/>
        <v>NO-2000 ,mg-20</v>
      </c>
      <c r="H191" s="23">
        <v>-1.7999999999999999E-2</v>
      </c>
      <c r="I191" s="483">
        <f t="shared" si="18"/>
        <v>2000.018</v>
      </c>
      <c r="J191" s="333">
        <v>0.04</v>
      </c>
      <c r="K191" s="148">
        <v>2</v>
      </c>
      <c r="L191" s="509">
        <f t="shared" si="19"/>
        <v>0.04</v>
      </c>
      <c r="M191" s="399">
        <f t="shared" si="20"/>
        <v>0.04</v>
      </c>
      <c r="N191" s="29">
        <v>0</v>
      </c>
      <c r="O191" s="29">
        <v>1.5999999999999999E-5</v>
      </c>
      <c r="P191" s="370">
        <f t="shared" si="21"/>
        <v>12</v>
      </c>
    </row>
    <row r="192" spans="1:16">
      <c r="A192">
        <v>5</v>
      </c>
      <c r="B192" s="379" t="s">
        <v>284</v>
      </c>
      <c r="C192" s="313" t="s">
        <v>1091</v>
      </c>
      <c r="D192" s="29" t="s">
        <v>152</v>
      </c>
      <c r="E192" s="514" t="s">
        <v>1128</v>
      </c>
      <c r="F192" s="29">
        <v>2000</v>
      </c>
      <c r="G192" s="394" t="str">
        <f t="shared" si="22"/>
        <v>SI-2000 ,mg-20</v>
      </c>
      <c r="H192" s="23">
        <v>-3.6999999999999998E-2</v>
      </c>
      <c r="I192" s="483">
        <f t="shared" si="18"/>
        <v>2000.037</v>
      </c>
      <c r="J192" s="333">
        <v>0.04</v>
      </c>
      <c r="K192" s="148">
        <v>2</v>
      </c>
      <c r="L192" s="509">
        <f t="shared" si="19"/>
        <v>0.04</v>
      </c>
      <c r="M192" s="399">
        <f t="shared" si="20"/>
        <v>0.04</v>
      </c>
      <c r="N192" s="29">
        <v>0</v>
      </c>
      <c r="O192" s="340">
        <v>2.0000000000000002E-5</v>
      </c>
      <c r="P192" s="370">
        <f t="shared" si="21"/>
        <v>12</v>
      </c>
    </row>
    <row r="193" spans="1:16">
      <c r="A193">
        <v>6</v>
      </c>
      <c r="B193" s="379" t="s">
        <v>284</v>
      </c>
      <c r="C193" s="313" t="s">
        <v>1091</v>
      </c>
      <c r="D193" s="29" t="s">
        <v>360</v>
      </c>
      <c r="E193" s="514" t="s">
        <v>1129</v>
      </c>
      <c r="F193" s="29">
        <v>5000</v>
      </c>
      <c r="G193" s="394" t="str">
        <f t="shared" si="22"/>
        <v>N/A-5000 ,mg-20</v>
      </c>
      <c r="H193" s="23">
        <v>2.4E-2</v>
      </c>
      <c r="I193" s="483">
        <f t="shared" si="18"/>
        <v>4999.9759999999997</v>
      </c>
      <c r="J193" s="333">
        <v>5.2999999999999999E-2</v>
      </c>
      <c r="K193" s="148">
        <v>2</v>
      </c>
      <c r="L193" s="509">
        <f t="shared" si="19"/>
        <v>5.2999999999999999E-2</v>
      </c>
      <c r="M193" s="399">
        <f t="shared" si="20"/>
        <v>5.2999999999999999E-2</v>
      </c>
      <c r="N193" s="29">
        <v>0</v>
      </c>
      <c r="O193" s="340">
        <v>2.0000000000000002E-5</v>
      </c>
      <c r="P193" s="370">
        <f t="shared" si="21"/>
        <v>12</v>
      </c>
    </row>
    <row r="194" spans="1:16">
      <c r="A194">
        <v>7</v>
      </c>
      <c r="B194" s="379" t="s">
        <v>284</v>
      </c>
      <c r="C194" s="313" t="s">
        <v>1091</v>
      </c>
      <c r="D194" s="29" t="s">
        <v>360</v>
      </c>
      <c r="E194" s="514" t="s">
        <v>1130</v>
      </c>
      <c r="F194" s="29">
        <v>10000</v>
      </c>
      <c r="G194" s="394" t="str">
        <f t="shared" si="22"/>
        <v>N/A-10000 ,mg-20</v>
      </c>
      <c r="H194" s="23">
        <v>5.1999999999999998E-2</v>
      </c>
      <c r="I194" s="483">
        <f t="shared" si="18"/>
        <v>9999.9480000000003</v>
      </c>
      <c r="J194" s="333">
        <v>6.7000000000000004E-2</v>
      </c>
      <c r="K194" s="148">
        <v>2</v>
      </c>
      <c r="L194" s="509">
        <f t="shared" si="19"/>
        <v>6.7000000000000004E-2</v>
      </c>
      <c r="M194" s="399">
        <f t="shared" si="20"/>
        <v>6.7000000000000004E-2</v>
      </c>
      <c r="N194" s="29">
        <v>0</v>
      </c>
      <c r="O194" s="340">
        <v>2.5000000000000001E-5</v>
      </c>
      <c r="P194" s="370">
        <f t="shared" si="21"/>
        <v>12</v>
      </c>
    </row>
    <row r="195" spans="1:16">
      <c r="A195">
        <v>8</v>
      </c>
      <c r="B195" s="379" t="s">
        <v>284</v>
      </c>
      <c r="C195" s="313" t="s">
        <v>1091</v>
      </c>
      <c r="D195" s="29" t="s">
        <v>153</v>
      </c>
      <c r="E195" s="514" t="s">
        <v>1131</v>
      </c>
      <c r="F195" s="29">
        <v>20000</v>
      </c>
      <c r="G195" s="394" t="str">
        <f t="shared" si="22"/>
        <v>NO-20000 ,mg-20</v>
      </c>
      <c r="H195" s="23">
        <v>3.4000000000000002E-2</v>
      </c>
      <c r="I195" s="483">
        <f t="shared" si="18"/>
        <v>19999.966</v>
      </c>
      <c r="J195" s="329">
        <v>8.3000000000000004E-2</v>
      </c>
      <c r="K195" s="148">
        <v>2</v>
      </c>
      <c r="L195" s="509">
        <f t="shared" si="19"/>
        <v>8.3000000000000004E-2</v>
      </c>
      <c r="M195" s="399">
        <f t="shared" si="20"/>
        <v>8.3000000000000004E-2</v>
      </c>
      <c r="N195" s="29">
        <v>0</v>
      </c>
      <c r="O195" s="336">
        <v>3.0000000000000001E-5</v>
      </c>
      <c r="P195" s="370">
        <f t="shared" si="21"/>
        <v>12</v>
      </c>
    </row>
    <row r="196" spans="1:16">
      <c r="A196">
        <v>9</v>
      </c>
      <c r="B196" s="379" t="s">
        <v>284</v>
      </c>
      <c r="C196" s="313" t="s">
        <v>1091</v>
      </c>
      <c r="D196" s="29" t="s">
        <v>152</v>
      </c>
      <c r="E196" s="514" t="s">
        <v>1131</v>
      </c>
      <c r="F196" s="29">
        <v>20000</v>
      </c>
      <c r="G196" s="394" t="str">
        <f t="shared" si="22"/>
        <v>SI-20000 ,mg-20</v>
      </c>
      <c r="H196" s="23">
        <v>7.1999999999999995E-2</v>
      </c>
      <c r="I196" s="483">
        <f t="shared" si="18"/>
        <v>19999.928</v>
      </c>
      <c r="J196" s="329">
        <v>8.3000000000000004E-2</v>
      </c>
      <c r="K196" s="148">
        <v>2</v>
      </c>
      <c r="L196" s="509">
        <f t="shared" si="19"/>
        <v>8.3000000000000004E-2</v>
      </c>
      <c r="M196" s="399">
        <f t="shared" si="20"/>
        <v>8.3000000000000004E-2</v>
      </c>
      <c r="N196" s="29">
        <v>0</v>
      </c>
      <c r="O196" s="336">
        <v>4.0000000000000003E-5</v>
      </c>
      <c r="P196" s="370">
        <f t="shared" si="21"/>
        <v>12</v>
      </c>
    </row>
    <row r="197" spans="1:16">
      <c r="A197">
        <v>10</v>
      </c>
      <c r="B197" s="379" t="s">
        <v>284</v>
      </c>
      <c r="C197" s="313" t="s">
        <v>1091</v>
      </c>
      <c r="D197" s="29" t="s">
        <v>360</v>
      </c>
      <c r="E197" s="514" t="s">
        <v>1132</v>
      </c>
      <c r="F197" s="29">
        <v>50000</v>
      </c>
      <c r="G197" s="394" t="str">
        <f t="shared" si="22"/>
        <v>N/A-50000 ,mg-20</v>
      </c>
      <c r="H197" s="23">
        <v>-0.04</v>
      </c>
      <c r="I197" s="483">
        <f t="shared" ref="I197:I260" si="23">F197-H197</f>
        <v>50000.04</v>
      </c>
      <c r="J197" s="329">
        <v>0.1</v>
      </c>
      <c r="K197" s="148">
        <v>2</v>
      </c>
      <c r="L197" s="509">
        <f t="shared" ref="L197:L260" si="24">IF(AND(B197="E2",N197&lt;&gt;0),ABS(H197-N197),M197)</f>
        <v>0.1</v>
      </c>
      <c r="M197" s="399">
        <f t="shared" ref="M197:M260" si="25">J197</f>
        <v>0.1</v>
      </c>
      <c r="N197" s="29">
        <v>0</v>
      </c>
      <c r="O197" s="336">
        <v>4.0000000000000003E-5</v>
      </c>
      <c r="P197" s="370">
        <f t="shared" ref="P197:P205" si="26">VLOOKUP(C197,$AB$4:$AI$25,8,FALSE)</f>
        <v>12</v>
      </c>
    </row>
    <row r="198" spans="1:16">
      <c r="A198">
        <v>11</v>
      </c>
      <c r="B198" s="379" t="s">
        <v>284</v>
      </c>
      <c r="C198" s="313" t="s">
        <v>1091</v>
      </c>
      <c r="D198" s="29" t="s">
        <v>360</v>
      </c>
      <c r="E198" s="514" t="s">
        <v>1133</v>
      </c>
      <c r="F198" s="29">
        <v>100000</v>
      </c>
      <c r="G198" s="394" t="str">
        <f t="shared" si="22"/>
        <v>N/A-100000 ,mg-20</v>
      </c>
      <c r="H198" s="23">
        <v>0.22</v>
      </c>
      <c r="I198" s="483">
        <f t="shared" si="23"/>
        <v>99999.78</v>
      </c>
      <c r="J198" s="329">
        <v>0.17</v>
      </c>
      <c r="K198" s="148">
        <v>2</v>
      </c>
      <c r="L198" s="509">
        <f t="shared" si="24"/>
        <v>0.17</v>
      </c>
      <c r="M198" s="399">
        <f t="shared" si="25"/>
        <v>0.17</v>
      </c>
      <c r="N198" s="29">
        <v>0</v>
      </c>
      <c r="O198" s="336">
        <v>5.0000000000000002E-5</v>
      </c>
      <c r="P198" s="370">
        <f t="shared" si="26"/>
        <v>12</v>
      </c>
    </row>
    <row r="199" spans="1:16">
      <c r="A199">
        <v>12</v>
      </c>
      <c r="B199" s="379" t="s">
        <v>284</v>
      </c>
      <c r="C199" s="313" t="s">
        <v>1091</v>
      </c>
      <c r="D199" s="29" t="s">
        <v>153</v>
      </c>
      <c r="E199" s="514" t="s">
        <v>1134</v>
      </c>
      <c r="F199" s="29">
        <v>200000</v>
      </c>
      <c r="G199" s="394" t="str">
        <f t="shared" si="22"/>
        <v>NO-200000 ,mg-20</v>
      </c>
      <c r="H199" s="23">
        <v>0.02</v>
      </c>
      <c r="I199" s="483">
        <f t="shared" si="23"/>
        <v>199999.98</v>
      </c>
      <c r="J199" s="329">
        <v>0.33</v>
      </c>
      <c r="K199" s="148">
        <v>2</v>
      </c>
      <c r="L199" s="509">
        <f t="shared" si="24"/>
        <v>0.33</v>
      </c>
      <c r="M199" s="399">
        <f t="shared" si="25"/>
        <v>0.33</v>
      </c>
      <c r="N199" s="29">
        <v>0</v>
      </c>
      <c r="O199" s="336">
        <v>6.0000000000000002E-5</v>
      </c>
      <c r="P199" s="370">
        <f t="shared" si="26"/>
        <v>12</v>
      </c>
    </row>
    <row r="200" spans="1:16">
      <c r="A200">
        <v>13</v>
      </c>
      <c r="B200" s="379" t="s">
        <v>284</v>
      </c>
      <c r="C200" s="313" t="s">
        <v>1091</v>
      </c>
      <c r="D200" s="29" t="s">
        <v>152</v>
      </c>
      <c r="E200" s="514" t="s">
        <v>1134</v>
      </c>
      <c r="F200" s="29">
        <v>200000</v>
      </c>
      <c r="G200" s="394" t="str">
        <f t="shared" ref="G200:G263" si="27">+CONCATENATE(D200,"-",E200,"-",MID(C200,12,2))</f>
        <v>SI-200000 ,mg-20</v>
      </c>
      <c r="H200" s="23">
        <v>0.19</v>
      </c>
      <c r="I200" s="483">
        <f t="shared" si="23"/>
        <v>199999.81</v>
      </c>
      <c r="J200" s="329">
        <v>0.33</v>
      </c>
      <c r="K200" s="148">
        <v>2</v>
      </c>
      <c r="L200" s="509">
        <f t="shared" si="24"/>
        <v>0.33</v>
      </c>
      <c r="M200" s="399">
        <f t="shared" si="25"/>
        <v>0.33</v>
      </c>
      <c r="N200" s="29">
        <v>0</v>
      </c>
      <c r="O200" s="336">
        <v>8.0000000000000007E-5</v>
      </c>
      <c r="P200" s="370">
        <f t="shared" si="26"/>
        <v>12</v>
      </c>
    </row>
    <row r="201" spans="1:16">
      <c r="A201">
        <v>14</v>
      </c>
      <c r="B201" s="379" t="s">
        <v>284</v>
      </c>
      <c r="C201" s="313" t="s">
        <v>1091</v>
      </c>
      <c r="D201" s="29" t="s">
        <v>360</v>
      </c>
      <c r="E201" s="514" t="s">
        <v>1135</v>
      </c>
      <c r="F201" s="29">
        <v>500000</v>
      </c>
      <c r="G201" s="394" t="str">
        <f t="shared" si="27"/>
        <v>N/A-500000 ,mg-20</v>
      </c>
      <c r="H201" s="23">
        <v>1</v>
      </c>
      <c r="I201" s="483">
        <f t="shared" si="23"/>
        <v>499999</v>
      </c>
      <c r="J201" s="329">
        <v>0.83</v>
      </c>
      <c r="K201" s="148">
        <v>2</v>
      </c>
      <c r="L201" s="509">
        <f t="shared" si="24"/>
        <v>0.83</v>
      </c>
      <c r="M201" s="399">
        <f t="shared" si="25"/>
        <v>0.83</v>
      </c>
      <c r="N201" s="29">
        <v>0</v>
      </c>
      <c r="O201" s="336">
        <v>8.0000000000000007E-5</v>
      </c>
      <c r="P201" s="370">
        <f t="shared" si="26"/>
        <v>12</v>
      </c>
    </row>
    <row r="202" spans="1:16">
      <c r="A202">
        <v>15</v>
      </c>
      <c r="B202" s="379" t="s">
        <v>284</v>
      </c>
      <c r="C202" s="313" t="s">
        <v>1091</v>
      </c>
      <c r="D202" s="29" t="s">
        <v>360</v>
      </c>
      <c r="E202" s="514" t="s">
        <v>1196</v>
      </c>
      <c r="F202" s="29">
        <v>1000000</v>
      </c>
      <c r="G202" s="394" t="str">
        <f t="shared" si="27"/>
        <v>N/A-1000000 ,mg-20</v>
      </c>
      <c r="H202" s="23">
        <v>1.3</v>
      </c>
      <c r="I202" s="483">
        <f t="shared" si="23"/>
        <v>999998.7</v>
      </c>
      <c r="J202" s="329">
        <v>1.7</v>
      </c>
      <c r="K202" s="148">
        <v>2</v>
      </c>
      <c r="L202" s="509">
        <f t="shared" si="24"/>
        <v>1.7</v>
      </c>
      <c r="M202" s="399">
        <f t="shared" si="25"/>
        <v>1.7</v>
      </c>
      <c r="N202" s="29">
        <v>0</v>
      </c>
      <c r="O202" s="336">
        <v>1E-4</v>
      </c>
      <c r="P202" s="370">
        <f t="shared" si="26"/>
        <v>12</v>
      </c>
    </row>
    <row r="203" spans="1:16">
      <c r="A203">
        <v>16</v>
      </c>
      <c r="B203" s="379" t="s">
        <v>284</v>
      </c>
      <c r="C203" s="313" t="s">
        <v>1091</v>
      </c>
      <c r="D203" s="29" t="s">
        <v>153</v>
      </c>
      <c r="E203" s="514" t="s">
        <v>1197</v>
      </c>
      <c r="F203" s="29">
        <v>2000000</v>
      </c>
      <c r="G203" s="394" t="str">
        <f t="shared" si="27"/>
        <v>NO-2000000 ,mg-20</v>
      </c>
      <c r="H203" s="23">
        <v>4.4000000000000004</v>
      </c>
      <c r="I203" s="483">
        <f t="shared" si="23"/>
        <v>1999995.6</v>
      </c>
      <c r="J203" s="329">
        <v>3.3</v>
      </c>
      <c r="K203" s="148">
        <v>2</v>
      </c>
      <c r="L203" s="509">
        <f t="shared" si="24"/>
        <v>3.3</v>
      </c>
      <c r="M203" s="399">
        <f t="shared" si="25"/>
        <v>3.3</v>
      </c>
      <c r="N203" s="29">
        <v>0</v>
      </c>
      <c r="O203" s="336">
        <v>1.6000000000000001E-4</v>
      </c>
      <c r="P203" s="370">
        <f t="shared" si="26"/>
        <v>12</v>
      </c>
    </row>
    <row r="204" spans="1:16">
      <c r="A204">
        <v>1</v>
      </c>
      <c r="B204" s="379" t="s">
        <v>284</v>
      </c>
      <c r="C204" s="313" t="s">
        <v>1091</v>
      </c>
      <c r="D204" s="29" t="s">
        <v>152</v>
      </c>
      <c r="E204" s="514" t="s">
        <v>1197</v>
      </c>
      <c r="F204" s="29">
        <v>2000000</v>
      </c>
      <c r="G204" s="394" t="str">
        <f t="shared" si="27"/>
        <v>SI-2000000 ,mg-20</v>
      </c>
      <c r="H204" s="23">
        <v>1.9</v>
      </c>
      <c r="I204" s="483">
        <f t="shared" si="23"/>
        <v>1999998.1</v>
      </c>
      <c r="J204" s="330">
        <v>3.3</v>
      </c>
      <c r="K204" s="148">
        <v>2</v>
      </c>
      <c r="L204" s="509">
        <f t="shared" si="24"/>
        <v>3.3</v>
      </c>
      <c r="M204" s="399">
        <f t="shared" si="25"/>
        <v>3.3</v>
      </c>
      <c r="N204" s="29">
        <v>0</v>
      </c>
      <c r="O204" s="341">
        <v>2.9999999999999997E-4</v>
      </c>
      <c r="P204" s="370">
        <f t="shared" si="26"/>
        <v>12</v>
      </c>
    </row>
    <row r="205" spans="1:16">
      <c r="A205">
        <v>2</v>
      </c>
      <c r="B205" s="379" t="s">
        <v>284</v>
      </c>
      <c r="C205" s="313" t="s">
        <v>1091</v>
      </c>
      <c r="D205" s="29" t="s">
        <v>360</v>
      </c>
      <c r="E205" s="514" t="s">
        <v>1018</v>
      </c>
      <c r="F205" s="29">
        <v>1</v>
      </c>
      <c r="G205" s="394" t="str">
        <f t="shared" si="27"/>
        <v>N/A-1 ,g-20</v>
      </c>
      <c r="H205" s="23">
        <v>2.8E-5</v>
      </c>
      <c r="I205" s="483">
        <f t="shared" si="23"/>
        <v>0.99997199999999997</v>
      </c>
      <c r="J205" s="330">
        <v>3.3000000000000003E-5</v>
      </c>
      <c r="K205" s="148">
        <v>2</v>
      </c>
      <c r="L205" s="509">
        <f t="shared" si="24"/>
        <v>3.3000000000000003E-5</v>
      </c>
      <c r="M205" s="399">
        <f t="shared" si="25"/>
        <v>3.3000000000000003E-5</v>
      </c>
      <c r="N205" s="29">
        <v>0</v>
      </c>
      <c r="O205" s="341">
        <v>2.9999999999999997E-4</v>
      </c>
      <c r="P205" s="370">
        <f t="shared" si="26"/>
        <v>12</v>
      </c>
    </row>
    <row r="206" spans="1:16">
      <c r="A206">
        <v>3</v>
      </c>
      <c r="B206" s="379" t="s">
        <v>284</v>
      </c>
      <c r="C206" s="313" t="s">
        <v>1091</v>
      </c>
      <c r="D206" s="29" t="s">
        <v>153</v>
      </c>
      <c r="E206" s="514" t="s">
        <v>1019</v>
      </c>
      <c r="F206" s="29">
        <v>2</v>
      </c>
      <c r="G206" s="394" t="str">
        <f t="shared" si="27"/>
        <v>NO-2 ,g-20</v>
      </c>
      <c r="H206" s="29">
        <v>-1.7999999999999997E-5</v>
      </c>
      <c r="I206" s="483">
        <f t="shared" si="23"/>
        <v>2.0000179999999999</v>
      </c>
      <c r="J206" s="148">
        <v>4.0000000000000003E-5</v>
      </c>
      <c r="K206" s="148">
        <v>2</v>
      </c>
      <c r="L206" s="509">
        <f t="shared" si="24"/>
        <v>4.0000000000000003E-5</v>
      </c>
      <c r="M206" s="399">
        <f t="shared" si="25"/>
        <v>4.0000000000000003E-5</v>
      </c>
    </row>
    <row r="207" spans="1:16">
      <c r="A207">
        <v>4</v>
      </c>
      <c r="B207" s="379" t="s">
        <v>284</v>
      </c>
      <c r="C207" s="313" t="s">
        <v>1091</v>
      </c>
      <c r="D207" s="29" t="s">
        <v>152</v>
      </c>
      <c r="E207" s="514" t="s">
        <v>1019</v>
      </c>
      <c r="F207" s="29">
        <v>2</v>
      </c>
      <c r="G207" s="394" t="str">
        <f t="shared" si="27"/>
        <v>SI-2 ,g-20</v>
      </c>
      <c r="H207" s="29">
        <v>-3.6999999999999998E-5</v>
      </c>
      <c r="I207" s="483">
        <f t="shared" si="23"/>
        <v>2.0000369999999998</v>
      </c>
      <c r="J207" s="148">
        <v>4.0000000000000003E-5</v>
      </c>
      <c r="K207" s="148">
        <v>2</v>
      </c>
      <c r="L207" s="509">
        <f t="shared" si="24"/>
        <v>4.0000000000000003E-5</v>
      </c>
      <c r="M207" s="399">
        <f t="shared" si="25"/>
        <v>4.0000000000000003E-5</v>
      </c>
    </row>
    <row r="208" spans="1:16">
      <c r="A208">
        <v>5</v>
      </c>
      <c r="B208" s="379" t="s">
        <v>284</v>
      </c>
      <c r="C208" s="313" t="s">
        <v>1091</v>
      </c>
      <c r="D208" s="29" t="s">
        <v>360</v>
      </c>
      <c r="E208" s="514" t="s">
        <v>1020</v>
      </c>
      <c r="F208" s="29">
        <v>5</v>
      </c>
      <c r="G208" s="394" t="str">
        <f t="shared" si="27"/>
        <v>N/A-5 ,g-20</v>
      </c>
      <c r="H208" s="29">
        <v>2.4000000000000001E-5</v>
      </c>
      <c r="I208" s="483">
        <f t="shared" si="23"/>
        <v>4.9999760000000002</v>
      </c>
      <c r="J208" s="148">
        <v>5.3000000000000001E-5</v>
      </c>
      <c r="K208" s="148">
        <v>2</v>
      </c>
      <c r="L208" s="509">
        <f t="shared" si="24"/>
        <v>5.3000000000000001E-5</v>
      </c>
      <c r="M208" s="399">
        <f t="shared" si="25"/>
        <v>5.3000000000000001E-5</v>
      </c>
    </row>
    <row r="209" spans="1:34" s="158" customFormat="1">
      <c r="A209" s="158">
        <v>6</v>
      </c>
      <c r="B209" s="379" t="s">
        <v>284</v>
      </c>
      <c r="C209" s="313" t="s">
        <v>1091</v>
      </c>
      <c r="D209" s="29" t="s">
        <v>360</v>
      </c>
      <c r="E209" s="514" t="s">
        <v>1021</v>
      </c>
      <c r="F209" s="29">
        <v>10</v>
      </c>
      <c r="G209" s="394" t="str">
        <f t="shared" si="27"/>
        <v>N/A-10 ,g-20</v>
      </c>
      <c r="H209" s="29">
        <v>5.1999999999999997E-5</v>
      </c>
      <c r="I209" s="483">
        <f t="shared" si="23"/>
        <v>9.9999479999999998</v>
      </c>
      <c r="J209" s="148">
        <v>6.7000000000000002E-5</v>
      </c>
      <c r="K209" s="148">
        <v>2</v>
      </c>
      <c r="L209" s="509">
        <f t="shared" si="24"/>
        <v>6.7000000000000002E-5</v>
      </c>
      <c r="M209" s="399">
        <f t="shared" si="25"/>
        <v>6.7000000000000002E-5</v>
      </c>
      <c r="N209"/>
      <c r="O209"/>
      <c r="P209" s="371"/>
      <c r="Q209" s="141"/>
      <c r="R209" s="141"/>
      <c r="S209" s="141"/>
      <c r="T209" s="141"/>
      <c r="U209" s="141"/>
      <c r="V209" s="141"/>
      <c r="W209" s="141"/>
      <c r="X209" s="141"/>
      <c r="Y209" s="141"/>
      <c r="Z209" s="141"/>
      <c r="AA209" s="141"/>
      <c r="AB209"/>
      <c r="AC209"/>
      <c r="AD209"/>
      <c r="AE209"/>
      <c r="AF209"/>
      <c r="AG209"/>
      <c r="AH209"/>
    </row>
    <row r="210" spans="1:34">
      <c r="A210">
        <v>7</v>
      </c>
      <c r="B210" s="379" t="s">
        <v>284</v>
      </c>
      <c r="C210" s="313" t="s">
        <v>1091</v>
      </c>
      <c r="D210" s="29" t="s">
        <v>153</v>
      </c>
      <c r="E210" s="514" t="s">
        <v>1022</v>
      </c>
      <c r="F210" s="29">
        <v>20</v>
      </c>
      <c r="G210" s="394" t="str">
        <f t="shared" si="27"/>
        <v>NO-20 ,g-20</v>
      </c>
      <c r="H210" s="29">
        <v>3.4E-5</v>
      </c>
      <c r="I210" s="483">
        <f t="shared" si="23"/>
        <v>19.999966000000001</v>
      </c>
      <c r="J210" s="148">
        <v>8.2999999999999998E-5</v>
      </c>
      <c r="K210" s="148">
        <v>2</v>
      </c>
      <c r="L210" s="509">
        <f t="shared" si="24"/>
        <v>8.2999999999999998E-5</v>
      </c>
      <c r="M210" s="399">
        <f t="shared" si="25"/>
        <v>8.2999999999999998E-5</v>
      </c>
    </row>
    <row r="211" spans="1:34">
      <c r="A211">
        <v>8</v>
      </c>
      <c r="B211" s="379" t="s">
        <v>284</v>
      </c>
      <c r="C211" s="313" t="s">
        <v>1091</v>
      </c>
      <c r="D211" s="29" t="s">
        <v>152</v>
      </c>
      <c r="E211" s="514" t="s">
        <v>1022</v>
      </c>
      <c r="F211" s="29">
        <v>20</v>
      </c>
      <c r="G211" s="394" t="str">
        <f t="shared" si="27"/>
        <v>SI-20 ,g-20</v>
      </c>
      <c r="H211" s="29">
        <v>7.1999999999999988E-5</v>
      </c>
      <c r="I211" s="483">
        <f t="shared" si="23"/>
        <v>19.999928000000001</v>
      </c>
      <c r="J211" s="148">
        <v>8.2999999999999998E-5</v>
      </c>
      <c r="K211" s="148">
        <v>2</v>
      </c>
      <c r="L211" s="509">
        <f t="shared" si="24"/>
        <v>8.2999999999999998E-5</v>
      </c>
      <c r="M211" s="399">
        <f t="shared" si="25"/>
        <v>8.2999999999999998E-5</v>
      </c>
    </row>
    <row r="212" spans="1:34">
      <c r="A212">
        <v>9</v>
      </c>
      <c r="B212" s="379" t="s">
        <v>284</v>
      </c>
      <c r="C212" s="313" t="s">
        <v>1091</v>
      </c>
      <c r="D212" s="29" t="s">
        <v>360</v>
      </c>
      <c r="E212" s="514" t="s">
        <v>1023</v>
      </c>
      <c r="F212" s="29">
        <v>50</v>
      </c>
      <c r="G212" s="394" t="str">
        <f t="shared" si="27"/>
        <v>N/A-50 ,g-20</v>
      </c>
      <c r="H212" s="29">
        <v>-4.0000000000000003E-5</v>
      </c>
      <c r="I212" s="483">
        <f t="shared" si="23"/>
        <v>50.000039999999998</v>
      </c>
      <c r="J212" s="148">
        <v>1E-4</v>
      </c>
      <c r="K212" s="148">
        <v>2</v>
      </c>
      <c r="L212" s="509">
        <f t="shared" si="24"/>
        <v>1E-4</v>
      </c>
      <c r="M212" s="399">
        <f t="shared" si="25"/>
        <v>1E-4</v>
      </c>
    </row>
    <row r="213" spans="1:34">
      <c r="A213">
        <v>10</v>
      </c>
      <c r="B213" s="379" t="s">
        <v>284</v>
      </c>
      <c r="C213" s="313" t="s">
        <v>1091</v>
      </c>
      <c r="D213" s="29" t="s">
        <v>360</v>
      </c>
      <c r="E213" s="514" t="s">
        <v>1024</v>
      </c>
      <c r="F213" s="29">
        <v>100</v>
      </c>
      <c r="G213" s="394" t="str">
        <f t="shared" si="27"/>
        <v>N/A-100 ,g-20</v>
      </c>
      <c r="H213" s="29">
        <v>2.2000000000000001E-4</v>
      </c>
      <c r="I213" s="483">
        <f t="shared" si="23"/>
        <v>99.999780000000001</v>
      </c>
      <c r="J213" s="148">
        <v>1.7000000000000001E-4</v>
      </c>
      <c r="K213" s="148">
        <v>2</v>
      </c>
      <c r="L213" s="509">
        <f t="shared" si="24"/>
        <v>1.7000000000000001E-4</v>
      </c>
      <c r="M213" s="399">
        <f t="shared" si="25"/>
        <v>1.7000000000000001E-4</v>
      </c>
    </row>
    <row r="214" spans="1:34">
      <c r="A214">
        <v>11</v>
      </c>
      <c r="B214" s="379" t="s">
        <v>284</v>
      </c>
      <c r="C214" s="313" t="s">
        <v>1091</v>
      </c>
      <c r="D214" s="29" t="s">
        <v>153</v>
      </c>
      <c r="E214" s="514" t="s">
        <v>1025</v>
      </c>
      <c r="F214" s="29">
        <v>200</v>
      </c>
      <c r="G214" s="394" t="str">
        <f t="shared" si="27"/>
        <v>NO-200 ,g-20</v>
      </c>
      <c r="H214" s="29">
        <v>2.0000000000000002E-5</v>
      </c>
      <c r="I214" s="483">
        <f t="shared" si="23"/>
        <v>199.99997999999999</v>
      </c>
      <c r="J214" s="148">
        <v>3.3E-4</v>
      </c>
      <c r="K214" s="148">
        <v>2</v>
      </c>
      <c r="L214" s="509">
        <f t="shared" si="24"/>
        <v>3.3E-4</v>
      </c>
      <c r="M214" s="399">
        <f t="shared" si="25"/>
        <v>3.3E-4</v>
      </c>
      <c r="AB214" s="158"/>
      <c r="AC214" s="158"/>
      <c r="AD214" s="158"/>
      <c r="AE214" s="158"/>
      <c r="AF214" s="158"/>
      <c r="AG214" s="158"/>
      <c r="AH214" s="158"/>
    </row>
    <row r="215" spans="1:34">
      <c r="A215">
        <v>12</v>
      </c>
      <c r="B215" s="379" t="s">
        <v>284</v>
      </c>
      <c r="C215" s="313" t="s">
        <v>1091</v>
      </c>
      <c r="D215" s="29" t="s">
        <v>152</v>
      </c>
      <c r="E215" s="514" t="s">
        <v>1025</v>
      </c>
      <c r="F215" s="29">
        <v>200</v>
      </c>
      <c r="G215" s="394" t="str">
        <f t="shared" si="27"/>
        <v>SI-200 ,g-20</v>
      </c>
      <c r="H215" s="29">
        <v>1.9000000000000001E-4</v>
      </c>
      <c r="I215" s="483">
        <f t="shared" si="23"/>
        <v>199.99981</v>
      </c>
      <c r="J215" s="148">
        <v>3.3E-4</v>
      </c>
      <c r="K215" s="148">
        <v>2</v>
      </c>
      <c r="L215" s="509">
        <f t="shared" si="24"/>
        <v>3.3E-4</v>
      </c>
      <c r="M215" s="399">
        <f t="shared" si="25"/>
        <v>3.3E-4</v>
      </c>
    </row>
    <row r="216" spans="1:34">
      <c r="A216">
        <v>13</v>
      </c>
      <c r="B216" s="379" t="s">
        <v>284</v>
      </c>
      <c r="C216" s="313" t="s">
        <v>1091</v>
      </c>
      <c r="D216" s="29" t="s">
        <v>360</v>
      </c>
      <c r="E216" s="514" t="s">
        <v>1026</v>
      </c>
      <c r="F216" s="29">
        <v>500</v>
      </c>
      <c r="G216" s="394" t="str">
        <f t="shared" si="27"/>
        <v>N/A-500 ,g-20</v>
      </c>
      <c r="H216" s="29">
        <v>1E-3</v>
      </c>
      <c r="I216" s="483">
        <f t="shared" si="23"/>
        <v>499.99900000000002</v>
      </c>
      <c r="J216" s="148">
        <v>8.3000000000000001E-4</v>
      </c>
      <c r="K216" s="148">
        <v>2</v>
      </c>
      <c r="L216" s="509">
        <f t="shared" si="24"/>
        <v>8.3000000000000001E-4</v>
      </c>
      <c r="M216" s="399">
        <f t="shared" si="25"/>
        <v>8.3000000000000001E-4</v>
      </c>
    </row>
    <row r="217" spans="1:34">
      <c r="A217">
        <v>14</v>
      </c>
      <c r="B217" s="379" t="s">
        <v>284</v>
      </c>
      <c r="C217" s="313" t="s">
        <v>1091</v>
      </c>
      <c r="D217" s="29" t="s">
        <v>360</v>
      </c>
      <c r="E217" s="514" t="s">
        <v>1027</v>
      </c>
      <c r="F217" s="29">
        <v>1000</v>
      </c>
      <c r="G217" s="394" t="str">
        <f t="shared" si="27"/>
        <v>N/A-1000 ,g-20</v>
      </c>
      <c r="H217" s="29">
        <v>1.2999999999999999E-3</v>
      </c>
      <c r="I217" s="483">
        <f t="shared" si="23"/>
        <v>999.99869999999999</v>
      </c>
      <c r="J217" s="148">
        <v>1.6999999999999999E-3</v>
      </c>
      <c r="K217" s="148">
        <v>2</v>
      </c>
      <c r="L217" s="509">
        <f t="shared" si="24"/>
        <v>1.6999999999999999E-3</v>
      </c>
      <c r="M217" s="399">
        <f t="shared" si="25"/>
        <v>1.6999999999999999E-3</v>
      </c>
    </row>
    <row r="218" spans="1:34">
      <c r="A218">
        <v>15</v>
      </c>
      <c r="B218" s="379" t="s">
        <v>284</v>
      </c>
      <c r="C218" s="313" t="s">
        <v>1091</v>
      </c>
      <c r="D218" s="29" t="s">
        <v>153</v>
      </c>
      <c r="E218" s="514" t="s">
        <v>1028</v>
      </c>
      <c r="F218" s="29">
        <v>2000</v>
      </c>
      <c r="G218" s="394" t="str">
        <f t="shared" si="27"/>
        <v>NO-2000 ,g-20</v>
      </c>
      <c r="H218" s="29">
        <v>4.4000000000000003E-3</v>
      </c>
      <c r="I218" s="483">
        <f t="shared" si="23"/>
        <v>1999.9956</v>
      </c>
      <c r="J218" s="148">
        <v>3.3E-3</v>
      </c>
      <c r="K218" s="148">
        <v>2</v>
      </c>
      <c r="L218" s="509">
        <f t="shared" si="24"/>
        <v>3.3E-3</v>
      </c>
      <c r="M218" s="399">
        <f t="shared" si="25"/>
        <v>3.3E-3</v>
      </c>
    </row>
    <row r="219" spans="1:34">
      <c r="A219">
        <v>16</v>
      </c>
      <c r="B219" s="379" t="s">
        <v>284</v>
      </c>
      <c r="C219" s="313" t="s">
        <v>1091</v>
      </c>
      <c r="D219" s="29" t="s">
        <v>152</v>
      </c>
      <c r="E219" s="514" t="s">
        <v>1028</v>
      </c>
      <c r="F219" s="29">
        <v>2000</v>
      </c>
      <c r="G219" s="394" t="str">
        <f t="shared" si="27"/>
        <v>SI-2000 ,g-20</v>
      </c>
      <c r="H219" s="29">
        <v>1.9E-3</v>
      </c>
      <c r="I219" s="483">
        <f t="shared" si="23"/>
        <v>1999.9981</v>
      </c>
      <c r="J219" s="148">
        <v>3.3E-3</v>
      </c>
      <c r="K219" s="148">
        <v>2</v>
      </c>
      <c r="L219" s="509">
        <f t="shared" si="24"/>
        <v>3.3E-3</v>
      </c>
      <c r="M219" s="399">
        <f t="shared" si="25"/>
        <v>3.3E-3</v>
      </c>
    </row>
    <row r="220" spans="1:34">
      <c r="A220">
        <v>1</v>
      </c>
      <c r="B220" s="379" t="s">
        <v>284</v>
      </c>
      <c r="C220" s="313" t="s">
        <v>1091</v>
      </c>
      <c r="D220" s="29" t="s">
        <v>360</v>
      </c>
      <c r="E220" s="514" t="s">
        <v>1188</v>
      </c>
      <c r="F220" s="29">
        <v>1E-3</v>
      </c>
      <c r="G220" s="394" t="str">
        <f t="shared" si="27"/>
        <v>N/A-0,001 ,kg-20</v>
      </c>
      <c r="H220" s="29">
        <v>2.7999999999999999E-8</v>
      </c>
      <c r="I220" s="483">
        <f t="shared" si="23"/>
        <v>9.9997200000000001E-4</v>
      </c>
      <c r="J220" s="148">
        <v>3.3000000000000004E-8</v>
      </c>
      <c r="K220" s="148">
        <v>2</v>
      </c>
      <c r="L220" s="509">
        <f t="shared" si="24"/>
        <v>3.3000000000000004E-8</v>
      </c>
      <c r="M220" s="399">
        <f t="shared" si="25"/>
        <v>3.3000000000000004E-8</v>
      </c>
    </row>
    <row r="221" spans="1:34">
      <c r="A221">
        <v>2</v>
      </c>
      <c r="B221" s="379" t="s">
        <v>284</v>
      </c>
      <c r="C221" s="313" t="s">
        <v>1091</v>
      </c>
      <c r="D221" s="29" t="s">
        <v>153</v>
      </c>
      <c r="E221" s="514" t="s">
        <v>1189</v>
      </c>
      <c r="F221" s="29">
        <v>2E-3</v>
      </c>
      <c r="G221" s="394" t="str">
        <f t="shared" si="27"/>
        <v>NO-0,002 ,kg-20</v>
      </c>
      <c r="H221" s="29">
        <v>-1.7999999999999999E-8</v>
      </c>
      <c r="I221" s="483">
        <f t="shared" si="23"/>
        <v>2.0000180000000001E-3</v>
      </c>
      <c r="J221" s="148">
        <v>4.0000000000000001E-8</v>
      </c>
      <c r="K221" s="148">
        <v>2</v>
      </c>
      <c r="L221" s="509">
        <f t="shared" si="24"/>
        <v>4.0000000000000001E-8</v>
      </c>
      <c r="M221" s="399">
        <f t="shared" si="25"/>
        <v>4.0000000000000001E-8</v>
      </c>
    </row>
    <row r="222" spans="1:34">
      <c r="A222">
        <v>3</v>
      </c>
      <c r="B222" s="379" t="s">
        <v>284</v>
      </c>
      <c r="C222" s="313" t="s">
        <v>1091</v>
      </c>
      <c r="D222" s="29" t="s">
        <v>152</v>
      </c>
      <c r="E222" s="514" t="s">
        <v>1189</v>
      </c>
      <c r="F222" s="29">
        <v>2E-3</v>
      </c>
      <c r="G222" s="394" t="str">
        <f t="shared" si="27"/>
        <v>SI-0,002 ,kg-20</v>
      </c>
      <c r="H222" s="29">
        <v>-3.7E-8</v>
      </c>
      <c r="I222" s="483">
        <f t="shared" si="23"/>
        <v>2.0000370000000001E-3</v>
      </c>
      <c r="J222" s="148">
        <v>4.0000000000000001E-8</v>
      </c>
      <c r="K222" s="148">
        <v>2</v>
      </c>
      <c r="L222" s="509">
        <f t="shared" si="24"/>
        <v>4.0000000000000001E-8</v>
      </c>
      <c r="M222" s="399">
        <f t="shared" si="25"/>
        <v>4.0000000000000001E-8</v>
      </c>
    </row>
    <row r="223" spans="1:34">
      <c r="A223">
        <v>4</v>
      </c>
      <c r="B223" s="379" t="s">
        <v>284</v>
      </c>
      <c r="C223" s="313" t="s">
        <v>1091</v>
      </c>
      <c r="D223" s="29" t="s">
        <v>360</v>
      </c>
      <c r="E223" s="514" t="s">
        <v>1190</v>
      </c>
      <c r="F223" s="29">
        <v>5.0000000000000001E-3</v>
      </c>
      <c r="G223" s="394" t="str">
        <f t="shared" si="27"/>
        <v>N/A-0,005 ,kg-20</v>
      </c>
      <c r="H223" s="29">
        <v>2.4E-8</v>
      </c>
      <c r="I223" s="483">
        <f t="shared" si="23"/>
        <v>4.9999759999999997E-3</v>
      </c>
      <c r="J223" s="148">
        <v>5.2999999999999998E-8</v>
      </c>
      <c r="K223" s="148">
        <v>2</v>
      </c>
      <c r="L223" s="509">
        <f t="shared" si="24"/>
        <v>5.2999999999999998E-8</v>
      </c>
      <c r="M223" s="399">
        <f t="shared" si="25"/>
        <v>5.2999999999999998E-8</v>
      </c>
    </row>
    <row r="224" spans="1:34">
      <c r="A224">
        <v>5</v>
      </c>
      <c r="B224" s="379" t="s">
        <v>284</v>
      </c>
      <c r="C224" s="313" t="s">
        <v>1091</v>
      </c>
      <c r="D224" s="29" t="s">
        <v>360</v>
      </c>
      <c r="E224" s="514" t="s">
        <v>1191</v>
      </c>
      <c r="F224" s="29">
        <v>0.01</v>
      </c>
      <c r="G224" s="394" t="str">
        <f t="shared" si="27"/>
        <v>N/A-0,01 ,kg-20</v>
      </c>
      <c r="H224" s="29">
        <v>5.1999999999999996E-8</v>
      </c>
      <c r="I224" s="483">
        <f t="shared" si="23"/>
        <v>9.9999479999999998E-3</v>
      </c>
      <c r="J224" s="148">
        <v>6.7000000000000004E-8</v>
      </c>
      <c r="K224" s="148">
        <v>2</v>
      </c>
      <c r="L224" s="509">
        <f t="shared" si="24"/>
        <v>6.7000000000000004E-8</v>
      </c>
      <c r="M224" s="399">
        <f t="shared" si="25"/>
        <v>6.7000000000000004E-8</v>
      </c>
    </row>
    <row r="225" spans="1:13">
      <c r="A225">
        <v>6</v>
      </c>
      <c r="B225" s="379" t="s">
        <v>284</v>
      </c>
      <c r="C225" s="313" t="s">
        <v>1091</v>
      </c>
      <c r="D225" s="29" t="s">
        <v>153</v>
      </c>
      <c r="E225" s="514" t="s">
        <v>1192</v>
      </c>
      <c r="F225" s="29">
        <v>0.02</v>
      </c>
      <c r="G225" s="394" t="str">
        <f t="shared" si="27"/>
        <v>NO-0,02 ,kg-20</v>
      </c>
      <c r="H225" s="515">
        <v>3.4E-8</v>
      </c>
      <c r="I225" s="483">
        <f t="shared" si="23"/>
        <v>1.9999966000000001E-2</v>
      </c>
      <c r="J225" s="148">
        <v>8.3000000000000002E-8</v>
      </c>
      <c r="K225" s="148">
        <v>2</v>
      </c>
      <c r="L225" s="509">
        <f t="shared" si="24"/>
        <v>8.3000000000000002E-8</v>
      </c>
      <c r="M225" s="399">
        <f t="shared" si="25"/>
        <v>8.3000000000000002E-8</v>
      </c>
    </row>
    <row r="226" spans="1:13">
      <c r="A226">
        <v>7</v>
      </c>
      <c r="B226" s="379" t="s">
        <v>284</v>
      </c>
      <c r="C226" s="313" t="s">
        <v>1091</v>
      </c>
      <c r="D226" s="29" t="s">
        <v>152</v>
      </c>
      <c r="E226" s="514" t="s">
        <v>1192</v>
      </c>
      <c r="F226" s="29">
        <v>0.02</v>
      </c>
      <c r="G226" s="394" t="str">
        <f t="shared" si="27"/>
        <v>SI-0,02 ,kg-20</v>
      </c>
      <c r="H226" s="29">
        <v>7.1999999999999996E-8</v>
      </c>
      <c r="I226" s="483">
        <f t="shared" si="23"/>
        <v>1.9999928E-2</v>
      </c>
      <c r="J226" s="148">
        <v>8.3000000000000002E-8</v>
      </c>
      <c r="K226" s="148">
        <v>2</v>
      </c>
      <c r="L226" s="509">
        <f t="shared" si="24"/>
        <v>8.3000000000000002E-8</v>
      </c>
      <c r="M226" s="399">
        <f t="shared" si="25"/>
        <v>8.3000000000000002E-8</v>
      </c>
    </row>
    <row r="227" spans="1:13">
      <c r="A227">
        <v>8</v>
      </c>
      <c r="B227" s="379" t="s">
        <v>284</v>
      </c>
      <c r="C227" s="313" t="s">
        <v>1091</v>
      </c>
      <c r="D227" s="29" t="s">
        <v>360</v>
      </c>
      <c r="E227" s="514" t="s">
        <v>1193</v>
      </c>
      <c r="F227" s="29">
        <v>0.05</v>
      </c>
      <c r="G227" s="394" t="str">
        <f t="shared" si="27"/>
        <v>N/A-0,05 ,kg-20</v>
      </c>
      <c r="H227" s="29">
        <v>-4.0000000000000001E-8</v>
      </c>
      <c r="I227" s="483">
        <f t="shared" si="23"/>
        <v>5.0000040000000003E-2</v>
      </c>
      <c r="J227" s="148">
        <v>1.0000000000000001E-7</v>
      </c>
      <c r="K227" s="148">
        <v>2</v>
      </c>
      <c r="L227" s="509">
        <f t="shared" si="24"/>
        <v>1.0000000000000001E-7</v>
      </c>
      <c r="M227" s="399">
        <f t="shared" si="25"/>
        <v>1.0000000000000001E-7</v>
      </c>
    </row>
    <row r="228" spans="1:13">
      <c r="A228">
        <v>9</v>
      </c>
      <c r="B228" s="379" t="s">
        <v>284</v>
      </c>
      <c r="C228" s="313" t="s">
        <v>1091</v>
      </c>
      <c r="D228" s="29" t="s">
        <v>360</v>
      </c>
      <c r="E228" s="514" t="s">
        <v>1194</v>
      </c>
      <c r="F228" s="29">
        <v>0.1</v>
      </c>
      <c r="G228" s="394" t="str">
        <f t="shared" si="27"/>
        <v>N/A-0,1 ,kg-20</v>
      </c>
      <c r="H228" s="29">
        <v>2.2000000000000001E-7</v>
      </c>
      <c r="I228" s="483">
        <f t="shared" si="23"/>
        <v>9.999978000000001E-2</v>
      </c>
      <c r="J228" s="148">
        <v>1.7000000000000001E-7</v>
      </c>
      <c r="K228" s="148">
        <v>2</v>
      </c>
      <c r="L228" s="509">
        <f t="shared" si="24"/>
        <v>1.7000000000000001E-7</v>
      </c>
      <c r="M228" s="399">
        <f t="shared" si="25"/>
        <v>1.7000000000000001E-7</v>
      </c>
    </row>
    <row r="229" spans="1:13">
      <c r="A229">
        <v>10</v>
      </c>
      <c r="B229" s="379" t="s">
        <v>284</v>
      </c>
      <c r="C229" s="313" t="s">
        <v>1091</v>
      </c>
      <c r="D229" s="29" t="s">
        <v>153</v>
      </c>
      <c r="E229" s="514" t="s">
        <v>1195</v>
      </c>
      <c r="F229" s="29">
        <v>0.2</v>
      </c>
      <c r="G229" s="394" t="str">
        <f t="shared" si="27"/>
        <v>NO-0,2 ,kg-20</v>
      </c>
      <c r="H229" s="29">
        <v>2E-8</v>
      </c>
      <c r="I229" s="483">
        <f t="shared" si="23"/>
        <v>0.19999998000000002</v>
      </c>
      <c r="J229" s="148">
        <v>3.3000000000000002E-7</v>
      </c>
      <c r="K229" s="148">
        <v>2</v>
      </c>
      <c r="L229" s="509">
        <f t="shared" si="24"/>
        <v>3.3000000000000002E-7</v>
      </c>
      <c r="M229" s="399">
        <f t="shared" si="25"/>
        <v>3.3000000000000002E-7</v>
      </c>
    </row>
    <row r="230" spans="1:13">
      <c r="A230">
        <v>11</v>
      </c>
      <c r="B230" s="379" t="s">
        <v>284</v>
      </c>
      <c r="C230" s="313" t="s">
        <v>1091</v>
      </c>
      <c r="D230" s="29" t="s">
        <v>152</v>
      </c>
      <c r="E230" s="514" t="s">
        <v>1195</v>
      </c>
      <c r="F230" s="29">
        <v>0.2</v>
      </c>
      <c r="G230" s="394" t="str">
        <f t="shared" si="27"/>
        <v>SI-0,2 ,kg-20</v>
      </c>
      <c r="H230" s="29">
        <v>1.9000000000000001E-7</v>
      </c>
      <c r="I230" s="483">
        <f t="shared" si="23"/>
        <v>0.19999981</v>
      </c>
      <c r="J230" s="148">
        <v>3.3000000000000002E-7</v>
      </c>
      <c r="K230" s="148">
        <v>2</v>
      </c>
      <c r="L230" s="509">
        <f t="shared" si="24"/>
        <v>3.3000000000000002E-7</v>
      </c>
      <c r="M230" s="399">
        <f t="shared" si="25"/>
        <v>3.3000000000000002E-7</v>
      </c>
    </row>
    <row r="231" spans="1:13">
      <c r="A231">
        <v>12</v>
      </c>
      <c r="B231" s="379" t="s">
        <v>284</v>
      </c>
      <c r="C231" s="313" t="s">
        <v>1091</v>
      </c>
      <c r="D231" s="29" t="s">
        <v>360</v>
      </c>
      <c r="E231" s="514" t="s">
        <v>1199</v>
      </c>
      <c r="F231" s="29">
        <v>0.5</v>
      </c>
      <c r="G231" s="394" t="str">
        <f t="shared" si="27"/>
        <v>N/A-0,5 ,kg-20</v>
      </c>
      <c r="H231" s="29">
        <v>9.9999999999999995E-7</v>
      </c>
      <c r="I231" s="483">
        <f t="shared" si="23"/>
        <v>0.49999900000000003</v>
      </c>
      <c r="J231" s="148">
        <v>8.2999999999999999E-7</v>
      </c>
      <c r="K231" s="148">
        <v>2</v>
      </c>
      <c r="L231" s="509">
        <f t="shared" si="24"/>
        <v>8.2999999999999999E-7</v>
      </c>
      <c r="M231" s="399">
        <f t="shared" si="25"/>
        <v>8.2999999999999999E-7</v>
      </c>
    </row>
    <row r="232" spans="1:13">
      <c r="A232">
        <v>13</v>
      </c>
      <c r="B232" s="379" t="s">
        <v>284</v>
      </c>
      <c r="C232" s="313" t="s">
        <v>1091</v>
      </c>
      <c r="D232" s="29" t="s">
        <v>360</v>
      </c>
      <c r="E232" s="514" t="s">
        <v>1029</v>
      </c>
      <c r="F232" s="29">
        <v>1</v>
      </c>
      <c r="G232" s="394" t="str">
        <f t="shared" si="27"/>
        <v>N/A-1 ,kg-20</v>
      </c>
      <c r="H232" s="29">
        <v>1.3E-6</v>
      </c>
      <c r="I232" s="483">
        <f t="shared" si="23"/>
        <v>0.99999870000000002</v>
      </c>
      <c r="J232" s="148">
        <v>1.7E-6</v>
      </c>
      <c r="K232" s="148">
        <v>2</v>
      </c>
      <c r="L232" s="509">
        <f t="shared" si="24"/>
        <v>1.7E-6</v>
      </c>
      <c r="M232" s="399">
        <f t="shared" si="25"/>
        <v>1.7E-6</v>
      </c>
    </row>
    <row r="233" spans="1:13">
      <c r="A233">
        <v>14</v>
      </c>
      <c r="B233" s="379" t="s">
        <v>284</v>
      </c>
      <c r="C233" s="313" t="s">
        <v>1091</v>
      </c>
      <c r="D233" s="29" t="s">
        <v>153</v>
      </c>
      <c r="E233" s="514" t="s">
        <v>1030</v>
      </c>
      <c r="F233" s="29">
        <v>2</v>
      </c>
      <c r="G233" s="394" t="str">
        <f t="shared" si="27"/>
        <v>NO-2 ,kg-20</v>
      </c>
      <c r="H233" s="29">
        <v>4.4000000000000002E-6</v>
      </c>
      <c r="I233" s="483">
        <f t="shared" si="23"/>
        <v>1.9999956000000001</v>
      </c>
      <c r="J233" s="148">
        <v>3.3000000000000002E-6</v>
      </c>
      <c r="K233" s="148">
        <v>2</v>
      </c>
      <c r="L233" s="509">
        <f t="shared" si="24"/>
        <v>3.3000000000000002E-6</v>
      </c>
      <c r="M233" s="399">
        <f t="shared" si="25"/>
        <v>3.3000000000000002E-6</v>
      </c>
    </row>
    <row r="234" spans="1:13">
      <c r="A234">
        <v>15</v>
      </c>
      <c r="B234" s="379" t="s">
        <v>284</v>
      </c>
      <c r="C234" s="313" t="s">
        <v>1091</v>
      </c>
      <c r="D234" s="29" t="s">
        <v>152</v>
      </c>
      <c r="E234" s="514" t="s">
        <v>1030</v>
      </c>
      <c r="F234" s="29">
        <v>2</v>
      </c>
      <c r="G234" s="394" t="str">
        <f t="shared" si="27"/>
        <v>SI-2 ,kg-20</v>
      </c>
      <c r="H234" s="29">
        <v>1.9E-6</v>
      </c>
      <c r="I234" s="483">
        <f t="shared" si="23"/>
        <v>1.9999981</v>
      </c>
      <c r="J234" s="148">
        <v>3.3000000000000002E-6</v>
      </c>
      <c r="K234" s="148">
        <v>2</v>
      </c>
      <c r="L234" s="509">
        <f t="shared" si="24"/>
        <v>3.3000000000000002E-6</v>
      </c>
      <c r="M234" s="399">
        <f t="shared" si="25"/>
        <v>3.3000000000000002E-6</v>
      </c>
    </row>
    <row r="235" spans="1:13">
      <c r="A235">
        <v>1</v>
      </c>
      <c r="B235" s="379" t="s">
        <v>354</v>
      </c>
      <c r="C235" s="313" t="s">
        <v>230</v>
      </c>
      <c r="D235" s="29">
        <v>1</v>
      </c>
      <c r="E235" s="514" t="s">
        <v>1198</v>
      </c>
      <c r="F235" s="29">
        <v>5000000</v>
      </c>
      <c r="G235" s="394" t="str">
        <f t="shared" si="27"/>
        <v>1-5000000 ,mg-01</v>
      </c>
      <c r="H235" s="29">
        <v>-31</v>
      </c>
      <c r="I235" s="483">
        <f t="shared" si="23"/>
        <v>5000031</v>
      </c>
      <c r="J235" s="148">
        <v>83</v>
      </c>
      <c r="K235" s="148">
        <v>2</v>
      </c>
      <c r="L235" s="509">
        <f t="shared" si="24"/>
        <v>83</v>
      </c>
      <c r="M235" s="399">
        <f t="shared" si="25"/>
        <v>83</v>
      </c>
    </row>
    <row r="236" spans="1:13">
      <c r="A236">
        <v>2</v>
      </c>
      <c r="B236" s="379" t="s">
        <v>354</v>
      </c>
      <c r="C236" s="313" t="s">
        <v>230</v>
      </c>
      <c r="D236" s="29">
        <v>2</v>
      </c>
      <c r="E236" s="514" t="s">
        <v>1200</v>
      </c>
      <c r="F236" s="29">
        <v>10000000</v>
      </c>
      <c r="G236" s="394" t="str">
        <f t="shared" si="27"/>
        <v>2-10000000 ,mg-01</v>
      </c>
      <c r="H236" s="29">
        <v>-60</v>
      </c>
      <c r="I236" s="483">
        <f t="shared" si="23"/>
        <v>10000060</v>
      </c>
      <c r="J236" s="148">
        <v>170</v>
      </c>
      <c r="K236" s="148">
        <v>2</v>
      </c>
      <c r="L236" s="509">
        <f t="shared" si="24"/>
        <v>170</v>
      </c>
      <c r="M236" s="399">
        <f t="shared" si="25"/>
        <v>170</v>
      </c>
    </row>
    <row r="237" spans="1:13">
      <c r="A237">
        <v>3</v>
      </c>
      <c r="B237" s="379" t="s">
        <v>354</v>
      </c>
      <c r="C237" s="313" t="s">
        <v>230</v>
      </c>
      <c r="D237" s="29">
        <v>3</v>
      </c>
      <c r="E237" s="514" t="s">
        <v>1201</v>
      </c>
      <c r="F237" s="29">
        <v>20000000</v>
      </c>
      <c r="G237" s="394" t="str">
        <f t="shared" si="27"/>
        <v>3-20000000 ,mg-01</v>
      </c>
      <c r="H237" s="29">
        <v>-60</v>
      </c>
      <c r="I237" s="483">
        <f t="shared" si="23"/>
        <v>20000060</v>
      </c>
      <c r="J237" s="148">
        <v>330</v>
      </c>
      <c r="K237" s="148">
        <v>2</v>
      </c>
      <c r="L237" s="509">
        <f t="shared" si="24"/>
        <v>330</v>
      </c>
      <c r="M237" s="399">
        <f t="shared" si="25"/>
        <v>330</v>
      </c>
    </row>
    <row r="238" spans="1:13">
      <c r="A238">
        <v>4</v>
      </c>
      <c r="B238" s="379" t="s">
        <v>354</v>
      </c>
      <c r="C238" s="313" t="s">
        <v>230</v>
      </c>
      <c r="D238" s="29">
        <v>4</v>
      </c>
      <c r="E238" s="514" t="s">
        <v>1201</v>
      </c>
      <c r="F238" s="29">
        <v>20000000</v>
      </c>
      <c r="G238" s="394" t="str">
        <f t="shared" si="27"/>
        <v>4-20000000 ,mg-01</v>
      </c>
      <c r="H238" s="29">
        <v>-60</v>
      </c>
      <c r="I238" s="483">
        <f t="shared" si="23"/>
        <v>20000060</v>
      </c>
      <c r="J238" s="148">
        <v>330</v>
      </c>
      <c r="K238" s="148">
        <v>2</v>
      </c>
      <c r="L238" s="509">
        <f t="shared" si="24"/>
        <v>330</v>
      </c>
      <c r="M238" s="399">
        <f t="shared" si="25"/>
        <v>330</v>
      </c>
    </row>
    <row r="239" spans="1:13">
      <c r="A239">
        <v>5</v>
      </c>
      <c r="B239" s="379" t="s">
        <v>354</v>
      </c>
      <c r="C239" s="313" t="s">
        <v>230</v>
      </c>
      <c r="D239" s="29">
        <v>5</v>
      </c>
      <c r="E239" s="514" t="s">
        <v>1201</v>
      </c>
      <c r="F239" s="29">
        <v>20000000</v>
      </c>
      <c r="G239" s="394" t="str">
        <f t="shared" si="27"/>
        <v>5-20000000 ,mg-01</v>
      </c>
      <c r="H239" s="29">
        <v>-60</v>
      </c>
      <c r="I239" s="483">
        <f t="shared" si="23"/>
        <v>20000060</v>
      </c>
      <c r="J239" s="148">
        <v>330</v>
      </c>
      <c r="K239" s="148">
        <v>2</v>
      </c>
      <c r="L239" s="509">
        <f t="shared" si="24"/>
        <v>330</v>
      </c>
      <c r="M239" s="399">
        <f t="shared" si="25"/>
        <v>330</v>
      </c>
    </row>
    <row r="240" spans="1:13">
      <c r="A240">
        <v>6</v>
      </c>
      <c r="B240" s="379" t="s">
        <v>354</v>
      </c>
      <c r="C240" s="313" t="s">
        <v>230</v>
      </c>
      <c r="D240" s="29">
        <v>6</v>
      </c>
      <c r="E240" s="514" t="s">
        <v>1201</v>
      </c>
      <c r="F240" s="29">
        <v>20000000</v>
      </c>
      <c r="G240" s="394" t="str">
        <f t="shared" si="27"/>
        <v>6-20000000 ,mg-01</v>
      </c>
      <c r="H240" s="29">
        <v>-60</v>
      </c>
      <c r="I240" s="483">
        <f t="shared" si="23"/>
        <v>20000060</v>
      </c>
      <c r="J240" s="148">
        <v>330</v>
      </c>
      <c r="K240" s="148">
        <v>2</v>
      </c>
      <c r="L240" s="509">
        <f t="shared" si="24"/>
        <v>330</v>
      </c>
      <c r="M240" s="399">
        <f t="shared" si="25"/>
        <v>330</v>
      </c>
    </row>
    <row r="241" spans="1:13">
      <c r="A241">
        <v>7</v>
      </c>
      <c r="B241" s="379" t="s">
        <v>354</v>
      </c>
      <c r="C241" s="313" t="s">
        <v>230</v>
      </c>
      <c r="D241" s="29">
        <v>7</v>
      </c>
      <c r="E241" s="514" t="s">
        <v>1201</v>
      </c>
      <c r="F241" s="29">
        <v>20000000</v>
      </c>
      <c r="G241" s="394" t="str">
        <f t="shared" si="27"/>
        <v>7-20000000 ,mg-01</v>
      </c>
      <c r="H241" s="29">
        <v>-60</v>
      </c>
      <c r="I241" s="483">
        <f t="shared" si="23"/>
        <v>20000060</v>
      </c>
      <c r="J241" s="29">
        <v>330</v>
      </c>
      <c r="K241" s="148">
        <v>2</v>
      </c>
      <c r="L241" s="509">
        <f t="shared" si="24"/>
        <v>330</v>
      </c>
      <c r="M241" s="399">
        <f t="shared" si="25"/>
        <v>330</v>
      </c>
    </row>
    <row r="242" spans="1:13">
      <c r="A242">
        <v>8</v>
      </c>
      <c r="B242" s="379" t="s">
        <v>354</v>
      </c>
      <c r="C242" s="313" t="s">
        <v>230</v>
      </c>
      <c r="D242" s="29">
        <v>8</v>
      </c>
      <c r="E242" s="514" t="s">
        <v>1201</v>
      </c>
      <c r="F242" s="29">
        <v>20000000</v>
      </c>
      <c r="G242" s="394" t="str">
        <f t="shared" si="27"/>
        <v>8-20000000 ,mg-01</v>
      </c>
      <c r="H242" s="29">
        <v>-60</v>
      </c>
      <c r="I242" s="483">
        <f t="shared" si="23"/>
        <v>20000060</v>
      </c>
      <c r="J242" s="29">
        <v>330</v>
      </c>
      <c r="K242" s="148">
        <v>2</v>
      </c>
      <c r="L242" s="509">
        <f t="shared" si="24"/>
        <v>330</v>
      </c>
      <c r="M242" s="399">
        <f t="shared" si="25"/>
        <v>330</v>
      </c>
    </row>
    <row r="243" spans="1:13">
      <c r="A243">
        <v>9</v>
      </c>
      <c r="B243" s="379" t="s">
        <v>354</v>
      </c>
      <c r="C243" s="313" t="s">
        <v>230</v>
      </c>
      <c r="D243" s="29">
        <v>9</v>
      </c>
      <c r="E243" s="514" t="s">
        <v>1201</v>
      </c>
      <c r="F243" s="29">
        <v>20000000</v>
      </c>
      <c r="G243" s="394" t="str">
        <f t="shared" si="27"/>
        <v>9-20000000 ,mg-01</v>
      </c>
      <c r="H243" s="29">
        <v>-60</v>
      </c>
      <c r="I243" s="483">
        <f t="shared" si="23"/>
        <v>20000060</v>
      </c>
      <c r="J243" s="29">
        <v>330</v>
      </c>
      <c r="K243" s="148">
        <v>2</v>
      </c>
      <c r="L243" s="509">
        <f t="shared" si="24"/>
        <v>330</v>
      </c>
      <c r="M243" s="399">
        <f t="shared" si="25"/>
        <v>330</v>
      </c>
    </row>
    <row r="244" spans="1:13">
      <c r="A244">
        <v>10</v>
      </c>
      <c r="B244" s="379" t="s">
        <v>354</v>
      </c>
      <c r="C244" s="313" t="s">
        <v>230</v>
      </c>
      <c r="D244" s="29">
        <v>10</v>
      </c>
      <c r="E244" s="514" t="s">
        <v>1201</v>
      </c>
      <c r="F244" s="29">
        <v>20000000</v>
      </c>
      <c r="G244" s="394" t="str">
        <f t="shared" si="27"/>
        <v>10-20000000 ,mg-01</v>
      </c>
      <c r="H244" s="29">
        <v>-60</v>
      </c>
      <c r="I244" s="483">
        <f t="shared" si="23"/>
        <v>20000060</v>
      </c>
      <c r="J244" s="29">
        <v>330</v>
      </c>
      <c r="K244" s="148">
        <v>2</v>
      </c>
      <c r="L244" s="509">
        <f t="shared" si="24"/>
        <v>330</v>
      </c>
      <c r="M244" s="399">
        <f t="shared" si="25"/>
        <v>330</v>
      </c>
    </row>
    <row r="245" spans="1:13">
      <c r="A245">
        <v>11</v>
      </c>
      <c r="B245" s="379" t="s">
        <v>354</v>
      </c>
      <c r="C245" s="313" t="s">
        <v>230</v>
      </c>
      <c r="D245" s="29">
        <v>11</v>
      </c>
      <c r="E245" s="514" t="s">
        <v>1201</v>
      </c>
      <c r="F245" s="29">
        <v>20000000</v>
      </c>
      <c r="G245" s="394" t="str">
        <f t="shared" si="27"/>
        <v>11-20000000 ,mg-01</v>
      </c>
      <c r="H245" s="29">
        <v>-60</v>
      </c>
      <c r="I245" s="483">
        <f t="shared" si="23"/>
        <v>20000060</v>
      </c>
      <c r="J245" s="29">
        <v>330</v>
      </c>
      <c r="K245" s="148">
        <v>2</v>
      </c>
      <c r="L245" s="509">
        <f t="shared" si="24"/>
        <v>330</v>
      </c>
      <c r="M245" s="399">
        <f t="shared" si="25"/>
        <v>330</v>
      </c>
    </row>
    <row r="246" spans="1:13">
      <c r="A246">
        <v>12</v>
      </c>
      <c r="B246" s="379" t="s">
        <v>354</v>
      </c>
      <c r="C246" s="313" t="s">
        <v>230</v>
      </c>
      <c r="D246" s="29">
        <v>12</v>
      </c>
      <c r="E246" s="514" t="s">
        <v>1201</v>
      </c>
      <c r="F246" s="29">
        <v>20000000</v>
      </c>
      <c r="G246" s="394" t="str">
        <f t="shared" si="27"/>
        <v>12-20000000 ,mg-01</v>
      </c>
      <c r="H246" s="29">
        <v>-60</v>
      </c>
      <c r="I246" s="483">
        <f t="shared" si="23"/>
        <v>20000060</v>
      </c>
      <c r="J246" s="29">
        <v>330</v>
      </c>
      <c r="K246" s="148">
        <v>2</v>
      </c>
      <c r="L246" s="509">
        <f t="shared" si="24"/>
        <v>330</v>
      </c>
      <c r="M246" s="399">
        <f t="shared" si="25"/>
        <v>330</v>
      </c>
    </row>
    <row r="247" spans="1:13">
      <c r="A247">
        <v>13</v>
      </c>
      <c r="B247" s="379" t="s">
        <v>354</v>
      </c>
      <c r="C247" s="313" t="s">
        <v>230</v>
      </c>
      <c r="D247" s="29">
        <v>13</v>
      </c>
      <c r="E247" s="514" t="s">
        <v>1201</v>
      </c>
      <c r="F247" s="29">
        <v>20000000</v>
      </c>
      <c r="G247" s="394" t="str">
        <f t="shared" si="27"/>
        <v>13-20000000 ,mg-01</v>
      </c>
      <c r="H247" s="29">
        <v>-60</v>
      </c>
      <c r="I247" s="483">
        <f t="shared" si="23"/>
        <v>20000060</v>
      </c>
      <c r="J247" s="29">
        <v>330</v>
      </c>
      <c r="K247" s="148">
        <v>2</v>
      </c>
      <c r="L247" s="509">
        <f t="shared" si="24"/>
        <v>330</v>
      </c>
      <c r="M247" s="399">
        <f t="shared" si="25"/>
        <v>330</v>
      </c>
    </row>
    <row r="248" spans="1:13">
      <c r="A248">
        <v>14</v>
      </c>
      <c r="B248" s="379" t="s">
        <v>354</v>
      </c>
      <c r="C248" s="313" t="s">
        <v>230</v>
      </c>
      <c r="D248" s="29">
        <v>14</v>
      </c>
      <c r="E248" s="514" t="s">
        <v>1201</v>
      </c>
      <c r="F248" s="29">
        <v>20000000</v>
      </c>
      <c r="G248" s="394" t="str">
        <f t="shared" si="27"/>
        <v>14-20000000 ,mg-01</v>
      </c>
      <c r="H248" s="29">
        <v>-60</v>
      </c>
      <c r="I248" s="483">
        <f t="shared" si="23"/>
        <v>20000060</v>
      </c>
      <c r="J248" s="29">
        <v>330</v>
      </c>
      <c r="K248" s="148">
        <v>2</v>
      </c>
      <c r="L248" s="509">
        <f t="shared" si="24"/>
        <v>330</v>
      </c>
      <c r="M248" s="399">
        <f t="shared" si="25"/>
        <v>330</v>
      </c>
    </row>
    <row r="249" spans="1:13">
      <c r="A249">
        <v>15</v>
      </c>
      <c r="B249" s="379" t="s">
        <v>354</v>
      </c>
      <c r="C249" s="313" t="s">
        <v>230</v>
      </c>
      <c r="D249" s="29">
        <v>15</v>
      </c>
      <c r="E249" s="514" t="s">
        <v>1201</v>
      </c>
      <c r="F249" s="29">
        <v>20000000</v>
      </c>
      <c r="G249" s="394" t="str">
        <f t="shared" si="27"/>
        <v>15-20000000 ,mg-01</v>
      </c>
      <c r="H249" s="29">
        <v>-60</v>
      </c>
      <c r="I249" s="483">
        <f t="shared" si="23"/>
        <v>20000060</v>
      </c>
      <c r="J249" s="29">
        <v>330</v>
      </c>
      <c r="K249" s="148">
        <v>2</v>
      </c>
      <c r="L249" s="509">
        <f t="shared" si="24"/>
        <v>330</v>
      </c>
      <c r="M249" s="399">
        <f t="shared" si="25"/>
        <v>330</v>
      </c>
    </row>
    <row r="250" spans="1:13">
      <c r="A250">
        <v>16</v>
      </c>
      <c r="B250" s="379" t="s">
        <v>354</v>
      </c>
      <c r="C250" s="313" t="s">
        <v>230</v>
      </c>
      <c r="D250" s="29">
        <v>16</v>
      </c>
      <c r="E250" s="514" t="s">
        <v>1201</v>
      </c>
      <c r="F250" s="29">
        <v>20000000</v>
      </c>
      <c r="G250" s="394" t="str">
        <f t="shared" si="27"/>
        <v>16-20000000 ,mg-01</v>
      </c>
      <c r="H250" s="29">
        <v>-60</v>
      </c>
      <c r="I250" s="483">
        <f t="shared" si="23"/>
        <v>20000060</v>
      </c>
      <c r="J250" s="29">
        <v>330</v>
      </c>
      <c r="K250" s="148">
        <v>2</v>
      </c>
      <c r="L250" s="509">
        <f t="shared" si="24"/>
        <v>330</v>
      </c>
      <c r="M250" s="399">
        <f t="shared" si="25"/>
        <v>330</v>
      </c>
    </row>
    <row r="251" spans="1:13">
      <c r="A251">
        <v>17</v>
      </c>
      <c r="B251" s="379" t="s">
        <v>354</v>
      </c>
      <c r="C251" s="313" t="s">
        <v>230</v>
      </c>
      <c r="D251" s="29">
        <v>17</v>
      </c>
      <c r="E251" s="514" t="s">
        <v>1201</v>
      </c>
      <c r="F251" s="29">
        <v>20000000</v>
      </c>
      <c r="G251" s="394" t="str">
        <f t="shared" si="27"/>
        <v>17-20000000 ,mg-01</v>
      </c>
      <c r="H251" s="29">
        <v>-60</v>
      </c>
      <c r="I251" s="483">
        <f t="shared" si="23"/>
        <v>20000060</v>
      </c>
      <c r="J251" s="29">
        <v>330</v>
      </c>
      <c r="K251" s="148">
        <v>2</v>
      </c>
      <c r="L251" s="509">
        <f t="shared" si="24"/>
        <v>330</v>
      </c>
      <c r="M251" s="399">
        <f t="shared" si="25"/>
        <v>330</v>
      </c>
    </row>
    <row r="252" spans="1:13">
      <c r="A252">
        <v>18</v>
      </c>
      <c r="B252" s="379" t="s">
        <v>354</v>
      </c>
      <c r="C252" s="313" t="s">
        <v>230</v>
      </c>
      <c r="D252" s="29">
        <v>18</v>
      </c>
      <c r="E252" s="514" t="s">
        <v>1201</v>
      </c>
      <c r="F252" s="29">
        <v>20000000</v>
      </c>
      <c r="G252" s="394" t="str">
        <f t="shared" si="27"/>
        <v>18-20000000 ,mg-01</v>
      </c>
      <c r="H252" s="29">
        <v>-60</v>
      </c>
      <c r="I252" s="483">
        <f t="shared" si="23"/>
        <v>20000060</v>
      </c>
      <c r="J252" s="29">
        <v>330</v>
      </c>
      <c r="K252" s="148">
        <v>2</v>
      </c>
      <c r="L252" s="509">
        <f t="shared" si="24"/>
        <v>330</v>
      </c>
      <c r="M252" s="399">
        <f t="shared" si="25"/>
        <v>330</v>
      </c>
    </row>
    <row r="253" spans="1:13">
      <c r="A253">
        <v>19</v>
      </c>
      <c r="B253" s="379" t="s">
        <v>354</v>
      </c>
      <c r="C253" s="313" t="s">
        <v>230</v>
      </c>
      <c r="D253" s="29">
        <v>19</v>
      </c>
      <c r="E253" s="514" t="s">
        <v>1201</v>
      </c>
      <c r="F253" s="29">
        <v>20000000</v>
      </c>
      <c r="G253" s="394" t="str">
        <f t="shared" si="27"/>
        <v>19-20000000 ,mg-01</v>
      </c>
      <c r="H253" s="29">
        <v>-60</v>
      </c>
      <c r="I253" s="483">
        <f t="shared" si="23"/>
        <v>20000060</v>
      </c>
      <c r="J253" s="29">
        <v>330</v>
      </c>
      <c r="K253" s="148">
        <v>2</v>
      </c>
      <c r="L253" s="509">
        <f t="shared" si="24"/>
        <v>330</v>
      </c>
      <c r="M253" s="399">
        <f t="shared" si="25"/>
        <v>330</v>
      </c>
    </row>
    <row r="254" spans="1:13">
      <c r="A254">
        <v>20</v>
      </c>
      <c r="B254" s="379" t="s">
        <v>354</v>
      </c>
      <c r="C254" s="313" t="s">
        <v>230</v>
      </c>
      <c r="D254" s="29">
        <v>20</v>
      </c>
      <c r="E254" s="514" t="s">
        <v>1201</v>
      </c>
      <c r="F254" s="29">
        <v>20000000</v>
      </c>
      <c r="G254" s="394" t="str">
        <f t="shared" si="27"/>
        <v>20-20000000 ,mg-01</v>
      </c>
      <c r="H254" s="29">
        <v>-60</v>
      </c>
      <c r="I254" s="483">
        <f t="shared" si="23"/>
        <v>20000060</v>
      </c>
      <c r="J254" s="29">
        <v>330</v>
      </c>
      <c r="K254" s="148">
        <v>2</v>
      </c>
      <c r="L254" s="509">
        <f t="shared" si="24"/>
        <v>330</v>
      </c>
      <c r="M254" s="399">
        <f t="shared" si="25"/>
        <v>330</v>
      </c>
    </row>
    <row r="255" spans="1:13">
      <c r="A255">
        <v>21</v>
      </c>
      <c r="B255" s="379" t="s">
        <v>354</v>
      </c>
      <c r="C255" s="313" t="s">
        <v>230</v>
      </c>
      <c r="D255" s="29">
        <v>21</v>
      </c>
      <c r="E255" s="514" t="s">
        <v>1201</v>
      </c>
      <c r="F255" s="29">
        <v>20000000</v>
      </c>
      <c r="G255" s="394" t="str">
        <f t="shared" si="27"/>
        <v>21-20000000 ,mg-01</v>
      </c>
      <c r="H255" s="29">
        <v>-60</v>
      </c>
      <c r="I255" s="483">
        <f t="shared" si="23"/>
        <v>20000060</v>
      </c>
      <c r="J255" s="29">
        <v>330</v>
      </c>
      <c r="K255" s="148">
        <v>2</v>
      </c>
      <c r="L255" s="509">
        <f t="shared" si="24"/>
        <v>330</v>
      </c>
      <c r="M255" s="399">
        <f t="shared" si="25"/>
        <v>330</v>
      </c>
    </row>
    <row r="256" spans="1:13">
      <c r="A256">
        <v>22</v>
      </c>
      <c r="B256" s="379" t="s">
        <v>354</v>
      </c>
      <c r="C256" s="313" t="s">
        <v>230</v>
      </c>
      <c r="D256" s="29">
        <v>22</v>
      </c>
      <c r="E256" s="514" t="s">
        <v>1201</v>
      </c>
      <c r="F256" s="29">
        <v>20000000</v>
      </c>
      <c r="G256" s="394" t="str">
        <f t="shared" si="27"/>
        <v>22-20000000 ,mg-01</v>
      </c>
      <c r="H256" s="29">
        <v>-60</v>
      </c>
      <c r="I256" s="483">
        <f t="shared" si="23"/>
        <v>20000060</v>
      </c>
      <c r="J256" s="29">
        <v>330</v>
      </c>
      <c r="K256" s="148">
        <v>2</v>
      </c>
      <c r="L256" s="509">
        <f t="shared" si="24"/>
        <v>330</v>
      </c>
      <c r="M256" s="399">
        <f t="shared" si="25"/>
        <v>330</v>
      </c>
    </row>
    <row r="257" spans="1:13">
      <c r="A257">
        <v>23</v>
      </c>
      <c r="B257" s="379" t="s">
        <v>354</v>
      </c>
      <c r="C257" s="313" t="s">
        <v>230</v>
      </c>
      <c r="D257" s="29">
        <v>23</v>
      </c>
      <c r="E257" s="514" t="s">
        <v>1201</v>
      </c>
      <c r="F257" s="29">
        <v>20000000</v>
      </c>
      <c r="G257" s="394" t="str">
        <f t="shared" si="27"/>
        <v>23-20000000 ,mg-01</v>
      </c>
      <c r="H257" s="29">
        <v>-60</v>
      </c>
      <c r="I257" s="483">
        <f t="shared" si="23"/>
        <v>20000060</v>
      </c>
      <c r="J257" s="29">
        <v>330</v>
      </c>
      <c r="K257" s="148">
        <v>2</v>
      </c>
      <c r="L257" s="509">
        <f t="shared" si="24"/>
        <v>330</v>
      </c>
      <c r="M257" s="399">
        <f t="shared" si="25"/>
        <v>330</v>
      </c>
    </row>
    <row r="258" spans="1:13">
      <c r="A258">
        <v>24</v>
      </c>
      <c r="B258" s="379" t="s">
        <v>354</v>
      </c>
      <c r="C258" s="313" t="s">
        <v>230</v>
      </c>
      <c r="D258" s="29">
        <v>24</v>
      </c>
      <c r="E258" s="514" t="s">
        <v>1201</v>
      </c>
      <c r="F258" s="29">
        <v>20000000</v>
      </c>
      <c r="G258" s="394" t="str">
        <f t="shared" si="27"/>
        <v>24-20000000 ,mg-01</v>
      </c>
      <c r="H258" s="29">
        <v>-90</v>
      </c>
      <c r="I258" s="483">
        <f t="shared" si="23"/>
        <v>20000090</v>
      </c>
      <c r="J258" s="29">
        <v>330</v>
      </c>
      <c r="K258" s="148">
        <v>2</v>
      </c>
      <c r="L258" s="509">
        <f t="shared" si="24"/>
        <v>330</v>
      </c>
      <c r="M258" s="399">
        <f t="shared" si="25"/>
        <v>330</v>
      </c>
    </row>
    <row r="259" spans="1:13">
      <c r="A259">
        <v>25</v>
      </c>
      <c r="B259" s="379" t="s">
        <v>354</v>
      </c>
      <c r="C259" s="313" t="s">
        <v>230</v>
      </c>
      <c r="D259" s="29">
        <v>25</v>
      </c>
      <c r="E259" s="514" t="s">
        <v>1201</v>
      </c>
      <c r="F259" s="29">
        <v>20000000</v>
      </c>
      <c r="G259" s="394" t="str">
        <f t="shared" si="27"/>
        <v>25-20000000 ,mg-01</v>
      </c>
      <c r="H259" s="29">
        <v>-60</v>
      </c>
      <c r="I259" s="483">
        <f t="shared" si="23"/>
        <v>20000060</v>
      </c>
      <c r="J259" s="29">
        <v>330</v>
      </c>
      <c r="K259" s="148">
        <v>2</v>
      </c>
      <c r="L259" s="509">
        <f t="shared" si="24"/>
        <v>330</v>
      </c>
      <c r="M259" s="399">
        <f t="shared" si="25"/>
        <v>330</v>
      </c>
    </row>
    <row r="260" spans="1:13">
      <c r="A260">
        <v>26</v>
      </c>
      <c r="B260" s="379" t="s">
        <v>354</v>
      </c>
      <c r="C260" s="313" t="s">
        <v>230</v>
      </c>
      <c r="D260" s="29">
        <v>26</v>
      </c>
      <c r="E260" s="514" t="s">
        <v>1201</v>
      </c>
      <c r="F260" s="29">
        <v>20000000</v>
      </c>
      <c r="G260" s="394" t="str">
        <f t="shared" si="27"/>
        <v>26-20000000 ,mg-01</v>
      </c>
      <c r="H260" s="29">
        <v>-60</v>
      </c>
      <c r="I260" s="483">
        <f t="shared" si="23"/>
        <v>20000060</v>
      </c>
      <c r="J260" s="29">
        <v>330</v>
      </c>
      <c r="K260" s="148">
        <v>2</v>
      </c>
      <c r="L260" s="509">
        <f t="shared" si="24"/>
        <v>330</v>
      </c>
      <c r="M260" s="399">
        <f t="shared" si="25"/>
        <v>330</v>
      </c>
    </row>
    <row r="261" spans="1:13">
      <c r="A261">
        <v>27</v>
      </c>
      <c r="B261" s="379" t="s">
        <v>354</v>
      </c>
      <c r="C261" s="313" t="s">
        <v>230</v>
      </c>
      <c r="D261" s="29">
        <v>27</v>
      </c>
      <c r="E261" s="514" t="s">
        <v>1201</v>
      </c>
      <c r="F261" s="29">
        <v>20000000</v>
      </c>
      <c r="G261" s="394" t="str">
        <f t="shared" si="27"/>
        <v>27-20000000 ,mg-01</v>
      </c>
      <c r="H261" s="29">
        <v>-60</v>
      </c>
      <c r="I261" s="483">
        <f t="shared" ref="I261:I324" si="28">F261-H261</f>
        <v>20000060</v>
      </c>
      <c r="J261" s="29">
        <v>330</v>
      </c>
      <c r="K261" s="148">
        <v>2</v>
      </c>
      <c r="L261" s="509">
        <f t="shared" ref="L261:L324" si="29">IF(AND(B261="E2",N261&lt;&gt;0),ABS(H261-N261),M261)</f>
        <v>330</v>
      </c>
      <c r="M261" s="399">
        <f t="shared" ref="M261:M324" si="30">J261</f>
        <v>330</v>
      </c>
    </row>
    <row r="262" spans="1:13">
      <c r="A262">
        <v>28</v>
      </c>
      <c r="B262" s="379" t="s">
        <v>354</v>
      </c>
      <c r="C262" s="313" t="s">
        <v>230</v>
      </c>
      <c r="D262" s="29">
        <v>28</v>
      </c>
      <c r="E262" s="514" t="s">
        <v>1201</v>
      </c>
      <c r="F262" s="29">
        <v>20000000</v>
      </c>
      <c r="G262" s="394" t="str">
        <f t="shared" si="27"/>
        <v>28-20000000 ,mg-01</v>
      </c>
      <c r="H262" s="29">
        <v>-60</v>
      </c>
      <c r="I262" s="483">
        <f t="shared" si="28"/>
        <v>20000060</v>
      </c>
      <c r="J262" s="29">
        <v>330</v>
      </c>
      <c r="K262" s="148">
        <v>2</v>
      </c>
      <c r="L262" s="509">
        <f t="shared" si="29"/>
        <v>330</v>
      </c>
      <c r="M262" s="399">
        <f t="shared" si="30"/>
        <v>330</v>
      </c>
    </row>
    <row r="263" spans="1:13">
      <c r="A263">
        <v>29</v>
      </c>
      <c r="B263" s="379" t="s">
        <v>354</v>
      </c>
      <c r="C263" s="313" t="s">
        <v>230</v>
      </c>
      <c r="D263" s="29">
        <v>29</v>
      </c>
      <c r="E263" s="514" t="s">
        <v>1201</v>
      </c>
      <c r="F263" s="29">
        <v>20000000</v>
      </c>
      <c r="G263" s="394" t="str">
        <f t="shared" si="27"/>
        <v>29-20000000 ,mg-01</v>
      </c>
      <c r="H263" s="29">
        <v>-60</v>
      </c>
      <c r="I263" s="483">
        <f t="shared" si="28"/>
        <v>20000060</v>
      </c>
      <c r="J263" s="29">
        <v>330</v>
      </c>
      <c r="K263" s="148">
        <v>2</v>
      </c>
      <c r="L263" s="509">
        <f t="shared" si="29"/>
        <v>330</v>
      </c>
      <c r="M263" s="399">
        <f t="shared" si="30"/>
        <v>330</v>
      </c>
    </row>
    <row r="264" spans="1:13">
      <c r="A264">
        <v>30</v>
      </c>
      <c r="B264" s="379" t="s">
        <v>354</v>
      </c>
      <c r="C264" s="313" t="s">
        <v>230</v>
      </c>
      <c r="D264" s="29">
        <v>30</v>
      </c>
      <c r="E264" s="514" t="s">
        <v>1201</v>
      </c>
      <c r="F264" s="29">
        <v>20000000</v>
      </c>
      <c r="G264" s="394" t="str">
        <f t="shared" ref="G264:G327" si="31">+CONCATENATE(D264,"-",E264,"-",MID(C264,12,2))</f>
        <v>30-20000000 ,mg-01</v>
      </c>
      <c r="H264" s="29">
        <v>-60</v>
      </c>
      <c r="I264" s="483">
        <f t="shared" si="28"/>
        <v>20000060</v>
      </c>
      <c r="J264" s="29">
        <v>330</v>
      </c>
      <c r="K264" s="148">
        <v>2</v>
      </c>
      <c r="L264" s="509">
        <f t="shared" si="29"/>
        <v>330</v>
      </c>
      <c r="M264" s="399">
        <f t="shared" si="30"/>
        <v>330</v>
      </c>
    </row>
    <row r="265" spans="1:13">
      <c r="A265">
        <v>31</v>
      </c>
      <c r="B265" s="379" t="s">
        <v>354</v>
      </c>
      <c r="C265" s="313" t="s">
        <v>230</v>
      </c>
      <c r="D265" s="29">
        <v>31</v>
      </c>
      <c r="E265" s="514" t="s">
        <v>1201</v>
      </c>
      <c r="F265" s="29">
        <v>20000000</v>
      </c>
      <c r="G265" s="394" t="str">
        <f t="shared" si="31"/>
        <v>31-20000000 ,mg-01</v>
      </c>
      <c r="H265" s="29">
        <v>-60</v>
      </c>
      <c r="I265" s="483">
        <f t="shared" si="28"/>
        <v>20000060</v>
      </c>
      <c r="J265" s="29">
        <v>330</v>
      </c>
      <c r="K265" s="148">
        <v>2</v>
      </c>
      <c r="L265" s="509">
        <f t="shared" si="29"/>
        <v>330</v>
      </c>
      <c r="M265" s="399">
        <f t="shared" si="30"/>
        <v>330</v>
      </c>
    </row>
    <row r="266" spans="1:13">
      <c r="A266">
        <v>32</v>
      </c>
      <c r="B266" s="379" t="s">
        <v>354</v>
      </c>
      <c r="C266" s="313" t="s">
        <v>230</v>
      </c>
      <c r="D266" s="29">
        <v>32</v>
      </c>
      <c r="E266" s="514" t="s">
        <v>1201</v>
      </c>
      <c r="F266" s="29">
        <v>20000000</v>
      </c>
      <c r="G266" s="394" t="str">
        <f t="shared" si="31"/>
        <v>32-20000000 ,mg-01</v>
      </c>
      <c r="H266" s="29">
        <v>-60</v>
      </c>
      <c r="I266" s="483">
        <f t="shared" si="28"/>
        <v>20000060</v>
      </c>
      <c r="J266" s="29">
        <v>330</v>
      </c>
      <c r="K266" s="148">
        <v>2</v>
      </c>
      <c r="L266" s="509">
        <f t="shared" si="29"/>
        <v>330</v>
      </c>
      <c r="M266" s="399">
        <f t="shared" si="30"/>
        <v>330</v>
      </c>
    </row>
    <row r="267" spans="1:13">
      <c r="A267">
        <v>1</v>
      </c>
      <c r="B267" s="379" t="s">
        <v>354</v>
      </c>
      <c r="C267" s="313" t="s">
        <v>230</v>
      </c>
      <c r="D267" s="29">
        <v>1</v>
      </c>
      <c r="E267" s="514" t="s">
        <v>411</v>
      </c>
      <c r="F267" s="29">
        <v>5000</v>
      </c>
      <c r="G267" s="394" t="str">
        <f t="shared" si="31"/>
        <v>1-5000 ,g-01</v>
      </c>
      <c r="H267" s="29">
        <v>-3.1E-2</v>
      </c>
      <c r="I267" s="483">
        <f t="shared" si="28"/>
        <v>5000.0309999999999</v>
      </c>
      <c r="J267" s="29">
        <v>8.3000000000000004E-2</v>
      </c>
      <c r="K267" s="148">
        <v>2</v>
      </c>
      <c r="L267" s="509">
        <f t="shared" si="29"/>
        <v>8.3000000000000004E-2</v>
      </c>
      <c r="M267" s="399">
        <f t="shared" si="30"/>
        <v>8.3000000000000004E-2</v>
      </c>
    </row>
    <row r="268" spans="1:13">
      <c r="A268">
        <v>2</v>
      </c>
      <c r="B268" s="379" t="s">
        <v>354</v>
      </c>
      <c r="C268" s="313" t="s">
        <v>230</v>
      </c>
      <c r="D268" s="29">
        <v>2</v>
      </c>
      <c r="E268" s="514" t="s">
        <v>412</v>
      </c>
      <c r="F268" s="29">
        <v>10000</v>
      </c>
      <c r="G268" s="394" t="str">
        <f t="shared" si="31"/>
        <v>2-10000 ,g-01</v>
      </c>
      <c r="H268" s="29">
        <v>-0.06</v>
      </c>
      <c r="I268" s="483">
        <f t="shared" si="28"/>
        <v>10000.06</v>
      </c>
      <c r="J268" s="29">
        <v>0.17</v>
      </c>
      <c r="K268" s="148">
        <v>2</v>
      </c>
      <c r="L268" s="509">
        <f t="shared" si="29"/>
        <v>0.17</v>
      </c>
      <c r="M268" s="399">
        <f t="shared" si="30"/>
        <v>0.17</v>
      </c>
    </row>
    <row r="269" spans="1:13">
      <c r="A269">
        <v>3</v>
      </c>
      <c r="B269" s="379" t="s">
        <v>354</v>
      </c>
      <c r="C269" s="313" t="s">
        <v>230</v>
      </c>
      <c r="D269" s="29">
        <v>3</v>
      </c>
      <c r="E269" s="514" t="s">
        <v>413</v>
      </c>
      <c r="F269" s="29">
        <v>20000</v>
      </c>
      <c r="G269" s="394" t="str">
        <f t="shared" si="31"/>
        <v>3-20000 ,g-01</v>
      </c>
      <c r="H269" s="29">
        <v>-0.06</v>
      </c>
      <c r="I269" s="483">
        <f t="shared" si="28"/>
        <v>20000.060000000001</v>
      </c>
      <c r="J269" s="29">
        <v>0.33</v>
      </c>
      <c r="K269" s="148">
        <v>2</v>
      </c>
      <c r="L269" s="509">
        <f t="shared" si="29"/>
        <v>0.33</v>
      </c>
      <c r="M269" s="399">
        <f t="shared" si="30"/>
        <v>0.33</v>
      </c>
    </row>
    <row r="270" spans="1:13">
      <c r="A270">
        <v>4</v>
      </c>
      <c r="B270" s="379" t="s">
        <v>354</v>
      </c>
      <c r="C270" s="313" t="s">
        <v>230</v>
      </c>
      <c r="D270" s="29">
        <v>4</v>
      </c>
      <c r="E270" s="514" t="s">
        <v>413</v>
      </c>
      <c r="F270" s="29">
        <v>20000</v>
      </c>
      <c r="G270" s="394" t="str">
        <f t="shared" si="31"/>
        <v>4-20000 ,g-01</v>
      </c>
      <c r="H270" s="29">
        <v>-0.06</v>
      </c>
      <c r="I270" s="483">
        <f t="shared" si="28"/>
        <v>20000.060000000001</v>
      </c>
      <c r="J270" s="29">
        <v>0.33</v>
      </c>
      <c r="K270" s="148">
        <v>2</v>
      </c>
      <c r="L270" s="509">
        <f t="shared" si="29"/>
        <v>0.33</v>
      </c>
      <c r="M270" s="399">
        <f t="shared" si="30"/>
        <v>0.33</v>
      </c>
    </row>
    <row r="271" spans="1:13">
      <c r="A271">
        <v>5</v>
      </c>
      <c r="B271" s="379" t="s">
        <v>354</v>
      </c>
      <c r="C271" s="313" t="s">
        <v>230</v>
      </c>
      <c r="D271" s="29">
        <v>5</v>
      </c>
      <c r="E271" s="514" t="s">
        <v>413</v>
      </c>
      <c r="F271" s="29">
        <v>20000</v>
      </c>
      <c r="G271" s="394" t="str">
        <f t="shared" si="31"/>
        <v>5-20000 ,g-01</v>
      </c>
      <c r="H271" s="29">
        <v>-0.06</v>
      </c>
      <c r="I271" s="483">
        <f t="shared" si="28"/>
        <v>20000.060000000001</v>
      </c>
      <c r="J271" s="29">
        <v>0.33</v>
      </c>
      <c r="K271" s="148">
        <v>2</v>
      </c>
      <c r="L271" s="509">
        <f t="shared" si="29"/>
        <v>0.33</v>
      </c>
      <c r="M271" s="399">
        <f t="shared" si="30"/>
        <v>0.33</v>
      </c>
    </row>
    <row r="272" spans="1:13">
      <c r="A272">
        <v>6</v>
      </c>
      <c r="B272" s="379" t="s">
        <v>354</v>
      </c>
      <c r="C272" s="313" t="s">
        <v>230</v>
      </c>
      <c r="D272" s="29">
        <v>6</v>
      </c>
      <c r="E272" s="514" t="s">
        <v>413</v>
      </c>
      <c r="F272" s="29">
        <v>20000</v>
      </c>
      <c r="G272" s="394" t="str">
        <f t="shared" si="31"/>
        <v>6-20000 ,g-01</v>
      </c>
      <c r="H272" s="29">
        <v>-0.06</v>
      </c>
      <c r="I272" s="483">
        <f t="shared" si="28"/>
        <v>20000.060000000001</v>
      </c>
      <c r="J272" s="29">
        <v>0.33</v>
      </c>
      <c r="K272" s="148">
        <v>2</v>
      </c>
      <c r="L272" s="509">
        <f t="shared" si="29"/>
        <v>0.33</v>
      </c>
      <c r="M272" s="399">
        <f t="shared" si="30"/>
        <v>0.33</v>
      </c>
    </row>
    <row r="273" spans="1:13">
      <c r="A273">
        <v>7</v>
      </c>
      <c r="B273" s="379" t="s">
        <v>354</v>
      </c>
      <c r="C273" s="313" t="s">
        <v>230</v>
      </c>
      <c r="D273" s="29">
        <v>7</v>
      </c>
      <c r="E273" s="514" t="s">
        <v>413</v>
      </c>
      <c r="F273" s="29">
        <v>20000</v>
      </c>
      <c r="G273" s="394" t="str">
        <f t="shared" si="31"/>
        <v>7-20000 ,g-01</v>
      </c>
      <c r="H273" s="29">
        <v>-0.06</v>
      </c>
      <c r="I273" s="483">
        <f t="shared" si="28"/>
        <v>20000.060000000001</v>
      </c>
      <c r="J273" s="29">
        <v>0.33</v>
      </c>
      <c r="K273" s="148">
        <v>2</v>
      </c>
      <c r="L273" s="509">
        <f t="shared" si="29"/>
        <v>0.33</v>
      </c>
      <c r="M273" s="399">
        <f t="shared" si="30"/>
        <v>0.33</v>
      </c>
    </row>
    <row r="274" spans="1:13">
      <c r="A274">
        <v>8</v>
      </c>
      <c r="B274" s="379" t="s">
        <v>354</v>
      </c>
      <c r="C274" s="313" t="s">
        <v>230</v>
      </c>
      <c r="D274" s="29">
        <v>8</v>
      </c>
      <c r="E274" s="514" t="s">
        <v>413</v>
      </c>
      <c r="F274" s="29">
        <v>20000</v>
      </c>
      <c r="G274" s="394" t="str">
        <f t="shared" si="31"/>
        <v>8-20000 ,g-01</v>
      </c>
      <c r="H274" s="29">
        <v>-0.06</v>
      </c>
      <c r="I274" s="483">
        <f t="shared" si="28"/>
        <v>20000.060000000001</v>
      </c>
      <c r="J274" s="29">
        <v>0.33</v>
      </c>
      <c r="K274" s="148">
        <v>2</v>
      </c>
      <c r="L274" s="509">
        <f t="shared" si="29"/>
        <v>0.33</v>
      </c>
      <c r="M274" s="399">
        <f t="shared" si="30"/>
        <v>0.33</v>
      </c>
    </row>
    <row r="275" spans="1:13">
      <c r="A275">
        <v>9</v>
      </c>
      <c r="B275" s="379" t="s">
        <v>354</v>
      </c>
      <c r="C275" s="313" t="s">
        <v>230</v>
      </c>
      <c r="D275" s="29">
        <v>9</v>
      </c>
      <c r="E275" s="514" t="s">
        <v>413</v>
      </c>
      <c r="F275" s="29">
        <v>20000</v>
      </c>
      <c r="G275" s="394" t="str">
        <f t="shared" si="31"/>
        <v>9-20000 ,g-01</v>
      </c>
      <c r="H275" s="29">
        <v>-0.06</v>
      </c>
      <c r="I275" s="483">
        <f t="shared" si="28"/>
        <v>20000.060000000001</v>
      </c>
      <c r="J275" s="29">
        <v>0.33</v>
      </c>
      <c r="K275" s="148">
        <v>2</v>
      </c>
      <c r="L275" s="509">
        <f t="shared" si="29"/>
        <v>0.33</v>
      </c>
      <c r="M275" s="399">
        <f t="shared" si="30"/>
        <v>0.33</v>
      </c>
    </row>
    <row r="276" spans="1:13">
      <c r="A276">
        <v>10</v>
      </c>
      <c r="B276" s="379" t="s">
        <v>354</v>
      </c>
      <c r="C276" s="313" t="s">
        <v>230</v>
      </c>
      <c r="D276" s="29">
        <v>10</v>
      </c>
      <c r="E276" s="514" t="s">
        <v>413</v>
      </c>
      <c r="F276" s="29">
        <v>20000</v>
      </c>
      <c r="G276" s="394" t="str">
        <f t="shared" si="31"/>
        <v>10-20000 ,g-01</v>
      </c>
      <c r="H276" s="29">
        <v>-0.06</v>
      </c>
      <c r="I276" s="483">
        <f t="shared" si="28"/>
        <v>20000.060000000001</v>
      </c>
      <c r="J276" s="29">
        <v>0.33</v>
      </c>
      <c r="K276" s="148">
        <v>2</v>
      </c>
      <c r="L276" s="509">
        <f t="shared" si="29"/>
        <v>0.33</v>
      </c>
      <c r="M276" s="399">
        <f t="shared" si="30"/>
        <v>0.33</v>
      </c>
    </row>
    <row r="277" spans="1:13">
      <c r="A277">
        <v>11</v>
      </c>
      <c r="B277" s="379" t="s">
        <v>354</v>
      </c>
      <c r="C277" s="313" t="s">
        <v>230</v>
      </c>
      <c r="D277" s="29">
        <v>11</v>
      </c>
      <c r="E277" s="514" t="s">
        <v>413</v>
      </c>
      <c r="F277" s="29">
        <v>20000</v>
      </c>
      <c r="G277" s="394" t="str">
        <f t="shared" si="31"/>
        <v>11-20000 ,g-01</v>
      </c>
      <c r="H277" s="29">
        <v>-0.06</v>
      </c>
      <c r="I277" s="483">
        <f t="shared" si="28"/>
        <v>20000.060000000001</v>
      </c>
      <c r="J277" s="29">
        <v>0.33</v>
      </c>
      <c r="K277" s="148">
        <v>2</v>
      </c>
      <c r="L277" s="509">
        <f t="shared" si="29"/>
        <v>0.33</v>
      </c>
      <c r="M277" s="399">
        <f t="shared" si="30"/>
        <v>0.33</v>
      </c>
    </row>
    <row r="278" spans="1:13">
      <c r="A278">
        <v>12</v>
      </c>
      <c r="B278" s="379" t="s">
        <v>354</v>
      </c>
      <c r="C278" s="313" t="s">
        <v>230</v>
      </c>
      <c r="D278" s="29">
        <v>12</v>
      </c>
      <c r="E278" s="514" t="s">
        <v>413</v>
      </c>
      <c r="F278" s="29">
        <v>20000</v>
      </c>
      <c r="G278" s="394" t="str">
        <f t="shared" si="31"/>
        <v>12-20000 ,g-01</v>
      </c>
      <c r="H278" s="29">
        <v>-0.06</v>
      </c>
      <c r="I278" s="483">
        <f t="shared" si="28"/>
        <v>20000.060000000001</v>
      </c>
      <c r="J278" s="29">
        <v>0.33</v>
      </c>
      <c r="K278" s="148">
        <v>2</v>
      </c>
      <c r="L278" s="509">
        <f t="shared" si="29"/>
        <v>0.33</v>
      </c>
      <c r="M278" s="399">
        <f t="shared" si="30"/>
        <v>0.33</v>
      </c>
    </row>
    <row r="279" spans="1:13">
      <c r="A279">
        <v>13</v>
      </c>
      <c r="B279" s="379" t="s">
        <v>354</v>
      </c>
      <c r="C279" s="313" t="s">
        <v>230</v>
      </c>
      <c r="D279" s="29">
        <v>13</v>
      </c>
      <c r="E279" s="514" t="s">
        <v>413</v>
      </c>
      <c r="F279" s="29">
        <v>20000</v>
      </c>
      <c r="G279" s="394" t="str">
        <f t="shared" si="31"/>
        <v>13-20000 ,g-01</v>
      </c>
      <c r="H279" s="29">
        <v>-0.06</v>
      </c>
      <c r="I279" s="483">
        <f t="shared" si="28"/>
        <v>20000.060000000001</v>
      </c>
      <c r="J279" s="29">
        <v>0.33</v>
      </c>
      <c r="K279" s="148">
        <v>2</v>
      </c>
      <c r="L279" s="509">
        <f t="shared" si="29"/>
        <v>0.33</v>
      </c>
      <c r="M279" s="399">
        <f t="shared" si="30"/>
        <v>0.33</v>
      </c>
    </row>
    <row r="280" spans="1:13">
      <c r="A280">
        <v>14</v>
      </c>
      <c r="B280" s="379" t="s">
        <v>354</v>
      </c>
      <c r="C280" s="313" t="s">
        <v>230</v>
      </c>
      <c r="D280" s="29">
        <v>14</v>
      </c>
      <c r="E280" s="514" t="s">
        <v>413</v>
      </c>
      <c r="F280" s="29">
        <v>20000</v>
      </c>
      <c r="G280" s="394" t="str">
        <f t="shared" si="31"/>
        <v>14-20000 ,g-01</v>
      </c>
      <c r="H280" s="29">
        <v>-0.06</v>
      </c>
      <c r="I280" s="483">
        <f t="shared" si="28"/>
        <v>20000.060000000001</v>
      </c>
      <c r="J280" s="29">
        <v>0.33</v>
      </c>
      <c r="K280" s="148">
        <v>2</v>
      </c>
      <c r="L280" s="509">
        <f t="shared" si="29"/>
        <v>0.33</v>
      </c>
      <c r="M280" s="399">
        <f t="shared" si="30"/>
        <v>0.33</v>
      </c>
    </row>
    <row r="281" spans="1:13">
      <c r="A281">
        <v>15</v>
      </c>
      <c r="B281" s="379" t="s">
        <v>354</v>
      </c>
      <c r="C281" s="313" t="s">
        <v>230</v>
      </c>
      <c r="D281" s="29">
        <v>15</v>
      </c>
      <c r="E281" s="514" t="s">
        <v>413</v>
      </c>
      <c r="F281" s="29">
        <v>20000</v>
      </c>
      <c r="G281" s="394" t="str">
        <f t="shared" si="31"/>
        <v>15-20000 ,g-01</v>
      </c>
      <c r="H281" s="29">
        <v>-0.06</v>
      </c>
      <c r="I281" s="483">
        <f t="shared" si="28"/>
        <v>20000.060000000001</v>
      </c>
      <c r="J281" s="29">
        <v>0.33</v>
      </c>
      <c r="K281" s="148">
        <v>2</v>
      </c>
      <c r="L281" s="509">
        <f t="shared" si="29"/>
        <v>0.33</v>
      </c>
      <c r="M281" s="399">
        <f t="shared" si="30"/>
        <v>0.33</v>
      </c>
    </row>
    <row r="282" spans="1:13">
      <c r="A282">
        <v>16</v>
      </c>
      <c r="B282" s="379" t="s">
        <v>354</v>
      </c>
      <c r="C282" s="313" t="s">
        <v>230</v>
      </c>
      <c r="D282" s="29">
        <v>16</v>
      </c>
      <c r="E282" s="514" t="s">
        <v>413</v>
      </c>
      <c r="F282" s="29">
        <v>20000</v>
      </c>
      <c r="G282" s="394" t="str">
        <f t="shared" si="31"/>
        <v>16-20000 ,g-01</v>
      </c>
      <c r="H282" s="29">
        <v>-0.06</v>
      </c>
      <c r="I282" s="483">
        <f t="shared" si="28"/>
        <v>20000.060000000001</v>
      </c>
      <c r="J282" s="29">
        <v>0.33</v>
      </c>
      <c r="K282" s="148">
        <v>2</v>
      </c>
      <c r="L282" s="509">
        <f t="shared" si="29"/>
        <v>0.33</v>
      </c>
      <c r="M282" s="399">
        <f t="shared" si="30"/>
        <v>0.33</v>
      </c>
    </row>
    <row r="283" spans="1:13">
      <c r="A283">
        <v>17</v>
      </c>
      <c r="B283" s="379" t="s">
        <v>354</v>
      </c>
      <c r="C283" s="313" t="s">
        <v>230</v>
      </c>
      <c r="D283" s="29">
        <v>17</v>
      </c>
      <c r="E283" s="514" t="s">
        <v>413</v>
      </c>
      <c r="F283" s="29">
        <v>20000</v>
      </c>
      <c r="G283" s="394" t="str">
        <f t="shared" si="31"/>
        <v>17-20000 ,g-01</v>
      </c>
      <c r="H283" s="29">
        <v>-0.06</v>
      </c>
      <c r="I283" s="483">
        <f t="shared" si="28"/>
        <v>20000.060000000001</v>
      </c>
      <c r="J283" s="29">
        <v>0.33</v>
      </c>
      <c r="K283" s="148">
        <v>2</v>
      </c>
      <c r="L283" s="509">
        <f t="shared" si="29"/>
        <v>0.33</v>
      </c>
      <c r="M283" s="399">
        <f t="shared" si="30"/>
        <v>0.33</v>
      </c>
    </row>
    <row r="284" spans="1:13">
      <c r="A284">
        <v>18</v>
      </c>
      <c r="B284" s="379" t="s">
        <v>354</v>
      </c>
      <c r="C284" s="313" t="s">
        <v>230</v>
      </c>
      <c r="D284" s="29">
        <v>18</v>
      </c>
      <c r="E284" s="514" t="s">
        <v>413</v>
      </c>
      <c r="F284" s="29">
        <v>20000</v>
      </c>
      <c r="G284" s="394" t="str">
        <f t="shared" si="31"/>
        <v>18-20000 ,g-01</v>
      </c>
      <c r="H284" s="29">
        <v>-0.06</v>
      </c>
      <c r="I284" s="483">
        <f t="shared" si="28"/>
        <v>20000.060000000001</v>
      </c>
      <c r="J284" s="29">
        <v>0.33</v>
      </c>
      <c r="K284" s="148">
        <v>2</v>
      </c>
      <c r="L284" s="509">
        <f t="shared" si="29"/>
        <v>0.33</v>
      </c>
      <c r="M284" s="399">
        <f t="shared" si="30"/>
        <v>0.33</v>
      </c>
    </row>
    <row r="285" spans="1:13">
      <c r="A285">
        <v>19</v>
      </c>
      <c r="B285" s="379" t="s">
        <v>354</v>
      </c>
      <c r="C285" s="313" t="s">
        <v>230</v>
      </c>
      <c r="D285" s="29">
        <v>19</v>
      </c>
      <c r="E285" s="514" t="s">
        <v>413</v>
      </c>
      <c r="F285" s="29">
        <v>20000</v>
      </c>
      <c r="G285" s="394" t="str">
        <f t="shared" si="31"/>
        <v>19-20000 ,g-01</v>
      </c>
      <c r="H285" s="29">
        <v>-0.06</v>
      </c>
      <c r="I285" s="483">
        <f t="shared" si="28"/>
        <v>20000.060000000001</v>
      </c>
      <c r="J285" s="29">
        <v>0.33</v>
      </c>
      <c r="K285" s="148">
        <v>2</v>
      </c>
      <c r="L285" s="509">
        <f t="shared" si="29"/>
        <v>0.33</v>
      </c>
      <c r="M285" s="399">
        <f t="shared" si="30"/>
        <v>0.33</v>
      </c>
    </row>
    <row r="286" spans="1:13">
      <c r="A286">
        <v>20</v>
      </c>
      <c r="B286" s="379" t="s">
        <v>354</v>
      </c>
      <c r="C286" s="313" t="s">
        <v>230</v>
      </c>
      <c r="D286" s="29">
        <v>20</v>
      </c>
      <c r="E286" s="514" t="s">
        <v>413</v>
      </c>
      <c r="F286" s="29">
        <v>20000</v>
      </c>
      <c r="G286" s="394" t="str">
        <f t="shared" si="31"/>
        <v>20-20000 ,g-01</v>
      </c>
      <c r="H286" s="29">
        <v>-0.06</v>
      </c>
      <c r="I286" s="483">
        <f t="shared" si="28"/>
        <v>20000.060000000001</v>
      </c>
      <c r="J286" s="29">
        <v>0.33</v>
      </c>
      <c r="K286" s="148">
        <v>2</v>
      </c>
      <c r="L286" s="509">
        <f t="shared" si="29"/>
        <v>0.33</v>
      </c>
      <c r="M286" s="399">
        <f t="shared" si="30"/>
        <v>0.33</v>
      </c>
    </row>
    <row r="287" spans="1:13">
      <c r="A287">
        <v>21</v>
      </c>
      <c r="B287" s="379" t="s">
        <v>354</v>
      </c>
      <c r="C287" s="313" t="s">
        <v>230</v>
      </c>
      <c r="D287" s="29">
        <v>21</v>
      </c>
      <c r="E287" s="514" t="s">
        <v>413</v>
      </c>
      <c r="F287" s="29">
        <v>20000</v>
      </c>
      <c r="G287" s="394" t="str">
        <f t="shared" si="31"/>
        <v>21-20000 ,g-01</v>
      </c>
      <c r="H287" s="29">
        <v>-0.06</v>
      </c>
      <c r="I287" s="483">
        <f t="shared" si="28"/>
        <v>20000.060000000001</v>
      </c>
      <c r="J287" s="29">
        <v>0.33</v>
      </c>
      <c r="K287" s="148">
        <v>2</v>
      </c>
      <c r="L287" s="509">
        <f t="shared" si="29"/>
        <v>0.33</v>
      </c>
      <c r="M287" s="399">
        <f t="shared" si="30"/>
        <v>0.33</v>
      </c>
    </row>
    <row r="288" spans="1:13">
      <c r="A288">
        <v>22</v>
      </c>
      <c r="B288" s="379" t="s">
        <v>354</v>
      </c>
      <c r="C288" s="313" t="s">
        <v>230</v>
      </c>
      <c r="D288" s="29">
        <v>22</v>
      </c>
      <c r="E288" s="514" t="s">
        <v>413</v>
      </c>
      <c r="F288" s="29">
        <v>20000</v>
      </c>
      <c r="G288" s="394" t="str">
        <f t="shared" si="31"/>
        <v>22-20000 ,g-01</v>
      </c>
      <c r="H288" s="29">
        <v>-0.06</v>
      </c>
      <c r="I288" s="483">
        <f t="shared" si="28"/>
        <v>20000.060000000001</v>
      </c>
      <c r="J288" s="29">
        <v>0.33</v>
      </c>
      <c r="K288" s="148">
        <v>2</v>
      </c>
      <c r="L288" s="509">
        <f t="shared" si="29"/>
        <v>0.33</v>
      </c>
      <c r="M288" s="399">
        <f t="shared" si="30"/>
        <v>0.33</v>
      </c>
    </row>
    <row r="289" spans="1:13">
      <c r="A289">
        <v>23</v>
      </c>
      <c r="B289" s="379" t="s">
        <v>354</v>
      </c>
      <c r="C289" s="313" t="s">
        <v>230</v>
      </c>
      <c r="D289" s="29">
        <v>23</v>
      </c>
      <c r="E289" s="514" t="s">
        <v>413</v>
      </c>
      <c r="F289" s="29">
        <v>20000</v>
      </c>
      <c r="G289" s="394" t="str">
        <f t="shared" si="31"/>
        <v>23-20000 ,g-01</v>
      </c>
      <c r="H289" s="29">
        <v>-0.06</v>
      </c>
      <c r="I289" s="483">
        <f t="shared" si="28"/>
        <v>20000.060000000001</v>
      </c>
      <c r="J289" s="29">
        <v>0.33</v>
      </c>
      <c r="K289" s="148">
        <v>2</v>
      </c>
      <c r="L289" s="509">
        <f t="shared" si="29"/>
        <v>0.33</v>
      </c>
      <c r="M289" s="399">
        <f t="shared" si="30"/>
        <v>0.33</v>
      </c>
    </row>
    <row r="290" spans="1:13">
      <c r="A290">
        <v>24</v>
      </c>
      <c r="B290" s="379" t="s">
        <v>354</v>
      </c>
      <c r="C290" s="313" t="s">
        <v>230</v>
      </c>
      <c r="D290" s="29">
        <v>24</v>
      </c>
      <c r="E290" s="514" t="s">
        <v>413</v>
      </c>
      <c r="F290" s="29">
        <v>20000</v>
      </c>
      <c r="G290" s="394" t="str">
        <f t="shared" si="31"/>
        <v>24-20000 ,g-01</v>
      </c>
      <c r="H290" s="29">
        <v>-0.09</v>
      </c>
      <c r="I290" s="483">
        <f t="shared" si="28"/>
        <v>20000.09</v>
      </c>
      <c r="J290" s="29">
        <v>0.33</v>
      </c>
      <c r="K290" s="148">
        <v>2</v>
      </c>
      <c r="L290" s="509">
        <f t="shared" si="29"/>
        <v>0.33</v>
      </c>
      <c r="M290" s="399">
        <f t="shared" si="30"/>
        <v>0.33</v>
      </c>
    </row>
    <row r="291" spans="1:13">
      <c r="A291">
        <v>25</v>
      </c>
      <c r="B291" s="379" t="s">
        <v>354</v>
      </c>
      <c r="C291" s="313" t="s">
        <v>230</v>
      </c>
      <c r="D291" s="29">
        <v>25</v>
      </c>
      <c r="E291" s="514" t="s">
        <v>413</v>
      </c>
      <c r="F291" s="29">
        <v>20000</v>
      </c>
      <c r="G291" s="394" t="str">
        <f t="shared" si="31"/>
        <v>25-20000 ,g-01</v>
      </c>
      <c r="H291" s="29">
        <v>-0.06</v>
      </c>
      <c r="I291" s="483">
        <f t="shared" si="28"/>
        <v>20000.060000000001</v>
      </c>
      <c r="J291" s="29">
        <v>0.33</v>
      </c>
      <c r="K291" s="148">
        <v>2</v>
      </c>
      <c r="L291" s="509">
        <f t="shared" si="29"/>
        <v>0.33</v>
      </c>
      <c r="M291" s="399">
        <f t="shared" si="30"/>
        <v>0.33</v>
      </c>
    </row>
    <row r="292" spans="1:13">
      <c r="A292">
        <v>26</v>
      </c>
      <c r="B292" s="379" t="s">
        <v>354</v>
      </c>
      <c r="C292" s="313" t="s">
        <v>230</v>
      </c>
      <c r="D292" s="29">
        <v>26</v>
      </c>
      <c r="E292" s="514" t="s">
        <v>413</v>
      </c>
      <c r="F292" s="29">
        <v>20000</v>
      </c>
      <c r="G292" s="394" t="str">
        <f t="shared" si="31"/>
        <v>26-20000 ,g-01</v>
      </c>
      <c r="H292" s="29">
        <v>-0.06</v>
      </c>
      <c r="I292" s="483">
        <f t="shared" si="28"/>
        <v>20000.060000000001</v>
      </c>
      <c r="J292" s="29">
        <v>0.33</v>
      </c>
      <c r="K292" s="148">
        <v>2</v>
      </c>
      <c r="L292" s="509">
        <f t="shared" si="29"/>
        <v>0.33</v>
      </c>
      <c r="M292" s="399">
        <f t="shared" si="30"/>
        <v>0.33</v>
      </c>
    </row>
    <row r="293" spans="1:13">
      <c r="A293">
        <v>27</v>
      </c>
      <c r="B293" s="379" t="s">
        <v>354</v>
      </c>
      <c r="C293" s="313" t="s">
        <v>230</v>
      </c>
      <c r="D293" s="29">
        <v>27</v>
      </c>
      <c r="E293" s="514" t="s">
        <v>413</v>
      </c>
      <c r="F293" s="29">
        <v>20000</v>
      </c>
      <c r="G293" s="394" t="str">
        <f t="shared" si="31"/>
        <v>27-20000 ,g-01</v>
      </c>
      <c r="H293" s="29">
        <v>-0.06</v>
      </c>
      <c r="I293" s="483">
        <f t="shared" si="28"/>
        <v>20000.060000000001</v>
      </c>
      <c r="J293" s="29">
        <v>0.33</v>
      </c>
      <c r="K293" s="148">
        <v>2</v>
      </c>
      <c r="L293" s="509">
        <f t="shared" si="29"/>
        <v>0.33</v>
      </c>
      <c r="M293" s="399">
        <f t="shared" si="30"/>
        <v>0.33</v>
      </c>
    </row>
    <row r="294" spans="1:13">
      <c r="A294">
        <v>28</v>
      </c>
      <c r="B294" s="379" t="s">
        <v>354</v>
      </c>
      <c r="C294" s="313" t="s">
        <v>230</v>
      </c>
      <c r="D294" s="29">
        <v>28</v>
      </c>
      <c r="E294" s="514" t="s">
        <v>413</v>
      </c>
      <c r="F294" s="29">
        <v>20000</v>
      </c>
      <c r="G294" s="394" t="str">
        <f t="shared" si="31"/>
        <v>28-20000 ,g-01</v>
      </c>
      <c r="H294" s="29">
        <v>-0.06</v>
      </c>
      <c r="I294" s="483">
        <f t="shared" si="28"/>
        <v>20000.060000000001</v>
      </c>
      <c r="J294" s="29">
        <v>0.33</v>
      </c>
      <c r="K294" s="148">
        <v>2</v>
      </c>
      <c r="L294" s="509">
        <f t="shared" si="29"/>
        <v>0.33</v>
      </c>
      <c r="M294" s="399">
        <f t="shared" si="30"/>
        <v>0.33</v>
      </c>
    </row>
    <row r="295" spans="1:13">
      <c r="A295">
        <v>29</v>
      </c>
      <c r="B295" s="379" t="s">
        <v>354</v>
      </c>
      <c r="C295" s="313" t="s">
        <v>230</v>
      </c>
      <c r="D295" s="29">
        <v>29</v>
      </c>
      <c r="E295" s="514" t="s">
        <v>413</v>
      </c>
      <c r="F295" s="29">
        <v>20000</v>
      </c>
      <c r="G295" s="394" t="str">
        <f t="shared" si="31"/>
        <v>29-20000 ,g-01</v>
      </c>
      <c r="H295" s="29">
        <v>-0.06</v>
      </c>
      <c r="I295" s="483">
        <f t="shared" si="28"/>
        <v>20000.060000000001</v>
      </c>
      <c r="J295" s="29">
        <v>0.33</v>
      </c>
      <c r="K295" s="148">
        <v>2</v>
      </c>
      <c r="L295" s="509">
        <f t="shared" si="29"/>
        <v>0.33</v>
      </c>
      <c r="M295" s="399">
        <f t="shared" si="30"/>
        <v>0.33</v>
      </c>
    </row>
    <row r="296" spans="1:13">
      <c r="A296">
        <v>30</v>
      </c>
      <c r="B296" s="379" t="s">
        <v>354</v>
      </c>
      <c r="C296" s="313" t="s">
        <v>230</v>
      </c>
      <c r="D296" s="29">
        <v>30</v>
      </c>
      <c r="E296" s="514" t="s">
        <v>413</v>
      </c>
      <c r="F296" s="29">
        <v>20000</v>
      </c>
      <c r="G296" s="394" t="str">
        <f t="shared" si="31"/>
        <v>30-20000 ,g-01</v>
      </c>
      <c r="H296" s="29">
        <v>-0.06</v>
      </c>
      <c r="I296" s="483">
        <f t="shared" si="28"/>
        <v>20000.060000000001</v>
      </c>
      <c r="J296" s="29">
        <v>0.33</v>
      </c>
      <c r="K296" s="148">
        <v>2</v>
      </c>
      <c r="L296" s="509">
        <f t="shared" si="29"/>
        <v>0.33</v>
      </c>
      <c r="M296" s="399">
        <f t="shared" si="30"/>
        <v>0.33</v>
      </c>
    </row>
    <row r="297" spans="1:13">
      <c r="A297">
        <v>31</v>
      </c>
      <c r="B297" s="379" t="s">
        <v>354</v>
      </c>
      <c r="C297" s="313" t="s">
        <v>230</v>
      </c>
      <c r="D297" s="29">
        <v>31</v>
      </c>
      <c r="E297" s="514" t="s">
        <v>413</v>
      </c>
      <c r="F297" s="29">
        <v>20000</v>
      </c>
      <c r="G297" s="394" t="str">
        <f t="shared" si="31"/>
        <v>31-20000 ,g-01</v>
      </c>
      <c r="H297" s="29">
        <v>-0.06</v>
      </c>
      <c r="I297" s="483">
        <f t="shared" si="28"/>
        <v>20000.060000000001</v>
      </c>
      <c r="J297" s="29">
        <v>0.33</v>
      </c>
      <c r="K297" s="148">
        <v>2</v>
      </c>
      <c r="L297" s="509">
        <f t="shared" si="29"/>
        <v>0.33</v>
      </c>
      <c r="M297" s="399">
        <f t="shared" si="30"/>
        <v>0.33</v>
      </c>
    </row>
    <row r="298" spans="1:13">
      <c r="A298">
        <v>32</v>
      </c>
      <c r="B298" s="379" t="s">
        <v>354</v>
      </c>
      <c r="C298" s="313" t="s">
        <v>230</v>
      </c>
      <c r="D298" s="29">
        <v>32</v>
      </c>
      <c r="E298" s="514" t="s">
        <v>413</v>
      </c>
      <c r="F298" s="29">
        <v>20000</v>
      </c>
      <c r="G298" s="394" t="str">
        <f t="shared" si="31"/>
        <v>32-20000 ,g-01</v>
      </c>
      <c r="H298" s="29">
        <v>-0.06</v>
      </c>
      <c r="I298" s="483">
        <f t="shared" si="28"/>
        <v>20000.060000000001</v>
      </c>
      <c r="J298" s="29">
        <v>0.33</v>
      </c>
      <c r="K298" s="148">
        <v>2</v>
      </c>
      <c r="L298" s="509">
        <f t="shared" si="29"/>
        <v>0.33</v>
      </c>
      <c r="M298" s="399">
        <f t="shared" si="30"/>
        <v>0.33</v>
      </c>
    </row>
    <row r="299" spans="1:13">
      <c r="A299">
        <v>1</v>
      </c>
      <c r="B299" s="379" t="s">
        <v>354</v>
      </c>
      <c r="C299" s="313" t="s">
        <v>230</v>
      </c>
      <c r="D299" s="29">
        <v>1</v>
      </c>
      <c r="E299" s="514" t="s">
        <v>361</v>
      </c>
      <c r="F299" s="29">
        <v>5</v>
      </c>
      <c r="G299" s="394" t="str">
        <f t="shared" si="31"/>
        <v>1-5 ,kg-01</v>
      </c>
      <c r="H299" s="29">
        <v>-3.1000000000000001E-5</v>
      </c>
      <c r="I299" s="483">
        <f t="shared" si="28"/>
        <v>5.0000309999999999</v>
      </c>
      <c r="J299" s="29">
        <v>8.2999999999999998E-5</v>
      </c>
      <c r="K299" s="148">
        <v>2</v>
      </c>
      <c r="L299" s="509">
        <f t="shared" si="29"/>
        <v>8.2999999999999998E-5</v>
      </c>
      <c r="M299" s="399">
        <f t="shared" si="30"/>
        <v>8.2999999999999998E-5</v>
      </c>
    </row>
    <row r="300" spans="1:13">
      <c r="A300">
        <v>2</v>
      </c>
      <c r="B300" s="379" t="s">
        <v>354</v>
      </c>
      <c r="C300" s="313" t="s">
        <v>230</v>
      </c>
      <c r="D300" s="29">
        <v>2</v>
      </c>
      <c r="E300" s="514" t="s">
        <v>362</v>
      </c>
      <c r="F300" s="29">
        <v>10</v>
      </c>
      <c r="G300" s="394" t="str">
        <f t="shared" si="31"/>
        <v>2-10 ,kg-01</v>
      </c>
      <c r="H300" s="29">
        <v>-5.9999999999999995E-5</v>
      </c>
      <c r="I300" s="483">
        <f t="shared" si="28"/>
        <v>10.00006</v>
      </c>
      <c r="J300" s="29">
        <v>1.7000000000000001E-4</v>
      </c>
      <c r="K300" s="148">
        <v>2</v>
      </c>
      <c r="L300" s="509">
        <f t="shared" si="29"/>
        <v>1.7000000000000001E-4</v>
      </c>
      <c r="M300" s="399">
        <f t="shared" si="30"/>
        <v>1.7000000000000001E-4</v>
      </c>
    </row>
    <row r="301" spans="1:13">
      <c r="A301">
        <v>3</v>
      </c>
      <c r="B301" s="379" t="s">
        <v>354</v>
      </c>
      <c r="C301" s="313" t="s">
        <v>230</v>
      </c>
      <c r="D301" s="29">
        <v>3</v>
      </c>
      <c r="E301" s="514" t="s">
        <v>363</v>
      </c>
      <c r="F301" s="29">
        <v>20</v>
      </c>
      <c r="G301" s="394" t="str">
        <f t="shared" si="31"/>
        <v>3-20 ,kg-01</v>
      </c>
      <c r="H301" s="29">
        <v>-5.9999999999999995E-5</v>
      </c>
      <c r="I301" s="483">
        <f t="shared" si="28"/>
        <v>20.000060000000001</v>
      </c>
      <c r="J301" s="29">
        <v>3.3E-4</v>
      </c>
      <c r="K301" s="148">
        <v>2</v>
      </c>
      <c r="L301" s="509">
        <f t="shared" si="29"/>
        <v>3.3E-4</v>
      </c>
      <c r="M301" s="399">
        <f t="shared" si="30"/>
        <v>3.3E-4</v>
      </c>
    </row>
    <row r="302" spans="1:13">
      <c r="A302">
        <v>4</v>
      </c>
      <c r="B302" s="379" t="s">
        <v>354</v>
      </c>
      <c r="C302" s="313" t="s">
        <v>230</v>
      </c>
      <c r="D302" s="29">
        <v>4</v>
      </c>
      <c r="E302" s="514" t="s">
        <v>363</v>
      </c>
      <c r="F302" s="29">
        <v>20</v>
      </c>
      <c r="G302" s="394" t="str">
        <f t="shared" si="31"/>
        <v>4-20 ,kg-01</v>
      </c>
      <c r="H302" s="29">
        <v>-5.9999999999999995E-5</v>
      </c>
      <c r="I302" s="483">
        <f t="shared" si="28"/>
        <v>20.000060000000001</v>
      </c>
      <c r="J302" s="29">
        <v>3.3E-4</v>
      </c>
      <c r="K302" s="148">
        <v>2</v>
      </c>
      <c r="L302" s="509">
        <f t="shared" si="29"/>
        <v>3.3E-4</v>
      </c>
      <c r="M302" s="399">
        <f t="shared" si="30"/>
        <v>3.3E-4</v>
      </c>
    </row>
    <row r="303" spans="1:13">
      <c r="A303">
        <v>5</v>
      </c>
      <c r="B303" s="379" t="s">
        <v>354</v>
      </c>
      <c r="C303" s="313" t="s">
        <v>230</v>
      </c>
      <c r="D303" s="29">
        <v>5</v>
      </c>
      <c r="E303" s="514" t="s">
        <v>363</v>
      </c>
      <c r="F303" s="29">
        <v>20</v>
      </c>
      <c r="G303" s="394" t="str">
        <f t="shared" si="31"/>
        <v>5-20 ,kg-01</v>
      </c>
      <c r="H303" s="29">
        <v>-5.9999999999999995E-5</v>
      </c>
      <c r="I303" s="483">
        <f t="shared" si="28"/>
        <v>20.000060000000001</v>
      </c>
      <c r="J303" s="29">
        <v>3.3E-4</v>
      </c>
      <c r="K303" s="148">
        <v>2</v>
      </c>
      <c r="L303" s="509">
        <f t="shared" si="29"/>
        <v>3.3E-4</v>
      </c>
      <c r="M303" s="399">
        <f t="shared" si="30"/>
        <v>3.3E-4</v>
      </c>
    </row>
    <row r="304" spans="1:13">
      <c r="A304">
        <v>6</v>
      </c>
      <c r="B304" s="379" t="s">
        <v>354</v>
      </c>
      <c r="C304" s="313" t="s">
        <v>230</v>
      </c>
      <c r="D304" s="29">
        <v>6</v>
      </c>
      <c r="E304" s="514" t="s">
        <v>363</v>
      </c>
      <c r="F304" s="29">
        <v>20</v>
      </c>
      <c r="G304" s="394" t="str">
        <f t="shared" si="31"/>
        <v>6-20 ,kg-01</v>
      </c>
      <c r="H304" s="29">
        <v>-5.9999999999999995E-5</v>
      </c>
      <c r="I304" s="483">
        <f t="shared" si="28"/>
        <v>20.000060000000001</v>
      </c>
      <c r="J304" s="29">
        <v>3.3E-4</v>
      </c>
      <c r="K304" s="148">
        <v>2</v>
      </c>
      <c r="L304" s="509">
        <f t="shared" si="29"/>
        <v>3.3E-4</v>
      </c>
      <c r="M304" s="399">
        <f t="shared" si="30"/>
        <v>3.3E-4</v>
      </c>
    </row>
    <row r="305" spans="1:13">
      <c r="A305">
        <v>7</v>
      </c>
      <c r="B305" s="379" t="s">
        <v>354</v>
      </c>
      <c r="C305" s="313" t="s">
        <v>230</v>
      </c>
      <c r="D305" s="29">
        <v>7</v>
      </c>
      <c r="E305" s="514" t="s">
        <v>363</v>
      </c>
      <c r="F305" s="29">
        <v>20</v>
      </c>
      <c r="G305" s="394" t="str">
        <f t="shared" si="31"/>
        <v>7-20 ,kg-01</v>
      </c>
      <c r="H305" s="29">
        <v>-5.9999999999999995E-5</v>
      </c>
      <c r="I305" s="483">
        <f t="shared" si="28"/>
        <v>20.000060000000001</v>
      </c>
      <c r="J305" s="29">
        <v>3.3E-4</v>
      </c>
      <c r="K305" s="148">
        <v>2</v>
      </c>
      <c r="L305" s="509">
        <f t="shared" si="29"/>
        <v>3.3E-4</v>
      </c>
      <c r="M305" s="399">
        <f t="shared" si="30"/>
        <v>3.3E-4</v>
      </c>
    </row>
    <row r="306" spans="1:13">
      <c r="A306">
        <v>8</v>
      </c>
      <c r="B306" s="379" t="s">
        <v>354</v>
      </c>
      <c r="C306" s="313" t="s">
        <v>230</v>
      </c>
      <c r="D306" s="29">
        <v>8</v>
      </c>
      <c r="E306" s="514" t="s">
        <v>363</v>
      </c>
      <c r="F306" s="29">
        <v>20</v>
      </c>
      <c r="G306" s="394" t="str">
        <f t="shared" si="31"/>
        <v>8-20 ,kg-01</v>
      </c>
      <c r="H306" s="29">
        <v>-5.9999999999999995E-5</v>
      </c>
      <c r="I306" s="483">
        <f t="shared" si="28"/>
        <v>20.000060000000001</v>
      </c>
      <c r="J306" s="29">
        <v>3.3E-4</v>
      </c>
      <c r="K306" s="148">
        <v>2</v>
      </c>
      <c r="L306" s="509">
        <f t="shared" si="29"/>
        <v>3.3E-4</v>
      </c>
      <c r="M306" s="399">
        <f t="shared" si="30"/>
        <v>3.3E-4</v>
      </c>
    </row>
    <row r="307" spans="1:13">
      <c r="A307">
        <v>9</v>
      </c>
      <c r="B307" s="379" t="s">
        <v>354</v>
      </c>
      <c r="C307" s="313" t="s">
        <v>230</v>
      </c>
      <c r="D307" s="29">
        <v>9</v>
      </c>
      <c r="E307" s="514" t="s">
        <v>363</v>
      </c>
      <c r="F307" s="29">
        <v>20</v>
      </c>
      <c r="G307" s="394" t="str">
        <f t="shared" si="31"/>
        <v>9-20 ,kg-01</v>
      </c>
      <c r="H307" s="29">
        <v>-5.9999999999999995E-5</v>
      </c>
      <c r="I307" s="483">
        <f t="shared" si="28"/>
        <v>20.000060000000001</v>
      </c>
      <c r="J307" s="29">
        <v>3.3E-4</v>
      </c>
      <c r="K307" s="148">
        <v>2</v>
      </c>
      <c r="L307" s="509">
        <f t="shared" si="29"/>
        <v>3.3E-4</v>
      </c>
      <c r="M307" s="399">
        <f t="shared" si="30"/>
        <v>3.3E-4</v>
      </c>
    </row>
    <row r="308" spans="1:13">
      <c r="A308">
        <v>10</v>
      </c>
      <c r="B308" s="379" t="s">
        <v>354</v>
      </c>
      <c r="C308" s="313" t="s">
        <v>230</v>
      </c>
      <c r="D308" s="29">
        <v>10</v>
      </c>
      <c r="E308" s="514" t="s">
        <v>363</v>
      </c>
      <c r="F308" s="29">
        <v>20</v>
      </c>
      <c r="G308" s="394" t="str">
        <f t="shared" si="31"/>
        <v>10-20 ,kg-01</v>
      </c>
      <c r="H308" s="29">
        <v>-5.9999999999999995E-5</v>
      </c>
      <c r="I308" s="483">
        <f t="shared" si="28"/>
        <v>20.000060000000001</v>
      </c>
      <c r="J308" s="29">
        <v>3.3E-4</v>
      </c>
      <c r="K308" s="148">
        <v>2</v>
      </c>
      <c r="L308" s="509">
        <f t="shared" si="29"/>
        <v>3.3E-4</v>
      </c>
      <c r="M308" s="399">
        <f t="shared" si="30"/>
        <v>3.3E-4</v>
      </c>
    </row>
    <row r="309" spans="1:13">
      <c r="A309">
        <v>11</v>
      </c>
      <c r="B309" s="379" t="s">
        <v>354</v>
      </c>
      <c r="C309" s="313" t="s">
        <v>230</v>
      </c>
      <c r="D309" s="29">
        <v>11</v>
      </c>
      <c r="E309" s="514" t="s">
        <v>363</v>
      </c>
      <c r="F309" s="29">
        <v>20</v>
      </c>
      <c r="G309" s="394" t="str">
        <f t="shared" si="31"/>
        <v>11-20 ,kg-01</v>
      </c>
      <c r="H309" s="29">
        <v>-5.9999999999999995E-5</v>
      </c>
      <c r="I309" s="483">
        <f t="shared" si="28"/>
        <v>20.000060000000001</v>
      </c>
      <c r="J309" s="29">
        <v>3.3E-4</v>
      </c>
      <c r="K309" s="148">
        <v>2</v>
      </c>
      <c r="L309" s="509">
        <f t="shared" si="29"/>
        <v>3.3E-4</v>
      </c>
      <c r="M309" s="399">
        <f t="shared" si="30"/>
        <v>3.3E-4</v>
      </c>
    </row>
    <row r="310" spans="1:13">
      <c r="A310">
        <v>12</v>
      </c>
      <c r="B310" s="379" t="s">
        <v>354</v>
      </c>
      <c r="C310" s="313" t="s">
        <v>230</v>
      </c>
      <c r="D310" s="29">
        <v>12</v>
      </c>
      <c r="E310" s="514" t="s">
        <v>363</v>
      </c>
      <c r="F310" s="29">
        <v>20</v>
      </c>
      <c r="G310" s="394" t="str">
        <f t="shared" si="31"/>
        <v>12-20 ,kg-01</v>
      </c>
      <c r="H310" s="29">
        <v>-5.9999999999999995E-5</v>
      </c>
      <c r="I310" s="483">
        <f t="shared" si="28"/>
        <v>20.000060000000001</v>
      </c>
      <c r="J310" s="29">
        <v>3.3E-4</v>
      </c>
      <c r="K310" s="148">
        <v>2</v>
      </c>
      <c r="L310" s="509">
        <f t="shared" si="29"/>
        <v>3.3E-4</v>
      </c>
      <c r="M310" s="399">
        <f t="shared" si="30"/>
        <v>3.3E-4</v>
      </c>
    </row>
    <row r="311" spans="1:13">
      <c r="A311">
        <v>13</v>
      </c>
      <c r="B311" s="379" t="s">
        <v>354</v>
      </c>
      <c r="C311" s="313" t="s">
        <v>230</v>
      </c>
      <c r="D311" s="29">
        <v>13</v>
      </c>
      <c r="E311" s="514" t="s">
        <v>363</v>
      </c>
      <c r="F311" s="29">
        <v>20</v>
      </c>
      <c r="G311" s="394" t="str">
        <f t="shared" si="31"/>
        <v>13-20 ,kg-01</v>
      </c>
      <c r="H311" s="29">
        <v>-5.9999999999999995E-5</v>
      </c>
      <c r="I311" s="483">
        <f t="shared" si="28"/>
        <v>20.000060000000001</v>
      </c>
      <c r="J311" s="29">
        <v>3.3E-4</v>
      </c>
      <c r="K311" s="148">
        <v>2</v>
      </c>
      <c r="L311" s="509">
        <f t="shared" si="29"/>
        <v>3.3E-4</v>
      </c>
      <c r="M311" s="399">
        <f t="shared" si="30"/>
        <v>3.3E-4</v>
      </c>
    </row>
    <row r="312" spans="1:13">
      <c r="A312">
        <v>14</v>
      </c>
      <c r="B312" s="379" t="s">
        <v>354</v>
      </c>
      <c r="C312" s="313" t="s">
        <v>230</v>
      </c>
      <c r="D312" s="29">
        <v>14</v>
      </c>
      <c r="E312" s="514" t="s">
        <v>363</v>
      </c>
      <c r="F312" s="29">
        <v>20</v>
      </c>
      <c r="G312" s="394" t="str">
        <f t="shared" si="31"/>
        <v>14-20 ,kg-01</v>
      </c>
      <c r="H312" s="29">
        <v>-5.9999999999999995E-5</v>
      </c>
      <c r="I312" s="483">
        <f t="shared" si="28"/>
        <v>20.000060000000001</v>
      </c>
      <c r="J312" s="29">
        <v>3.3E-4</v>
      </c>
      <c r="K312" s="148">
        <v>2</v>
      </c>
      <c r="L312" s="509">
        <f t="shared" si="29"/>
        <v>3.3E-4</v>
      </c>
      <c r="M312" s="399">
        <f t="shared" si="30"/>
        <v>3.3E-4</v>
      </c>
    </row>
    <row r="313" spans="1:13">
      <c r="A313">
        <v>15</v>
      </c>
      <c r="B313" s="379" t="s">
        <v>354</v>
      </c>
      <c r="C313" s="313" t="s">
        <v>230</v>
      </c>
      <c r="D313" s="29">
        <v>15</v>
      </c>
      <c r="E313" s="514" t="s">
        <v>363</v>
      </c>
      <c r="F313" s="29">
        <v>20</v>
      </c>
      <c r="G313" s="394" t="str">
        <f t="shared" si="31"/>
        <v>15-20 ,kg-01</v>
      </c>
      <c r="H313" s="29">
        <v>-5.9999999999999995E-5</v>
      </c>
      <c r="I313" s="483">
        <f t="shared" si="28"/>
        <v>20.000060000000001</v>
      </c>
      <c r="J313" s="29">
        <v>3.3E-4</v>
      </c>
      <c r="K313" s="148">
        <v>2</v>
      </c>
      <c r="L313" s="509">
        <f t="shared" si="29"/>
        <v>3.3E-4</v>
      </c>
      <c r="M313" s="399">
        <f t="shared" si="30"/>
        <v>3.3E-4</v>
      </c>
    </row>
    <row r="314" spans="1:13">
      <c r="A314">
        <v>16</v>
      </c>
      <c r="B314" s="379" t="s">
        <v>354</v>
      </c>
      <c r="C314" s="313" t="s">
        <v>230</v>
      </c>
      <c r="D314" s="29">
        <v>16</v>
      </c>
      <c r="E314" s="514" t="s">
        <v>363</v>
      </c>
      <c r="F314" s="29">
        <v>20</v>
      </c>
      <c r="G314" s="394" t="str">
        <f t="shared" si="31"/>
        <v>16-20 ,kg-01</v>
      </c>
      <c r="H314" s="29">
        <v>-5.9999999999999995E-5</v>
      </c>
      <c r="I314" s="483">
        <f t="shared" si="28"/>
        <v>20.000060000000001</v>
      </c>
      <c r="J314" s="29">
        <v>3.3E-4</v>
      </c>
      <c r="K314" s="148">
        <v>2</v>
      </c>
      <c r="L314" s="509">
        <f t="shared" si="29"/>
        <v>3.3E-4</v>
      </c>
      <c r="M314" s="399">
        <f t="shared" si="30"/>
        <v>3.3E-4</v>
      </c>
    </row>
    <row r="315" spans="1:13">
      <c r="A315">
        <v>17</v>
      </c>
      <c r="B315" s="379" t="s">
        <v>354</v>
      </c>
      <c r="C315" s="313" t="s">
        <v>230</v>
      </c>
      <c r="D315" s="29">
        <v>17</v>
      </c>
      <c r="E315" s="514" t="s">
        <v>363</v>
      </c>
      <c r="F315" s="29">
        <v>20</v>
      </c>
      <c r="G315" s="394" t="str">
        <f t="shared" si="31"/>
        <v>17-20 ,kg-01</v>
      </c>
      <c r="H315" s="29">
        <v>-5.9999999999999995E-5</v>
      </c>
      <c r="I315" s="483">
        <f t="shared" si="28"/>
        <v>20.000060000000001</v>
      </c>
      <c r="J315" s="29">
        <v>3.3E-4</v>
      </c>
      <c r="K315" s="148">
        <v>2</v>
      </c>
      <c r="L315" s="509">
        <f t="shared" si="29"/>
        <v>3.3E-4</v>
      </c>
      <c r="M315" s="399">
        <f t="shared" si="30"/>
        <v>3.3E-4</v>
      </c>
    </row>
    <row r="316" spans="1:13">
      <c r="A316">
        <v>18</v>
      </c>
      <c r="B316" s="379" t="s">
        <v>354</v>
      </c>
      <c r="C316" s="313" t="s">
        <v>230</v>
      </c>
      <c r="D316" s="29">
        <v>18</v>
      </c>
      <c r="E316" s="514" t="s">
        <v>363</v>
      </c>
      <c r="F316" s="29">
        <v>20</v>
      </c>
      <c r="G316" s="394" t="str">
        <f t="shared" si="31"/>
        <v>18-20 ,kg-01</v>
      </c>
      <c r="H316" s="29">
        <v>-5.9999999999999995E-5</v>
      </c>
      <c r="I316" s="483">
        <f t="shared" si="28"/>
        <v>20.000060000000001</v>
      </c>
      <c r="J316" s="29">
        <v>3.3E-4</v>
      </c>
      <c r="K316" s="148">
        <v>2</v>
      </c>
      <c r="L316" s="509">
        <f t="shared" si="29"/>
        <v>3.3E-4</v>
      </c>
      <c r="M316" s="399">
        <f t="shared" si="30"/>
        <v>3.3E-4</v>
      </c>
    </row>
    <row r="317" spans="1:13">
      <c r="A317">
        <v>19</v>
      </c>
      <c r="B317" s="379" t="s">
        <v>354</v>
      </c>
      <c r="C317" s="313" t="s">
        <v>230</v>
      </c>
      <c r="D317" s="29">
        <v>19</v>
      </c>
      <c r="E317" s="514" t="s">
        <v>363</v>
      </c>
      <c r="F317" s="29">
        <v>20</v>
      </c>
      <c r="G317" s="394" t="str">
        <f t="shared" si="31"/>
        <v>19-20 ,kg-01</v>
      </c>
      <c r="H317" s="29">
        <v>-5.9999999999999995E-5</v>
      </c>
      <c r="I317" s="483">
        <f t="shared" si="28"/>
        <v>20.000060000000001</v>
      </c>
      <c r="J317" s="29">
        <v>3.3E-4</v>
      </c>
      <c r="K317" s="148">
        <v>2</v>
      </c>
      <c r="L317" s="509">
        <f t="shared" si="29"/>
        <v>3.3E-4</v>
      </c>
      <c r="M317" s="399">
        <f t="shared" si="30"/>
        <v>3.3E-4</v>
      </c>
    </row>
    <row r="318" spans="1:13">
      <c r="A318">
        <v>20</v>
      </c>
      <c r="B318" s="379" t="s">
        <v>354</v>
      </c>
      <c r="C318" s="313" t="s">
        <v>230</v>
      </c>
      <c r="D318" s="29">
        <v>20</v>
      </c>
      <c r="E318" s="514" t="s">
        <v>363</v>
      </c>
      <c r="F318" s="29">
        <v>20</v>
      </c>
      <c r="G318" s="394" t="str">
        <f t="shared" si="31"/>
        <v>20-20 ,kg-01</v>
      </c>
      <c r="H318" s="29">
        <v>-5.9999999999999995E-5</v>
      </c>
      <c r="I318" s="483">
        <f t="shared" si="28"/>
        <v>20.000060000000001</v>
      </c>
      <c r="J318" s="29">
        <v>3.3E-4</v>
      </c>
      <c r="K318" s="148">
        <v>2</v>
      </c>
      <c r="L318" s="509">
        <f t="shared" si="29"/>
        <v>3.3E-4</v>
      </c>
      <c r="M318" s="399">
        <f t="shared" si="30"/>
        <v>3.3E-4</v>
      </c>
    </row>
    <row r="319" spans="1:13">
      <c r="A319">
        <v>21</v>
      </c>
      <c r="B319" s="379" t="s">
        <v>354</v>
      </c>
      <c r="C319" s="313" t="s">
        <v>230</v>
      </c>
      <c r="D319" s="29">
        <v>21</v>
      </c>
      <c r="E319" s="514" t="s">
        <v>363</v>
      </c>
      <c r="F319" s="29">
        <v>20</v>
      </c>
      <c r="G319" s="394" t="str">
        <f t="shared" si="31"/>
        <v>21-20 ,kg-01</v>
      </c>
      <c r="H319" s="29">
        <v>-5.9999999999999995E-5</v>
      </c>
      <c r="I319" s="483">
        <f t="shared" si="28"/>
        <v>20.000060000000001</v>
      </c>
      <c r="J319" s="29">
        <v>3.3E-4</v>
      </c>
      <c r="K319" s="148">
        <v>2</v>
      </c>
      <c r="L319" s="509">
        <f t="shared" si="29"/>
        <v>3.3E-4</v>
      </c>
      <c r="M319" s="399">
        <f t="shared" si="30"/>
        <v>3.3E-4</v>
      </c>
    </row>
    <row r="320" spans="1:13">
      <c r="A320">
        <v>22</v>
      </c>
      <c r="B320" s="379" t="s">
        <v>354</v>
      </c>
      <c r="C320" s="313" t="s">
        <v>230</v>
      </c>
      <c r="D320" s="29">
        <v>22</v>
      </c>
      <c r="E320" s="514" t="s">
        <v>363</v>
      </c>
      <c r="F320" s="29">
        <v>20</v>
      </c>
      <c r="G320" s="394" t="str">
        <f t="shared" si="31"/>
        <v>22-20 ,kg-01</v>
      </c>
      <c r="H320" s="29">
        <v>-5.9999999999999995E-5</v>
      </c>
      <c r="I320" s="483">
        <f t="shared" si="28"/>
        <v>20.000060000000001</v>
      </c>
      <c r="J320" s="29">
        <v>3.3E-4</v>
      </c>
      <c r="K320" s="148">
        <v>2</v>
      </c>
      <c r="L320" s="509">
        <f t="shared" si="29"/>
        <v>3.3E-4</v>
      </c>
      <c r="M320" s="399">
        <f t="shared" si="30"/>
        <v>3.3E-4</v>
      </c>
    </row>
    <row r="321" spans="1:27">
      <c r="A321">
        <v>23</v>
      </c>
      <c r="B321" s="379" t="s">
        <v>354</v>
      </c>
      <c r="C321" s="313" t="s">
        <v>230</v>
      </c>
      <c r="D321" s="29">
        <v>23</v>
      </c>
      <c r="E321" s="514" t="s">
        <v>363</v>
      </c>
      <c r="F321" s="29">
        <v>20</v>
      </c>
      <c r="G321" s="394" t="str">
        <f t="shared" si="31"/>
        <v>23-20 ,kg-01</v>
      </c>
      <c r="H321" s="29">
        <v>-5.9999999999999995E-5</v>
      </c>
      <c r="I321" s="483">
        <f t="shared" si="28"/>
        <v>20.000060000000001</v>
      </c>
      <c r="J321" s="29">
        <v>3.3E-4</v>
      </c>
      <c r="K321" s="148">
        <v>2</v>
      </c>
      <c r="L321" s="509">
        <f t="shared" si="29"/>
        <v>3.3E-4</v>
      </c>
      <c r="M321" s="399">
        <f t="shared" si="30"/>
        <v>3.3E-4</v>
      </c>
    </row>
    <row r="322" spans="1:27">
      <c r="A322">
        <v>24</v>
      </c>
      <c r="B322" s="379" t="s">
        <v>354</v>
      </c>
      <c r="C322" s="313" t="s">
        <v>230</v>
      </c>
      <c r="D322" s="29">
        <v>24</v>
      </c>
      <c r="E322" s="514" t="s">
        <v>363</v>
      </c>
      <c r="F322" s="29">
        <v>20</v>
      </c>
      <c r="G322" s="394" t="str">
        <f t="shared" si="31"/>
        <v>24-20 ,kg-01</v>
      </c>
      <c r="H322" s="29">
        <v>-8.9999999999999992E-5</v>
      </c>
      <c r="I322" s="483">
        <f t="shared" si="28"/>
        <v>20.00009</v>
      </c>
      <c r="J322" s="29">
        <v>3.3E-4</v>
      </c>
      <c r="K322" s="148">
        <v>2</v>
      </c>
      <c r="L322" s="509">
        <f t="shared" si="29"/>
        <v>3.3E-4</v>
      </c>
      <c r="M322" s="399">
        <f t="shared" si="30"/>
        <v>3.3E-4</v>
      </c>
    </row>
    <row r="323" spans="1:27">
      <c r="A323">
        <v>25</v>
      </c>
      <c r="B323" s="379" t="s">
        <v>354</v>
      </c>
      <c r="C323" s="313" t="s">
        <v>230</v>
      </c>
      <c r="D323" s="29">
        <v>25</v>
      </c>
      <c r="E323" s="514" t="s">
        <v>363</v>
      </c>
      <c r="F323" s="29">
        <v>20</v>
      </c>
      <c r="G323" s="394" t="str">
        <f t="shared" si="31"/>
        <v>25-20 ,kg-01</v>
      </c>
      <c r="H323" s="29">
        <v>-5.9999999999999995E-5</v>
      </c>
      <c r="I323" s="483">
        <f t="shared" si="28"/>
        <v>20.000060000000001</v>
      </c>
      <c r="J323" s="29">
        <v>3.3E-4</v>
      </c>
      <c r="K323" s="148">
        <v>2</v>
      </c>
      <c r="L323" s="509">
        <f t="shared" si="29"/>
        <v>3.3E-4</v>
      </c>
      <c r="M323" s="399">
        <f t="shared" si="30"/>
        <v>3.3E-4</v>
      </c>
    </row>
    <row r="324" spans="1:27">
      <c r="A324">
        <v>26</v>
      </c>
      <c r="B324" s="379" t="s">
        <v>354</v>
      </c>
      <c r="C324" s="313" t="s">
        <v>230</v>
      </c>
      <c r="D324" s="29">
        <v>26</v>
      </c>
      <c r="E324" s="514" t="s">
        <v>363</v>
      </c>
      <c r="F324" s="29">
        <v>20</v>
      </c>
      <c r="G324" s="394" t="str">
        <f t="shared" si="31"/>
        <v>26-20 ,kg-01</v>
      </c>
      <c r="H324" s="29">
        <v>-5.9999999999999995E-5</v>
      </c>
      <c r="I324" s="483">
        <f t="shared" si="28"/>
        <v>20.000060000000001</v>
      </c>
      <c r="J324" s="29">
        <v>3.3E-4</v>
      </c>
      <c r="K324" s="148">
        <v>2</v>
      </c>
      <c r="L324" s="509">
        <f t="shared" si="29"/>
        <v>3.3E-4</v>
      </c>
      <c r="M324" s="399">
        <f t="shared" si="30"/>
        <v>3.3E-4</v>
      </c>
    </row>
    <row r="325" spans="1:27">
      <c r="A325">
        <v>27</v>
      </c>
      <c r="B325" s="379" t="s">
        <v>354</v>
      </c>
      <c r="C325" s="313" t="s">
        <v>230</v>
      </c>
      <c r="D325" s="29">
        <v>27</v>
      </c>
      <c r="E325" s="514" t="s">
        <v>363</v>
      </c>
      <c r="F325" s="29">
        <v>20</v>
      </c>
      <c r="G325" s="394" t="str">
        <f t="shared" si="31"/>
        <v>27-20 ,kg-01</v>
      </c>
      <c r="H325" s="29">
        <v>-5.9999999999999995E-5</v>
      </c>
      <c r="I325" s="483">
        <f t="shared" ref="I325:I388" si="32">F325-H325</f>
        <v>20.000060000000001</v>
      </c>
      <c r="J325" s="29">
        <v>3.3E-4</v>
      </c>
      <c r="K325" s="148">
        <v>2</v>
      </c>
      <c r="L325" s="509">
        <f t="shared" ref="L325:L330" si="33">IF(AND(B325="E2",N325&lt;&gt;0),ABS(H325-N325),M325)</f>
        <v>3.3E-4</v>
      </c>
      <c r="M325" s="399">
        <f t="shared" ref="M325:M330" si="34">J325</f>
        <v>3.3E-4</v>
      </c>
    </row>
    <row r="326" spans="1:27">
      <c r="A326">
        <v>28</v>
      </c>
      <c r="B326" s="379" t="s">
        <v>354</v>
      </c>
      <c r="C326" s="313" t="s">
        <v>230</v>
      </c>
      <c r="D326" s="29">
        <v>28</v>
      </c>
      <c r="E326" s="514" t="s">
        <v>363</v>
      </c>
      <c r="F326" s="29">
        <v>20</v>
      </c>
      <c r="G326" s="394" t="str">
        <f t="shared" si="31"/>
        <v>28-20 ,kg-01</v>
      </c>
      <c r="H326" s="29">
        <v>-5.9999999999999995E-5</v>
      </c>
      <c r="I326" s="483">
        <f t="shared" si="32"/>
        <v>20.000060000000001</v>
      </c>
      <c r="J326" s="29">
        <v>3.3E-4</v>
      </c>
      <c r="K326" s="148">
        <v>2</v>
      </c>
      <c r="L326" s="509">
        <f t="shared" si="33"/>
        <v>3.3E-4</v>
      </c>
      <c r="M326" s="399">
        <f t="shared" si="34"/>
        <v>3.3E-4</v>
      </c>
    </row>
    <row r="327" spans="1:27">
      <c r="A327">
        <v>29</v>
      </c>
      <c r="B327" s="379" t="s">
        <v>354</v>
      </c>
      <c r="C327" s="313" t="s">
        <v>230</v>
      </c>
      <c r="D327" s="29">
        <v>29</v>
      </c>
      <c r="E327" s="514" t="s">
        <v>363</v>
      </c>
      <c r="F327" s="29">
        <v>20</v>
      </c>
      <c r="G327" s="394" t="str">
        <f t="shared" si="31"/>
        <v>29-20 ,kg-01</v>
      </c>
      <c r="H327" s="29">
        <v>-5.9999999999999995E-5</v>
      </c>
      <c r="I327" s="483">
        <f t="shared" si="32"/>
        <v>20.000060000000001</v>
      </c>
      <c r="J327" s="29">
        <v>3.3E-4</v>
      </c>
      <c r="K327" s="148">
        <v>2</v>
      </c>
      <c r="L327" s="509">
        <f t="shared" si="33"/>
        <v>3.3E-4</v>
      </c>
      <c r="M327" s="399">
        <f t="shared" si="34"/>
        <v>3.3E-4</v>
      </c>
    </row>
    <row r="328" spans="1:27">
      <c r="A328">
        <v>30</v>
      </c>
      <c r="B328" s="379" t="s">
        <v>354</v>
      </c>
      <c r="C328" s="313" t="s">
        <v>230</v>
      </c>
      <c r="D328" s="29">
        <v>30</v>
      </c>
      <c r="E328" s="514" t="s">
        <v>363</v>
      </c>
      <c r="F328" s="29">
        <v>20</v>
      </c>
      <c r="G328" s="394" t="str">
        <f t="shared" ref="G328:G391" si="35">+CONCATENATE(D328,"-",E328,"-",MID(C328,12,2))</f>
        <v>30-20 ,kg-01</v>
      </c>
      <c r="H328" s="29">
        <v>-5.9999999999999995E-5</v>
      </c>
      <c r="I328" s="483">
        <f t="shared" si="32"/>
        <v>20.000060000000001</v>
      </c>
      <c r="J328" s="29">
        <v>3.3E-4</v>
      </c>
      <c r="K328" s="148">
        <v>2</v>
      </c>
      <c r="L328" s="509">
        <f t="shared" si="33"/>
        <v>3.3E-4</v>
      </c>
      <c r="M328" s="399">
        <f t="shared" si="34"/>
        <v>3.3E-4</v>
      </c>
    </row>
    <row r="329" spans="1:27" s="347" customFormat="1">
      <c r="A329" s="347">
        <v>31</v>
      </c>
      <c r="B329" s="379" t="s">
        <v>354</v>
      </c>
      <c r="C329" s="313" t="s">
        <v>230</v>
      </c>
      <c r="D329" s="29">
        <v>31</v>
      </c>
      <c r="E329" s="514" t="s">
        <v>363</v>
      </c>
      <c r="F329" s="29">
        <v>20</v>
      </c>
      <c r="G329" s="395" t="str">
        <f t="shared" si="35"/>
        <v>31-20 ,kg-01</v>
      </c>
      <c r="H329" s="402">
        <v>-5.9999999999999995E-5</v>
      </c>
      <c r="I329" s="483">
        <f t="shared" si="32"/>
        <v>20.000060000000001</v>
      </c>
      <c r="J329" s="404">
        <v>3.3E-4</v>
      </c>
      <c r="K329" s="148">
        <v>2</v>
      </c>
      <c r="L329" s="509">
        <f t="shared" si="33"/>
        <v>3.3E-4</v>
      </c>
      <c r="M329" s="399">
        <f t="shared" si="34"/>
        <v>3.3E-4</v>
      </c>
      <c r="N329" s="401"/>
      <c r="O329" s="401"/>
      <c r="P329" s="406">
        <f>VLOOKUP(C329,$AB$4:$AI$25,8,FALSE)</f>
        <v>12</v>
      </c>
      <c r="Q329" s="407"/>
      <c r="R329" s="407"/>
      <c r="S329" s="407"/>
      <c r="T329" s="407"/>
      <c r="U329" s="407"/>
      <c r="V329" s="407"/>
      <c r="W329" s="407"/>
      <c r="X329" s="407"/>
      <c r="Y329" s="407"/>
      <c r="Z329" s="407"/>
      <c r="AA329" s="407"/>
    </row>
    <row r="330" spans="1:27" s="347" customFormat="1">
      <c r="A330" s="347">
        <v>32</v>
      </c>
      <c r="B330" s="379" t="s">
        <v>354</v>
      </c>
      <c r="C330" s="313" t="s">
        <v>230</v>
      </c>
      <c r="D330" s="29">
        <v>32</v>
      </c>
      <c r="E330" s="514" t="s">
        <v>363</v>
      </c>
      <c r="F330" s="29">
        <v>20</v>
      </c>
      <c r="G330" s="395" t="str">
        <f t="shared" si="35"/>
        <v>32-20 ,kg-01</v>
      </c>
      <c r="H330" s="402">
        <v>-5.9999999999999995E-5</v>
      </c>
      <c r="I330" s="483">
        <f t="shared" si="32"/>
        <v>20.000060000000001</v>
      </c>
      <c r="J330" s="404">
        <v>3.3E-4</v>
      </c>
      <c r="K330" s="148">
        <v>2</v>
      </c>
      <c r="L330" s="509">
        <f t="shared" si="33"/>
        <v>3.3E-4</v>
      </c>
      <c r="M330" s="399">
        <f t="shared" si="34"/>
        <v>3.3E-4</v>
      </c>
      <c r="N330" s="401"/>
      <c r="O330" s="401"/>
      <c r="P330" s="406">
        <f>VLOOKUP(C330,$AB$4:$AI$25,8,FALSE)</f>
        <v>12</v>
      </c>
      <c r="Q330" s="407"/>
      <c r="R330" s="407"/>
      <c r="S330" s="407"/>
      <c r="T330" s="407"/>
      <c r="U330" s="407"/>
      <c r="V330" s="407"/>
      <c r="W330" s="407"/>
      <c r="X330" s="407"/>
      <c r="Y330" s="407"/>
      <c r="Z330" s="407"/>
      <c r="AA330" s="407"/>
    </row>
    <row r="331" spans="1:27">
      <c r="A331">
        <v>33</v>
      </c>
      <c r="B331" s="379" t="s">
        <v>354</v>
      </c>
      <c r="C331" s="313" t="s">
        <v>1532</v>
      </c>
      <c r="D331" s="29">
        <v>33</v>
      </c>
      <c r="E331" s="514" t="s">
        <v>1198</v>
      </c>
      <c r="F331" s="29">
        <v>5000000</v>
      </c>
      <c r="G331" s="395" t="str">
        <f t="shared" si="35"/>
        <v>33-5000000 ,mg-02</v>
      </c>
      <c r="H331" s="29">
        <v>-120</v>
      </c>
      <c r="I331" s="483">
        <f t="shared" si="32"/>
        <v>5000120</v>
      </c>
      <c r="J331" s="29">
        <v>83</v>
      </c>
      <c r="K331" s="148">
        <v>2</v>
      </c>
      <c r="L331" s="509">
        <f t="shared" ref="L331:L394" si="36">IF(AND(B331="E2",N331&lt;&gt;0),ABS(H331-N331),M331)</f>
        <v>83</v>
      </c>
      <c r="M331" s="399">
        <f t="shared" ref="M331:M394" si="37">J331</f>
        <v>83</v>
      </c>
    </row>
    <row r="332" spans="1:27">
      <c r="A332">
        <v>34</v>
      </c>
      <c r="B332" s="379" t="s">
        <v>354</v>
      </c>
      <c r="C332" s="313" t="s">
        <v>1533</v>
      </c>
      <c r="D332" s="29">
        <v>34</v>
      </c>
      <c r="E332" s="514" t="s">
        <v>1198</v>
      </c>
      <c r="F332" s="29">
        <v>5000000</v>
      </c>
      <c r="G332" s="395" t="str">
        <f t="shared" si="35"/>
        <v>34-5000000 ,mg-03</v>
      </c>
      <c r="H332" s="29">
        <v>-119</v>
      </c>
      <c r="I332" s="483">
        <f t="shared" si="32"/>
        <v>5000119</v>
      </c>
      <c r="J332" s="29">
        <v>83</v>
      </c>
      <c r="K332" s="148">
        <v>2</v>
      </c>
      <c r="L332" s="509">
        <f t="shared" si="36"/>
        <v>83</v>
      </c>
      <c r="M332" s="399">
        <f t="shared" si="37"/>
        <v>83</v>
      </c>
    </row>
    <row r="333" spans="1:27">
      <c r="A333">
        <v>35</v>
      </c>
      <c r="B333" s="379" t="s">
        <v>354</v>
      </c>
      <c r="C333" s="313" t="s">
        <v>1532</v>
      </c>
      <c r="D333" s="29">
        <v>35</v>
      </c>
      <c r="E333" s="514" t="s">
        <v>1200</v>
      </c>
      <c r="F333" s="29">
        <v>10000000</v>
      </c>
      <c r="G333" s="395" t="str">
        <f t="shared" si="35"/>
        <v>35-10000000 ,mg-02</v>
      </c>
      <c r="H333" s="29">
        <v>-150</v>
      </c>
      <c r="I333" s="483">
        <f t="shared" si="32"/>
        <v>10000150</v>
      </c>
      <c r="J333" s="29">
        <v>170</v>
      </c>
      <c r="K333" s="148">
        <v>2</v>
      </c>
      <c r="L333" s="509">
        <f t="shared" si="36"/>
        <v>170</v>
      </c>
      <c r="M333" s="399">
        <f t="shared" si="37"/>
        <v>170</v>
      </c>
    </row>
    <row r="334" spans="1:27">
      <c r="A334">
        <v>36</v>
      </c>
      <c r="B334" s="379" t="s">
        <v>354</v>
      </c>
      <c r="C334" s="313" t="s">
        <v>1533</v>
      </c>
      <c r="D334" s="29">
        <v>36</v>
      </c>
      <c r="E334" s="514" t="s">
        <v>1200</v>
      </c>
      <c r="F334" s="29">
        <v>10000000</v>
      </c>
      <c r="G334" s="395" t="str">
        <f t="shared" si="35"/>
        <v>36-10000000 ,mg-03</v>
      </c>
      <c r="H334" s="29">
        <v>-150</v>
      </c>
      <c r="I334" s="483">
        <f t="shared" si="32"/>
        <v>10000150</v>
      </c>
      <c r="J334" s="29">
        <v>170</v>
      </c>
      <c r="K334" s="148">
        <v>2</v>
      </c>
      <c r="L334" s="509">
        <f t="shared" si="36"/>
        <v>170</v>
      </c>
      <c r="M334" s="399">
        <f t="shared" si="37"/>
        <v>170</v>
      </c>
    </row>
    <row r="335" spans="1:27">
      <c r="A335">
        <v>37</v>
      </c>
      <c r="B335" s="379" t="s">
        <v>354</v>
      </c>
      <c r="C335" s="313" t="s">
        <v>1532</v>
      </c>
      <c r="D335" s="29">
        <v>37</v>
      </c>
      <c r="E335" s="514" t="s">
        <v>1201</v>
      </c>
      <c r="F335" s="29">
        <v>20000000</v>
      </c>
      <c r="G335" s="395" t="str">
        <f t="shared" si="35"/>
        <v>37-20000000 ,mg-02</v>
      </c>
      <c r="H335" s="29">
        <v>-260</v>
      </c>
      <c r="I335" s="483">
        <f t="shared" si="32"/>
        <v>20000260</v>
      </c>
      <c r="J335" s="29">
        <v>330</v>
      </c>
      <c r="K335" s="148">
        <v>2</v>
      </c>
      <c r="L335" s="509">
        <f t="shared" si="36"/>
        <v>330</v>
      </c>
      <c r="M335" s="399">
        <f t="shared" si="37"/>
        <v>330</v>
      </c>
    </row>
    <row r="336" spans="1:27">
      <c r="A336">
        <v>38</v>
      </c>
      <c r="B336" s="379" t="s">
        <v>354</v>
      </c>
      <c r="C336" s="313" t="s">
        <v>1532</v>
      </c>
      <c r="D336" s="29">
        <v>38</v>
      </c>
      <c r="E336" s="514" t="s">
        <v>1201</v>
      </c>
      <c r="F336" s="29">
        <v>20000000</v>
      </c>
      <c r="G336" s="395" t="str">
        <f t="shared" si="35"/>
        <v>38-20000000 ,mg-02</v>
      </c>
      <c r="H336" s="29">
        <v>-260</v>
      </c>
      <c r="I336" s="483">
        <f t="shared" si="32"/>
        <v>20000260</v>
      </c>
      <c r="J336" s="29">
        <v>330</v>
      </c>
      <c r="K336" s="148">
        <v>2</v>
      </c>
      <c r="L336" s="509">
        <f t="shared" si="36"/>
        <v>330</v>
      </c>
      <c r="M336" s="399">
        <f t="shared" si="37"/>
        <v>330</v>
      </c>
    </row>
    <row r="337" spans="1:13">
      <c r="A337">
        <v>39</v>
      </c>
      <c r="B337" s="379" t="s">
        <v>354</v>
      </c>
      <c r="C337" s="313" t="s">
        <v>1532</v>
      </c>
      <c r="D337" s="29">
        <v>39</v>
      </c>
      <c r="E337" s="514" t="s">
        <v>1201</v>
      </c>
      <c r="F337" s="29">
        <v>20000000</v>
      </c>
      <c r="G337" s="395" t="str">
        <f t="shared" si="35"/>
        <v>39-20000000 ,mg-02</v>
      </c>
      <c r="H337" s="29">
        <v>-260</v>
      </c>
      <c r="I337" s="483">
        <f t="shared" si="32"/>
        <v>20000260</v>
      </c>
      <c r="J337" s="29">
        <v>330</v>
      </c>
      <c r="K337" s="148">
        <v>2</v>
      </c>
      <c r="L337" s="509">
        <f t="shared" si="36"/>
        <v>330</v>
      </c>
      <c r="M337" s="399">
        <f t="shared" si="37"/>
        <v>330</v>
      </c>
    </row>
    <row r="338" spans="1:13">
      <c r="A338">
        <v>40</v>
      </c>
      <c r="B338" s="379" t="s">
        <v>354</v>
      </c>
      <c r="C338" s="313" t="s">
        <v>1532</v>
      </c>
      <c r="D338" s="29">
        <v>40</v>
      </c>
      <c r="E338" s="514" t="s">
        <v>1201</v>
      </c>
      <c r="F338" s="29">
        <v>20000000</v>
      </c>
      <c r="G338" s="395" t="str">
        <f t="shared" si="35"/>
        <v>40-20000000 ,mg-02</v>
      </c>
      <c r="H338" s="29">
        <v>-190</v>
      </c>
      <c r="I338" s="483">
        <f t="shared" si="32"/>
        <v>20000190</v>
      </c>
      <c r="J338" s="29">
        <v>330</v>
      </c>
      <c r="K338" s="148">
        <v>2</v>
      </c>
      <c r="L338" s="509">
        <f t="shared" si="36"/>
        <v>330</v>
      </c>
      <c r="M338" s="399">
        <f t="shared" si="37"/>
        <v>330</v>
      </c>
    </row>
    <row r="339" spans="1:13">
      <c r="A339">
        <v>41</v>
      </c>
      <c r="B339" s="379" t="s">
        <v>354</v>
      </c>
      <c r="C339" s="313" t="s">
        <v>1532</v>
      </c>
      <c r="D339" s="29">
        <v>41</v>
      </c>
      <c r="E339" s="514" t="s">
        <v>1201</v>
      </c>
      <c r="F339" s="29">
        <v>20000000</v>
      </c>
      <c r="G339" s="395" t="str">
        <f t="shared" si="35"/>
        <v>41-20000000 ,mg-02</v>
      </c>
      <c r="H339" s="29">
        <v>-260</v>
      </c>
      <c r="I339" s="483">
        <f t="shared" si="32"/>
        <v>20000260</v>
      </c>
      <c r="J339" s="29">
        <v>330</v>
      </c>
      <c r="K339" s="148">
        <v>2</v>
      </c>
      <c r="L339" s="509">
        <f t="shared" si="36"/>
        <v>330</v>
      </c>
      <c r="M339" s="399">
        <f t="shared" si="37"/>
        <v>330</v>
      </c>
    </row>
    <row r="340" spans="1:13">
      <c r="A340">
        <v>42</v>
      </c>
      <c r="B340" s="379" t="s">
        <v>354</v>
      </c>
      <c r="C340" s="313" t="s">
        <v>1532</v>
      </c>
      <c r="D340" s="29">
        <v>42</v>
      </c>
      <c r="E340" s="514" t="s">
        <v>1201</v>
      </c>
      <c r="F340" s="29">
        <v>20000000</v>
      </c>
      <c r="G340" s="395" t="str">
        <f t="shared" si="35"/>
        <v>42-20000000 ,mg-02</v>
      </c>
      <c r="H340" s="29">
        <v>-260</v>
      </c>
      <c r="I340" s="483">
        <f t="shared" si="32"/>
        <v>20000260</v>
      </c>
      <c r="J340" s="29">
        <v>330</v>
      </c>
      <c r="K340" s="148">
        <v>2</v>
      </c>
      <c r="L340" s="509">
        <f t="shared" si="36"/>
        <v>330</v>
      </c>
      <c r="M340" s="399">
        <f t="shared" si="37"/>
        <v>330</v>
      </c>
    </row>
    <row r="341" spans="1:13">
      <c r="A341">
        <v>43</v>
      </c>
      <c r="B341" s="379" t="s">
        <v>354</v>
      </c>
      <c r="C341" s="313" t="s">
        <v>1532</v>
      </c>
      <c r="D341" s="29">
        <v>43</v>
      </c>
      <c r="E341" s="514" t="s">
        <v>1201</v>
      </c>
      <c r="F341" s="29">
        <v>20000000</v>
      </c>
      <c r="G341" s="395" t="str">
        <f t="shared" si="35"/>
        <v>43-20000000 ,mg-02</v>
      </c>
      <c r="H341" s="29">
        <v>-220</v>
      </c>
      <c r="I341" s="483">
        <f t="shared" si="32"/>
        <v>20000220</v>
      </c>
      <c r="J341" s="29">
        <v>330</v>
      </c>
      <c r="K341" s="148">
        <v>2</v>
      </c>
      <c r="L341" s="509">
        <f t="shared" si="36"/>
        <v>330</v>
      </c>
      <c r="M341" s="399">
        <f t="shared" si="37"/>
        <v>330</v>
      </c>
    </row>
    <row r="342" spans="1:13">
      <c r="A342">
        <v>44</v>
      </c>
      <c r="B342" s="379" t="s">
        <v>354</v>
      </c>
      <c r="C342" s="313" t="s">
        <v>1532</v>
      </c>
      <c r="D342" s="29">
        <v>44</v>
      </c>
      <c r="E342" s="514" t="s">
        <v>1201</v>
      </c>
      <c r="F342" s="29">
        <v>20000000</v>
      </c>
      <c r="G342" s="395" t="str">
        <f t="shared" si="35"/>
        <v>44-20000000 ,mg-02</v>
      </c>
      <c r="H342" s="29">
        <v>-260</v>
      </c>
      <c r="I342" s="483">
        <f t="shared" si="32"/>
        <v>20000260</v>
      </c>
      <c r="J342" s="29">
        <v>330</v>
      </c>
      <c r="K342" s="148">
        <v>2</v>
      </c>
      <c r="L342" s="509">
        <f t="shared" si="36"/>
        <v>330</v>
      </c>
      <c r="M342" s="399">
        <f t="shared" si="37"/>
        <v>330</v>
      </c>
    </row>
    <row r="343" spans="1:13">
      <c r="A343">
        <v>45</v>
      </c>
      <c r="B343" s="379" t="s">
        <v>354</v>
      </c>
      <c r="C343" s="313" t="s">
        <v>1532</v>
      </c>
      <c r="D343" s="29">
        <v>45</v>
      </c>
      <c r="E343" s="514" t="s">
        <v>1201</v>
      </c>
      <c r="F343" s="29">
        <v>20000000</v>
      </c>
      <c r="G343" s="395" t="str">
        <f t="shared" si="35"/>
        <v>45-20000000 ,mg-02</v>
      </c>
      <c r="H343" s="29">
        <v>-260</v>
      </c>
      <c r="I343" s="483">
        <f t="shared" si="32"/>
        <v>20000260</v>
      </c>
      <c r="J343" s="29">
        <v>330</v>
      </c>
      <c r="K343" s="148">
        <v>2</v>
      </c>
      <c r="L343" s="509">
        <f t="shared" si="36"/>
        <v>330</v>
      </c>
      <c r="M343" s="399">
        <f t="shared" si="37"/>
        <v>330</v>
      </c>
    </row>
    <row r="344" spans="1:13">
      <c r="A344">
        <v>46</v>
      </c>
      <c r="B344" s="379" t="s">
        <v>354</v>
      </c>
      <c r="C344" s="313" t="s">
        <v>1532</v>
      </c>
      <c r="D344" s="29">
        <v>46</v>
      </c>
      <c r="E344" s="514" t="s">
        <v>1201</v>
      </c>
      <c r="F344" s="29">
        <v>20000000</v>
      </c>
      <c r="G344" s="395" t="str">
        <f t="shared" si="35"/>
        <v>46-20000000 ,mg-02</v>
      </c>
      <c r="H344" s="29">
        <v>-260</v>
      </c>
      <c r="I344" s="483">
        <f t="shared" si="32"/>
        <v>20000260</v>
      </c>
      <c r="J344" s="29">
        <v>330</v>
      </c>
      <c r="K344" s="148">
        <v>2</v>
      </c>
      <c r="L344" s="509">
        <f t="shared" si="36"/>
        <v>330</v>
      </c>
      <c r="M344" s="399">
        <f t="shared" si="37"/>
        <v>330</v>
      </c>
    </row>
    <row r="345" spans="1:13">
      <c r="A345">
        <v>47</v>
      </c>
      <c r="B345" s="379" t="s">
        <v>354</v>
      </c>
      <c r="C345" s="313" t="s">
        <v>1532</v>
      </c>
      <c r="D345" s="29">
        <v>47</v>
      </c>
      <c r="E345" s="514" t="s">
        <v>1201</v>
      </c>
      <c r="F345" s="29">
        <v>20000000</v>
      </c>
      <c r="G345" s="395" t="str">
        <f t="shared" si="35"/>
        <v>47-20000000 ,mg-02</v>
      </c>
      <c r="H345" s="29">
        <v>-260</v>
      </c>
      <c r="I345" s="483">
        <f t="shared" si="32"/>
        <v>20000260</v>
      </c>
      <c r="J345" s="29">
        <v>330</v>
      </c>
      <c r="K345" s="148">
        <v>2</v>
      </c>
      <c r="L345" s="509">
        <f t="shared" si="36"/>
        <v>330</v>
      </c>
      <c r="M345" s="399">
        <f t="shared" si="37"/>
        <v>330</v>
      </c>
    </row>
    <row r="346" spans="1:13">
      <c r="A346">
        <v>48</v>
      </c>
      <c r="B346" s="379" t="s">
        <v>354</v>
      </c>
      <c r="C346" s="313" t="s">
        <v>1532</v>
      </c>
      <c r="D346" s="29">
        <v>48</v>
      </c>
      <c r="E346" s="514" t="s">
        <v>1201</v>
      </c>
      <c r="F346" s="29">
        <v>20000000</v>
      </c>
      <c r="G346" s="395" t="str">
        <f t="shared" si="35"/>
        <v>48-20000000 ,mg-02</v>
      </c>
      <c r="H346" s="29">
        <v>-260</v>
      </c>
      <c r="I346" s="483">
        <f t="shared" si="32"/>
        <v>20000260</v>
      </c>
      <c r="J346" s="29">
        <v>330</v>
      </c>
      <c r="K346" s="148">
        <v>2</v>
      </c>
      <c r="L346" s="509">
        <f t="shared" si="36"/>
        <v>330</v>
      </c>
      <c r="M346" s="399">
        <f t="shared" si="37"/>
        <v>330</v>
      </c>
    </row>
    <row r="347" spans="1:13">
      <c r="A347">
        <v>49</v>
      </c>
      <c r="B347" s="379" t="s">
        <v>354</v>
      </c>
      <c r="C347" s="313" t="s">
        <v>1532</v>
      </c>
      <c r="D347" s="29">
        <v>49</v>
      </c>
      <c r="E347" s="514" t="s">
        <v>1201</v>
      </c>
      <c r="F347" s="29">
        <v>20000000</v>
      </c>
      <c r="G347" s="395" t="str">
        <f t="shared" si="35"/>
        <v>49-20000000 ,mg-02</v>
      </c>
      <c r="H347" s="29">
        <v>-260</v>
      </c>
      <c r="I347" s="483">
        <f t="shared" si="32"/>
        <v>20000260</v>
      </c>
      <c r="J347" s="29">
        <v>330</v>
      </c>
      <c r="K347" s="148">
        <v>2</v>
      </c>
      <c r="L347" s="509">
        <f t="shared" si="36"/>
        <v>330</v>
      </c>
      <c r="M347" s="399">
        <f t="shared" si="37"/>
        <v>330</v>
      </c>
    </row>
    <row r="348" spans="1:13">
      <c r="A348">
        <v>50</v>
      </c>
      <c r="B348" s="379" t="s">
        <v>354</v>
      </c>
      <c r="C348" s="313" t="s">
        <v>1532</v>
      </c>
      <c r="D348" s="29">
        <v>50</v>
      </c>
      <c r="E348" s="514" t="s">
        <v>1201</v>
      </c>
      <c r="F348" s="29">
        <v>20000000</v>
      </c>
      <c r="G348" s="395" t="str">
        <f t="shared" si="35"/>
        <v>50-20000000 ,mg-02</v>
      </c>
      <c r="H348" s="29">
        <v>-260</v>
      </c>
      <c r="I348" s="483">
        <f t="shared" si="32"/>
        <v>20000260</v>
      </c>
      <c r="J348" s="29">
        <v>330</v>
      </c>
      <c r="K348" s="148">
        <v>2</v>
      </c>
      <c r="L348" s="509">
        <f t="shared" si="36"/>
        <v>330</v>
      </c>
      <c r="M348" s="399">
        <f t="shared" si="37"/>
        <v>330</v>
      </c>
    </row>
    <row r="349" spans="1:13">
      <c r="A349">
        <v>51</v>
      </c>
      <c r="B349" s="379" t="s">
        <v>354</v>
      </c>
      <c r="C349" s="313" t="s">
        <v>1532</v>
      </c>
      <c r="D349" s="29">
        <v>51</v>
      </c>
      <c r="E349" s="514" t="s">
        <v>1201</v>
      </c>
      <c r="F349" s="29">
        <v>20000000</v>
      </c>
      <c r="G349" s="395" t="str">
        <f t="shared" si="35"/>
        <v>51-20000000 ,mg-02</v>
      </c>
      <c r="H349" s="29">
        <v>-210</v>
      </c>
      <c r="I349" s="483">
        <f t="shared" si="32"/>
        <v>20000210</v>
      </c>
      <c r="J349" s="29">
        <v>330</v>
      </c>
      <c r="K349" s="148">
        <v>2</v>
      </c>
      <c r="L349" s="509">
        <f t="shared" si="36"/>
        <v>330</v>
      </c>
      <c r="M349" s="399">
        <f t="shared" si="37"/>
        <v>330</v>
      </c>
    </row>
    <row r="350" spans="1:13">
      <c r="A350">
        <v>52</v>
      </c>
      <c r="B350" s="379" t="s">
        <v>354</v>
      </c>
      <c r="C350" s="313" t="s">
        <v>1532</v>
      </c>
      <c r="D350" s="29">
        <v>52</v>
      </c>
      <c r="E350" s="514" t="s">
        <v>1201</v>
      </c>
      <c r="F350" s="29">
        <v>20000000</v>
      </c>
      <c r="G350" s="395" t="str">
        <f t="shared" si="35"/>
        <v>52-20000000 ,mg-02</v>
      </c>
      <c r="H350" s="29">
        <v>-260</v>
      </c>
      <c r="I350" s="483">
        <f t="shared" si="32"/>
        <v>20000260</v>
      </c>
      <c r="J350" s="29">
        <v>330</v>
      </c>
      <c r="K350" s="148">
        <v>2</v>
      </c>
      <c r="L350" s="509">
        <f t="shared" si="36"/>
        <v>330</v>
      </c>
      <c r="M350" s="399">
        <f t="shared" si="37"/>
        <v>330</v>
      </c>
    </row>
    <row r="351" spans="1:13">
      <c r="A351">
        <v>53</v>
      </c>
      <c r="B351" s="379" t="s">
        <v>354</v>
      </c>
      <c r="C351" s="313" t="s">
        <v>1532</v>
      </c>
      <c r="D351" s="29">
        <v>53</v>
      </c>
      <c r="E351" s="514" t="s">
        <v>1201</v>
      </c>
      <c r="F351" s="29">
        <v>20000000</v>
      </c>
      <c r="G351" s="395" t="str">
        <f t="shared" si="35"/>
        <v>53-20000000 ,mg-02</v>
      </c>
      <c r="H351" s="29">
        <v>-260</v>
      </c>
      <c r="I351" s="483">
        <f t="shared" si="32"/>
        <v>20000260</v>
      </c>
      <c r="J351" s="29">
        <v>330</v>
      </c>
      <c r="K351" s="148">
        <v>2</v>
      </c>
      <c r="L351" s="509">
        <f t="shared" si="36"/>
        <v>330</v>
      </c>
      <c r="M351" s="399">
        <f t="shared" si="37"/>
        <v>330</v>
      </c>
    </row>
    <row r="352" spans="1:13">
      <c r="A352">
        <v>54</v>
      </c>
      <c r="B352" s="379" t="s">
        <v>354</v>
      </c>
      <c r="C352" s="313" t="s">
        <v>1532</v>
      </c>
      <c r="D352" s="29">
        <v>54</v>
      </c>
      <c r="E352" s="514" t="s">
        <v>1201</v>
      </c>
      <c r="F352" s="29">
        <v>20000000</v>
      </c>
      <c r="G352" s="395" t="str">
        <f t="shared" si="35"/>
        <v>54-20000000 ,mg-02</v>
      </c>
      <c r="H352" s="29">
        <v>-260</v>
      </c>
      <c r="I352" s="483">
        <f t="shared" si="32"/>
        <v>20000260</v>
      </c>
      <c r="J352" s="29">
        <v>330</v>
      </c>
      <c r="K352" s="148">
        <v>2</v>
      </c>
      <c r="L352" s="509">
        <f t="shared" si="36"/>
        <v>330</v>
      </c>
      <c r="M352" s="399">
        <f t="shared" si="37"/>
        <v>330</v>
      </c>
    </row>
    <row r="353" spans="1:13">
      <c r="A353">
        <v>55</v>
      </c>
      <c r="B353" s="379" t="s">
        <v>354</v>
      </c>
      <c r="C353" s="313" t="s">
        <v>1532</v>
      </c>
      <c r="D353" s="29">
        <v>55</v>
      </c>
      <c r="E353" s="514" t="s">
        <v>1201</v>
      </c>
      <c r="F353" s="29">
        <v>20000000</v>
      </c>
      <c r="G353" s="395" t="str">
        <f t="shared" si="35"/>
        <v>55-20000000 ,mg-02</v>
      </c>
      <c r="H353" s="29">
        <v>-260</v>
      </c>
      <c r="I353" s="483">
        <f t="shared" si="32"/>
        <v>20000260</v>
      </c>
      <c r="J353" s="29">
        <v>330</v>
      </c>
      <c r="K353" s="148">
        <v>2</v>
      </c>
      <c r="L353" s="509">
        <f t="shared" si="36"/>
        <v>330</v>
      </c>
      <c r="M353" s="399">
        <f t="shared" si="37"/>
        <v>330</v>
      </c>
    </row>
    <row r="354" spans="1:13">
      <c r="A354">
        <v>56</v>
      </c>
      <c r="B354" s="379" t="s">
        <v>354</v>
      </c>
      <c r="C354" s="313" t="s">
        <v>1532</v>
      </c>
      <c r="D354" s="29">
        <v>56</v>
      </c>
      <c r="E354" s="514" t="s">
        <v>1201</v>
      </c>
      <c r="F354" s="29">
        <v>20000000</v>
      </c>
      <c r="G354" s="395" t="str">
        <f t="shared" si="35"/>
        <v>56-20000000 ,mg-02</v>
      </c>
      <c r="H354" s="29">
        <v>-260</v>
      </c>
      <c r="I354" s="483">
        <f t="shared" si="32"/>
        <v>20000260</v>
      </c>
      <c r="J354" s="29">
        <v>330</v>
      </c>
      <c r="K354" s="148">
        <v>2</v>
      </c>
      <c r="L354" s="509">
        <f t="shared" si="36"/>
        <v>330</v>
      </c>
      <c r="M354" s="399">
        <f t="shared" si="37"/>
        <v>330</v>
      </c>
    </row>
    <row r="355" spans="1:13">
      <c r="A355">
        <v>57</v>
      </c>
      <c r="B355" s="379" t="s">
        <v>354</v>
      </c>
      <c r="C355" s="313" t="s">
        <v>1532</v>
      </c>
      <c r="D355" s="29">
        <v>57</v>
      </c>
      <c r="E355" s="514" t="s">
        <v>1201</v>
      </c>
      <c r="F355" s="29">
        <v>20000000</v>
      </c>
      <c r="G355" s="395" t="str">
        <f t="shared" si="35"/>
        <v>57-20000000 ,mg-02</v>
      </c>
      <c r="H355" s="29">
        <v>-260</v>
      </c>
      <c r="I355" s="483">
        <f t="shared" si="32"/>
        <v>20000260</v>
      </c>
      <c r="J355" s="29">
        <v>330</v>
      </c>
      <c r="K355" s="148">
        <v>2</v>
      </c>
      <c r="L355" s="509">
        <f t="shared" si="36"/>
        <v>330</v>
      </c>
      <c r="M355" s="399">
        <f t="shared" si="37"/>
        <v>330</v>
      </c>
    </row>
    <row r="356" spans="1:13">
      <c r="A356">
        <v>58</v>
      </c>
      <c r="B356" s="379" t="s">
        <v>354</v>
      </c>
      <c r="C356" s="313" t="s">
        <v>1532</v>
      </c>
      <c r="D356" s="29">
        <v>58</v>
      </c>
      <c r="E356" s="514" t="s">
        <v>1201</v>
      </c>
      <c r="F356" s="29">
        <v>20000000</v>
      </c>
      <c r="G356" s="395" t="str">
        <f t="shared" si="35"/>
        <v>58-20000000 ,mg-02</v>
      </c>
      <c r="H356" s="29">
        <v>-260</v>
      </c>
      <c r="I356" s="483">
        <f t="shared" si="32"/>
        <v>20000260</v>
      </c>
      <c r="J356" s="29">
        <v>330</v>
      </c>
      <c r="K356" s="148">
        <v>2</v>
      </c>
      <c r="L356" s="509">
        <f t="shared" si="36"/>
        <v>330</v>
      </c>
      <c r="M356" s="399">
        <f t="shared" si="37"/>
        <v>330</v>
      </c>
    </row>
    <row r="357" spans="1:13">
      <c r="A357">
        <v>59</v>
      </c>
      <c r="B357" s="379" t="s">
        <v>354</v>
      </c>
      <c r="C357" s="313" t="s">
        <v>1532</v>
      </c>
      <c r="D357" s="29">
        <v>59</v>
      </c>
      <c r="E357" s="514" t="s">
        <v>1201</v>
      </c>
      <c r="F357" s="29">
        <v>20000000</v>
      </c>
      <c r="G357" s="395" t="str">
        <f t="shared" si="35"/>
        <v>59-20000000 ,mg-02</v>
      </c>
      <c r="H357" s="29">
        <v>-260</v>
      </c>
      <c r="I357" s="483">
        <f t="shared" si="32"/>
        <v>20000260</v>
      </c>
      <c r="J357" s="29">
        <v>330</v>
      </c>
      <c r="K357" s="148">
        <v>2</v>
      </c>
      <c r="L357" s="509">
        <f t="shared" si="36"/>
        <v>330</v>
      </c>
      <c r="M357" s="399">
        <f t="shared" si="37"/>
        <v>330</v>
      </c>
    </row>
    <row r="358" spans="1:13">
      <c r="A358">
        <v>60</v>
      </c>
      <c r="B358" s="379" t="s">
        <v>354</v>
      </c>
      <c r="C358" s="313" t="s">
        <v>1532</v>
      </c>
      <c r="D358" s="29">
        <v>60</v>
      </c>
      <c r="E358" s="514" t="s">
        <v>1201</v>
      </c>
      <c r="F358" s="29">
        <v>20000000</v>
      </c>
      <c r="G358" s="395" t="str">
        <f t="shared" si="35"/>
        <v>60-20000000 ,mg-02</v>
      </c>
      <c r="H358" s="29">
        <v>-260</v>
      </c>
      <c r="I358" s="483">
        <f t="shared" si="32"/>
        <v>20000260</v>
      </c>
      <c r="J358" s="29">
        <v>330</v>
      </c>
      <c r="K358" s="148">
        <v>2</v>
      </c>
      <c r="L358" s="509">
        <f t="shared" si="36"/>
        <v>330</v>
      </c>
      <c r="M358" s="399">
        <f t="shared" si="37"/>
        <v>330</v>
      </c>
    </row>
    <row r="359" spans="1:13">
      <c r="A359">
        <v>61</v>
      </c>
      <c r="B359" s="379" t="s">
        <v>354</v>
      </c>
      <c r="C359" s="313" t="s">
        <v>1532</v>
      </c>
      <c r="D359" s="29">
        <v>61</v>
      </c>
      <c r="E359" s="514" t="s">
        <v>1201</v>
      </c>
      <c r="F359" s="29">
        <v>20000000</v>
      </c>
      <c r="G359" s="395" t="str">
        <f t="shared" si="35"/>
        <v>61-20000000 ,mg-02</v>
      </c>
      <c r="H359" s="29">
        <v>-260</v>
      </c>
      <c r="I359" s="483">
        <f t="shared" si="32"/>
        <v>20000260</v>
      </c>
      <c r="J359" s="29">
        <v>330</v>
      </c>
      <c r="K359" s="148">
        <v>2</v>
      </c>
      <c r="L359" s="509">
        <f t="shared" si="36"/>
        <v>330</v>
      </c>
      <c r="M359" s="399">
        <f t="shared" si="37"/>
        <v>330</v>
      </c>
    </row>
    <row r="360" spans="1:13">
      <c r="A360">
        <v>62</v>
      </c>
      <c r="B360" s="379" t="s">
        <v>354</v>
      </c>
      <c r="C360" s="313" t="s">
        <v>1532</v>
      </c>
      <c r="D360" s="29">
        <v>62</v>
      </c>
      <c r="E360" s="514" t="s">
        <v>1201</v>
      </c>
      <c r="F360" s="29">
        <v>20000000</v>
      </c>
      <c r="G360" s="395" t="str">
        <f t="shared" si="35"/>
        <v>62-20000000 ,mg-02</v>
      </c>
      <c r="H360" s="29">
        <v>-260</v>
      </c>
      <c r="I360" s="483">
        <f t="shared" si="32"/>
        <v>20000260</v>
      </c>
      <c r="J360" s="29">
        <v>330</v>
      </c>
      <c r="K360" s="148">
        <v>2</v>
      </c>
      <c r="L360" s="509">
        <f t="shared" si="36"/>
        <v>330</v>
      </c>
      <c r="M360" s="399">
        <f t="shared" si="37"/>
        <v>330</v>
      </c>
    </row>
    <row r="361" spans="1:13">
      <c r="A361">
        <v>63</v>
      </c>
      <c r="B361" s="379" t="s">
        <v>354</v>
      </c>
      <c r="C361" s="313" t="s">
        <v>1532</v>
      </c>
      <c r="D361" s="29">
        <v>63</v>
      </c>
      <c r="E361" s="514" t="s">
        <v>1201</v>
      </c>
      <c r="F361" s="29">
        <v>20000000</v>
      </c>
      <c r="G361" s="395" t="str">
        <f t="shared" si="35"/>
        <v>63-20000000 ,mg-02</v>
      </c>
      <c r="H361" s="29">
        <v>-260</v>
      </c>
      <c r="I361" s="483">
        <f t="shared" si="32"/>
        <v>20000260</v>
      </c>
      <c r="J361" s="29">
        <v>330</v>
      </c>
      <c r="K361" s="148">
        <v>2</v>
      </c>
      <c r="L361" s="509">
        <f t="shared" si="36"/>
        <v>330</v>
      </c>
      <c r="M361" s="399">
        <f t="shared" si="37"/>
        <v>330</v>
      </c>
    </row>
    <row r="362" spans="1:13">
      <c r="A362">
        <v>64</v>
      </c>
      <c r="B362" s="379" t="s">
        <v>354</v>
      </c>
      <c r="C362" s="313" t="s">
        <v>1532</v>
      </c>
      <c r="D362" s="29">
        <v>64</v>
      </c>
      <c r="E362" s="514" t="s">
        <v>1201</v>
      </c>
      <c r="F362" s="29">
        <v>20000000</v>
      </c>
      <c r="G362" s="395" t="str">
        <f t="shared" si="35"/>
        <v>64-20000000 ,mg-02</v>
      </c>
      <c r="H362" s="29">
        <v>-260</v>
      </c>
      <c r="I362" s="483">
        <f t="shared" si="32"/>
        <v>20000260</v>
      </c>
      <c r="J362" s="29">
        <v>330</v>
      </c>
      <c r="K362" s="148">
        <v>2</v>
      </c>
      <c r="L362" s="509">
        <f t="shared" si="36"/>
        <v>330</v>
      </c>
      <c r="M362" s="399">
        <f t="shared" si="37"/>
        <v>330</v>
      </c>
    </row>
    <row r="363" spans="1:13">
      <c r="A363">
        <v>65</v>
      </c>
      <c r="B363" s="379" t="s">
        <v>354</v>
      </c>
      <c r="C363" s="313" t="s">
        <v>1532</v>
      </c>
      <c r="D363" s="29">
        <v>65</v>
      </c>
      <c r="E363" s="514" t="s">
        <v>1201</v>
      </c>
      <c r="F363" s="29">
        <v>20000000</v>
      </c>
      <c r="G363" s="395" t="str">
        <f t="shared" si="35"/>
        <v>65-20000000 ,mg-02</v>
      </c>
      <c r="H363" s="29">
        <v>-260</v>
      </c>
      <c r="I363" s="483">
        <f t="shared" si="32"/>
        <v>20000260</v>
      </c>
      <c r="J363" s="29">
        <v>330</v>
      </c>
      <c r="K363" s="148">
        <v>2</v>
      </c>
      <c r="L363" s="509">
        <f t="shared" si="36"/>
        <v>330</v>
      </c>
      <c r="M363" s="399">
        <f t="shared" si="37"/>
        <v>330</v>
      </c>
    </row>
    <row r="364" spans="1:13">
      <c r="A364">
        <v>66</v>
      </c>
      <c r="B364" s="379" t="s">
        <v>354</v>
      </c>
      <c r="C364" s="313" t="s">
        <v>1532</v>
      </c>
      <c r="D364" s="29">
        <v>66</v>
      </c>
      <c r="E364" s="514" t="s">
        <v>1201</v>
      </c>
      <c r="F364" s="29">
        <v>20000000</v>
      </c>
      <c r="G364" s="395" t="str">
        <f t="shared" si="35"/>
        <v>66-20000000 ,mg-02</v>
      </c>
      <c r="H364" s="29">
        <v>-260</v>
      </c>
      <c r="I364" s="483">
        <f t="shared" si="32"/>
        <v>20000260</v>
      </c>
      <c r="J364" s="29">
        <v>330</v>
      </c>
      <c r="K364" s="148">
        <v>2</v>
      </c>
      <c r="L364" s="509">
        <f t="shared" si="36"/>
        <v>330</v>
      </c>
      <c r="M364" s="399">
        <f t="shared" si="37"/>
        <v>330</v>
      </c>
    </row>
    <row r="365" spans="1:13">
      <c r="A365">
        <v>33</v>
      </c>
      <c r="B365" s="379" t="s">
        <v>354</v>
      </c>
      <c r="C365" s="313" t="s">
        <v>1532</v>
      </c>
      <c r="D365" s="29">
        <v>33</v>
      </c>
      <c r="E365" s="514" t="s">
        <v>411</v>
      </c>
      <c r="F365" s="29">
        <v>5000</v>
      </c>
      <c r="G365" s="395" t="str">
        <f t="shared" si="35"/>
        <v>33-5000 ,g-02</v>
      </c>
      <c r="H365" s="29">
        <v>-0.12</v>
      </c>
      <c r="I365" s="483">
        <f t="shared" si="32"/>
        <v>5000.12</v>
      </c>
      <c r="J365" s="29">
        <v>8.3000000000000004E-2</v>
      </c>
      <c r="K365" s="148">
        <v>2</v>
      </c>
      <c r="L365" s="509">
        <f t="shared" si="36"/>
        <v>8.3000000000000004E-2</v>
      </c>
      <c r="M365" s="399">
        <f t="shared" si="37"/>
        <v>8.3000000000000004E-2</v>
      </c>
    </row>
    <row r="366" spans="1:13">
      <c r="A366">
        <v>34</v>
      </c>
      <c r="B366" s="379" t="s">
        <v>354</v>
      </c>
      <c r="C366" s="313" t="s">
        <v>1533</v>
      </c>
      <c r="D366" s="29">
        <v>34</v>
      </c>
      <c r="E366" s="514" t="s">
        <v>411</v>
      </c>
      <c r="F366" s="29">
        <v>5000</v>
      </c>
      <c r="G366" s="395" t="str">
        <f t="shared" si="35"/>
        <v>34-5000 ,g-03</v>
      </c>
      <c r="H366" s="29">
        <v>-0.11899999999999999</v>
      </c>
      <c r="I366" s="483">
        <f t="shared" si="32"/>
        <v>5000.1189999999997</v>
      </c>
      <c r="J366" s="29">
        <v>8.3000000000000004E-2</v>
      </c>
      <c r="K366" s="148">
        <v>2</v>
      </c>
      <c r="L366" s="509">
        <f t="shared" si="36"/>
        <v>8.3000000000000004E-2</v>
      </c>
      <c r="M366" s="399">
        <f t="shared" si="37"/>
        <v>8.3000000000000004E-2</v>
      </c>
    </row>
    <row r="367" spans="1:13">
      <c r="A367">
        <v>35</v>
      </c>
      <c r="B367" s="379" t="s">
        <v>354</v>
      </c>
      <c r="C367" s="313" t="s">
        <v>1532</v>
      </c>
      <c r="D367" s="29">
        <v>35</v>
      </c>
      <c r="E367" s="514" t="s">
        <v>412</v>
      </c>
      <c r="F367" s="29">
        <v>10000</v>
      </c>
      <c r="G367" s="395" t="str">
        <f t="shared" si="35"/>
        <v>35-10000 ,g-02</v>
      </c>
      <c r="H367" s="29">
        <v>-0.15</v>
      </c>
      <c r="I367" s="483">
        <f t="shared" si="32"/>
        <v>10000.15</v>
      </c>
      <c r="J367" s="29">
        <v>0.17</v>
      </c>
      <c r="K367" s="148">
        <v>2</v>
      </c>
      <c r="L367" s="509">
        <f t="shared" si="36"/>
        <v>0.17</v>
      </c>
      <c r="M367" s="399">
        <f t="shared" si="37"/>
        <v>0.17</v>
      </c>
    </row>
    <row r="368" spans="1:13">
      <c r="A368">
        <v>36</v>
      </c>
      <c r="B368" s="379" t="s">
        <v>354</v>
      </c>
      <c r="C368" s="313" t="s">
        <v>1533</v>
      </c>
      <c r="D368" s="29">
        <v>36</v>
      </c>
      <c r="E368" s="514" t="s">
        <v>412</v>
      </c>
      <c r="F368" s="29">
        <v>10000</v>
      </c>
      <c r="G368" s="395" t="str">
        <f t="shared" si="35"/>
        <v>36-10000 ,g-03</v>
      </c>
      <c r="H368" s="29">
        <v>-0.15</v>
      </c>
      <c r="I368" s="483">
        <f t="shared" si="32"/>
        <v>10000.15</v>
      </c>
      <c r="J368" s="29">
        <v>0.17</v>
      </c>
      <c r="K368" s="148">
        <v>2</v>
      </c>
      <c r="L368" s="509">
        <f t="shared" si="36"/>
        <v>0.17</v>
      </c>
      <c r="M368" s="399">
        <f t="shared" si="37"/>
        <v>0.17</v>
      </c>
    </row>
    <row r="369" spans="1:13">
      <c r="A369">
        <v>37</v>
      </c>
      <c r="B369" s="379" t="s">
        <v>354</v>
      </c>
      <c r="C369" s="313" t="s">
        <v>1532</v>
      </c>
      <c r="D369" s="29">
        <v>37</v>
      </c>
      <c r="E369" s="514" t="s">
        <v>413</v>
      </c>
      <c r="F369" s="29">
        <v>20000</v>
      </c>
      <c r="G369" s="395" t="str">
        <f t="shared" si="35"/>
        <v>37-20000 ,g-02</v>
      </c>
      <c r="H369" s="29">
        <v>-0.26</v>
      </c>
      <c r="I369" s="483">
        <f t="shared" si="32"/>
        <v>20000.259999999998</v>
      </c>
      <c r="J369" s="29">
        <v>0.33</v>
      </c>
      <c r="K369" s="148">
        <v>2</v>
      </c>
      <c r="L369" s="509">
        <f t="shared" si="36"/>
        <v>0.33</v>
      </c>
      <c r="M369" s="399">
        <f t="shared" si="37"/>
        <v>0.33</v>
      </c>
    </row>
    <row r="370" spans="1:13">
      <c r="A370">
        <v>38</v>
      </c>
      <c r="B370" s="379" t="s">
        <v>354</v>
      </c>
      <c r="C370" s="313" t="s">
        <v>1532</v>
      </c>
      <c r="D370" s="29">
        <v>38</v>
      </c>
      <c r="E370" s="514" t="s">
        <v>413</v>
      </c>
      <c r="F370" s="29">
        <v>20000</v>
      </c>
      <c r="G370" s="395" t="str">
        <f t="shared" si="35"/>
        <v>38-20000 ,g-02</v>
      </c>
      <c r="H370" s="29">
        <v>-0.26</v>
      </c>
      <c r="I370" s="483">
        <f t="shared" si="32"/>
        <v>20000.259999999998</v>
      </c>
      <c r="J370" s="29">
        <v>0.33</v>
      </c>
      <c r="K370" s="148">
        <v>2</v>
      </c>
      <c r="L370" s="509">
        <f t="shared" si="36"/>
        <v>0.33</v>
      </c>
      <c r="M370" s="399">
        <f t="shared" si="37"/>
        <v>0.33</v>
      </c>
    </row>
    <row r="371" spans="1:13">
      <c r="A371">
        <v>39</v>
      </c>
      <c r="B371" s="379" t="s">
        <v>354</v>
      </c>
      <c r="C371" s="313" t="s">
        <v>1532</v>
      </c>
      <c r="D371" s="29">
        <v>39</v>
      </c>
      <c r="E371" s="514" t="s">
        <v>413</v>
      </c>
      <c r="F371" s="29">
        <v>20000</v>
      </c>
      <c r="G371" s="395" t="str">
        <f t="shared" si="35"/>
        <v>39-20000 ,g-02</v>
      </c>
      <c r="H371" s="29">
        <v>-0.26</v>
      </c>
      <c r="I371" s="483">
        <f t="shared" si="32"/>
        <v>20000.259999999998</v>
      </c>
      <c r="J371" s="29">
        <v>0.33</v>
      </c>
      <c r="K371" s="148">
        <v>2</v>
      </c>
      <c r="L371" s="509">
        <f t="shared" si="36"/>
        <v>0.33</v>
      </c>
      <c r="M371" s="399">
        <f t="shared" si="37"/>
        <v>0.33</v>
      </c>
    </row>
    <row r="372" spans="1:13">
      <c r="A372">
        <v>40</v>
      </c>
      <c r="B372" s="379" t="s">
        <v>354</v>
      </c>
      <c r="C372" s="313" t="s">
        <v>1532</v>
      </c>
      <c r="D372" s="29">
        <v>40</v>
      </c>
      <c r="E372" s="514" t="s">
        <v>413</v>
      </c>
      <c r="F372" s="29">
        <v>20000</v>
      </c>
      <c r="G372" s="395" t="str">
        <f t="shared" si="35"/>
        <v>40-20000 ,g-02</v>
      </c>
      <c r="H372" s="29">
        <v>-0.19</v>
      </c>
      <c r="I372" s="483">
        <f t="shared" si="32"/>
        <v>20000.189999999999</v>
      </c>
      <c r="J372" s="29">
        <v>0.33</v>
      </c>
      <c r="K372" s="148">
        <v>2</v>
      </c>
      <c r="L372" s="509">
        <f t="shared" si="36"/>
        <v>0.33</v>
      </c>
      <c r="M372" s="399">
        <f t="shared" si="37"/>
        <v>0.33</v>
      </c>
    </row>
    <row r="373" spans="1:13">
      <c r="A373">
        <v>41</v>
      </c>
      <c r="B373" s="379" t="s">
        <v>354</v>
      </c>
      <c r="C373" s="313" t="s">
        <v>1532</v>
      </c>
      <c r="D373" s="29">
        <v>41</v>
      </c>
      <c r="E373" s="514" t="s">
        <v>413</v>
      </c>
      <c r="F373" s="29">
        <v>20000</v>
      </c>
      <c r="G373" s="395" t="str">
        <f t="shared" si="35"/>
        <v>41-20000 ,g-02</v>
      </c>
      <c r="H373" s="29">
        <v>-0.26</v>
      </c>
      <c r="I373" s="483">
        <f t="shared" si="32"/>
        <v>20000.259999999998</v>
      </c>
      <c r="J373" s="29">
        <v>0.33</v>
      </c>
      <c r="K373" s="148">
        <v>2</v>
      </c>
      <c r="L373" s="509">
        <f t="shared" si="36"/>
        <v>0.33</v>
      </c>
      <c r="M373" s="399">
        <f t="shared" si="37"/>
        <v>0.33</v>
      </c>
    </row>
    <row r="374" spans="1:13">
      <c r="A374">
        <v>42</v>
      </c>
      <c r="B374" s="379" t="s">
        <v>354</v>
      </c>
      <c r="C374" s="313" t="s">
        <v>1532</v>
      </c>
      <c r="D374" s="29">
        <v>42</v>
      </c>
      <c r="E374" s="514" t="s">
        <v>413</v>
      </c>
      <c r="F374" s="29">
        <v>20000</v>
      </c>
      <c r="G374" s="395" t="str">
        <f t="shared" si="35"/>
        <v>42-20000 ,g-02</v>
      </c>
      <c r="H374" s="29">
        <v>-0.26</v>
      </c>
      <c r="I374" s="483">
        <f t="shared" si="32"/>
        <v>20000.259999999998</v>
      </c>
      <c r="J374" s="29">
        <v>0.33</v>
      </c>
      <c r="K374" s="148">
        <v>2</v>
      </c>
      <c r="L374" s="509">
        <f t="shared" si="36"/>
        <v>0.33</v>
      </c>
      <c r="M374" s="399">
        <f t="shared" si="37"/>
        <v>0.33</v>
      </c>
    </row>
    <row r="375" spans="1:13">
      <c r="A375">
        <v>43</v>
      </c>
      <c r="B375" s="379" t="s">
        <v>354</v>
      </c>
      <c r="C375" s="313" t="s">
        <v>1532</v>
      </c>
      <c r="D375" s="29">
        <v>43</v>
      </c>
      <c r="E375" s="514" t="s">
        <v>413</v>
      </c>
      <c r="F375" s="29">
        <v>20000</v>
      </c>
      <c r="G375" s="395" t="str">
        <f t="shared" si="35"/>
        <v>43-20000 ,g-02</v>
      </c>
      <c r="H375" s="29">
        <v>-0.22</v>
      </c>
      <c r="I375" s="483">
        <f t="shared" si="32"/>
        <v>20000.22</v>
      </c>
      <c r="J375" s="29">
        <v>0.33</v>
      </c>
      <c r="K375" s="148">
        <v>2</v>
      </c>
      <c r="L375" s="509">
        <f t="shared" si="36"/>
        <v>0.33</v>
      </c>
      <c r="M375" s="399">
        <f t="shared" si="37"/>
        <v>0.33</v>
      </c>
    </row>
    <row r="376" spans="1:13">
      <c r="A376">
        <v>44</v>
      </c>
      <c r="B376" s="379" t="s">
        <v>354</v>
      </c>
      <c r="C376" s="313" t="s">
        <v>1532</v>
      </c>
      <c r="D376" s="29">
        <v>44</v>
      </c>
      <c r="E376" s="514" t="s">
        <v>413</v>
      </c>
      <c r="F376" s="29">
        <v>20000</v>
      </c>
      <c r="G376" s="395" t="str">
        <f t="shared" si="35"/>
        <v>44-20000 ,g-02</v>
      </c>
      <c r="H376" s="29">
        <v>-0.26</v>
      </c>
      <c r="I376" s="483">
        <f t="shared" si="32"/>
        <v>20000.259999999998</v>
      </c>
      <c r="J376" s="29">
        <v>0.33</v>
      </c>
      <c r="K376" s="148">
        <v>2</v>
      </c>
      <c r="L376" s="509">
        <f t="shared" si="36"/>
        <v>0.33</v>
      </c>
      <c r="M376" s="399">
        <f t="shared" si="37"/>
        <v>0.33</v>
      </c>
    </row>
    <row r="377" spans="1:13">
      <c r="A377">
        <v>45</v>
      </c>
      <c r="B377" s="379" t="s">
        <v>354</v>
      </c>
      <c r="C377" s="313" t="s">
        <v>1532</v>
      </c>
      <c r="D377" s="29">
        <v>45</v>
      </c>
      <c r="E377" s="514" t="s">
        <v>413</v>
      </c>
      <c r="F377" s="29">
        <v>20000</v>
      </c>
      <c r="G377" s="395" t="str">
        <f t="shared" si="35"/>
        <v>45-20000 ,g-02</v>
      </c>
      <c r="H377" s="29">
        <v>-0.26</v>
      </c>
      <c r="I377" s="483">
        <f t="shared" si="32"/>
        <v>20000.259999999998</v>
      </c>
      <c r="J377" s="29">
        <v>0.33</v>
      </c>
      <c r="K377" s="148">
        <v>2</v>
      </c>
      <c r="L377" s="509">
        <f t="shared" si="36"/>
        <v>0.33</v>
      </c>
      <c r="M377" s="399">
        <f t="shared" si="37"/>
        <v>0.33</v>
      </c>
    </row>
    <row r="378" spans="1:13">
      <c r="A378">
        <v>46</v>
      </c>
      <c r="B378" s="379" t="s">
        <v>354</v>
      </c>
      <c r="C378" s="313" t="s">
        <v>1532</v>
      </c>
      <c r="D378" s="29">
        <v>46</v>
      </c>
      <c r="E378" s="514" t="s">
        <v>413</v>
      </c>
      <c r="F378" s="29">
        <v>20000</v>
      </c>
      <c r="G378" s="395" t="str">
        <f t="shared" si="35"/>
        <v>46-20000 ,g-02</v>
      </c>
      <c r="H378" s="29">
        <v>-0.26</v>
      </c>
      <c r="I378" s="483">
        <f t="shared" si="32"/>
        <v>20000.259999999998</v>
      </c>
      <c r="J378" s="29">
        <v>0.33</v>
      </c>
      <c r="K378" s="148">
        <v>2</v>
      </c>
      <c r="L378" s="509">
        <f t="shared" si="36"/>
        <v>0.33</v>
      </c>
      <c r="M378" s="399">
        <f t="shared" si="37"/>
        <v>0.33</v>
      </c>
    </row>
    <row r="379" spans="1:13">
      <c r="A379">
        <v>47</v>
      </c>
      <c r="B379" s="379" t="s">
        <v>354</v>
      </c>
      <c r="C379" s="313" t="s">
        <v>1532</v>
      </c>
      <c r="D379" s="29">
        <v>47</v>
      </c>
      <c r="E379" s="514" t="s">
        <v>413</v>
      </c>
      <c r="F379" s="29">
        <v>20000</v>
      </c>
      <c r="G379" s="395" t="str">
        <f t="shared" si="35"/>
        <v>47-20000 ,g-02</v>
      </c>
      <c r="H379" s="29">
        <v>-0.26</v>
      </c>
      <c r="I379" s="483">
        <f t="shared" si="32"/>
        <v>20000.259999999998</v>
      </c>
      <c r="J379" s="29">
        <v>0.33</v>
      </c>
      <c r="K379" s="148">
        <v>2</v>
      </c>
      <c r="L379" s="509">
        <f t="shared" si="36"/>
        <v>0.33</v>
      </c>
      <c r="M379" s="399">
        <f t="shared" si="37"/>
        <v>0.33</v>
      </c>
    </row>
    <row r="380" spans="1:13">
      <c r="A380">
        <v>48</v>
      </c>
      <c r="B380" s="379" t="s">
        <v>354</v>
      </c>
      <c r="C380" s="313" t="s">
        <v>1532</v>
      </c>
      <c r="D380" s="29">
        <v>48</v>
      </c>
      <c r="E380" s="514" t="s">
        <v>413</v>
      </c>
      <c r="F380" s="29">
        <v>20000</v>
      </c>
      <c r="G380" s="395" t="str">
        <f t="shared" si="35"/>
        <v>48-20000 ,g-02</v>
      </c>
      <c r="H380" s="29">
        <v>-0.26</v>
      </c>
      <c r="I380" s="483">
        <f t="shared" si="32"/>
        <v>20000.259999999998</v>
      </c>
      <c r="J380" s="29">
        <v>0.33</v>
      </c>
      <c r="K380" s="148">
        <v>2</v>
      </c>
      <c r="L380" s="509">
        <f t="shared" si="36"/>
        <v>0.33</v>
      </c>
      <c r="M380" s="399">
        <f t="shared" si="37"/>
        <v>0.33</v>
      </c>
    </row>
    <row r="381" spans="1:13">
      <c r="A381">
        <v>49</v>
      </c>
      <c r="B381" s="379" t="s">
        <v>354</v>
      </c>
      <c r="C381" s="313" t="s">
        <v>1532</v>
      </c>
      <c r="D381" s="29">
        <v>49</v>
      </c>
      <c r="E381" s="514" t="s">
        <v>413</v>
      </c>
      <c r="F381" s="29">
        <v>20000</v>
      </c>
      <c r="G381" s="395" t="str">
        <f t="shared" si="35"/>
        <v>49-20000 ,g-02</v>
      </c>
      <c r="H381" s="29">
        <v>-0.26</v>
      </c>
      <c r="I381" s="483">
        <f t="shared" si="32"/>
        <v>20000.259999999998</v>
      </c>
      <c r="J381" s="29">
        <v>0.33</v>
      </c>
      <c r="K381" s="148">
        <v>2</v>
      </c>
      <c r="L381" s="509">
        <f t="shared" si="36"/>
        <v>0.33</v>
      </c>
      <c r="M381" s="399">
        <f t="shared" si="37"/>
        <v>0.33</v>
      </c>
    </row>
    <row r="382" spans="1:13">
      <c r="A382">
        <v>50</v>
      </c>
      <c r="B382" s="379" t="s">
        <v>354</v>
      </c>
      <c r="C382" s="313" t="s">
        <v>1532</v>
      </c>
      <c r="D382" s="29">
        <v>50</v>
      </c>
      <c r="E382" s="514" t="s">
        <v>413</v>
      </c>
      <c r="F382" s="29">
        <v>20000</v>
      </c>
      <c r="G382" s="395" t="str">
        <f t="shared" si="35"/>
        <v>50-20000 ,g-02</v>
      </c>
      <c r="H382" s="29">
        <v>-0.26</v>
      </c>
      <c r="I382" s="483">
        <f t="shared" si="32"/>
        <v>20000.259999999998</v>
      </c>
      <c r="J382" s="29">
        <v>0.33</v>
      </c>
      <c r="K382" s="148">
        <v>2</v>
      </c>
      <c r="L382" s="509">
        <f t="shared" si="36"/>
        <v>0.33</v>
      </c>
      <c r="M382" s="399">
        <f t="shared" si="37"/>
        <v>0.33</v>
      </c>
    </row>
    <row r="383" spans="1:13">
      <c r="A383">
        <v>51</v>
      </c>
      <c r="B383" s="379" t="s">
        <v>354</v>
      </c>
      <c r="C383" s="313" t="s">
        <v>1532</v>
      </c>
      <c r="D383" s="29">
        <v>51</v>
      </c>
      <c r="E383" s="514" t="s">
        <v>413</v>
      </c>
      <c r="F383" s="29">
        <v>20000</v>
      </c>
      <c r="G383" s="395" t="str">
        <f t="shared" si="35"/>
        <v>51-20000 ,g-02</v>
      </c>
      <c r="H383" s="29">
        <v>-0.21</v>
      </c>
      <c r="I383" s="483">
        <f t="shared" si="32"/>
        <v>20000.21</v>
      </c>
      <c r="J383" s="29">
        <v>0.33</v>
      </c>
      <c r="K383" s="148">
        <v>2</v>
      </c>
      <c r="L383" s="509">
        <f t="shared" si="36"/>
        <v>0.33</v>
      </c>
      <c r="M383" s="399">
        <f t="shared" si="37"/>
        <v>0.33</v>
      </c>
    </row>
    <row r="384" spans="1:13">
      <c r="A384">
        <v>52</v>
      </c>
      <c r="B384" s="379" t="s">
        <v>354</v>
      </c>
      <c r="C384" s="313" t="s">
        <v>1532</v>
      </c>
      <c r="D384" s="29">
        <v>52</v>
      </c>
      <c r="E384" s="514" t="s">
        <v>413</v>
      </c>
      <c r="F384" s="29">
        <v>20000</v>
      </c>
      <c r="G384" s="395" t="str">
        <f t="shared" si="35"/>
        <v>52-20000 ,g-02</v>
      </c>
      <c r="H384" s="29">
        <v>-0.26</v>
      </c>
      <c r="I384" s="483">
        <f t="shared" si="32"/>
        <v>20000.259999999998</v>
      </c>
      <c r="J384" s="29">
        <v>0.33</v>
      </c>
      <c r="K384" s="148">
        <v>2</v>
      </c>
      <c r="L384" s="509">
        <f t="shared" si="36"/>
        <v>0.33</v>
      </c>
      <c r="M384" s="399">
        <f t="shared" si="37"/>
        <v>0.33</v>
      </c>
    </row>
    <row r="385" spans="1:13">
      <c r="A385">
        <v>53</v>
      </c>
      <c r="B385" s="379" t="s">
        <v>354</v>
      </c>
      <c r="C385" s="313" t="s">
        <v>1532</v>
      </c>
      <c r="D385" s="29">
        <v>53</v>
      </c>
      <c r="E385" s="514" t="s">
        <v>413</v>
      </c>
      <c r="F385" s="29">
        <v>20000</v>
      </c>
      <c r="G385" s="395" t="str">
        <f t="shared" si="35"/>
        <v>53-20000 ,g-02</v>
      </c>
      <c r="H385" s="29">
        <v>-0.26</v>
      </c>
      <c r="I385" s="483">
        <f t="shared" si="32"/>
        <v>20000.259999999998</v>
      </c>
      <c r="J385" s="29">
        <v>0.33</v>
      </c>
      <c r="K385" s="148">
        <v>2</v>
      </c>
      <c r="L385" s="509">
        <f t="shared" si="36"/>
        <v>0.33</v>
      </c>
      <c r="M385" s="399">
        <f t="shared" si="37"/>
        <v>0.33</v>
      </c>
    </row>
    <row r="386" spans="1:13">
      <c r="A386">
        <v>54</v>
      </c>
      <c r="B386" s="379" t="s">
        <v>354</v>
      </c>
      <c r="C386" s="313" t="s">
        <v>1532</v>
      </c>
      <c r="D386" s="29">
        <v>54</v>
      </c>
      <c r="E386" s="514" t="s">
        <v>413</v>
      </c>
      <c r="F386" s="29">
        <v>20000</v>
      </c>
      <c r="G386" s="395" t="str">
        <f t="shared" si="35"/>
        <v>54-20000 ,g-02</v>
      </c>
      <c r="H386" s="29">
        <v>-0.26</v>
      </c>
      <c r="I386" s="483">
        <f t="shared" si="32"/>
        <v>20000.259999999998</v>
      </c>
      <c r="J386" s="29">
        <v>0.33</v>
      </c>
      <c r="K386" s="148">
        <v>2</v>
      </c>
      <c r="L386" s="509">
        <f t="shared" si="36"/>
        <v>0.33</v>
      </c>
      <c r="M386" s="399">
        <f t="shared" si="37"/>
        <v>0.33</v>
      </c>
    </row>
    <row r="387" spans="1:13">
      <c r="A387">
        <v>55</v>
      </c>
      <c r="B387" s="379" t="s">
        <v>354</v>
      </c>
      <c r="C387" s="313" t="s">
        <v>1532</v>
      </c>
      <c r="D387" s="29">
        <v>55</v>
      </c>
      <c r="E387" s="514" t="s">
        <v>413</v>
      </c>
      <c r="F387" s="29">
        <v>20000</v>
      </c>
      <c r="G387" s="395" t="str">
        <f t="shared" si="35"/>
        <v>55-20000 ,g-02</v>
      </c>
      <c r="H387" s="29">
        <v>-0.26</v>
      </c>
      <c r="I387" s="483">
        <f t="shared" si="32"/>
        <v>20000.259999999998</v>
      </c>
      <c r="J387" s="29">
        <v>0.33</v>
      </c>
      <c r="K387" s="148">
        <v>2</v>
      </c>
      <c r="L387" s="509">
        <f t="shared" si="36"/>
        <v>0.33</v>
      </c>
      <c r="M387" s="399">
        <f t="shared" si="37"/>
        <v>0.33</v>
      </c>
    </row>
    <row r="388" spans="1:13">
      <c r="A388">
        <v>56</v>
      </c>
      <c r="B388" s="379" t="s">
        <v>354</v>
      </c>
      <c r="C388" s="313" t="s">
        <v>1532</v>
      </c>
      <c r="D388" s="29">
        <v>56</v>
      </c>
      <c r="E388" s="514" t="s">
        <v>413</v>
      </c>
      <c r="F388" s="29">
        <v>20000</v>
      </c>
      <c r="G388" s="395" t="str">
        <f t="shared" si="35"/>
        <v>56-20000 ,g-02</v>
      </c>
      <c r="H388" s="29">
        <v>-0.26</v>
      </c>
      <c r="I388" s="483">
        <f t="shared" si="32"/>
        <v>20000.259999999998</v>
      </c>
      <c r="J388" s="29">
        <v>0.33</v>
      </c>
      <c r="K388" s="148">
        <v>2</v>
      </c>
      <c r="L388" s="509">
        <f t="shared" si="36"/>
        <v>0.33</v>
      </c>
      <c r="M388" s="399">
        <f t="shared" si="37"/>
        <v>0.33</v>
      </c>
    </row>
    <row r="389" spans="1:13">
      <c r="A389">
        <v>57</v>
      </c>
      <c r="B389" s="379" t="s">
        <v>354</v>
      </c>
      <c r="C389" s="313" t="s">
        <v>1532</v>
      </c>
      <c r="D389" s="29">
        <v>57</v>
      </c>
      <c r="E389" s="514" t="s">
        <v>413</v>
      </c>
      <c r="F389" s="29">
        <v>20000</v>
      </c>
      <c r="G389" s="395" t="str">
        <f t="shared" si="35"/>
        <v>57-20000 ,g-02</v>
      </c>
      <c r="H389" s="29">
        <v>-0.26</v>
      </c>
      <c r="I389" s="483">
        <f t="shared" ref="I389:I452" si="38">F389-H389</f>
        <v>20000.259999999998</v>
      </c>
      <c r="J389" s="29">
        <v>0.33</v>
      </c>
      <c r="K389" s="148">
        <v>2</v>
      </c>
      <c r="L389" s="509">
        <f t="shared" si="36"/>
        <v>0.33</v>
      </c>
      <c r="M389" s="399">
        <f t="shared" si="37"/>
        <v>0.33</v>
      </c>
    </row>
    <row r="390" spans="1:13">
      <c r="A390">
        <v>58</v>
      </c>
      <c r="B390" s="379" t="s">
        <v>354</v>
      </c>
      <c r="C390" s="313" t="s">
        <v>1532</v>
      </c>
      <c r="D390" s="29">
        <v>58</v>
      </c>
      <c r="E390" s="514" t="s">
        <v>413</v>
      </c>
      <c r="F390" s="29">
        <v>20000</v>
      </c>
      <c r="G390" s="395" t="str">
        <f t="shared" si="35"/>
        <v>58-20000 ,g-02</v>
      </c>
      <c r="H390" s="29">
        <v>-0.26</v>
      </c>
      <c r="I390" s="483">
        <f t="shared" si="38"/>
        <v>20000.259999999998</v>
      </c>
      <c r="J390" s="29">
        <v>0.33</v>
      </c>
      <c r="K390" s="148">
        <v>2</v>
      </c>
      <c r="L390" s="509">
        <f t="shared" si="36"/>
        <v>0.33</v>
      </c>
      <c r="M390" s="399">
        <f t="shared" si="37"/>
        <v>0.33</v>
      </c>
    </row>
    <row r="391" spans="1:13">
      <c r="A391">
        <v>59</v>
      </c>
      <c r="B391" s="379" t="s">
        <v>354</v>
      </c>
      <c r="C391" s="313" t="s">
        <v>1532</v>
      </c>
      <c r="D391" s="29">
        <v>59</v>
      </c>
      <c r="E391" s="514" t="s">
        <v>413</v>
      </c>
      <c r="F391" s="29">
        <v>20000</v>
      </c>
      <c r="G391" s="395" t="str">
        <f t="shared" si="35"/>
        <v>59-20000 ,g-02</v>
      </c>
      <c r="H391" s="29">
        <v>-0.26</v>
      </c>
      <c r="I391" s="483">
        <f t="shared" si="38"/>
        <v>20000.259999999998</v>
      </c>
      <c r="J391" s="29">
        <v>0.33</v>
      </c>
      <c r="K391" s="148">
        <v>2</v>
      </c>
      <c r="L391" s="509">
        <f t="shared" si="36"/>
        <v>0.33</v>
      </c>
      <c r="M391" s="399">
        <f t="shared" si="37"/>
        <v>0.33</v>
      </c>
    </row>
    <row r="392" spans="1:13">
      <c r="A392">
        <v>60</v>
      </c>
      <c r="B392" s="379" t="s">
        <v>354</v>
      </c>
      <c r="C392" s="313" t="s">
        <v>1532</v>
      </c>
      <c r="D392" s="29">
        <v>60</v>
      </c>
      <c r="E392" s="514" t="s">
        <v>413</v>
      </c>
      <c r="F392" s="29">
        <v>20000</v>
      </c>
      <c r="G392" s="395" t="str">
        <f t="shared" ref="G392:G455" si="39">+CONCATENATE(D392,"-",E392,"-",MID(C392,12,2))</f>
        <v>60-20000 ,g-02</v>
      </c>
      <c r="H392" s="29">
        <v>-0.26</v>
      </c>
      <c r="I392" s="483">
        <f t="shared" si="38"/>
        <v>20000.259999999998</v>
      </c>
      <c r="J392" s="29">
        <v>0.33</v>
      </c>
      <c r="K392" s="148">
        <v>2</v>
      </c>
      <c r="L392" s="509">
        <f t="shared" si="36"/>
        <v>0.33</v>
      </c>
      <c r="M392" s="399">
        <f t="shared" si="37"/>
        <v>0.33</v>
      </c>
    </row>
    <row r="393" spans="1:13">
      <c r="A393">
        <v>61</v>
      </c>
      <c r="B393" s="379" t="s">
        <v>354</v>
      </c>
      <c r="C393" s="313" t="s">
        <v>1532</v>
      </c>
      <c r="D393" s="29">
        <v>61</v>
      </c>
      <c r="E393" s="514" t="s">
        <v>413</v>
      </c>
      <c r="F393" s="29">
        <v>20000</v>
      </c>
      <c r="G393" s="395" t="str">
        <f t="shared" si="39"/>
        <v>61-20000 ,g-02</v>
      </c>
      <c r="H393" s="29">
        <v>-0.26</v>
      </c>
      <c r="I393" s="483">
        <f t="shared" si="38"/>
        <v>20000.259999999998</v>
      </c>
      <c r="J393" s="29">
        <v>0.33</v>
      </c>
      <c r="K393" s="148">
        <v>2</v>
      </c>
      <c r="L393" s="509">
        <f t="shared" si="36"/>
        <v>0.33</v>
      </c>
      <c r="M393" s="399">
        <f t="shared" si="37"/>
        <v>0.33</v>
      </c>
    </row>
    <row r="394" spans="1:13">
      <c r="A394">
        <v>62</v>
      </c>
      <c r="B394" s="379" t="s">
        <v>354</v>
      </c>
      <c r="C394" s="313" t="s">
        <v>1532</v>
      </c>
      <c r="D394" s="29">
        <v>62</v>
      </c>
      <c r="E394" s="514" t="s">
        <v>413</v>
      </c>
      <c r="F394" s="29">
        <v>20000</v>
      </c>
      <c r="G394" s="395" t="str">
        <f t="shared" si="39"/>
        <v>62-20000 ,g-02</v>
      </c>
      <c r="H394" s="29">
        <v>-0.26</v>
      </c>
      <c r="I394" s="483">
        <f t="shared" si="38"/>
        <v>20000.259999999998</v>
      </c>
      <c r="J394" s="29">
        <v>0.33</v>
      </c>
      <c r="K394" s="148">
        <v>2</v>
      </c>
      <c r="L394" s="509">
        <f t="shared" si="36"/>
        <v>0.33</v>
      </c>
      <c r="M394" s="399">
        <f t="shared" si="37"/>
        <v>0.33</v>
      </c>
    </row>
    <row r="395" spans="1:13">
      <c r="A395">
        <v>63</v>
      </c>
      <c r="B395" s="379" t="s">
        <v>354</v>
      </c>
      <c r="C395" s="313" t="s">
        <v>1532</v>
      </c>
      <c r="D395" s="29">
        <v>63</v>
      </c>
      <c r="E395" s="514" t="s">
        <v>413</v>
      </c>
      <c r="F395" s="29">
        <v>20000</v>
      </c>
      <c r="G395" s="395" t="str">
        <f t="shared" si="39"/>
        <v>63-20000 ,g-02</v>
      </c>
      <c r="H395" s="29">
        <v>-0.26</v>
      </c>
      <c r="I395" s="483">
        <f t="shared" si="38"/>
        <v>20000.259999999998</v>
      </c>
      <c r="J395" s="29">
        <v>0.33</v>
      </c>
      <c r="K395" s="148">
        <v>2</v>
      </c>
      <c r="L395" s="509">
        <f t="shared" ref="L395:L458" si="40">IF(AND(B395="E2",N395&lt;&gt;0),ABS(H395-N395),M395)</f>
        <v>0.33</v>
      </c>
      <c r="M395" s="399">
        <f t="shared" ref="M395:M458" si="41">J395</f>
        <v>0.33</v>
      </c>
    </row>
    <row r="396" spans="1:13">
      <c r="A396">
        <v>64</v>
      </c>
      <c r="B396" s="379" t="s">
        <v>354</v>
      </c>
      <c r="C396" s="313" t="s">
        <v>1532</v>
      </c>
      <c r="D396" s="29">
        <v>64</v>
      </c>
      <c r="E396" s="514" t="s">
        <v>413</v>
      </c>
      <c r="F396" s="29">
        <v>20000</v>
      </c>
      <c r="G396" s="395" t="str">
        <f t="shared" si="39"/>
        <v>64-20000 ,g-02</v>
      </c>
      <c r="H396" s="29">
        <v>-0.26</v>
      </c>
      <c r="I396" s="483">
        <f t="shared" si="38"/>
        <v>20000.259999999998</v>
      </c>
      <c r="J396" s="29">
        <v>0.33</v>
      </c>
      <c r="K396" s="148">
        <v>2</v>
      </c>
      <c r="L396" s="509">
        <f t="shared" si="40"/>
        <v>0.33</v>
      </c>
      <c r="M396" s="399">
        <f t="shared" si="41"/>
        <v>0.33</v>
      </c>
    </row>
    <row r="397" spans="1:13">
      <c r="A397">
        <v>65</v>
      </c>
      <c r="B397" s="379" t="s">
        <v>354</v>
      </c>
      <c r="C397" s="313" t="s">
        <v>1532</v>
      </c>
      <c r="D397" s="29">
        <v>65</v>
      </c>
      <c r="E397" s="514" t="s">
        <v>413</v>
      </c>
      <c r="F397" s="29">
        <v>20000</v>
      </c>
      <c r="G397" s="395" t="str">
        <f t="shared" si="39"/>
        <v>65-20000 ,g-02</v>
      </c>
      <c r="H397" s="29">
        <v>-0.26</v>
      </c>
      <c r="I397" s="483">
        <f t="shared" si="38"/>
        <v>20000.259999999998</v>
      </c>
      <c r="J397" s="29">
        <v>0.33</v>
      </c>
      <c r="K397" s="148">
        <v>2</v>
      </c>
      <c r="L397" s="509">
        <f t="shared" si="40"/>
        <v>0.33</v>
      </c>
      <c r="M397" s="399">
        <f t="shared" si="41"/>
        <v>0.33</v>
      </c>
    </row>
    <row r="398" spans="1:13">
      <c r="A398">
        <v>66</v>
      </c>
      <c r="B398" s="379" t="s">
        <v>354</v>
      </c>
      <c r="C398" s="313" t="s">
        <v>1532</v>
      </c>
      <c r="D398" s="29">
        <v>66</v>
      </c>
      <c r="E398" s="514" t="s">
        <v>413</v>
      </c>
      <c r="F398" s="29">
        <v>20000</v>
      </c>
      <c r="G398" s="395" t="str">
        <f t="shared" si="39"/>
        <v>66-20000 ,g-02</v>
      </c>
      <c r="H398" s="29">
        <v>-0.26</v>
      </c>
      <c r="I398" s="483">
        <f t="shared" si="38"/>
        <v>20000.259999999998</v>
      </c>
      <c r="J398" s="29">
        <v>0.33</v>
      </c>
      <c r="K398" s="148">
        <v>2</v>
      </c>
      <c r="L398" s="509">
        <f t="shared" si="40"/>
        <v>0.33</v>
      </c>
      <c r="M398" s="399">
        <f t="shared" si="41"/>
        <v>0.33</v>
      </c>
    </row>
    <row r="399" spans="1:13">
      <c r="A399">
        <v>33</v>
      </c>
      <c r="B399" s="379" t="s">
        <v>354</v>
      </c>
      <c r="C399" s="313" t="s">
        <v>1532</v>
      </c>
      <c r="D399" s="29">
        <v>33</v>
      </c>
      <c r="E399" s="514" t="s">
        <v>361</v>
      </c>
      <c r="F399" s="29">
        <v>5</v>
      </c>
      <c r="G399" s="395" t="str">
        <f t="shared" si="39"/>
        <v>33-5 ,kg-02</v>
      </c>
      <c r="H399" s="29">
        <v>-1.1999999999999999E-4</v>
      </c>
      <c r="I399" s="483">
        <f t="shared" si="38"/>
        <v>5.0001199999999999</v>
      </c>
      <c r="J399" s="29">
        <v>8.2999999999999998E-5</v>
      </c>
      <c r="K399" s="148">
        <v>2</v>
      </c>
      <c r="L399" s="509">
        <f t="shared" si="40"/>
        <v>8.2999999999999998E-5</v>
      </c>
      <c r="M399" s="399">
        <f t="shared" si="41"/>
        <v>8.2999999999999998E-5</v>
      </c>
    </row>
    <row r="400" spans="1:13">
      <c r="A400">
        <v>34</v>
      </c>
      <c r="B400" s="379" t="s">
        <v>354</v>
      </c>
      <c r="C400" s="313" t="s">
        <v>1533</v>
      </c>
      <c r="D400" s="29">
        <v>34</v>
      </c>
      <c r="E400" s="514" t="s">
        <v>361</v>
      </c>
      <c r="F400" s="29">
        <v>5</v>
      </c>
      <c r="G400" s="395" t="str">
        <f t="shared" si="39"/>
        <v>34-5 ,kg-03</v>
      </c>
      <c r="H400" s="29">
        <v>-1.1899999999999999E-4</v>
      </c>
      <c r="I400" s="483">
        <f t="shared" si="38"/>
        <v>5.0001189999999998</v>
      </c>
      <c r="J400" s="29">
        <v>8.2999999999999998E-5</v>
      </c>
      <c r="K400" s="148">
        <v>2</v>
      </c>
      <c r="L400" s="509">
        <f t="shared" si="40"/>
        <v>8.2999999999999998E-5</v>
      </c>
      <c r="M400" s="399">
        <f t="shared" si="41"/>
        <v>8.2999999999999998E-5</v>
      </c>
    </row>
    <row r="401" spans="1:13">
      <c r="A401">
        <v>35</v>
      </c>
      <c r="B401" s="379" t="s">
        <v>354</v>
      </c>
      <c r="C401" s="313" t="s">
        <v>1532</v>
      </c>
      <c r="D401" s="29">
        <v>35</v>
      </c>
      <c r="E401" s="514" t="s">
        <v>362</v>
      </c>
      <c r="F401" s="29">
        <v>10</v>
      </c>
      <c r="G401" s="395" t="str">
        <f t="shared" si="39"/>
        <v>35-10 ,kg-02</v>
      </c>
      <c r="H401" s="29">
        <v>-1.4999999999999999E-4</v>
      </c>
      <c r="I401" s="483">
        <f t="shared" si="38"/>
        <v>10.00015</v>
      </c>
      <c r="J401" s="29">
        <v>1.7000000000000001E-4</v>
      </c>
      <c r="K401" s="148">
        <v>2</v>
      </c>
      <c r="L401" s="509">
        <f t="shared" si="40"/>
        <v>1.7000000000000001E-4</v>
      </c>
      <c r="M401" s="399">
        <f t="shared" si="41"/>
        <v>1.7000000000000001E-4</v>
      </c>
    </row>
    <row r="402" spans="1:13">
      <c r="A402">
        <v>36</v>
      </c>
      <c r="B402" s="379" t="s">
        <v>354</v>
      </c>
      <c r="C402" s="313" t="s">
        <v>1533</v>
      </c>
      <c r="D402" s="29">
        <v>36</v>
      </c>
      <c r="E402" s="514" t="s">
        <v>362</v>
      </c>
      <c r="F402" s="29">
        <v>10</v>
      </c>
      <c r="G402" s="395" t="str">
        <f t="shared" si="39"/>
        <v>36-10 ,kg-03</v>
      </c>
      <c r="H402" s="29">
        <v>-1.4999999999999999E-4</v>
      </c>
      <c r="I402" s="483">
        <f t="shared" si="38"/>
        <v>10.00015</v>
      </c>
      <c r="J402" s="29">
        <v>1.7000000000000001E-4</v>
      </c>
      <c r="K402" s="148">
        <v>2</v>
      </c>
      <c r="L402" s="509">
        <f t="shared" si="40"/>
        <v>1.7000000000000001E-4</v>
      </c>
      <c r="M402" s="399">
        <f t="shared" si="41"/>
        <v>1.7000000000000001E-4</v>
      </c>
    </row>
    <row r="403" spans="1:13">
      <c r="A403">
        <v>37</v>
      </c>
      <c r="B403" s="379" t="s">
        <v>354</v>
      </c>
      <c r="C403" s="313" t="s">
        <v>1532</v>
      </c>
      <c r="D403" s="29">
        <v>37</v>
      </c>
      <c r="E403" s="514" t="s">
        <v>363</v>
      </c>
      <c r="F403" s="29">
        <v>20</v>
      </c>
      <c r="G403" s="395" t="str">
        <f t="shared" si="39"/>
        <v>37-20 ,kg-02</v>
      </c>
      <c r="H403" s="29">
        <v>-2.6000000000000003E-4</v>
      </c>
      <c r="I403" s="483">
        <f t="shared" si="38"/>
        <v>20.000260000000001</v>
      </c>
      <c r="J403" s="29">
        <v>3.3E-4</v>
      </c>
      <c r="K403" s="148">
        <v>2</v>
      </c>
      <c r="L403" s="509">
        <f t="shared" si="40"/>
        <v>3.3E-4</v>
      </c>
      <c r="M403" s="399">
        <f t="shared" si="41"/>
        <v>3.3E-4</v>
      </c>
    </row>
    <row r="404" spans="1:13">
      <c r="A404">
        <v>38</v>
      </c>
      <c r="B404" s="379" t="s">
        <v>354</v>
      </c>
      <c r="C404" s="313" t="s">
        <v>1532</v>
      </c>
      <c r="D404" s="29">
        <v>38</v>
      </c>
      <c r="E404" s="514" t="s">
        <v>363</v>
      </c>
      <c r="F404" s="29">
        <v>20</v>
      </c>
      <c r="G404" s="395" t="str">
        <f t="shared" si="39"/>
        <v>38-20 ,kg-02</v>
      </c>
      <c r="H404" s="29">
        <v>-2.6000000000000003E-4</v>
      </c>
      <c r="I404" s="483">
        <f t="shared" si="38"/>
        <v>20.000260000000001</v>
      </c>
      <c r="J404" s="29">
        <v>3.3E-4</v>
      </c>
      <c r="K404" s="148">
        <v>2</v>
      </c>
      <c r="L404" s="509">
        <f t="shared" si="40"/>
        <v>3.3E-4</v>
      </c>
      <c r="M404" s="399">
        <f t="shared" si="41"/>
        <v>3.3E-4</v>
      </c>
    </row>
    <row r="405" spans="1:13">
      <c r="A405">
        <v>39</v>
      </c>
      <c r="B405" s="379" t="s">
        <v>354</v>
      </c>
      <c r="C405" s="313" t="s">
        <v>1532</v>
      </c>
      <c r="D405" s="29">
        <v>39</v>
      </c>
      <c r="E405" s="514" t="s">
        <v>363</v>
      </c>
      <c r="F405" s="29">
        <v>20</v>
      </c>
      <c r="G405" s="395" t="str">
        <f t="shared" si="39"/>
        <v>39-20 ,kg-02</v>
      </c>
      <c r="H405" s="29">
        <v>-2.6000000000000003E-4</v>
      </c>
      <c r="I405" s="483">
        <f t="shared" si="38"/>
        <v>20.000260000000001</v>
      </c>
      <c r="J405" s="29">
        <v>3.3E-4</v>
      </c>
      <c r="K405" s="148">
        <v>2</v>
      </c>
      <c r="L405" s="509">
        <f t="shared" si="40"/>
        <v>3.3E-4</v>
      </c>
      <c r="M405" s="399">
        <f t="shared" si="41"/>
        <v>3.3E-4</v>
      </c>
    </row>
    <row r="406" spans="1:13">
      <c r="A406">
        <v>40</v>
      </c>
      <c r="B406" s="379" t="s">
        <v>354</v>
      </c>
      <c r="C406" s="313" t="s">
        <v>1532</v>
      </c>
      <c r="D406" s="29">
        <v>40</v>
      </c>
      <c r="E406" s="514" t="s">
        <v>363</v>
      </c>
      <c r="F406" s="29">
        <v>20</v>
      </c>
      <c r="G406" s="395" t="str">
        <f t="shared" si="39"/>
        <v>40-20 ,kg-02</v>
      </c>
      <c r="H406" s="29">
        <v>-1.9000000000000001E-4</v>
      </c>
      <c r="I406" s="483">
        <f t="shared" si="38"/>
        <v>20.00019</v>
      </c>
      <c r="J406" s="29">
        <v>3.3E-4</v>
      </c>
      <c r="K406" s="148">
        <v>2</v>
      </c>
      <c r="L406" s="509">
        <f t="shared" si="40"/>
        <v>3.3E-4</v>
      </c>
      <c r="M406" s="399">
        <f t="shared" si="41"/>
        <v>3.3E-4</v>
      </c>
    </row>
    <row r="407" spans="1:13">
      <c r="A407">
        <v>41</v>
      </c>
      <c r="B407" s="379" t="s">
        <v>354</v>
      </c>
      <c r="C407" s="313" t="s">
        <v>1532</v>
      </c>
      <c r="D407" s="29">
        <v>41</v>
      </c>
      <c r="E407" s="514" t="s">
        <v>363</v>
      </c>
      <c r="F407" s="29">
        <v>20</v>
      </c>
      <c r="G407" s="395" t="str">
        <f t="shared" si="39"/>
        <v>41-20 ,kg-02</v>
      </c>
      <c r="H407" s="29">
        <v>-2.6000000000000003E-4</v>
      </c>
      <c r="I407" s="483">
        <f t="shared" si="38"/>
        <v>20.000260000000001</v>
      </c>
      <c r="J407" s="29">
        <v>3.3E-4</v>
      </c>
      <c r="K407" s="148">
        <v>2</v>
      </c>
      <c r="L407" s="509">
        <f t="shared" si="40"/>
        <v>3.3E-4</v>
      </c>
      <c r="M407" s="399">
        <f t="shared" si="41"/>
        <v>3.3E-4</v>
      </c>
    </row>
    <row r="408" spans="1:13">
      <c r="A408">
        <v>42</v>
      </c>
      <c r="B408" s="379" t="s">
        <v>354</v>
      </c>
      <c r="C408" s="313" t="s">
        <v>1532</v>
      </c>
      <c r="D408" s="29">
        <v>42</v>
      </c>
      <c r="E408" s="514" t="s">
        <v>363</v>
      </c>
      <c r="F408" s="29">
        <v>20</v>
      </c>
      <c r="G408" s="395" t="str">
        <f t="shared" si="39"/>
        <v>42-20 ,kg-02</v>
      </c>
      <c r="H408" s="29">
        <v>-2.6000000000000003E-4</v>
      </c>
      <c r="I408" s="483">
        <f t="shared" si="38"/>
        <v>20.000260000000001</v>
      </c>
      <c r="J408" s="29">
        <v>3.3E-4</v>
      </c>
      <c r="K408" s="148">
        <v>2</v>
      </c>
      <c r="L408" s="509">
        <f t="shared" si="40"/>
        <v>3.3E-4</v>
      </c>
      <c r="M408" s="399">
        <f t="shared" si="41"/>
        <v>3.3E-4</v>
      </c>
    </row>
    <row r="409" spans="1:13">
      <c r="A409">
        <v>43</v>
      </c>
      <c r="B409" s="379" t="s">
        <v>354</v>
      </c>
      <c r="C409" s="313" t="s">
        <v>1532</v>
      </c>
      <c r="D409" s="29">
        <v>43</v>
      </c>
      <c r="E409" s="514" t="s">
        <v>363</v>
      </c>
      <c r="F409" s="29">
        <v>20</v>
      </c>
      <c r="G409" s="395" t="str">
        <f t="shared" si="39"/>
        <v>43-20 ,kg-02</v>
      </c>
      <c r="H409" s="29">
        <v>-2.2000000000000001E-4</v>
      </c>
      <c r="I409" s="483">
        <f t="shared" si="38"/>
        <v>20.000219999999999</v>
      </c>
      <c r="J409" s="29">
        <v>3.3E-4</v>
      </c>
      <c r="K409" s="148">
        <v>2</v>
      </c>
      <c r="L409" s="509">
        <f t="shared" si="40"/>
        <v>3.3E-4</v>
      </c>
      <c r="M409" s="399">
        <f t="shared" si="41"/>
        <v>3.3E-4</v>
      </c>
    </row>
    <row r="410" spans="1:13">
      <c r="A410">
        <v>44</v>
      </c>
      <c r="B410" s="379" t="s">
        <v>354</v>
      </c>
      <c r="C410" s="313" t="s">
        <v>1532</v>
      </c>
      <c r="D410" s="29">
        <v>44</v>
      </c>
      <c r="E410" s="514" t="s">
        <v>363</v>
      </c>
      <c r="F410" s="29">
        <v>20</v>
      </c>
      <c r="G410" s="395" t="str">
        <f t="shared" si="39"/>
        <v>44-20 ,kg-02</v>
      </c>
      <c r="H410" s="29">
        <v>-2.6000000000000003E-4</v>
      </c>
      <c r="I410" s="483">
        <f t="shared" si="38"/>
        <v>20.000260000000001</v>
      </c>
      <c r="J410" s="29">
        <v>3.3E-4</v>
      </c>
      <c r="K410" s="148">
        <v>2</v>
      </c>
      <c r="L410" s="509">
        <f t="shared" si="40"/>
        <v>3.3E-4</v>
      </c>
      <c r="M410" s="399">
        <f t="shared" si="41"/>
        <v>3.3E-4</v>
      </c>
    </row>
    <row r="411" spans="1:13">
      <c r="A411">
        <v>45</v>
      </c>
      <c r="B411" s="379" t="s">
        <v>354</v>
      </c>
      <c r="C411" s="313" t="s">
        <v>1532</v>
      </c>
      <c r="D411" s="29">
        <v>45</v>
      </c>
      <c r="E411" s="514" t="s">
        <v>363</v>
      </c>
      <c r="F411" s="29">
        <v>20</v>
      </c>
      <c r="G411" s="395" t="str">
        <f t="shared" si="39"/>
        <v>45-20 ,kg-02</v>
      </c>
      <c r="H411" s="29">
        <v>-2.6000000000000003E-4</v>
      </c>
      <c r="I411" s="483">
        <f t="shared" si="38"/>
        <v>20.000260000000001</v>
      </c>
      <c r="J411" s="29">
        <v>3.3E-4</v>
      </c>
      <c r="K411" s="148">
        <v>2</v>
      </c>
      <c r="L411" s="509">
        <f t="shared" si="40"/>
        <v>3.3E-4</v>
      </c>
      <c r="M411" s="399">
        <f t="shared" si="41"/>
        <v>3.3E-4</v>
      </c>
    </row>
    <row r="412" spans="1:13">
      <c r="A412">
        <v>46</v>
      </c>
      <c r="B412" s="379" t="s">
        <v>354</v>
      </c>
      <c r="C412" s="313" t="s">
        <v>1532</v>
      </c>
      <c r="D412" s="29">
        <v>46</v>
      </c>
      <c r="E412" s="514" t="s">
        <v>363</v>
      </c>
      <c r="F412" s="29">
        <v>20</v>
      </c>
      <c r="G412" s="395" t="str">
        <f t="shared" si="39"/>
        <v>46-20 ,kg-02</v>
      </c>
      <c r="H412" s="29">
        <v>-2.6000000000000003E-4</v>
      </c>
      <c r="I412" s="483">
        <f t="shared" si="38"/>
        <v>20.000260000000001</v>
      </c>
      <c r="J412" s="29">
        <v>3.3E-4</v>
      </c>
      <c r="K412" s="148">
        <v>2</v>
      </c>
      <c r="L412" s="509">
        <f t="shared" si="40"/>
        <v>3.3E-4</v>
      </c>
      <c r="M412" s="399">
        <f t="shared" si="41"/>
        <v>3.3E-4</v>
      </c>
    </row>
    <row r="413" spans="1:13">
      <c r="A413">
        <v>47</v>
      </c>
      <c r="B413" s="379" t="s">
        <v>354</v>
      </c>
      <c r="C413" s="313" t="s">
        <v>1532</v>
      </c>
      <c r="D413" s="29">
        <v>47</v>
      </c>
      <c r="E413" s="514" t="s">
        <v>363</v>
      </c>
      <c r="F413" s="29">
        <v>20</v>
      </c>
      <c r="G413" s="395" t="str">
        <f t="shared" si="39"/>
        <v>47-20 ,kg-02</v>
      </c>
      <c r="H413" s="29">
        <v>-2.6000000000000003E-4</v>
      </c>
      <c r="I413" s="483">
        <f t="shared" si="38"/>
        <v>20.000260000000001</v>
      </c>
      <c r="J413" s="29">
        <v>3.3E-4</v>
      </c>
      <c r="K413" s="148">
        <v>2</v>
      </c>
      <c r="L413" s="509">
        <f t="shared" si="40"/>
        <v>3.3E-4</v>
      </c>
      <c r="M413" s="399">
        <f t="shared" si="41"/>
        <v>3.3E-4</v>
      </c>
    </row>
    <row r="414" spans="1:13">
      <c r="A414">
        <v>48</v>
      </c>
      <c r="B414" s="379" t="s">
        <v>354</v>
      </c>
      <c r="C414" s="313" t="s">
        <v>1532</v>
      </c>
      <c r="D414" s="29">
        <v>48</v>
      </c>
      <c r="E414" s="514" t="s">
        <v>363</v>
      </c>
      <c r="F414" s="29">
        <v>20</v>
      </c>
      <c r="G414" s="395" t="str">
        <f t="shared" si="39"/>
        <v>48-20 ,kg-02</v>
      </c>
      <c r="H414" s="29">
        <v>-2.6000000000000003E-4</v>
      </c>
      <c r="I414" s="483">
        <f t="shared" si="38"/>
        <v>20.000260000000001</v>
      </c>
      <c r="J414" s="29">
        <v>3.3E-4</v>
      </c>
      <c r="K414" s="148">
        <v>2</v>
      </c>
      <c r="L414" s="509">
        <f t="shared" si="40"/>
        <v>3.3E-4</v>
      </c>
      <c r="M414" s="399">
        <f t="shared" si="41"/>
        <v>3.3E-4</v>
      </c>
    </row>
    <row r="415" spans="1:13">
      <c r="A415">
        <v>49</v>
      </c>
      <c r="B415" s="379" t="s">
        <v>354</v>
      </c>
      <c r="C415" s="313" t="s">
        <v>1532</v>
      </c>
      <c r="D415" s="29">
        <v>49</v>
      </c>
      <c r="E415" s="514" t="s">
        <v>363</v>
      </c>
      <c r="F415" s="29">
        <v>20</v>
      </c>
      <c r="G415" s="395" t="str">
        <f t="shared" si="39"/>
        <v>49-20 ,kg-02</v>
      </c>
      <c r="H415" s="29">
        <v>-2.6000000000000003E-4</v>
      </c>
      <c r="I415" s="483">
        <f t="shared" si="38"/>
        <v>20.000260000000001</v>
      </c>
      <c r="J415" s="29">
        <v>3.3E-4</v>
      </c>
      <c r="K415" s="148">
        <v>2</v>
      </c>
      <c r="L415" s="509">
        <f t="shared" si="40"/>
        <v>3.3E-4</v>
      </c>
      <c r="M415" s="399">
        <f t="shared" si="41"/>
        <v>3.3E-4</v>
      </c>
    </row>
    <row r="416" spans="1:13">
      <c r="A416">
        <v>50</v>
      </c>
      <c r="B416" s="379" t="s">
        <v>354</v>
      </c>
      <c r="C416" s="313" t="s">
        <v>1532</v>
      </c>
      <c r="D416" s="29">
        <v>50</v>
      </c>
      <c r="E416" s="514" t="s">
        <v>363</v>
      </c>
      <c r="F416" s="29">
        <v>20</v>
      </c>
      <c r="G416" s="395" t="str">
        <f t="shared" si="39"/>
        <v>50-20 ,kg-02</v>
      </c>
      <c r="H416" s="29">
        <v>-2.6000000000000003E-4</v>
      </c>
      <c r="I416" s="483">
        <f t="shared" si="38"/>
        <v>20.000260000000001</v>
      </c>
      <c r="J416" s="29">
        <v>3.3E-4</v>
      </c>
      <c r="K416" s="148">
        <v>2</v>
      </c>
      <c r="L416" s="509">
        <f t="shared" si="40"/>
        <v>3.3E-4</v>
      </c>
      <c r="M416" s="399">
        <f t="shared" si="41"/>
        <v>3.3E-4</v>
      </c>
    </row>
    <row r="417" spans="1:13">
      <c r="A417">
        <v>51</v>
      </c>
      <c r="B417" s="379" t="s">
        <v>354</v>
      </c>
      <c r="C417" s="313" t="s">
        <v>1532</v>
      </c>
      <c r="D417" s="29">
        <v>51</v>
      </c>
      <c r="E417" s="514" t="s">
        <v>363</v>
      </c>
      <c r="F417" s="29">
        <v>20</v>
      </c>
      <c r="G417" s="395" t="str">
        <f t="shared" si="39"/>
        <v>51-20 ,kg-02</v>
      </c>
      <c r="H417" s="29">
        <v>-2.0999999999999998E-4</v>
      </c>
      <c r="I417" s="483">
        <f t="shared" si="38"/>
        <v>20.000209999999999</v>
      </c>
      <c r="J417" s="29">
        <v>3.3E-4</v>
      </c>
      <c r="K417" s="148">
        <v>2</v>
      </c>
      <c r="L417" s="509">
        <f t="shared" si="40"/>
        <v>3.3E-4</v>
      </c>
      <c r="M417" s="399">
        <f t="shared" si="41"/>
        <v>3.3E-4</v>
      </c>
    </row>
    <row r="418" spans="1:13">
      <c r="A418">
        <v>52</v>
      </c>
      <c r="B418" s="379" t="s">
        <v>354</v>
      </c>
      <c r="C418" s="313" t="s">
        <v>1532</v>
      </c>
      <c r="D418" s="29">
        <v>52</v>
      </c>
      <c r="E418" s="514" t="s">
        <v>363</v>
      </c>
      <c r="F418" s="29">
        <v>20</v>
      </c>
      <c r="G418" s="395" t="str">
        <f t="shared" si="39"/>
        <v>52-20 ,kg-02</v>
      </c>
      <c r="H418" s="29">
        <v>-2.6000000000000003E-4</v>
      </c>
      <c r="I418" s="483">
        <f t="shared" si="38"/>
        <v>20.000260000000001</v>
      </c>
      <c r="J418" s="29">
        <v>3.3E-4</v>
      </c>
      <c r="K418" s="148">
        <v>2</v>
      </c>
      <c r="L418" s="509">
        <f t="shared" si="40"/>
        <v>3.3E-4</v>
      </c>
      <c r="M418" s="399">
        <f t="shared" si="41"/>
        <v>3.3E-4</v>
      </c>
    </row>
    <row r="419" spans="1:13">
      <c r="A419">
        <v>53</v>
      </c>
      <c r="B419" s="379" t="s">
        <v>354</v>
      </c>
      <c r="C419" s="313" t="s">
        <v>1532</v>
      </c>
      <c r="D419" s="29">
        <v>53</v>
      </c>
      <c r="E419" s="514" t="s">
        <v>363</v>
      </c>
      <c r="F419" s="29">
        <v>20</v>
      </c>
      <c r="G419" s="395" t="str">
        <f t="shared" si="39"/>
        <v>53-20 ,kg-02</v>
      </c>
      <c r="H419" s="29">
        <v>-2.6000000000000003E-4</v>
      </c>
      <c r="I419" s="483">
        <f t="shared" si="38"/>
        <v>20.000260000000001</v>
      </c>
      <c r="J419" s="29">
        <v>3.3E-4</v>
      </c>
      <c r="K419" s="148">
        <v>2</v>
      </c>
      <c r="L419" s="509">
        <f t="shared" si="40"/>
        <v>3.3E-4</v>
      </c>
      <c r="M419" s="399">
        <f t="shared" si="41"/>
        <v>3.3E-4</v>
      </c>
    </row>
    <row r="420" spans="1:13">
      <c r="A420">
        <v>54</v>
      </c>
      <c r="B420" s="379" t="s">
        <v>354</v>
      </c>
      <c r="C420" s="313" t="s">
        <v>1532</v>
      </c>
      <c r="D420" s="29">
        <v>54</v>
      </c>
      <c r="E420" s="514" t="s">
        <v>363</v>
      </c>
      <c r="F420" s="29">
        <v>20</v>
      </c>
      <c r="G420" s="395" t="str">
        <f t="shared" si="39"/>
        <v>54-20 ,kg-02</v>
      </c>
      <c r="H420" s="29">
        <v>-2.6000000000000003E-4</v>
      </c>
      <c r="I420" s="483">
        <f t="shared" si="38"/>
        <v>20.000260000000001</v>
      </c>
      <c r="J420" s="29">
        <v>3.3E-4</v>
      </c>
      <c r="K420" s="148">
        <v>2</v>
      </c>
      <c r="L420" s="509">
        <f t="shared" si="40"/>
        <v>3.3E-4</v>
      </c>
      <c r="M420" s="399">
        <f t="shared" si="41"/>
        <v>3.3E-4</v>
      </c>
    </row>
    <row r="421" spans="1:13">
      <c r="A421">
        <v>55</v>
      </c>
      <c r="B421" s="379" t="s">
        <v>354</v>
      </c>
      <c r="C421" s="313" t="s">
        <v>1532</v>
      </c>
      <c r="D421" s="29">
        <v>55</v>
      </c>
      <c r="E421" s="514" t="s">
        <v>363</v>
      </c>
      <c r="F421" s="29">
        <v>20</v>
      </c>
      <c r="G421" s="395" t="str">
        <f t="shared" si="39"/>
        <v>55-20 ,kg-02</v>
      </c>
      <c r="H421" s="29">
        <v>-2.6000000000000003E-4</v>
      </c>
      <c r="I421" s="483">
        <f t="shared" si="38"/>
        <v>20.000260000000001</v>
      </c>
      <c r="J421" s="29">
        <v>3.3E-4</v>
      </c>
      <c r="K421" s="148">
        <v>2</v>
      </c>
      <c r="L421" s="509">
        <f t="shared" si="40"/>
        <v>3.3E-4</v>
      </c>
      <c r="M421" s="399">
        <f t="shared" si="41"/>
        <v>3.3E-4</v>
      </c>
    </row>
    <row r="422" spans="1:13">
      <c r="A422">
        <v>56</v>
      </c>
      <c r="B422" s="379" t="s">
        <v>354</v>
      </c>
      <c r="C422" s="313" t="s">
        <v>1532</v>
      </c>
      <c r="D422" s="29">
        <v>56</v>
      </c>
      <c r="E422" s="514" t="s">
        <v>363</v>
      </c>
      <c r="F422" s="29">
        <v>20</v>
      </c>
      <c r="G422" s="395" t="str">
        <f t="shared" si="39"/>
        <v>56-20 ,kg-02</v>
      </c>
      <c r="H422" s="29">
        <v>-2.6000000000000003E-4</v>
      </c>
      <c r="I422" s="483">
        <f t="shared" si="38"/>
        <v>20.000260000000001</v>
      </c>
      <c r="J422" s="29">
        <v>3.3E-4</v>
      </c>
      <c r="K422" s="148">
        <v>2</v>
      </c>
      <c r="L422" s="509">
        <f t="shared" si="40"/>
        <v>3.3E-4</v>
      </c>
      <c r="M422" s="399">
        <f t="shared" si="41"/>
        <v>3.3E-4</v>
      </c>
    </row>
    <row r="423" spans="1:13">
      <c r="A423">
        <v>57</v>
      </c>
      <c r="B423" s="379" t="s">
        <v>354</v>
      </c>
      <c r="C423" s="313" t="s">
        <v>1532</v>
      </c>
      <c r="D423" s="29">
        <v>57</v>
      </c>
      <c r="E423" s="514" t="s">
        <v>363</v>
      </c>
      <c r="F423" s="29">
        <v>20</v>
      </c>
      <c r="G423" s="395" t="str">
        <f t="shared" si="39"/>
        <v>57-20 ,kg-02</v>
      </c>
      <c r="H423" s="29">
        <v>-2.6000000000000003E-4</v>
      </c>
      <c r="I423" s="483">
        <f t="shared" si="38"/>
        <v>20.000260000000001</v>
      </c>
      <c r="J423" s="29">
        <v>3.3E-4</v>
      </c>
      <c r="K423" s="148">
        <v>2</v>
      </c>
      <c r="L423" s="509">
        <f t="shared" si="40"/>
        <v>3.3E-4</v>
      </c>
      <c r="M423" s="399">
        <f t="shared" si="41"/>
        <v>3.3E-4</v>
      </c>
    </row>
    <row r="424" spans="1:13">
      <c r="A424">
        <v>58</v>
      </c>
      <c r="B424" s="379" t="s">
        <v>354</v>
      </c>
      <c r="C424" s="313" t="s">
        <v>1532</v>
      </c>
      <c r="D424" s="29">
        <v>58</v>
      </c>
      <c r="E424" s="514" t="s">
        <v>363</v>
      </c>
      <c r="F424" s="29">
        <v>20</v>
      </c>
      <c r="G424" s="395" t="str">
        <f t="shared" si="39"/>
        <v>58-20 ,kg-02</v>
      </c>
      <c r="H424" s="29">
        <v>-2.6000000000000003E-4</v>
      </c>
      <c r="I424" s="483">
        <f t="shared" si="38"/>
        <v>20.000260000000001</v>
      </c>
      <c r="J424" s="29">
        <v>3.3E-4</v>
      </c>
      <c r="K424" s="148">
        <v>2</v>
      </c>
      <c r="L424" s="509">
        <f t="shared" si="40"/>
        <v>3.3E-4</v>
      </c>
      <c r="M424" s="399">
        <f t="shared" si="41"/>
        <v>3.3E-4</v>
      </c>
    </row>
    <row r="425" spans="1:13">
      <c r="A425">
        <v>59</v>
      </c>
      <c r="B425" s="379" t="s">
        <v>354</v>
      </c>
      <c r="C425" s="313" t="s">
        <v>1532</v>
      </c>
      <c r="D425" s="29">
        <v>59</v>
      </c>
      <c r="E425" s="514" t="s">
        <v>363</v>
      </c>
      <c r="F425" s="29">
        <v>20</v>
      </c>
      <c r="G425" s="395" t="str">
        <f t="shared" si="39"/>
        <v>59-20 ,kg-02</v>
      </c>
      <c r="H425" s="29">
        <v>-2.6000000000000003E-4</v>
      </c>
      <c r="I425" s="483">
        <f t="shared" si="38"/>
        <v>20.000260000000001</v>
      </c>
      <c r="J425" s="29">
        <v>3.3E-4</v>
      </c>
      <c r="K425" s="148">
        <v>2</v>
      </c>
      <c r="L425" s="509">
        <f t="shared" si="40"/>
        <v>3.3E-4</v>
      </c>
      <c r="M425" s="399">
        <f t="shared" si="41"/>
        <v>3.3E-4</v>
      </c>
    </row>
    <row r="426" spans="1:13">
      <c r="A426">
        <v>60</v>
      </c>
      <c r="B426" s="379" t="s">
        <v>354</v>
      </c>
      <c r="C426" s="313" t="s">
        <v>1532</v>
      </c>
      <c r="D426" s="29">
        <v>60</v>
      </c>
      <c r="E426" s="514" t="s">
        <v>363</v>
      </c>
      <c r="F426" s="29">
        <v>20</v>
      </c>
      <c r="G426" s="395" t="str">
        <f t="shared" si="39"/>
        <v>60-20 ,kg-02</v>
      </c>
      <c r="H426" s="29">
        <v>-2.6000000000000003E-4</v>
      </c>
      <c r="I426" s="483">
        <f t="shared" si="38"/>
        <v>20.000260000000001</v>
      </c>
      <c r="J426" s="29">
        <v>3.3E-4</v>
      </c>
      <c r="K426" s="148">
        <v>2</v>
      </c>
      <c r="L426" s="509">
        <f t="shared" si="40"/>
        <v>3.3E-4</v>
      </c>
      <c r="M426" s="399">
        <f t="shared" si="41"/>
        <v>3.3E-4</v>
      </c>
    </row>
    <row r="427" spans="1:13">
      <c r="A427">
        <v>61</v>
      </c>
      <c r="B427" s="379" t="s">
        <v>354</v>
      </c>
      <c r="C427" s="313" t="s">
        <v>1532</v>
      </c>
      <c r="D427" s="29">
        <v>61</v>
      </c>
      <c r="E427" s="514" t="s">
        <v>363</v>
      </c>
      <c r="F427" s="29">
        <v>20</v>
      </c>
      <c r="G427" s="395" t="str">
        <f t="shared" si="39"/>
        <v>61-20 ,kg-02</v>
      </c>
      <c r="H427" s="29">
        <v>-2.6000000000000003E-4</v>
      </c>
      <c r="I427" s="483">
        <f t="shared" si="38"/>
        <v>20.000260000000001</v>
      </c>
      <c r="J427" s="29">
        <v>3.3E-4</v>
      </c>
      <c r="K427" s="148">
        <v>2</v>
      </c>
      <c r="L427" s="509">
        <f t="shared" si="40"/>
        <v>3.3E-4</v>
      </c>
      <c r="M427" s="399">
        <f t="shared" si="41"/>
        <v>3.3E-4</v>
      </c>
    </row>
    <row r="428" spans="1:13">
      <c r="A428">
        <v>62</v>
      </c>
      <c r="B428" s="379" t="s">
        <v>354</v>
      </c>
      <c r="C428" s="313" t="s">
        <v>1532</v>
      </c>
      <c r="D428" s="29">
        <v>62</v>
      </c>
      <c r="E428" s="514" t="s">
        <v>363</v>
      </c>
      <c r="F428" s="29">
        <v>20</v>
      </c>
      <c r="G428" s="395" t="str">
        <f t="shared" si="39"/>
        <v>62-20 ,kg-02</v>
      </c>
      <c r="H428" s="29">
        <v>-2.6000000000000003E-4</v>
      </c>
      <c r="I428" s="483">
        <f t="shared" si="38"/>
        <v>20.000260000000001</v>
      </c>
      <c r="J428" s="29">
        <v>3.3E-4</v>
      </c>
      <c r="K428" s="148">
        <v>2</v>
      </c>
      <c r="L428" s="509">
        <f t="shared" si="40"/>
        <v>3.3E-4</v>
      </c>
      <c r="M428" s="399">
        <f t="shared" si="41"/>
        <v>3.3E-4</v>
      </c>
    </row>
    <row r="429" spans="1:13">
      <c r="A429">
        <v>63</v>
      </c>
      <c r="B429" s="379" t="s">
        <v>354</v>
      </c>
      <c r="C429" s="313" t="s">
        <v>1532</v>
      </c>
      <c r="D429" s="29">
        <v>63</v>
      </c>
      <c r="E429" s="514" t="s">
        <v>363</v>
      </c>
      <c r="F429" s="29">
        <v>20</v>
      </c>
      <c r="G429" s="395" t="str">
        <f t="shared" si="39"/>
        <v>63-20 ,kg-02</v>
      </c>
      <c r="H429" s="29">
        <v>-2.6000000000000003E-4</v>
      </c>
      <c r="I429" s="483">
        <f t="shared" si="38"/>
        <v>20.000260000000001</v>
      </c>
      <c r="J429" s="29">
        <v>3.3E-4</v>
      </c>
      <c r="K429" s="148">
        <v>2</v>
      </c>
      <c r="L429" s="509">
        <f t="shared" si="40"/>
        <v>3.3E-4</v>
      </c>
      <c r="M429" s="399">
        <f t="shared" si="41"/>
        <v>3.3E-4</v>
      </c>
    </row>
    <row r="430" spans="1:13">
      <c r="A430">
        <v>64</v>
      </c>
      <c r="B430" s="379" t="s">
        <v>354</v>
      </c>
      <c r="C430" s="313" t="s">
        <v>1532</v>
      </c>
      <c r="D430" s="29">
        <v>64</v>
      </c>
      <c r="E430" s="514" t="s">
        <v>363</v>
      </c>
      <c r="F430" s="29">
        <v>20</v>
      </c>
      <c r="G430" s="395" t="str">
        <f t="shared" si="39"/>
        <v>64-20 ,kg-02</v>
      </c>
      <c r="H430" s="29">
        <v>-2.6000000000000003E-4</v>
      </c>
      <c r="I430" s="483">
        <f t="shared" si="38"/>
        <v>20.000260000000001</v>
      </c>
      <c r="J430" s="29">
        <v>3.3E-4</v>
      </c>
      <c r="K430" s="148">
        <v>2</v>
      </c>
      <c r="L430" s="509">
        <f t="shared" si="40"/>
        <v>3.3E-4</v>
      </c>
      <c r="M430" s="399">
        <f t="shared" si="41"/>
        <v>3.3E-4</v>
      </c>
    </row>
    <row r="431" spans="1:13">
      <c r="A431">
        <v>65</v>
      </c>
      <c r="B431" s="379" t="s">
        <v>354</v>
      </c>
      <c r="C431" s="313" t="s">
        <v>1532</v>
      </c>
      <c r="D431" s="29">
        <v>65</v>
      </c>
      <c r="E431" s="514" t="s">
        <v>363</v>
      </c>
      <c r="F431" s="29">
        <v>20</v>
      </c>
      <c r="G431" s="395" t="str">
        <f t="shared" si="39"/>
        <v>65-20 ,kg-02</v>
      </c>
      <c r="H431" s="29">
        <v>-2.6000000000000003E-4</v>
      </c>
      <c r="I431" s="483">
        <f t="shared" si="38"/>
        <v>20.000260000000001</v>
      </c>
      <c r="J431" s="29">
        <v>3.3E-4</v>
      </c>
      <c r="K431" s="148">
        <v>2</v>
      </c>
      <c r="L431" s="509">
        <f t="shared" si="40"/>
        <v>3.3E-4</v>
      </c>
      <c r="M431" s="399">
        <f t="shared" si="41"/>
        <v>3.3E-4</v>
      </c>
    </row>
    <row r="432" spans="1:13">
      <c r="A432">
        <v>66</v>
      </c>
      <c r="B432" s="379" t="s">
        <v>354</v>
      </c>
      <c r="C432" s="313" t="s">
        <v>1532</v>
      </c>
      <c r="D432" s="29">
        <v>66</v>
      </c>
      <c r="E432" s="514" t="s">
        <v>363</v>
      </c>
      <c r="F432" s="29">
        <v>20</v>
      </c>
      <c r="G432" s="395" t="str">
        <f t="shared" si="39"/>
        <v>66-20 ,kg-02</v>
      </c>
      <c r="H432" s="29">
        <v>-2.6000000000000003E-4</v>
      </c>
      <c r="I432" s="483">
        <f t="shared" si="38"/>
        <v>20.000260000000001</v>
      </c>
      <c r="J432" s="29">
        <v>3.3E-4</v>
      </c>
      <c r="K432" s="148">
        <v>2</v>
      </c>
      <c r="L432" s="509">
        <f t="shared" si="40"/>
        <v>3.3E-4</v>
      </c>
      <c r="M432" s="399">
        <f t="shared" si="41"/>
        <v>3.3E-4</v>
      </c>
    </row>
    <row r="433" spans="1:13">
      <c r="A433">
        <v>67</v>
      </c>
      <c r="B433" s="379" t="s">
        <v>354</v>
      </c>
      <c r="C433" s="313" t="s">
        <v>1533</v>
      </c>
      <c r="D433" s="29">
        <v>67</v>
      </c>
      <c r="E433" s="514" t="s">
        <v>1201</v>
      </c>
      <c r="F433" s="29">
        <v>20000000</v>
      </c>
      <c r="G433" s="395" t="str">
        <f t="shared" si="39"/>
        <v>67-20000000 ,mg-03</v>
      </c>
      <c r="H433" s="29">
        <v>-250</v>
      </c>
      <c r="I433" s="483">
        <f t="shared" si="38"/>
        <v>20000250</v>
      </c>
      <c r="J433" s="29">
        <v>330</v>
      </c>
      <c r="K433" s="148">
        <v>2</v>
      </c>
      <c r="L433" s="509">
        <f t="shared" si="40"/>
        <v>330</v>
      </c>
      <c r="M433" s="399">
        <f t="shared" si="41"/>
        <v>330</v>
      </c>
    </row>
    <row r="434" spans="1:13">
      <c r="A434">
        <v>68</v>
      </c>
      <c r="B434" s="379" t="s">
        <v>354</v>
      </c>
      <c r="C434" s="313" t="s">
        <v>1533</v>
      </c>
      <c r="D434" s="29">
        <v>68</v>
      </c>
      <c r="E434" s="514" t="s">
        <v>1201</v>
      </c>
      <c r="F434" s="29">
        <v>20000000</v>
      </c>
      <c r="G434" s="395" t="str">
        <f t="shared" si="39"/>
        <v>68-20000000 ,mg-03</v>
      </c>
      <c r="H434" s="29">
        <v>-250</v>
      </c>
      <c r="I434" s="483">
        <f t="shared" si="38"/>
        <v>20000250</v>
      </c>
      <c r="J434" s="29">
        <v>330</v>
      </c>
      <c r="K434" s="148">
        <v>2</v>
      </c>
      <c r="L434" s="509">
        <f t="shared" si="40"/>
        <v>330</v>
      </c>
      <c r="M434" s="399">
        <f t="shared" si="41"/>
        <v>330</v>
      </c>
    </row>
    <row r="435" spans="1:13">
      <c r="A435">
        <v>69</v>
      </c>
      <c r="B435" s="379" t="s">
        <v>354</v>
      </c>
      <c r="C435" s="313" t="s">
        <v>1533</v>
      </c>
      <c r="D435" s="29">
        <v>69</v>
      </c>
      <c r="E435" s="514" t="s">
        <v>1201</v>
      </c>
      <c r="F435" s="29">
        <v>20000000</v>
      </c>
      <c r="G435" s="395" t="str">
        <f t="shared" si="39"/>
        <v>69-20000000 ,mg-03</v>
      </c>
      <c r="H435" s="29">
        <v>-250</v>
      </c>
      <c r="I435" s="483">
        <f t="shared" si="38"/>
        <v>20000250</v>
      </c>
      <c r="J435" s="29">
        <v>330</v>
      </c>
      <c r="K435" s="148">
        <v>2</v>
      </c>
      <c r="L435" s="509">
        <f t="shared" si="40"/>
        <v>330</v>
      </c>
      <c r="M435" s="399">
        <f t="shared" si="41"/>
        <v>330</v>
      </c>
    </row>
    <row r="436" spans="1:13">
      <c r="A436">
        <v>70</v>
      </c>
      <c r="B436" s="379" t="s">
        <v>354</v>
      </c>
      <c r="C436" s="313" t="s">
        <v>1533</v>
      </c>
      <c r="D436" s="29">
        <v>70</v>
      </c>
      <c r="E436" s="514" t="s">
        <v>1201</v>
      </c>
      <c r="F436" s="29">
        <v>20000000</v>
      </c>
      <c r="G436" s="395" t="str">
        <f t="shared" si="39"/>
        <v>70-20000000 ,mg-03</v>
      </c>
      <c r="H436" s="29">
        <v>-250</v>
      </c>
      <c r="I436" s="483">
        <f t="shared" si="38"/>
        <v>20000250</v>
      </c>
      <c r="J436" s="29">
        <v>330</v>
      </c>
      <c r="K436" s="148">
        <v>2</v>
      </c>
      <c r="L436" s="509">
        <f t="shared" si="40"/>
        <v>330</v>
      </c>
      <c r="M436" s="399">
        <f t="shared" si="41"/>
        <v>330</v>
      </c>
    </row>
    <row r="437" spans="1:13">
      <c r="A437">
        <v>71</v>
      </c>
      <c r="B437" s="379" t="s">
        <v>354</v>
      </c>
      <c r="C437" s="313" t="s">
        <v>1533</v>
      </c>
      <c r="D437" s="29">
        <v>71</v>
      </c>
      <c r="E437" s="514" t="s">
        <v>1201</v>
      </c>
      <c r="F437" s="29">
        <v>20000000</v>
      </c>
      <c r="G437" s="395" t="str">
        <f t="shared" si="39"/>
        <v>71-20000000 ,mg-03</v>
      </c>
      <c r="H437" s="29">
        <v>-250</v>
      </c>
      <c r="I437" s="483">
        <f t="shared" si="38"/>
        <v>20000250</v>
      </c>
      <c r="J437" s="29">
        <v>330</v>
      </c>
      <c r="K437" s="148">
        <v>2</v>
      </c>
      <c r="L437" s="509">
        <f t="shared" si="40"/>
        <v>330</v>
      </c>
      <c r="M437" s="399">
        <f t="shared" si="41"/>
        <v>330</v>
      </c>
    </row>
    <row r="438" spans="1:13">
      <c r="A438">
        <v>72</v>
      </c>
      <c r="B438" s="379" t="s">
        <v>354</v>
      </c>
      <c r="C438" s="313" t="s">
        <v>1533</v>
      </c>
      <c r="D438" s="29">
        <v>72</v>
      </c>
      <c r="E438" s="514" t="s">
        <v>1201</v>
      </c>
      <c r="F438" s="29">
        <v>20000000</v>
      </c>
      <c r="G438" s="395" t="str">
        <f t="shared" si="39"/>
        <v>72-20000000 ,mg-03</v>
      </c>
      <c r="H438" s="29">
        <v>-240</v>
      </c>
      <c r="I438" s="483">
        <f t="shared" si="38"/>
        <v>20000240</v>
      </c>
      <c r="J438" s="29">
        <v>330</v>
      </c>
      <c r="K438" s="148">
        <v>2</v>
      </c>
      <c r="L438" s="509">
        <f t="shared" si="40"/>
        <v>330</v>
      </c>
      <c r="M438" s="399">
        <f t="shared" si="41"/>
        <v>330</v>
      </c>
    </row>
    <row r="439" spans="1:13">
      <c r="A439">
        <v>73</v>
      </c>
      <c r="B439" s="379" t="s">
        <v>354</v>
      </c>
      <c r="C439" s="313" t="s">
        <v>1533</v>
      </c>
      <c r="D439" s="29">
        <v>73</v>
      </c>
      <c r="E439" s="514" t="s">
        <v>1201</v>
      </c>
      <c r="F439" s="29">
        <v>20000000</v>
      </c>
      <c r="G439" s="395" t="str">
        <f t="shared" si="39"/>
        <v>73-20000000 ,mg-03</v>
      </c>
      <c r="H439" s="29">
        <v>-250</v>
      </c>
      <c r="I439" s="483">
        <f t="shared" si="38"/>
        <v>20000250</v>
      </c>
      <c r="J439" s="29">
        <v>330</v>
      </c>
      <c r="K439" s="148">
        <v>2</v>
      </c>
      <c r="L439" s="509">
        <f t="shared" si="40"/>
        <v>330</v>
      </c>
      <c r="M439" s="399">
        <f t="shared" si="41"/>
        <v>330</v>
      </c>
    </row>
    <row r="440" spans="1:13">
      <c r="A440">
        <v>74</v>
      </c>
      <c r="B440" s="379" t="s">
        <v>354</v>
      </c>
      <c r="C440" s="313" t="s">
        <v>1533</v>
      </c>
      <c r="D440" s="29">
        <v>74</v>
      </c>
      <c r="E440" s="514" t="s">
        <v>1201</v>
      </c>
      <c r="F440" s="29">
        <v>20000000</v>
      </c>
      <c r="G440" s="395" t="str">
        <f t="shared" si="39"/>
        <v>74-20000000 ,mg-03</v>
      </c>
      <c r="H440" s="29">
        <v>-250</v>
      </c>
      <c r="I440" s="483">
        <f t="shared" si="38"/>
        <v>20000250</v>
      </c>
      <c r="J440" s="29">
        <v>330</v>
      </c>
      <c r="K440" s="148">
        <v>2</v>
      </c>
      <c r="L440" s="509">
        <f t="shared" si="40"/>
        <v>330</v>
      </c>
      <c r="M440" s="399">
        <f t="shared" si="41"/>
        <v>330</v>
      </c>
    </row>
    <row r="441" spans="1:13">
      <c r="A441">
        <v>75</v>
      </c>
      <c r="B441" s="379" t="s">
        <v>354</v>
      </c>
      <c r="C441" s="313" t="s">
        <v>1533</v>
      </c>
      <c r="D441" s="29">
        <v>75</v>
      </c>
      <c r="E441" s="514" t="s">
        <v>1201</v>
      </c>
      <c r="F441" s="29">
        <v>20000000</v>
      </c>
      <c r="G441" s="395" t="str">
        <f t="shared" si="39"/>
        <v>75-20000000 ,mg-03</v>
      </c>
      <c r="H441" s="29">
        <v>-250</v>
      </c>
      <c r="I441" s="483">
        <f t="shared" si="38"/>
        <v>20000250</v>
      </c>
      <c r="J441" s="29">
        <v>330</v>
      </c>
      <c r="K441" s="148">
        <v>2</v>
      </c>
      <c r="L441" s="509">
        <f t="shared" si="40"/>
        <v>330</v>
      </c>
      <c r="M441" s="399">
        <f t="shared" si="41"/>
        <v>330</v>
      </c>
    </row>
    <row r="442" spans="1:13">
      <c r="A442">
        <v>76</v>
      </c>
      <c r="B442" s="379" t="s">
        <v>354</v>
      </c>
      <c r="C442" s="313" t="s">
        <v>1533</v>
      </c>
      <c r="D442" s="29">
        <v>76</v>
      </c>
      <c r="E442" s="514" t="s">
        <v>1201</v>
      </c>
      <c r="F442" s="29">
        <v>20000000</v>
      </c>
      <c r="G442" s="395" t="str">
        <f t="shared" si="39"/>
        <v>76-20000000 ,mg-03</v>
      </c>
      <c r="H442" s="29">
        <v>-250</v>
      </c>
      <c r="I442" s="483">
        <f t="shared" si="38"/>
        <v>20000250</v>
      </c>
      <c r="J442" s="29">
        <v>330</v>
      </c>
      <c r="K442" s="148">
        <v>2</v>
      </c>
      <c r="L442" s="509">
        <f t="shared" si="40"/>
        <v>330</v>
      </c>
      <c r="M442" s="399">
        <f t="shared" si="41"/>
        <v>330</v>
      </c>
    </row>
    <row r="443" spans="1:13">
      <c r="A443">
        <v>77</v>
      </c>
      <c r="B443" s="379" t="s">
        <v>354</v>
      </c>
      <c r="C443" s="313" t="s">
        <v>1533</v>
      </c>
      <c r="D443" s="29">
        <v>77</v>
      </c>
      <c r="E443" s="514" t="s">
        <v>1201</v>
      </c>
      <c r="F443" s="29">
        <v>20000000</v>
      </c>
      <c r="G443" s="395" t="str">
        <f t="shared" si="39"/>
        <v>77-20000000 ,mg-03</v>
      </c>
      <c r="H443" s="29">
        <v>-250</v>
      </c>
      <c r="I443" s="483">
        <f t="shared" si="38"/>
        <v>20000250</v>
      </c>
      <c r="J443" s="29">
        <v>330</v>
      </c>
      <c r="K443" s="148">
        <v>2</v>
      </c>
      <c r="L443" s="509">
        <f t="shared" si="40"/>
        <v>330</v>
      </c>
      <c r="M443" s="399">
        <f t="shared" si="41"/>
        <v>330</v>
      </c>
    </row>
    <row r="444" spans="1:13">
      <c r="A444">
        <v>78</v>
      </c>
      <c r="B444" s="379" t="s">
        <v>354</v>
      </c>
      <c r="C444" s="313" t="s">
        <v>1533</v>
      </c>
      <c r="D444" s="29">
        <v>78</v>
      </c>
      <c r="E444" s="514" t="s">
        <v>1201</v>
      </c>
      <c r="F444" s="29">
        <v>20000000</v>
      </c>
      <c r="G444" s="395" t="str">
        <f t="shared" si="39"/>
        <v>78-20000000 ,mg-03</v>
      </c>
      <c r="H444" s="29">
        <v>-250</v>
      </c>
      <c r="I444" s="483">
        <f t="shared" si="38"/>
        <v>20000250</v>
      </c>
      <c r="J444" s="29">
        <v>330</v>
      </c>
      <c r="K444" s="148">
        <v>2</v>
      </c>
      <c r="L444" s="509">
        <f t="shared" si="40"/>
        <v>330</v>
      </c>
      <c r="M444" s="399">
        <f t="shared" si="41"/>
        <v>330</v>
      </c>
    </row>
    <row r="445" spans="1:13">
      <c r="A445">
        <v>79</v>
      </c>
      <c r="B445" s="379" t="s">
        <v>354</v>
      </c>
      <c r="C445" s="313" t="s">
        <v>1533</v>
      </c>
      <c r="D445" s="29">
        <v>79</v>
      </c>
      <c r="E445" s="514" t="s">
        <v>1201</v>
      </c>
      <c r="F445" s="29">
        <v>20000000</v>
      </c>
      <c r="G445" s="395" t="str">
        <f t="shared" si="39"/>
        <v>79-20000000 ,mg-03</v>
      </c>
      <c r="H445" s="29">
        <v>-250</v>
      </c>
      <c r="I445" s="483">
        <f t="shared" si="38"/>
        <v>20000250</v>
      </c>
      <c r="J445" s="29">
        <v>330</v>
      </c>
      <c r="K445" s="148">
        <v>2</v>
      </c>
      <c r="L445" s="509">
        <f t="shared" si="40"/>
        <v>330</v>
      </c>
      <c r="M445" s="399">
        <f t="shared" si="41"/>
        <v>330</v>
      </c>
    </row>
    <row r="446" spans="1:13">
      <c r="A446">
        <v>80</v>
      </c>
      <c r="B446" s="379" t="s">
        <v>354</v>
      </c>
      <c r="C446" s="313" t="s">
        <v>1533</v>
      </c>
      <c r="D446" s="29">
        <v>80</v>
      </c>
      <c r="E446" s="514" t="s">
        <v>1201</v>
      </c>
      <c r="F446" s="29">
        <v>20000000</v>
      </c>
      <c r="G446" s="395" t="str">
        <f t="shared" si="39"/>
        <v>80-20000000 ,mg-03</v>
      </c>
      <c r="H446" s="29">
        <v>-250</v>
      </c>
      <c r="I446" s="483">
        <f t="shared" si="38"/>
        <v>20000250</v>
      </c>
      <c r="J446" s="29">
        <v>330</v>
      </c>
      <c r="K446" s="148">
        <v>2</v>
      </c>
      <c r="L446" s="509">
        <f t="shared" si="40"/>
        <v>330</v>
      </c>
      <c r="M446" s="399">
        <f t="shared" si="41"/>
        <v>330</v>
      </c>
    </row>
    <row r="447" spans="1:13">
      <c r="A447">
        <v>81</v>
      </c>
      <c r="B447" s="379" t="s">
        <v>354</v>
      </c>
      <c r="C447" s="313" t="s">
        <v>1533</v>
      </c>
      <c r="D447" s="29">
        <v>81</v>
      </c>
      <c r="E447" s="514" t="s">
        <v>1201</v>
      </c>
      <c r="F447" s="29">
        <v>20000000</v>
      </c>
      <c r="G447" s="395" t="str">
        <f t="shared" si="39"/>
        <v>81-20000000 ,mg-03</v>
      </c>
      <c r="H447" s="29">
        <v>-250</v>
      </c>
      <c r="I447" s="483">
        <f t="shared" si="38"/>
        <v>20000250</v>
      </c>
      <c r="J447" s="29">
        <v>330</v>
      </c>
      <c r="K447" s="148">
        <v>2</v>
      </c>
      <c r="L447" s="509">
        <f t="shared" si="40"/>
        <v>330</v>
      </c>
      <c r="M447" s="399">
        <f t="shared" si="41"/>
        <v>330</v>
      </c>
    </row>
    <row r="448" spans="1:13">
      <c r="A448">
        <v>67</v>
      </c>
      <c r="B448" s="379" t="s">
        <v>354</v>
      </c>
      <c r="C448" s="313" t="s">
        <v>1533</v>
      </c>
      <c r="D448" s="29">
        <v>67</v>
      </c>
      <c r="E448" s="514" t="s">
        <v>413</v>
      </c>
      <c r="F448" s="29">
        <v>20000</v>
      </c>
      <c r="G448" s="395" t="str">
        <f t="shared" si="39"/>
        <v>67-20000 ,g-03</v>
      </c>
      <c r="H448" s="29">
        <v>-0.25</v>
      </c>
      <c r="I448" s="483">
        <f t="shared" si="38"/>
        <v>20000.25</v>
      </c>
      <c r="J448" s="29">
        <v>0.33</v>
      </c>
      <c r="K448" s="148">
        <v>2</v>
      </c>
      <c r="L448" s="509">
        <f t="shared" si="40"/>
        <v>0.33</v>
      </c>
      <c r="M448" s="399">
        <f t="shared" si="41"/>
        <v>0.33</v>
      </c>
    </row>
    <row r="449" spans="1:13">
      <c r="A449">
        <v>68</v>
      </c>
      <c r="B449" s="379" t="s">
        <v>354</v>
      </c>
      <c r="C449" s="313" t="s">
        <v>1533</v>
      </c>
      <c r="D449" s="29">
        <v>68</v>
      </c>
      <c r="E449" s="514" t="s">
        <v>413</v>
      </c>
      <c r="F449" s="29">
        <v>20000</v>
      </c>
      <c r="G449" s="395" t="str">
        <f t="shared" si="39"/>
        <v>68-20000 ,g-03</v>
      </c>
      <c r="H449" s="29">
        <v>-0.25</v>
      </c>
      <c r="I449" s="483">
        <f t="shared" si="38"/>
        <v>20000.25</v>
      </c>
      <c r="J449" s="29">
        <v>0.33</v>
      </c>
      <c r="K449" s="148">
        <v>2</v>
      </c>
      <c r="L449" s="509">
        <f t="shared" si="40"/>
        <v>0.33</v>
      </c>
      <c r="M449" s="399">
        <f t="shared" si="41"/>
        <v>0.33</v>
      </c>
    </row>
    <row r="450" spans="1:13">
      <c r="A450">
        <v>69</v>
      </c>
      <c r="B450" s="379" t="s">
        <v>354</v>
      </c>
      <c r="C450" s="313" t="s">
        <v>1533</v>
      </c>
      <c r="D450" s="29">
        <v>69</v>
      </c>
      <c r="E450" s="514" t="s">
        <v>413</v>
      </c>
      <c r="F450" s="29">
        <v>20000</v>
      </c>
      <c r="G450" s="395" t="str">
        <f t="shared" si="39"/>
        <v>69-20000 ,g-03</v>
      </c>
      <c r="H450" s="29">
        <v>-0.25</v>
      </c>
      <c r="I450" s="483">
        <f t="shared" si="38"/>
        <v>20000.25</v>
      </c>
      <c r="J450" s="29">
        <v>0.33</v>
      </c>
      <c r="K450" s="148">
        <v>2</v>
      </c>
      <c r="L450" s="509">
        <f t="shared" si="40"/>
        <v>0.33</v>
      </c>
      <c r="M450" s="399">
        <f t="shared" si="41"/>
        <v>0.33</v>
      </c>
    </row>
    <row r="451" spans="1:13">
      <c r="A451">
        <v>70</v>
      </c>
      <c r="B451" s="379" t="s">
        <v>354</v>
      </c>
      <c r="C451" s="313" t="s">
        <v>1533</v>
      </c>
      <c r="D451" s="29">
        <v>70</v>
      </c>
      <c r="E451" s="514" t="s">
        <v>413</v>
      </c>
      <c r="F451" s="29">
        <v>20000</v>
      </c>
      <c r="G451" s="395" t="str">
        <f t="shared" si="39"/>
        <v>70-20000 ,g-03</v>
      </c>
      <c r="H451" s="29">
        <v>-0.25</v>
      </c>
      <c r="I451" s="483">
        <f t="shared" si="38"/>
        <v>20000.25</v>
      </c>
      <c r="J451" s="29">
        <v>0.33</v>
      </c>
      <c r="K451" s="148">
        <v>2</v>
      </c>
      <c r="L451" s="509">
        <f t="shared" si="40"/>
        <v>0.33</v>
      </c>
      <c r="M451" s="399">
        <f t="shared" si="41"/>
        <v>0.33</v>
      </c>
    </row>
    <row r="452" spans="1:13">
      <c r="A452">
        <v>71</v>
      </c>
      <c r="B452" s="379" t="s">
        <v>354</v>
      </c>
      <c r="C452" s="313" t="s">
        <v>1533</v>
      </c>
      <c r="D452" s="29">
        <v>71</v>
      </c>
      <c r="E452" s="514" t="s">
        <v>413</v>
      </c>
      <c r="F452" s="29">
        <v>20000</v>
      </c>
      <c r="G452" s="395" t="str">
        <f t="shared" si="39"/>
        <v>71-20000 ,g-03</v>
      </c>
      <c r="H452" s="29">
        <v>-0.25</v>
      </c>
      <c r="I452" s="483">
        <f t="shared" si="38"/>
        <v>20000.25</v>
      </c>
      <c r="J452" s="29">
        <v>0.33</v>
      </c>
      <c r="K452" s="148">
        <v>2</v>
      </c>
      <c r="L452" s="509">
        <f t="shared" si="40"/>
        <v>0.33</v>
      </c>
      <c r="M452" s="399">
        <f t="shared" si="41"/>
        <v>0.33</v>
      </c>
    </row>
    <row r="453" spans="1:13">
      <c r="A453">
        <v>72</v>
      </c>
      <c r="B453" s="379" t="s">
        <v>354</v>
      </c>
      <c r="C453" s="313" t="s">
        <v>1533</v>
      </c>
      <c r="D453" s="29">
        <v>72</v>
      </c>
      <c r="E453" s="514" t="s">
        <v>413</v>
      </c>
      <c r="F453" s="29">
        <v>20000</v>
      </c>
      <c r="G453" s="395" t="str">
        <f t="shared" si="39"/>
        <v>72-20000 ,g-03</v>
      </c>
      <c r="H453" s="29">
        <v>-0.24</v>
      </c>
      <c r="I453" s="483">
        <f t="shared" ref="I453:I516" si="42">F453-H453</f>
        <v>20000.240000000002</v>
      </c>
      <c r="J453" s="29">
        <v>0.33</v>
      </c>
      <c r="K453" s="148">
        <v>2</v>
      </c>
      <c r="L453" s="509">
        <f t="shared" si="40"/>
        <v>0.33</v>
      </c>
      <c r="M453" s="399">
        <f t="shared" si="41"/>
        <v>0.33</v>
      </c>
    </row>
    <row r="454" spans="1:13">
      <c r="A454">
        <v>73</v>
      </c>
      <c r="B454" s="379" t="s">
        <v>354</v>
      </c>
      <c r="C454" s="313" t="s">
        <v>1533</v>
      </c>
      <c r="D454" s="29">
        <v>73</v>
      </c>
      <c r="E454" s="514" t="s">
        <v>413</v>
      </c>
      <c r="F454" s="29">
        <v>20000</v>
      </c>
      <c r="G454" s="395" t="str">
        <f t="shared" si="39"/>
        <v>73-20000 ,g-03</v>
      </c>
      <c r="H454" s="29">
        <v>-0.25</v>
      </c>
      <c r="I454" s="483">
        <f t="shared" si="42"/>
        <v>20000.25</v>
      </c>
      <c r="J454" s="29">
        <v>0.33</v>
      </c>
      <c r="K454" s="148">
        <v>2</v>
      </c>
      <c r="L454" s="509">
        <f t="shared" si="40"/>
        <v>0.33</v>
      </c>
      <c r="M454" s="399">
        <f t="shared" si="41"/>
        <v>0.33</v>
      </c>
    </row>
    <row r="455" spans="1:13">
      <c r="A455">
        <v>74</v>
      </c>
      <c r="B455" s="379" t="s">
        <v>354</v>
      </c>
      <c r="C455" s="313" t="s">
        <v>1533</v>
      </c>
      <c r="D455" s="29">
        <v>74</v>
      </c>
      <c r="E455" s="514" t="s">
        <v>413</v>
      </c>
      <c r="F455" s="29">
        <v>20000</v>
      </c>
      <c r="G455" s="395" t="str">
        <f t="shared" si="39"/>
        <v>74-20000 ,g-03</v>
      </c>
      <c r="H455" s="29">
        <v>-0.25</v>
      </c>
      <c r="I455" s="483">
        <f t="shared" si="42"/>
        <v>20000.25</v>
      </c>
      <c r="J455" s="29">
        <v>0.33</v>
      </c>
      <c r="K455" s="148">
        <v>2</v>
      </c>
      <c r="L455" s="509">
        <f t="shared" si="40"/>
        <v>0.33</v>
      </c>
      <c r="M455" s="399">
        <f t="shared" si="41"/>
        <v>0.33</v>
      </c>
    </row>
    <row r="456" spans="1:13">
      <c r="A456">
        <v>75</v>
      </c>
      <c r="B456" s="379" t="s">
        <v>354</v>
      </c>
      <c r="C456" s="313" t="s">
        <v>1533</v>
      </c>
      <c r="D456" s="29">
        <v>75</v>
      </c>
      <c r="E456" s="514" t="s">
        <v>413</v>
      </c>
      <c r="F456" s="29">
        <v>20000</v>
      </c>
      <c r="G456" s="395" t="str">
        <f t="shared" ref="G456:G519" si="43">+CONCATENATE(D456,"-",E456,"-",MID(C456,12,2))</f>
        <v>75-20000 ,g-03</v>
      </c>
      <c r="H456" s="29">
        <v>-0.25</v>
      </c>
      <c r="I456" s="483">
        <f t="shared" si="42"/>
        <v>20000.25</v>
      </c>
      <c r="J456" s="29">
        <v>0.33</v>
      </c>
      <c r="K456" s="148">
        <v>2</v>
      </c>
      <c r="L456" s="509">
        <f t="shared" si="40"/>
        <v>0.33</v>
      </c>
      <c r="M456" s="399">
        <f t="shared" si="41"/>
        <v>0.33</v>
      </c>
    </row>
    <row r="457" spans="1:13">
      <c r="A457">
        <v>76</v>
      </c>
      <c r="B457" s="379" t="s">
        <v>354</v>
      </c>
      <c r="C457" s="313" t="s">
        <v>1533</v>
      </c>
      <c r="D457" s="29">
        <v>76</v>
      </c>
      <c r="E457" s="514" t="s">
        <v>413</v>
      </c>
      <c r="F457" s="29">
        <v>20000</v>
      </c>
      <c r="G457" s="395" t="str">
        <f t="shared" si="43"/>
        <v>76-20000 ,g-03</v>
      </c>
      <c r="H457" s="29">
        <v>-0.25</v>
      </c>
      <c r="I457" s="483">
        <f t="shared" si="42"/>
        <v>20000.25</v>
      </c>
      <c r="J457" s="29">
        <v>0.33</v>
      </c>
      <c r="K457" s="148">
        <v>2</v>
      </c>
      <c r="L457" s="509">
        <f t="shared" si="40"/>
        <v>0.33</v>
      </c>
      <c r="M457" s="399">
        <f t="shared" si="41"/>
        <v>0.33</v>
      </c>
    </row>
    <row r="458" spans="1:13">
      <c r="A458">
        <v>77</v>
      </c>
      <c r="B458" s="379" t="s">
        <v>354</v>
      </c>
      <c r="C458" s="313" t="s">
        <v>1533</v>
      </c>
      <c r="D458" s="29">
        <v>77</v>
      </c>
      <c r="E458" s="514" t="s">
        <v>413</v>
      </c>
      <c r="F458" s="29">
        <v>20000</v>
      </c>
      <c r="G458" s="395" t="str">
        <f t="shared" si="43"/>
        <v>77-20000 ,g-03</v>
      </c>
      <c r="H458" s="29">
        <v>-0.25</v>
      </c>
      <c r="I458" s="483">
        <f t="shared" si="42"/>
        <v>20000.25</v>
      </c>
      <c r="J458" s="29">
        <v>0.33</v>
      </c>
      <c r="K458" s="148">
        <v>2</v>
      </c>
      <c r="L458" s="509">
        <f t="shared" si="40"/>
        <v>0.33</v>
      </c>
      <c r="M458" s="399">
        <f t="shared" si="41"/>
        <v>0.33</v>
      </c>
    </row>
    <row r="459" spans="1:13">
      <c r="A459">
        <v>78</v>
      </c>
      <c r="B459" s="379" t="s">
        <v>354</v>
      </c>
      <c r="C459" s="313" t="s">
        <v>1533</v>
      </c>
      <c r="D459" s="29">
        <v>78</v>
      </c>
      <c r="E459" s="514" t="s">
        <v>413</v>
      </c>
      <c r="F459" s="29">
        <v>20000</v>
      </c>
      <c r="G459" s="395" t="str">
        <f t="shared" si="43"/>
        <v>78-20000 ,g-03</v>
      </c>
      <c r="H459" s="29">
        <v>-0.25</v>
      </c>
      <c r="I459" s="483">
        <f t="shared" si="42"/>
        <v>20000.25</v>
      </c>
      <c r="J459" s="29">
        <v>0.33</v>
      </c>
      <c r="K459" s="148">
        <v>2</v>
      </c>
      <c r="L459" s="509">
        <f t="shared" ref="L459:L522" si="44">IF(AND(B459="E2",N459&lt;&gt;0),ABS(H459-N459),M459)</f>
        <v>0.33</v>
      </c>
      <c r="M459" s="399">
        <f t="shared" ref="M459:M522" si="45">J459</f>
        <v>0.33</v>
      </c>
    </row>
    <row r="460" spans="1:13">
      <c r="A460">
        <v>79</v>
      </c>
      <c r="B460" s="379" t="s">
        <v>354</v>
      </c>
      <c r="C460" s="313" t="s">
        <v>1533</v>
      </c>
      <c r="D460" s="29">
        <v>79</v>
      </c>
      <c r="E460" s="514" t="s">
        <v>413</v>
      </c>
      <c r="F460" s="29">
        <v>20000</v>
      </c>
      <c r="G460" s="395" t="str">
        <f t="shared" si="43"/>
        <v>79-20000 ,g-03</v>
      </c>
      <c r="H460" s="29">
        <v>-0.25</v>
      </c>
      <c r="I460" s="483">
        <f t="shared" si="42"/>
        <v>20000.25</v>
      </c>
      <c r="J460" s="29">
        <v>0.33</v>
      </c>
      <c r="K460" s="148">
        <v>2</v>
      </c>
      <c r="L460" s="509">
        <f t="shared" si="44"/>
        <v>0.33</v>
      </c>
      <c r="M460" s="399">
        <f t="shared" si="45"/>
        <v>0.33</v>
      </c>
    </row>
    <row r="461" spans="1:13">
      <c r="A461">
        <v>80</v>
      </c>
      <c r="B461" s="379" t="s">
        <v>354</v>
      </c>
      <c r="C461" s="313" t="s">
        <v>1533</v>
      </c>
      <c r="D461" s="29">
        <v>80</v>
      </c>
      <c r="E461" s="514" t="s">
        <v>413</v>
      </c>
      <c r="F461" s="29">
        <v>20000</v>
      </c>
      <c r="G461" s="395" t="str">
        <f t="shared" si="43"/>
        <v>80-20000 ,g-03</v>
      </c>
      <c r="H461" s="29">
        <v>-0.25</v>
      </c>
      <c r="I461" s="483">
        <f t="shared" si="42"/>
        <v>20000.25</v>
      </c>
      <c r="J461" s="29">
        <v>0.33</v>
      </c>
      <c r="K461" s="148">
        <v>2</v>
      </c>
      <c r="L461" s="509">
        <f t="shared" si="44"/>
        <v>0.33</v>
      </c>
      <c r="M461" s="399">
        <f t="shared" si="45"/>
        <v>0.33</v>
      </c>
    </row>
    <row r="462" spans="1:13">
      <c r="A462">
        <v>81</v>
      </c>
      <c r="B462" s="379" t="s">
        <v>354</v>
      </c>
      <c r="C462" s="313" t="s">
        <v>1533</v>
      </c>
      <c r="D462" s="29">
        <v>81</v>
      </c>
      <c r="E462" s="514" t="s">
        <v>413</v>
      </c>
      <c r="F462" s="29">
        <v>20000</v>
      </c>
      <c r="G462" s="395" t="str">
        <f t="shared" si="43"/>
        <v>81-20000 ,g-03</v>
      </c>
      <c r="H462" s="29">
        <v>-0.25</v>
      </c>
      <c r="I462" s="483">
        <f t="shared" si="42"/>
        <v>20000.25</v>
      </c>
      <c r="J462" s="29">
        <v>0.33</v>
      </c>
      <c r="K462" s="148">
        <v>2</v>
      </c>
      <c r="L462" s="509">
        <f t="shared" si="44"/>
        <v>0.33</v>
      </c>
      <c r="M462" s="399">
        <f t="shared" si="45"/>
        <v>0.33</v>
      </c>
    </row>
    <row r="463" spans="1:13">
      <c r="A463">
        <v>67</v>
      </c>
      <c r="B463" s="379" t="s">
        <v>354</v>
      </c>
      <c r="C463" s="313" t="s">
        <v>1533</v>
      </c>
      <c r="D463" s="29">
        <v>67</v>
      </c>
      <c r="E463" s="514" t="s">
        <v>363</v>
      </c>
      <c r="F463" s="29">
        <v>20</v>
      </c>
      <c r="G463" s="395" t="str">
        <f t="shared" si="43"/>
        <v>67-20 ,kg-03</v>
      </c>
      <c r="H463" s="29">
        <v>-2.5000000000000001E-4</v>
      </c>
      <c r="I463" s="483">
        <f t="shared" si="42"/>
        <v>20.000250000000001</v>
      </c>
      <c r="J463" s="29">
        <v>3.3E-4</v>
      </c>
      <c r="K463" s="148">
        <v>2</v>
      </c>
      <c r="L463" s="509">
        <f t="shared" si="44"/>
        <v>3.3E-4</v>
      </c>
      <c r="M463" s="399">
        <f t="shared" si="45"/>
        <v>3.3E-4</v>
      </c>
    </row>
    <row r="464" spans="1:13">
      <c r="A464">
        <v>68</v>
      </c>
      <c r="B464" s="379" t="s">
        <v>354</v>
      </c>
      <c r="C464" s="313" t="s">
        <v>1533</v>
      </c>
      <c r="D464" s="29">
        <v>68</v>
      </c>
      <c r="E464" s="514" t="s">
        <v>363</v>
      </c>
      <c r="F464" s="29">
        <v>20</v>
      </c>
      <c r="G464" s="395" t="str">
        <f t="shared" si="43"/>
        <v>68-20 ,kg-03</v>
      </c>
      <c r="H464" s="29">
        <v>-2.5000000000000001E-4</v>
      </c>
      <c r="I464" s="483">
        <f t="shared" si="42"/>
        <v>20.000250000000001</v>
      </c>
      <c r="J464" s="29">
        <v>3.3E-4</v>
      </c>
      <c r="K464" s="148">
        <v>2</v>
      </c>
      <c r="L464" s="509">
        <f t="shared" si="44"/>
        <v>3.3E-4</v>
      </c>
      <c r="M464" s="399">
        <f t="shared" si="45"/>
        <v>3.3E-4</v>
      </c>
    </row>
    <row r="465" spans="1:13">
      <c r="A465">
        <v>69</v>
      </c>
      <c r="B465" s="379" t="s">
        <v>354</v>
      </c>
      <c r="C465" s="313" t="s">
        <v>1533</v>
      </c>
      <c r="D465" s="29">
        <v>69</v>
      </c>
      <c r="E465" s="514" t="s">
        <v>363</v>
      </c>
      <c r="F465" s="29">
        <v>20</v>
      </c>
      <c r="G465" s="395" t="str">
        <f t="shared" si="43"/>
        <v>69-20 ,kg-03</v>
      </c>
      <c r="H465" s="29">
        <v>-2.5000000000000001E-4</v>
      </c>
      <c r="I465" s="483">
        <f t="shared" si="42"/>
        <v>20.000250000000001</v>
      </c>
      <c r="J465" s="29">
        <v>3.3E-4</v>
      </c>
      <c r="K465" s="148">
        <v>2</v>
      </c>
      <c r="L465" s="509">
        <f t="shared" si="44"/>
        <v>3.3E-4</v>
      </c>
      <c r="M465" s="399">
        <f t="shared" si="45"/>
        <v>3.3E-4</v>
      </c>
    </row>
    <row r="466" spans="1:13">
      <c r="A466">
        <v>70</v>
      </c>
      <c r="B466" s="379" t="s">
        <v>354</v>
      </c>
      <c r="C466" s="313" t="s">
        <v>1533</v>
      </c>
      <c r="D466" s="29">
        <v>70</v>
      </c>
      <c r="E466" s="514" t="s">
        <v>363</v>
      </c>
      <c r="F466" s="29">
        <v>20</v>
      </c>
      <c r="G466" s="395" t="str">
        <f t="shared" si="43"/>
        <v>70-20 ,kg-03</v>
      </c>
      <c r="H466" s="29">
        <v>-2.5000000000000001E-4</v>
      </c>
      <c r="I466" s="483">
        <f t="shared" si="42"/>
        <v>20.000250000000001</v>
      </c>
      <c r="J466" s="29">
        <v>3.3E-4</v>
      </c>
      <c r="K466" s="148">
        <v>2</v>
      </c>
      <c r="L466" s="509">
        <f t="shared" si="44"/>
        <v>3.3E-4</v>
      </c>
      <c r="M466" s="399">
        <f t="shared" si="45"/>
        <v>3.3E-4</v>
      </c>
    </row>
    <row r="467" spans="1:13">
      <c r="A467">
        <v>71</v>
      </c>
      <c r="B467" s="379" t="s">
        <v>354</v>
      </c>
      <c r="C467" s="313" t="s">
        <v>1533</v>
      </c>
      <c r="D467" s="29">
        <v>71</v>
      </c>
      <c r="E467" s="514" t="s">
        <v>363</v>
      </c>
      <c r="F467" s="29">
        <v>20</v>
      </c>
      <c r="G467" s="395" t="str">
        <f t="shared" si="43"/>
        <v>71-20 ,kg-03</v>
      </c>
      <c r="H467" s="29">
        <v>-2.5000000000000001E-4</v>
      </c>
      <c r="I467" s="483">
        <f t="shared" si="42"/>
        <v>20.000250000000001</v>
      </c>
      <c r="J467" s="29">
        <v>3.3E-4</v>
      </c>
      <c r="K467" s="148">
        <v>2</v>
      </c>
      <c r="L467" s="509">
        <f t="shared" si="44"/>
        <v>3.3E-4</v>
      </c>
      <c r="M467" s="399">
        <f t="shared" si="45"/>
        <v>3.3E-4</v>
      </c>
    </row>
    <row r="468" spans="1:13">
      <c r="A468">
        <v>72</v>
      </c>
      <c r="B468" s="379" t="s">
        <v>354</v>
      </c>
      <c r="C468" s="313" t="s">
        <v>1533</v>
      </c>
      <c r="D468" s="29">
        <v>72</v>
      </c>
      <c r="E468" s="514" t="s">
        <v>363</v>
      </c>
      <c r="F468" s="29">
        <v>20</v>
      </c>
      <c r="G468" s="395" t="str">
        <f t="shared" si="43"/>
        <v>72-20 ,kg-03</v>
      </c>
      <c r="H468" s="29">
        <v>-2.3999999999999998E-4</v>
      </c>
      <c r="I468" s="483">
        <f t="shared" si="42"/>
        <v>20.000240000000002</v>
      </c>
      <c r="J468" s="29">
        <v>3.3E-4</v>
      </c>
      <c r="K468" s="148">
        <v>2</v>
      </c>
      <c r="L468" s="509">
        <f t="shared" si="44"/>
        <v>3.3E-4</v>
      </c>
      <c r="M468" s="399">
        <f t="shared" si="45"/>
        <v>3.3E-4</v>
      </c>
    </row>
    <row r="469" spans="1:13">
      <c r="A469">
        <v>73</v>
      </c>
      <c r="B469" s="379" t="s">
        <v>354</v>
      </c>
      <c r="C469" s="313" t="s">
        <v>1533</v>
      </c>
      <c r="D469" s="29">
        <v>73</v>
      </c>
      <c r="E469" s="514" t="s">
        <v>363</v>
      </c>
      <c r="F469" s="29">
        <v>20</v>
      </c>
      <c r="G469" s="395" t="str">
        <f t="shared" si="43"/>
        <v>73-20 ,kg-03</v>
      </c>
      <c r="H469" s="29">
        <v>-2.5000000000000001E-4</v>
      </c>
      <c r="I469" s="483">
        <f t="shared" si="42"/>
        <v>20.000250000000001</v>
      </c>
      <c r="J469" s="29">
        <v>3.3E-4</v>
      </c>
      <c r="K469" s="148">
        <v>2</v>
      </c>
      <c r="L469" s="509">
        <f t="shared" si="44"/>
        <v>3.3E-4</v>
      </c>
      <c r="M469" s="399">
        <f t="shared" si="45"/>
        <v>3.3E-4</v>
      </c>
    </row>
    <row r="470" spans="1:13">
      <c r="A470">
        <v>74</v>
      </c>
      <c r="B470" s="379" t="s">
        <v>354</v>
      </c>
      <c r="C470" s="313" t="s">
        <v>1533</v>
      </c>
      <c r="D470" s="29">
        <v>74</v>
      </c>
      <c r="E470" s="514" t="s">
        <v>363</v>
      </c>
      <c r="F470" s="29">
        <v>20</v>
      </c>
      <c r="G470" s="395" t="str">
        <f t="shared" si="43"/>
        <v>74-20 ,kg-03</v>
      </c>
      <c r="H470" s="29">
        <v>-2.5000000000000001E-4</v>
      </c>
      <c r="I470" s="483">
        <f t="shared" si="42"/>
        <v>20.000250000000001</v>
      </c>
      <c r="J470" s="29">
        <v>3.3E-4</v>
      </c>
      <c r="K470" s="148">
        <v>2</v>
      </c>
      <c r="L470" s="509">
        <f t="shared" si="44"/>
        <v>3.3E-4</v>
      </c>
      <c r="M470" s="399">
        <f t="shared" si="45"/>
        <v>3.3E-4</v>
      </c>
    </row>
    <row r="471" spans="1:13">
      <c r="A471">
        <v>75</v>
      </c>
      <c r="B471" s="379" t="s">
        <v>354</v>
      </c>
      <c r="C471" s="313" t="s">
        <v>1533</v>
      </c>
      <c r="D471" s="29">
        <v>75</v>
      </c>
      <c r="E471" s="514" t="s">
        <v>363</v>
      </c>
      <c r="F471" s="29">
        <v>20</v>
      </c>
      <c r="G471" s="395" t="str">
        <f t="shared" si="43"/>
        <v>75-20 ,kg-03</v>
      </c>
      <c r="H471" s="29">
        <v>-2.5000000000000001E-4</v>
      </c>
      <c r="I471" s="483">
        <f t="shared" si="42"/>
        <v>20.000250000000001</v>
      </c>
      <c r="J471" s="29">
        <v>3.3E-4</v>
      </c>
      <c r="K471" s="148">
        <v>2</v>
      </c>
      <c r="L471" s="509">
        <f t="shared" si="44"/>
        <v>3.3E-4</v>
      </c>
      <c r="M471" s="399">
        <f t="shared" si="45"/>
        <v>3.3E-4</v>
      </c>
    </row>
    <row r="472" spans="1:13">
      <c r="A472">
        <v>76</v>
      </c>
      <c r="B472" s="379" t="s">
        <v>354</v>
      </c>
      <c r="C472" s="313" t="s">
        <v>1533</v>
      </c>
      <c r="D472" s="29">
        <v>76</v>
      </c>
      <c r="E472" s="514" t="s">
        <v>363</v>
      </c>
      <c r="F472" s="29">
        <v>20</v>
      </c>
      <c r="G472" s="395" t="str">
        <f t="shared" si="43"/>
        <v>76-20 ,kg-03</v>
      </c>
      <c r="H472" s="29">
        <v>-2.5000000000000001E-4</v>
      </c>
      <c r="I472" s="483">
        <f t="shared" si="42"/>
        <v>20.000250000000001</v>
      </c>
      <c r="J472" s="29">
        <v>3.3E-4</v>
      </c>
      <c r="K472" s="148">
        <v>2</v>
      </c>
      <c r="L472" s="509">
        <f t="shared" si="44"/>
        <v>3.3E-4</v>
      </c>
      <c r="M472" s="399">
        <f t="shared" si="45"/>
        <v>3.3E-4</v>
      </c>
    </row>
    <row r="473" spans="1:13">
      <c r="A473">
        <v>77</v>
      </c>
      <c r="B473" s="379" t="s">
        <v>354</v>
      </c>
      <c r="C473" s="313" t="s">
        <v>1533</v>
      </c>
      <c r="D473" s="29">
        <v>77</v>
      </c>
      <c r="E473" s="514" t="s">
        <v>363</v>
      </c>
      <c r="F473" s="29">
        <v>20</v>
      </c>
      <c r="G473" s="395" t="str">
        <f t="shared" si="43"/>
        <v>77-20 ,kg-03</v>
      </c>
      <c r="H473" s="29">
        <v>-2.5000000000000001E-4</v>
      </c>
      <c r="I473" s="483">
        <f t="shared" si="42"/>
        <v>20.000250000000001</v>
      </c>
      <c r="J473" s="29">
        <v>3.3E-4</v>
      </c>
      <c r="K473" s="148">
        <v>2</v>
      </c>
      <c r="L473" s="509">
        <f t="shared" si="44"/>
        <v>3.3E-4</v>
      </c>
      <c r="M473" s="399">
        <f t="shared" si="45"/>
        <v>3.3E-4</v>
      </c>
    </row>
    <row r="474" spans="1:13">
      <c r="A474">
        <v>78</v>
      </c>
      <c r="B474" s="379" t="s">
        <v>354</v>
      </c>
      <c r="C474" s="313" t="s">
        <v>1533</v>
      </c>
      <c r="D474" s="29">
        <v>78</v>
      </c>
      <c r="E474" s="514" t="s">
        <v>363</v>
      </c>
      <c r="F474" s="29">
        <v>20</v>
      </c>
      <c r="G474" s="395" t="str">
        <f t="shared" si="43"/>
        <v>78-20 ,kg-03</v>
      </c>
      <c r="H474" s="29">
        <v>-2.5000000000000001E-4</v>
      </c>
      <c r="I474" s="483">
        <f t="shared" si="42"/>
        <v>20.000250000000001</v>
      </c>
      <c r="J474" s="29">
        <v>3.3E-4</v>
      </c>
      <c r="K474" s="148">
        <v>2</v>
      </c>
      <c r="L474" s="509">
        <f t="shared" si="44"/>
        <v>3.3E-4</v>
      </c>
      <c r="M474" s="399">
        <f t="shared" si="45"/>
        <v>3.3E-4</v>
      </c>
    </row>
    <row r="475" spans="1:13">
      <c r="A475">
        <v>79</v>
      </c>
      <c r="B475" s="379" t="s">
        <v>354</v>
      </c>
      <c r="C475" s="313" t="s">
        <v>1533</v>
      </c>
      <c r="D475" s="29">
        <v>79</v>
      </c>
      <c r="E475" s="514" t="s">
        <v>363</v>
      </c>
      <c r="F475" s="29">
        <v>20</v>
      </c>
      <c r="G475" s="395" t="str">
        <f t="shared" si="43"/>
        <v>79-20 ,kg-03</v>
      </c>
      <c r="H475" s="29">
        <v>-2.5000000000000001E-4</v>
      </c>
      <c r="I475" s="483">
        <f t="shared" si="42"/>
        <v>20.000250000000001</v>
      </c>
      <c r="J475" s="29">
        <v>3.3E-4</v>
      </c>
      <c r="K475" s="148">
        <v>2</v>
      </c>
      <c r="L475" s="509">
        <f t="shared" si="44"/>
        <v>3.3E-4</v>
      </c>
      <c r="M475" s="399">
        <f t="shared" si="45"/>
        <v>3.3E-4</v>
      </c>
    </row>
    <row r="476" spans="1:13">
      <c r="A476">
        <v>80</v>
      </c>
      <c r="B476" s="379" t="s">
        <v>354</v>
      </c>
      <c r="C476" s="313" t="s">
        <v>1533</v>
      </c>
      <c r="D476" s="29">
        <v>80</v>
      </c>
      <c r="E476" s="514" t="s">
        <v>363</v>
      </c>
      <c r="F476" s="29">
        <v>20</v>
      </c>
      <c r="G476" s="395" t="str">
        <f t="shared" si="43"/>
        <v>80-20 ,kg-03</v>
      </c>
      <c r="H476" s="29">
        <v>-2.5000000000000001E-4</v>
      </c>
      <c r="I476" s="483">
        <f t="shared" si="42"/>
        <v>20.000250000000001</v>
      </c>
      <c r="J476" s="29">
        <v>3.3E-4</v>
      </c>
      <c r="K476" s="148">
        <v>2</v>
      </c>
      <c r="L476" s="509">
        <f t="shared" si="44"/>
        <v>3.3E-4</v>
      </c>
      <c r="M476" s="399">
        <f t="shared" si="45"/>
        <v>3.3E-4</v>
      </c>
    </row>
    <row r="477" spans="1:13">
      <c r="A477">
        <v>81</v>
      </c>
      <c r="B477" s="379" t="s">
        <v>354</v>
      </c>
      <c r="C477" s="313" t="s">
        <v>1533</v>
      </c>
      <c r="D477" s="29">
        <v>81</v>
      </c>
      <c r="E477" s="514" t="s">
        <v>363</v>
      </c>
      <c r="F477" s="29">
        <v>20</v>
      </c>
      <c r="G477" s="395" t="str">
        <f t="shared" si="43"/>
        <v>81-20 ,kg-03</v>
      </c>
      <c r="H477" s="29">
        <v>-2.5000000000000001E-4</v>
      </c>
      <c r="I477" s="483">
        <f t="shared" si="42"/>
        <v>20.000250000000001</v>
      </c>
      <c r="J477" s="29">
        <v>3.3E-4</v>
      </c>
      <c r="K477" s="148">
        <v>2</v>
      </c>
      <c r="L477" s="509">
        <f t="shared" si="44"/>
        <v>3.3E-4</v>
      </c>
      <c r="M477" s="399">
        <f t="shared" si="45"/>
        <v>3.3E-4</v>
      </c>
    </row>
    <row r="478" spans="1:13">
      <c r="A478">
        <v>1</v>
      </c>
      <c r="B478" s="379" t="s">
        <v>284</v>
      </c>
      <c r="C478" s="313" t="s">
        <v>1016</v>
      </c>
      <c r="D478" s="29" t="s">
        <v>360</v>
      </c>
      <c r="E478" s="514" t="s">
        <v>1201</v>
      </c>
      <c r="F478" s="29">
        <v>20000000</v>
      </c>
      <c r="G478" s="395" t="str">
        <f t="shared" si="43"/>
        <v>N/A-20000000 ,mg-07</v>
      </c>
      <c r="H478" s="29">
        <v>6</v>
      </c>
      <c r="I478" s="483">
        <f t="shared" si="42"/>
        <v>19999994</v>
      </c>
      <c r="J478" s="29">
        <v>33</v>
      </c>
      <c r="K478" s="148">
        <v>2</v>
      </c>
      <c r="L478" s="509">
        <f t="shared" si="44"/>
        <v>33</v>
      </c>
      <c r="M478" s="399">
        <f t="shared" si="45"/>
        <v>33</v>
      </c>
    </row>
    <row r="479" spans="1:13">
      <c r="A479">
        <v>2</v>
      </c>
      <c r="B479" s="379" t="s">
        <v>284</v>
      </c>
      <c r="C479" s="313" t="s">
        <v>1108</v>
      </c>
      <c r="D479" s="29" t="s">
        <v>360</v>
      </c>
      <c r="E479" s="514" t="s">
        <v>1200</v>
      </c>
      <c r="F479" s="29">
        <v>10000000</v>
      </c>
      <c r="G479" s="395" t="str">
        <f t="shared" si="43"/>
        <v>N/A-10000000 ,mg-09</v>
      </c>
      <c r="H479" s="29">
        <v>-19</v>
      </c>
      <c r="I479" s="483">
        <f t="shared" si="42"/>
        <v>10000019</v>
      </c>
      <c r="J479" s="29">
        <v>17</v>
      </c>
      <c r="K479" s="148">
        <v>2</v>
      </c>
      <c r="L479" s="509">
        <f t="shared" si="44"/>
        <v>17</v>
      </c>
      <c r="M479" s="399">
        <f t="shared" si="45"/>
        <v>17</v>
      </c>
    </row>
    <row r="480" spans="1:13">
      <c r="A480">
        <v>3</v>
      </c>
      <c r="B480" s="379" t="s">
        <v>284</v>
      </c>
      <c r="C480" s="313" t="s">
        <v>992</v>
      </c>
      <c r="D480" s="29" t="s">
        <v>360</v>
      </c>
      <c r="E480" s="514" t="s">
        <v>1198</v>
      </c>
      <c r="F480" s="29">
        <v>5000000</v>
      </c>
      <c r="G480" s="395" t="str">
        <f t="shared" si="43"/>
        <v>N/A-5000000 ,mg-08</v>
      </c>
      <c r="H480" s="29">
        <v>-7.4</v>
      </c>
      <c r="I480" s="483">
        <f t="shared" si="42"/>
        <v>5000007.4000000004</v>
      </c>
      <c r="J480" s="29">
        <v>8.3000000000000007</v>
      </c>
      <c r="K480" s="148">
        <v>2</v>
      </c>
      <c r="L480" s="509">
        <f t="shared" si="44"/>
        <v>8.3000000000000007</v>
      </c>
      <c r="M480" s="399">
        <f t="shared" si="45"/>
        <v>8.3000000000000007</v>
      </c>
    </row>
    <row r="481" spans="1:13">
      <c r="A481">
        <v>4</v>
      </c>
      <c r="B481" s="379" t="s">
        <v>284</v>
      </c>
      <c r="C481" s="313" t="s">
        <v>1093</v>
      </c>
      <c r="D481" s="29" t="s">
        <v>360</v>
      </c>
      <c r="E481" s="514" t="s">
        <v>1196</v>
      </c>
      <c r="F481" s="29">
        <v>1000000</v>
      </c>
      <c r="G481" s="395" t="str">
        <f t="shared" si="43"/>
        <v>N/A-1000000 ,mg-13</v>
      </c>
      <c r="H481" s="29">
        <v>0.2</v>
      </c>
      <c r="I481" s="483">
        <f t="shared" si="42"/>
        <v>999999.8</v>
      </c>
      <c r="J481" s="29">
        <v>1.7</v>
      </c>
      <c r="K481" s="148">
        <v>2</v>
      </c>
      <c r="L481" s="509">
        <f t="shared" si="44"/>
        <v>1.7</v>
      </c>
      <c r="M481" s="399">
        <f t="shared" si="45"/>
        <v>1.7</v>
      </c>
    </row>
    <row r="482" spans="1:13">
      <c r="A482">
        <v>6</v>
      </c>
      <c r="B482" s="379" t="s">
        <v>360</v>
      </c>
      <c r="C482" s="313" t="s">
        <v>990</v>
      </c>
      <c r="D482" s="29" t="s">
        <v>360</v>
      </c>
      <c r="E482" s="514" t="s">
        <v>1156</v>
      </c>
      <c r="F482" s="29">
        <v>0</v>
      </c>
      <c r="G482" s="395" t="str">
        <f t="shared" si="43"/>
        <v>N/A-0 ,mg-ce</v>
      </c>
      <c r="H482" s="29">
        <v>0</v>
      </c>
      <c r="I482" s="483">
        <f t="shared" si="42"/>
        <v>0</v>
      </c>
      <c r="J482" s="29">
        <v>0</v>
      </c>
      <c r="K482" s="148">
        <v>2</v>
      </c>
      <c r="L482" s="509">
        <f t="shared" si="44"/>
        <v>0</v>
      </c>
      <c r="M482" s="399">
        <f t="shared" si="45"/>
        <v>0</v>
      </c>
    </row>
    <row r="483" spans="1:13">
      <c r="A483">
        <v>1</v>
      </c>
      <c r="B483" s="379" t="s">
        <v>284</v>
      </c>
      <c r="C483" s="313" t="s">
        <v>1016</v>
      </c>
      <c r="D483" s="29" t="s">
        <v>360</v>
      </c>
      <c r="E483" s="514" t="s">
        <v>413</v>
      </c>
      <c r="F483" s="29">
        <v>20000</v>
      </c>
      <c r="G483" s="395" t="str">
        <f t="shared" si="43"/>
        <v>N/A-20000 ,g-07</v>
      </c>
      <c r="H483" s="29">
        <v>6.0000000000000001E-3</v>
      </c>
      <c r="I483" s="483">
        <f t="shared" si="42"/>
        <v>19999.993999999999</v>
      </c>
      <c r="J483" s="29">
        <v>3.3000000000000002E-2</v>
      </c>
      <c r="K483" s="148">
        <v>2</v>
      </c>
      <c r="L483" s="509">
        <f t="shared" si="44"/>
        <v>3.3000000000000002E-2</v>
      </c>
      <c r="M483" s="399">
        <f t="shared" si="45"/>
        <v>3.3000000000000002E-2</v>
      </c>
    </row>
    <row r="484" spans="1:13">
      <c r="A484">
        <v>2</v>
      </c>
      <c r="B484" s="379" t="s">
        <v>284</v>
      </c>
      <c r="C484" s="313" t="s">
        <v>1108</v>
      </c>
      <c r="D484" s="29" t="s">
        <v>360</v>
      </c>
      <c r="E484" s="514" t="s">
        <v>412</v>
      </c>
      <c r="F484" s="29">
        <v>10000</v>
      </c>
      <c r="G484" s="395" t="str">
        <f t="shared" si="43"/>
        <v>N/A-10000 ,g-09</v>
      </c>
      <c r="H484" s="29">
        <v>-1.9E-2</v>
      </c>
      <c r="I484" s="483">
        <f t="shared" si="42"/>
        <v>10000.019</v>
      </c>
      <c r="J484" s="29">
        <v>1.7000000000000001E-2</v>
      </c>
      <c r="K484" s="148">
        <v>2</v>
      </c>
      <c r="L484" s="509">
        <f t="shared" si="44"/>
        <v>1.7000000000000001E-2</v>
      </c>
      <c r="M484" s="399">
        <f t="shared" si="45"/>
        <v>1.7000000000000001E-2</v>
      </c>
    </row>
    <row r="485" spans="1:13">
      <c r="A485">
        <v>3</v>
      </c>
      <c r="B485" s="379" t="s">
        <v>284</v>
      </c>
      <c r="C485" s="313" t="s">
        <v>992</v>
      </c>
      <c r="D485" s="29" t="s">
        <v>360</v>
      </c>
      <c r="E485" s="514" t="s">
        <v>411</v>
      </c>
      <c r="F485" s="29">
        <v>5000</v>
      </c>
      <c r="G485" s="395" t="str">
        <f t="shared" si="43"/>
        <v>N/A-5000 ,g-08</v>
      </c>
      <c r="H485" s="29">
        <v>-7.4000000000000003E-3</v>
      </c>
      <c r="I485" s="483">
        <f t="shared" si="42"/>
        <v>5000.0074000000004</v>
      </c>
      <c r="J485" s="29">
        <v>8.3000000000000001E-3</v>
      </c>
      <c r="K485" s="148">
        <v>2</v>
      </c>
      <c r="L485" s="509">
        <f t="shared" si="44"/>
        <v>8.3000000000000001E-3</v>
      </c>
      <c r="M485" s="399">
        <f t="shared" si="45"/>
        <v>8.3000000000000001E-3</v>
      </c>
    </row>
    <row r="486" spans="1:13">
      <c r="A486">
        <v>4</v>
      </c>
      <c r="B486" s="379" t="s">
        <v>284</v>
      </c>
      <c r="C486" s="313" t="s">
        <v>1093</v>
      </c>
      <c r="D486" s="29" t="s">
        <v>360</v>
      </c>
      <c r="E486" s="514" t="s">
        <v>1027</v>
      </c>
      <c r="F486" s="29">
        <v>1000</v>
      </c>
      <c r="G486" s="395" t="str">
        <f t="shared" si="43"/>
        <v>N/A-1000 ,g-13</v>
      </c>
      <c r="H486" s="29">
        <v>2.0000000000000001E-4</v>
      </c>
      <c r="I486" s="483">
        <f t="shared" si="42"/>
        <v>999.99980000000005</v>
      </c>
      <c r="J486" s="29">
        <v>1.6999999999999999E-3</v>
      </c>
      <c r="K486" s="148">
        <v>2</v>
      </c>
      <c r="L486" s="509">
        <f t="shared" si="44"/>
        <v>1.6999999999999999E-3</v>
      </c>
      <c r="M486" s="399">
        <f t="shared" si="45"/>
        <v>1.6999999999999999E-3</v>
      </c>
    </row>
    <row r="487" spans="1:13">
      <c r="A487">
        <v>6</v>
      </c>
      <c r="B487" s="379" t="s">
        <v>360</v>
      </c>
      <c r="C487" s="313" t="s">
        <v>990</v>
      </c>
      <c r="D487" s="29" t="s">
        <v>360</v>
      </c>
      <c r="E487" s="514" t="s">
        <v>989</v>
      </c>
      <c r="F487" s="29">
        <v>0</v>
      </c>
      <c r="G487" s="395" t="str">
        <f t="shared" si="43"/>
        <v>N/A-0 ,g-ce</v>
      </c>
      <c r="H487" s="29">
        <v>0</v>
      </c>
      <c r="I487" s="483">
        <f t="shared" si="42"/>
        <v>0</v>
      </c>
      <c r="J487" s="29">
        <v>0</v>
      </c>
      <c r="K487" s="148">
        <v>2</v>
      </c>
      <c r="L487" s="509">
        <f t="shared" si="44"/>
        <v>0</v>
      </c>
      <c r="M487" s="399">
        <f t="shared" si="45"/>
        <v>0</v>
      </c>
    </row>
    <row r="488" spans="1:13">
      <c r="A488">
        <v>1</v>
      </c>
      <c r="B488" s="379" t="s">
        <v>284</v>
      </c>
      <c r="C488" s="313" t="s">
        <v>1016</v>
      </c>
      <c r="D488" s="29" t="s">
        <v>360</v>
      </c>
      <c r="E488" s="514" t="s">
        <v>363</v>
      </c>
      <c r="F488" s="29">
        <v>20</v>
      </c>
      <c r="G488" s="395" t="str">
        <f t="shared" si="43"/>
        <v>N/A-20 ,kg-07</v>
      </c>
      <c r="H488" s="29">
        <v>6.0000000000000002E-6</v>
      </c>
      <c r="I488" s="483">
        <f t="shared" si="42"/>
        <v>19.999994000000001</v>
      </c>
      <c r="J488" s="29">
        <v>3.3000000000000003E-5</v>
      </c>
      <c r="K488" s="148">
        <v>2</v>
      </c>
      <c r="L488" s="509">
        <f t="shared" si="44"/>
        <v>3.3000000000000003E-5</v>
      </c>
      <c r="M488" s="399">
        <f t="shared" si="45"/>
        <v>3.3000000000000003E-5</v>
      </c>
    </row>
    <row r="489" spans="1:13">
      <c r="A489">
        <v>2</v>
      </c>
      <c r="B489" s="379" t="s">
        <v>284</v>
      </c>
      <c r="C489" s="313" t="s">
        <v>1108</v>
      </c>
      <c r="D489" s="29" t="s">
        <v>360</v>
      </c>
      <c r="E489" s="514" t="s">
        <v>362</v>
      </c>
      <c r="F489" s="29">
        <v>10</v>
      </c>
      <c r="G489" s="395" t="str">
        <f t="shared" si="43"/>
        <v>N/A-10 ,kg-09</v>
      </c>
      <c r="H489" s="29">
        <v>-1.9000000000000001E-5</v>
      </c>
      <c r="I489" s="483">
        <f t="shared" si="42"/>
        <v>10.000019</v>
      </c>
      <c r="J489" s="29">
        <v>1.7E-5</v>
      </c>
      <c r="K489" s="148">
        <v>2</v>
      </c>
      <c r="L489" s="509">
        <f t="shared" si="44"/>
        <v>1.7E-5</v>
      </c>
      <c r="M489" s="399">
        <f t="shared" si="45"/>
        <v>1.7E-5</v>
      </c>
    </row>
    <row r="490" spans="1:13">
      <c r="A490">
        <v>3</v>
      </c>
      <c r="B490" s="379" t="s">
        <v>284</v>
      </c>
      <c r="C490" s="313" t="s">
        <v>992</v>
      </c>
      <c r="D490" s="29" t="s">
        <v>360</v>
      </c>
      <c r="E490" s="514" t="s">
        <v>361</v>
      </c>
      <c r="F490" s="29">
        <v>5</v>
      </c>
      <c r="G490" s="395" t="str">
        <f t="shared" si="43"/>
        <v>N/A-5 ,kg-08</v>
      </c>
      <c r="H490" s="29">
        <v>-7.4000000000000003E-6</v>
      </c>
      <c r="I490" s="483">
        <f t="shared" si="42"/>
        <v>5.0000074000000003</v>
      </c>
      <c r="J490" s="29">
        <v>8.3000000000000002E-6</v>
      </c>
      <c r="K490" s="148">
        <v>2</v>
      </c>
      <c r="L490" s="509">
        <f t="shared" si="44"/>
        <v>8.3000000000000002E-6</v>
      </c>
      <c r="M490" s="399">
        <f t="shared" si="45"/>
        <v>8.3000000000000002E-6</v>
      </c>
    </row>
    <row r="491" spans="1:13">
      <c r="A491">
        <v>4</v>
      </c>
      <c r="B491" s="379" t="s">
        <v>284</v>
      </c>
      <c r="C491" s="313" t="s">
        <v>1093</v>
      </c>
      <c r="D491" s="29" t="s">
        <v>360</v>
      </c>
      <c r="E491" s="514" t="s">
        <v>1029</v>
      </c>
      <c r="F491" s="29">
        <v>1</v>
      </c>
      <c r="G491" s="395" t="str">
        <f t="shared" si="43"/>
        <v>N/A-1 ,kg-13</v>
      </c>
      <c r="H491" s="29">
        <v>2.0000000000000002E-7</v>
      </c>
      <c r="I491" s="483">
        <f t="shared" si="42"/>
        <v>0.99999979999999999</v>
      </c>
      <c r="J491" s="29">
        <v>1.7E-6</v>
      </c>
      <c r="K491" s="148">
        <v>2</v>
      </c>
      <c r="L491" s="509">
        <f t="shared" si="44"/>
        <v>1.7E-6</v>
      </c>
      <c r="M491" s="399">
        <f t="shared" si="45"/>
        <v>1.7E-6</v>
      </c>
    </row>
    <row r="492" spans="1:13">
      <c r="A492">
        <v>6</v>
      </c>
      <c r="B492" s="379" t="s">
        <v>360</v>
      </c>
      <c r="C492" s="313" t="s">
        <v>990</v>
      </c>
      <c r="D492" s="29" t="s">
        <v>360</v>
      </c>
      <c r="E492" s="514" t="s">
        <v>1155</v>
      </c>
      <c r="F492" s="29">
        <v>0</v>
      </c>
      <c r="G492" s="395" t="str">
        <f t="shared" si="43"/>
        <v>N/A-0 ,kg-ce</v>
      </c>
      <c r="H492" s="29">
        <v>0</v>
      </c>
      <c r="I492" s="483">
        <f t="shared" si="42"/>
        <v>0</v>
      </c>
      <c r="J492" s="29">
        <v>0</v>
      </c>
      <c r="K492" s="148">
        <v>2</v>
      </c>
      <c r="L492" s="509">
        <f t="shared" si="44"/>
        <v>0</v>
      </c>
      <c r="M492" s="399">
        <f t="shared" si="45"/>
        <v>0</v>
      </c>
    </row>
    <row r="493" spans="1:13">
      <c r="A493">
        <v>1</v>
      </c>
      <c r="B493" s="379" t="s">
        <v>284</v>
      </c>
      <c r="C493" s="313" t="s">
        <v>1207</v>
      </c>
      <c r="D493" s="29" t="s">
        <v>360</v>
      </c>
      <c r="E493" s="514" t="s">
        <v>1127</v>
      </c>
      <c r="F493" s="29">
        <v>1000</v>
      </c>
      <c r="G493" s="395" t="str">
        <f t="shared" si="43"/>
        <v>N/A-1000 ,mg-21</v>
      </c>
      <c r="H493" s="29">
        <v>1.4999999999999999E-2</v>
      </c>
      <c r="I493" s="483">
        <f t="shared" si="42"/>
        <v>999.98500000000001</v>
      </c>
      <c r="J493" s="29">
        <v>3.3000000000000002E-2</v>
      </c>
      <c r="K493" s="148">
        <v>2</v>
      </c>
      <c r="L493" s="509">
        <f t="shared" si="44"/>
        <v>3.3000000000000002E-2</v>
      </c>
      <c r="M493" s="399">
        <f t="shared" si="45"/>
        <v>3.3000000000000002E-2</v>
      </c>
    </row>
    <row r="494" spans="1:13">
      <c r="A494">
        <v>2</v>
      </c>
      <c r="B494" s="379" t="s">
        <v>284</v>
      </c>
      <c r="C494" s="313" t="s">
        <v>1207</v>
      </c>
      <c r="D494" s="29" t="s">
        <v>153</v>
      </c>
      <c r="E494" s="514" t="s">
        <v>1128</v>
      </c>
      <c r="F494" s="29">
        <v>2000</v>
      </c>
      <c r="G494" s="395" t="str">
        <f t="shared" si="43"/>
        <v>NO-2000 ,mg-21</v>
      </c>
      <c r="H494" s="29">
        <v>1.0999999999999999E-2</v>
      </c>
      <c r="I494" s="483">
        <f t="shared" si="42"/>
        <v>1999.989</v>
      </c>
      <c r="J494" s="29">
        <v>0.04</v>
      </c>
      <c r="K494" s="148">
        <v>2</v>
      </c>
      <c r="L494" s="509">
        <f t="shared" si="44"/>
        <v>0.04</v>
      </c>
      <c r="M494" s="399">
        <f t="shared" si="45"/>
        <v>0.04</v>
      </c>
    </row>
    <row r="495" spans="1:13">
      <c r="A495">
        <v>3</v>
      </c>
      <c r="B495" s="379" t="s">
        <v>284</v>
      </c>
      <c r="C495" s="313" t="s">
        <v>1207</v>
      </c>
      <c r="D495" s="29" t="s">
        <v>152</v>
      </c>
      <c r="E495" s="514" t="s">
        <v>1128</v>
      </c>
      <c r="F495" s="29">
        <v>2000</v>
      </c>
      <c r="G495" s="395" t="str">
        <f t="shared" si="43"/>
        <v>SI-2000 ,mg-21</v>
      </c>
      <c r="H495" s="29">
        <v>-2E-3</v>
      </c>
      <c r="I495" s="483">
        <f t="shared" si="42"/>
        <v>2000.002</v>
      </c>
      <c r="J495" s="29">
        <v>0.04</v>
      </c>
      <c r="K495" s="148">
        <v>2</v>
      </c>
      <c r="L495" s="509">
        <f t="shared" si="44"/>
        <v>0.04</v>
      </c>
      <c r="M495" s="399">
        <f t="shared" si="45"/>
        <v>0.04</v>
      </c>
    </row>
    <row r="496" spans="1:13">
      <c r="A496">
        <v>4</v>
      </c>
      <c r="B496" s="379" t="s">
        <v>284</v>
      </c>
      <c r="C496" s="313" t="s">
        <v>1207</v>
      </c>
      <c r="D496" s="29" t="s">
        <v>360</v>
      </c>
      <c r="E496" s="514" t="s">
        <v>1129</v>
      </c>
      <c r="F496" s="29">
        <v>5000</v>
      </c>
      <c r="G496" s="395" t="str">
        <f t="shared" si="43"/>
        <v>N/A-5000 ,mg-21</v>
      </c>
      <c r="H496" s="29">
        <v>1.7000000000000001E-2</v>
      </c>
      <c r="I496" s="483">
        <f t="shared" si="42"/>
        <v>4999.9830000000002</v>
      </c>
      <c r="J496" s="29">
        <v>5.2999999999999999E-2</v>
      </c>
      <c r="K496" s="148">
        <v>2</v>
      </c>
      <c r="L496" s="509">
        <f t="shared" si="44"/>
        <v>5.2999999999999999E-2</v>
      </c>
      <c r="M496" s="399">
        <f t="shared" si="45"/>
        <v>5.2999999999999999E-2</v>
      </c>
    </row>
    <row r="497" spans="1:13">
      <c r="A497">
        <v>5</v>
      </c>
      <c r="B497" s="379" t="s">
        <v>284</v>
      </c>
      <c r="C497" s="313" t="s">
        <v>1207</v>
      </c>
      <c r="D497" s="29" t="s">
        <v>360</v>
      </c>
      <c r="E497" s="514" t="s">
        <v>1130</v>
      </c>
      <c r="F497" s="29">
        <v>10000</v>
      </c>
      <c r="G497" s="395" t="str">
        <f t="shared" si="43"/>
        <v>N/A-10000 ,mg-21</v>
      </c>
      <c r="H497" s="29">
        <v>4.3999999999999997E-2</v>
      </c>
      <c r="I497" s="483">
        <f t="shared" si="42"/>
        <v>9999.9560000000001</v>
      </c>
      <c r="J497" s="29">
        <v>6.7000000000000004E-2</v>
      </c>
      <c r="K497" s="148">
        <v>2</v>
      </c>
      <c r="L497" s="509">
        <f t="shared" si="44"/>
        <v>6.7000000000000004E-2</v>
      </c>
      <c r="M497" s="399">
        <f t="shared" si="45"/>
        <v>6.7000000000000004E-2</v>
      </c>
    </row>
    <row r="498" spans="1:13">
      <c r="A498">
        <v>6</v>
      </c>
      <c r="B498" s="379" t="s">
        <v>284</v>
      </c>
      <c r="C498" s="313" t="s">
        <v>1207</v>
      </c>
      <c r="D498" s="29" t="s">
        <v>153</v>
      </c>
      <c r="E498" s="514" t="s">
        <v>1131</v>
      </c>
      <c r="F498" s="29">
        <v>20000</v>
      </c>
      <c r="G498" s="395" t="str">
        <f t="shared" si="43"/>
        <v>NO-20000 ,mg-21</v>
      </c>
      <c r="H498" s="862">
        <v>1.0000000000000001E-229</v>
      </c>
      <c r="I498" s="483">
        <f t="shared" si="42"/>
        <v>20000</v>
      </c>
      <c r="J498" s="29">
        <v>8.3000000000000004E-2</v>
      </c>
      <c r="K498" s="148">
        <v>2</v>
      </c>
      <c r="L498" s="509">
        <f t="shared" si="44"/>
        <v>8.3000000000000004E-2</v>
      </c>
      <c r="M498" s="399">
        <f t="shared" si="45"/>
        <v>8.3000000000000004E-2</v>
      </c>
    </row>
    <row r="499" spans="1:13">
      <c r="A499">
        <v>7</v>
      </c>
      <c r="B499" s="379" t="s">
        <v>284</v>
      </c>
      <c r="C499" s="313" t="s">
        <v>1207</v>
      </c>
      <c r="D499" s="29" t="s">
        <v>152</v>
      </c>
      <c r="E499" s="514" t="s">
        <v>1131</v>
      </c>
      <c r="F499" s="29">
        <v>20000</v>
      </c>
      <c r="G499" s="395" t="str">
        <f t="shared" si="43"/>
        <v>SI-20000 ,mg-21</v>
      </c>
      <c r="H499" s="29">
        <v>-3.2000000000000001E-2</v>
      </c>
      <c r="I499" s="483">
        <f t="shared" si="42"/>
        <v>20000.031999999999</v>
      </c>
      <c r="J499" s="29">
        <v>8.3000000000000004E-2</v>
      </c>
      <c r="K499" s="148">
        <v>2</v>
      </c>
      <c r="L499" s="509">
        <f t="shared" si="44"/>
        <v>8.3000000000000004E-2</v>
      </c>
      <c r="M499" s="399">
        <f t="shared" si="45"/>
        <v>8.3000000000000004E-2</v>
      </c>
    </row>
    <row r="500" spans="1:13">
      <c r="A500">
        <v>8</v>
      </c>
      <c r="B500" s="379" t="s">
        <v>284</v>
      </c>
      <c r="C500" s="313" t="s">
        <v>1207</v>
      </c>
      <c r="D500" s="29" t="s">
        <v>360</v>
      </c>
      <c r="E500" s="514" t="s">
        <v>1132</v>
      </c>
      <c r="F500" s="29">
        <v>50000</v>
      </c>
      <c r="G500" s="395" t="str">
        <f t="shared" si="43"/>
        <v>N/A-50000 ,mg-21</v>
      </c>
      <c r="H500" s="29">
        <v>0.09</v>
      </c>
      <c r="I500" s="483">
        <f t="shared" si="42"/>
        <v>49999.91</v>
      </c>
      <c r="J500" s="29">
        <v>0.1</v>
      </c>
      <c r="K500" s="148">
        <v>2</v>
      </c>
      <c r="L500" s="509">
        <f t="shared" si="44"/>
        <v>0.1</v>
      </c>
      <c r="M500" s="399">
        <f t="shared" si="45"/>
        <v>0.1</v>
      </c>
    </row>
    <row r="501" spans="1:13">
      <c r="A501">
        <v>9</v>
      </c>
      <c r="B501" s="379" t="s">
        <v>284</v>
      </c>
      <c r="C501" s="313" t="s">
        <v>1207</v>
      </c>
      <c r="D501" s="29" t="s">
        <v>360</v>
      </c>
      <c r="E501" s="514" t="s">
        <v>1133</v>
      </c>
      <c r="F501" s="29">
        <v>100000</v>
      </c>
      <c r="G501" s="395" t="str">
        <f t="shared" si="43"/>
        <v>N/A-100000 ,mg-21</v>
      </c>
      <c r="H501" s="29">
        <v>0.12</v>
      </c>
      <c r="I501" s="483">
        <f t="shared" si="42"/>
        <v>99999.88</v>
      </c>
      <c r="J501" s="29">
        <v>0.17</v>
      </c>
      <c r="K501" s="148">
        <v>2</v>
      </c>
      <c r="L501" s="509">
        <f t="shared" si="44"/>
        <v>0.17</v>
      </c>
      <c r="M501" s="399">
        <f t="shared" si="45"/>
        <v>0.17</v>
      </c>
    </row>
    <row r="502" spans="1:13">
      <c r="A502">
        <v>10</v>
      </c>
      <c r="B502" s="379" t="s">
        <v>284</v>
      </c>
      <c r="C502" s="313" t="s">
        <v>1207</v>
      </c>
      <c r="D502" s="29" t="s">
        <v>153</v>
      </c>
      <c r="E502" s="514" t="s">
        <v>1134</v>
      </c>
      <c r="F502" s="29">
        <v>200000</v>
      </c>
      <c r="G502" s="395" t="str">
        <f t="shared" si="43"/>
        <v>NO-200000 ,mg-21</v>
      </c>
      <c r="H502" s="29">
        <v>0.27</v>
      </c>
      <c r="I502" s="483">
        <f t="shared" si="42"/>
        <v>199999.73</v>
      </c>
      <c r="J502" s="29">
        <v>0.33</v>
      </c>
      <c r="K502" s="148">
        <v>2</v>
      </c>
      <c r="L502" s="509">
        <f t="shared" si="44"/>
        <v>0.33</v>
      </c>
      <c r="M502" s="399">
        <f t="shared" si="45"/>
        <v>0.33</v>
      </c>
    </row>
    <row r="503" spans="1:13">
      <c r="A503">
        <v>11</v>
      </c>
      <c r="B503" s="379" t="s">
        <v>284</v>
      </c>
      <c r="C503" s="313" t="s">
        <v>1207</v>
      </c>
      <c r="D503" s="29" t="s">
        <v>152</v>
      </c>
      <c r="E503" s="514" t="s">
        <v>1134</v>
      </c>
      <c r="F503" s="29">
        <v>200000</v>
      </c>
      <c r="G503" s="395" t="str">
        <f t="shared" si="43"/>
        <v>SI-200000 ,mg-21</v>
      </c>
      <c r="H503" s="29">
        <v>7.0000000000000007E-2</v>
      </c>
      <c r="I503" s="483">
        <f t="shared" si="42"/>
        <v>199999.93</v>
      </c>
      <c r="J503" s="29">
        <v>0.33</v>
      </c>
      <c r="K503" s="148">
        <v>2</v>
      </c>
      <c r="L503" s="509">
        <f t="shared" si="44"/>
        <v>0.33</v>
      </c>
      <c r="M503" s="399">
        <f t="shared" si="45"/>
        <v>0.33</v>
      </c>
    </row>
    <row r="504" spans="1:13">
      <c r="A504">
        <v>12</v>
      </c>
      <c r="B504" s="379" t="s">
        <v>284</v>
      </c>
      <c r="C504" s="313" t="s">
        <v>1207</v>
      </c>
      <c r="D504" s="29" t="s">
        <v>360</v>
      </c>
      <c r="E504" s="514" t="s">
        <v>1135</v>
      </c>
      <c r="F504" s="29">
        <v>500000</v>
      </c>
      <c r="G504" s="395" t="str">
        <f t="shared" si="43"/>
        <v>N/A-500000 ,mg-21</v>
      </c>
      <c r="H504" s="29">
        <v>0.6</v>
      </c>
      <c r="I504" s="483">
        <f t="shared" si="42"/>
        <v>499999.4</v>
      </c>
      <c r="J504" s="29">
        <v>8.3000000000000004E-2</v>
      </c>
      <c r="K504" s="148">
        <v>2</v>
      </c>
      <c r="L504" s="509">
        <f t="shared" si="44"/>
        <v>8.3000000000000004E-2</v>
      </c>
      <c r="M504" s="399">
        <f t="shared" si="45"/>
        <v>8.3000000000000004E-2</v>
      </c>
    </row>
    <row r="505" spans="1:13">
      <c r="A505">
        <v>13</v>
      </c>
      <c r="B505" s="379" t="s">
        <v>284</v>
      </c>
      <c r="C505" s="313" t="s">
        <v>1207</v>
      </c>
      <c r="D505" s="29" t="s">
        <v>360</v>
      </c>
      <c r="E505" s="514" t="s">
        <v>1196</v>
      </c>
      <c r="F505" s="29">
        <v>1000000</v>
      </c>
      <c r="G505" s="395" t="str">
        <f t="shared" si="43"/>
        <v>N/A-1000000 ,mg-21</v>
      </c>
      <c r="H505" s="29">
        <v>1.3</v>
      </c>
      <c r="I505" s="483">
        <f t="shared" si="42"/>
        <v>999998.7</v>
      </c>
      <c r="J505" s="29">
        <v>1.7</v>
      </c>
      <c r="K505" s="148">
        <v>2</v>
      </c>
      <c r="L505" s="509">
        <f t="shared" si="44"/>
        <v>1.7</v>
      </c>
      <c r="M505" s="399">
        <f t="shared" si="45"/>
        <v>1.7</v>
      </c>
    </row>
    <row r="506" spans="1:13">
      <c r="A506">
        <v>14</v>
      </c>
      <c r="B506" s="379" t="s">
        <v>284</v>
      </c>
      <c r="C506" s="313" t="s">
        <v>1207</v>
      </c>
      <c r="D506" s="29" t="s">
        <v>153</v>
      </c>
      <c r="E506" s="514" t="s">
        <v>1197</v>
      </c>
      <c r="F506" s="29">
        <v>2000000</v>
      </c>
      <c r="G506" s="395" t="str">
        <f t="shared" si="43"/>
        <v>NO-2000000 ,mg-21</v>
      </c>
      <c r="H506" s="29">
        <v>-0.1</v>
      </c>
      <c r="I506" s="483">
        <f t="shared" si="42"/>
        <v>2000000.1</v>
      </c>
      <c r="J506" s="29">
        <v>3.3</v>
      </c>
      <c r="K506" s="148">
        <v>2</v>
      </c>
      <c r="L506" s="509">
        <f t="shared" si="44"/>
        <v>3.3</v>
      </c>
      <c r="M506" s="399">
        <f t="shared" si="45"/>
        <v>3.3</v>
      </c>
    </row>
    <row r="507" spans="1:13">
      <c r="A507">
        <v>15</v>
      </c>
      <c r="B507" s="379" t="s">
        <v>284</v>
      </c>
      <c r="C507" s="313" t="s">
        <v>1207</v>
      </c>
      <c r="D507" s="29" t="s">
        <v>152</v>
      </c>
      <c r="E507" s="514" t="s">
        <v>1197</v>
      </c>
      <c r="F507" s="29">
        <v>2000000</v>
      </c>
      <c r="G507" s="395" t="str">
        <f t="shared" si="43"/>
        <v>SI-2000000 ,mg-21</v>
      </c>
      <c r="H507" s="29">
        <v>1.9</v>
      </c>
      <c r="I507" s="483">
        <f t="shared" si="42"/>
        <v>1999998.1</v>
      </c>
      <c r="J507" s="29">
        <v>3.3</v>
      </c>
      <c r="K507" s="148">
        <v>2</v>
      </c>
      <c r="L507" s="509">
        <f t="shared" si="44"/>
        <v>3.3</v>
      </c>
      <c r="M507" s="399">
        <f t="shared" si="45"/>
        <v>3.3</v>
      </c>
    </row>
    <row r="508" spans="1:13">
      <c r="A508">
        <v>1</v>
      </c>
      <c r="B508" s="379" t="s">
        <v>284</v>
      </c>
      <c r="C508" s="313" t="s">
        <v>1207</v>
      </c>
      <c r="D508" s="29" t="s">
        <v>360</v>
      </c>
      <c r="E508" s="514" t="s">
        <v>1018</v>
      </c>
      <c r="F508" s="29">
        <v>1</v>
      </c>
      <c r="G508" s="395" t="str">
        <f t="shared" si="43"/>
        <v>N/A-1 ,g-21</v>
      </c>
      <c r="H508" s="29">
        <v>1.4999999999999999E-5</v>
      </c>
      <c r="I508" s="483">
        <f t="shared" si="42"/>
        <v>0.99998500000000001</v>
      </c>
      <c r="J508" s="29">
        <v>3.3000000000000003E-5</v>
      </c>
      <c r="K508" s="148">
        <v>2</v>
      </c>
      <c r="L508" s="509">
        <f t="shared" si="44"/>
        <v>3.3000000000000003E-5</v>
      </c>
      <c r="M508" s="399">
        <f t="shared" si="45"/>
        <v>3.3000000000000003E-5</v>
      </c>
    </row>
    <row r="509" spans="1:13">
      <c r="A509">
        <v>2</v>
      </c>
      <c r="B509" s="379" t="s">
        <v>284</v>
      </c>
      <c r="C509" s="313" t="s">
        <v>1207</v>
      </c>
      <c r="D509" s="29" t="s">
        <v>153</v>
      </c>
      <c r="E509" s="514" t="s">
        <v>1019</v>
      </c>
      <c r="F509" s="29">
        <v>2</v>
      </c>
      <c r="G509" s="395" t="str">
        <f t="shared" si="43"/>
        <v>NO-2 ,g-21</v>
      </c>
      <c r="H509" s="29">
        <v>1.1E-5</v>
      </c>
      <c r="I509" s="483">
        <f t="shared" si="42"/>
        <v>1.999989</v>
      </c>
      <c r="J509" s="29">
        <v>4.0000000000000003E-5</v>
      </c>
      <c r="K509" s="148">
        <v>2</v>
      </c>
      <c r="L509" s="509">
        <f t="shared" si="44"/>
        <v>4.0000000000000003E-5</v>
      </c>
      <c r="M509" s="399">
        <f t="shared" si="45"/>
        <v>4.0000000000000003E-5</v>
      </c>
    </row>
    <row r="510" spans="1:13">
      <c r="A510">
        <v>3</v>
      </c>
      <c r="B510" s="379" t="s">
        <v>284</v>
      </c>
      <c r="C510" s="313" t="s">
        <v>1207</v>
      </c>
      <c r="D510" s="29" t="s">
        <v>152</v>
      </c>
      <c r="E510" s="514" t="s">
        <v>1019</v>
      </c>
      <c r="F510" s="29">
        <v>2</v>
      </c>
      <c r="G510" s="395" t="str">
        <f t="shared" si="43"/>
        <v>SI-2 ,g-21</v>
      </c>
      <c r="H510" s="29">
        <v>-1.9999999999999999E-6</v>
      </c>
      <c r="I510" s="483">
        <f t="shared" si="42"/>
        <v>2.0000019999999998</v>
      </c>
      <c r="J510" s="29">
        <v>4.0000000000000003E-5</v>
      </c>
      <c r="K510" s="148">
        <v>2</v>
      </c>
      <c r="L510" s="509">
        <f t="shared" si="44"/>
        <v>4.0000000000000003E-5</v>
      </c>
      <c r="M510" s="399">
        <f t="shared" si="45"/>
        <v>4.0000000000000003E-5</v>
      </c>
    </row>
    <row r="511" spans="1:13">
      <c r="A511">
        <v>4</v>
      </c>
      <c r="B511" s="379" t="s">
        <v>284</v>
      </c>
      <c r="C511" s="313" t="s">
        <v>1207</v>
      </c>
      <c r="D511" s="29" t="s">
        <v>360</v>
      </c>
      <c r="E511" s="514" t="s">
        <v>1020</v>
      </c>
      <c r="F511" s="29">
        <v>5</v>
      </c>
      <c r="G511" s="395" t="str">
        <f t="shared" si="43"/>
        <v>N/A-5 ,g-21</v>
      </c>
      <c r="H511" s="29">
        <v>1.7E-5</v>
      </c>
      <c r="I511" s="483">
        <f t="shared" si="42"/>
        <v>4.9999830000000003</v>
      </c>
      <c r="J511" s="29">
        <v>5.3000000000000001E-5</v>
      </c>
      <c r="K511" s="148">
        <v>2</v>
      </c>
      <c r="L511" s="509">
        <f t="shared" si="44"/>
        <v>5.3000000000000001E-5</v>
      </c>
      <c r="M511" s="399">
        <f t="shared" si="45"/>
        <v>5.3000000000000001E-5</v>
      </c>
    </row>
    <row r="512" spans="1:13">
      <c r="A512">
        <v>5</v>
      </c>
      <c r="B512" s="379" t="s">
        <v>284</v>
      </c>
      <c r="C512" s="313" t="s">
        <v>1207</v>
      </c>
      <c r="D512" s="29" t="s">
        <v>360</v>
      </c>
      <c r="E512" s="514" t="s">
        <v>1021</v>
      </c>
      <c r="F512" s="29">
        <v>10</v>
      </c>
      <c r="G512" s="395" t="str">
        <f t="shared" si="43"/>
        <v>N/A-10 ,g-21</v>
      </c>
      <c r="H512" s="29">
        <v>4.3999999999999999E-5</v>
      </c>
      <c r="I512" s="483">
        <f t="shared" si="42"/>
        <v>9.9999559999999992</v>
      </c>
      <c r="J512" s="29">
        <v>6.7000000000000002E-5</v>
      </c>
      <c r="K512" s="148">
        <v>2</v>
      </c>
      <c r="L512" s="509">
        <f t="shared" si="44"/>
        <v>6.7000000000000002E-5</v>
      </c>
      <c r="M512" s="399">
        <f t="shared" si="45"/>
        <v>6.7000000000000002E-5</v>
      </c>
    </row>
    <row r="513" spans="1:13">
      <c r="A513">
        <v>6</v>
      </c>
      <c r="B513" s="379" t="s">
        <v>284</v>
      </c>
      <c r="C513" s="313" t="s">
        <v>1207</v>
      </c>
      <c r="D513" s="29" t="s">
        <v>153</v>
      </c>
      <c r="E513" s="514" t="s">
        <v>1022</v>
      </c>
      <c r="F513" s="29">
        <v>20</v>
      </c>
      <c r="G513" s="395" t="str">
        <f t="shared" si="43"/>
        <v>NO-20 ,g-21</v>
      </c>
      <c r="H513" s="29">
        <v>1E-232</v>
      </c>
      <c r="I513" s="483">
        <f t="shared" si="42"/>
        <v>20</v>
      </c>
      <c r="J513" s="29">
        <v>8.2999999999999998E-5</v>
      </c>
      <c r="K513" s="148">
        <v>2</v>
      </c>
      <c r="L513" s="509">
        <f t="shared" si="44"/>
        <v>8.2999999999999998E-5</v>
      </c>
      <c r="M513" s="399">
        <f t="shared" si="45"/>
        <v>8.2999999999999998E-5</v>
      </c>
    </row>
    <row r="514" spans="1:13">
      <c r="A514">
        <v>7</v>
      </c>
      <c r="B514" s="379" t="s">
        <v>284</v>
      </c>
      <c r="C514" s="313" t="s">
        <v>1207</v>
      </c>
      <c r="D514" s="29" t="s">
        <v>152</v>
      </c>
      <c r="E514" s="514" t="s">
        <v>1022</v>
      </c>
      <c r="F514" s="29">
        <v>20</v>
      </c>
      <c r="G514" s="395" t="str">
        <f t="shared" si="43"/>
        <v>SI-20 ,g-21</v>
      </c>
      <c r="H514" s="29">
        <v>-3.1999999999999999E-5</v>
      </c>
      <c r="I514" s="483">
        <f t="shared" si="42"/>
        <v>20.000032000000001</v>
      </c>
      <c r="J514" s="29">
        <v>8.2999999999999998E-5</v>
      </c>
      <c r="K514" s="148">
        <v>2</v>
      </c>
      <c r="L514" s="509">
        <f t="shared" si="44"/>
        <v>8.2999999999999998E-5</v>
      </c>
      <c r="M514" s="399">
        <f t="shared" si="45"/>
        <v>8.2999999999999998E-5</v>
      </c>
    </row>
    <row r="515" spans="1:13">
      <c r="A515">
        <v>8</v>
      </c>
      <c r="B515" s="379" t="s">
        <v>284</v>
      </c>
      <c r="C515" s="313" t="s">
        <v>1207</v>
      </c>
      <c r="D515" s="29" t="s">
        <v>360</v>
      </c>
      <c r="E515" s="514" t="s">
        <v>1023</v>
      </c>
      <c r="F515" s="29">
        <v>50</v>
      </c>
      <c r="G515" s="395" t="str">
        <f t="shared" si="43"/>
        <v>N/A-50 ,g-21</v>
      </c>
      <c r="H515" s="29">
        <v>8.9999999999999992E-5</v>
      </c>
      <c r="I515" s="483">
        <f t="shared" si="42"/>
        <v>49.99991</v>
      </c>
      <c r="J515" s="29">
        <v>1E-4</v>
      </c>
      <c r="K515" s="148">
        <v>2</v>
      </c>
      <c r="L515" s="509">
        <f t="shared" si="44"/>
        <v>1E-4</v>
      </c>
      <c r="M515" s="399">
        <f t="shared" si="45"/>
        <v>1E-4</v>
      </c>
    </row>
    <row r="516" spans="1:13">
      <c r="A516">
        <v>9</v>
      </c>
      <c r="B516" s="379" t="s">
        <v>284</v>
      </c>
      <c r="C516" s="313" t="s">
        <v>1207</v>
      </c>
      <c r="D516" s="29" t="s">
        <v>360</v>
      </c>
      <c r="E516" s="514" t="s">
        <v>1024</v>
      </c>
      <c r="F516" s="29">
        <v>100</v>
      </c>
      <c r="G516" s="395" t="str">
        <f t="shared" si="43"/>
        <v>N/A-100 ,g-21</v>
      </c>
      <c r="H516" s="29">
        <v>1.1999999999999999E-4</v>
      </c>
      <c r="I516" s="483">
        <f t="shared" si="42"/>
        <v>99.999880000000005</v>
      </c>
      <c r="J516" s="29">
        <v>1.7000000000000001E-4</v>
      </c>
      <c r="K516" s="148">
        <v>2</v>
      </c>
      <c r="L516" s="509">
        <f t="shared" si="44"/>
        <v>1.7000000000000001E-4</v>
      </c>
      <c r="M516" s="399">
        <f t="shared" si="45"/>
        <v>1.7000000000000001E-4</v>
      </c>
    </row>
    <row r="517" spans="1:13">
      <c r="A517">
        <v>10</v>
      </c>
      <c r="B517" s="379" t="s">
        <v>284</v>
      </c>
      <c r="C517" s="313" t="s">
        <v>1207</v>
      </c>
      <c r="D517" s="29" t="s">
        <v>153</v>
      </c>
      <c r="E517" s="514" t="s">
        <v>1025</v>
      </c>
      <c r="F517" s="29">
        <v>200</v>
      </c>
      <c r="G517" s="395" t="str">
        <f t="shared" si="43"/>
        <v>NO-200 ,g-21</v>
      </c>
      <c r="H517" s="29">
        <v>2.7E-4</v>
      </c>
      <c r="I517" s="483">
        <f t="shared" ref="I517:I580" si="46">F517-H517</f>
        <v>199.99973</v>
      </c>
      <c r="J517" s="29">
        <v>3.3E-4</v>
      </c>
      <c r="K517" s="148">
        <v>2</v>
      </c>
      <c r="L517" s="509">
        <f t="shared" si="44"/>
        <v>3.3E-4</v>
      </c>
      <c r="M517" s="399">
        <f t="shared" si="45"/>
        <v>3.3E-4</v>
      </c>
    </row>
    <row r="518" spans="1:13">
      <c r="A518">
        <v>11</v>
      </c>
      <c r="B518" s="379" t="s">
        <v>284</v>
      </c>
      <c r="C518" s="313" t="s">
        <v>1207</v>
      </c>
      <c r="D518" s="29" t="s">
        <v>152</v>
      </c>
      <c r="E518" s="514" t="s">
        <v>1025</v>
      </c>
      <c r="F518" s="29">
        <v>200</v>
      </c>
      <c r="G518" s="395" t="str">
        <f t="shared" si="43"/>
        <v>SI-200 ,g-21</v>
      </c>
      <c r="H518" s="29">
        <v>7.0000000000000007E-5</v>
      </c>
      <c r="I518" s="483">
        <f t="shared" si="46"/>
        <v>199.99993000000001</v>
      </c>
      <c r="J518" s="29">
        <v>3.3E-4</v>
      </c>
      <c r="K518" s="148">
        <v>2</v>
      </c>
      <c r="L518" s="509">
        <f t="shared" si="44"/>
        <v>3.3E-4</v>
      </c>
      <c r="M518" s="399">
        <f t="shared" si="45"/>
        <v>3.3E-4</v>
      </c>
    </row>
    <row r="519" spans="1:13">
      <c r="A519">
        <v>12</v>
      </c>
      <c r="B519" s="379" t="s">
        <v>284</v>
      </c>
      <c r="C519" s="313" t="s">
        <v>1207</v>
      </c>
      <c r="D519" s="29" t="s">
        <v>360</v>
      </c>
      <c r="E519" s="514" t="s">
        <v>1026</v>
      </c>
      <c r="F519" s="29">
        <v>500</v>
      </c>
      <c r="G519" s="395" t="str">
        <f t="shared" si="43"/>
        <v>N/A-500 ,g-21</v>
      </c>
      <c r="H519" s="29">
        <v>5.9999999999999995E-4</v>
      </c>
      <c r="I519" s="483">
        <f t="shared" si="46"/>
        <v>499.99939999999998</v>
      </c>
      <c r="J519" s="29">
        <v>8.2999999999999998E-5</v>
      </c>
      <c r="K519" s="148">
        <v>2</v>
      </c>
      <c r="L519" s="509">
        <f t="shared" si="44"/>
        <v>8.2999999999999998E-5</v>
      </c>
      <c r="M519" s="399">
        <f t="shared" si="45"/>
        <v>8.2999999999999998E-5</v>
      </c>
    </row>
    <row r="520" spans="1:13">
      <c r="A520">
        <v>13</v>
      </c>
      <c r="B520" s="379" t="s">
        <v>284</v>
      </c>
      <c r="C520" s="313" t="s">
        <v>1207</v>
      </c>
      <c r="D520" s="29" t="s">
        <v>360</v>
      </c>
      <c r="E520" s="514" t="s">
        <v>1027</v>
      </c>
      <c r="F520" s="29">
        <v>1000</v>
      </c>
      <c r="G520" s="395" t="str">
        <f t="shared" ref="G520:G583" si="47">+CONCATENATE(D520,"-",E520,"-",MID(C520,12,2))</f>
        <v>N/A-1000 ,g-21</v>
      </c>
      <c r="H520" s="29">
        <v>1.2999999999999999E-3</v>
      </c>
      <c r="I520" s="483">
        <f t="shared" si="46"/>
        <v>999.99869999999999</v>
      </c>
      <c r="J520" s="29">
        <v>1.6999999999999999E-3</v>
      </c>
      <c r="K520" s="148">
        <v>2</v>
      </c>
      <c r="L520" s="509">
        <f t="shared" si="44"/>
        <v>1.6999999999999999E-3</v>
      </c>
      <c r="M520" s="399">
        <f t="shared" si="45"/>
        <v>1.6999999999999999E-3</v>
      </c>
    </row>
    <row r="521" spans="1:13">
      <c r="A521">
        <v>14</v>
      </c>
      <c r="B521" s="379" t="s">
        <v>284</v>
      </c>
      <c r="C521" s="313" t="s">
        <v>1207</v>
      </c>
      <c r="D521" s="29" t="s">
        <v>153</v>
      </c>
      <c r="E521" s="514" t="s">
        <v>1028</v>
      </c>
      <c r="F521" s="29">
        <v>2000</v>
      </c>
      <c r="G521" s="395" t="str">
        <f t="shared" si="47"/>
        <v>NO-2000 ,g-21</v>
      </c>
      <c r="H521" s="29">
        <v>-1E-4</v>
      </c>
      <c r="I521" s="483">
        <f t="shared" si="46"/>
        <v>2000.0001</v>
      </c>
      <c r="J521" s="29">
        <v>3.3E-3</v>
      </c>
      <c r="K521" s="148">
        <v>2</v>
      </c>
      <c r="L521" s="509">
        <f t="shared" si="44"/>
        <v>3.3E-3</v>
      </c>
      <c r="M521" s="399">
        <f t="shared" si="45"/>
        <v>3.3E-3</v>
      </c>
    </row>
    <row r="522" spans="1:13">
      <c r="A522">
        <v>15</v>
      </c>
      <c r="B522" s="379" t="s">
        <v>284</v>
      </c>
      <c r="C522" s="313" t="s">
        <v>1207</v>
      </c>
      <c r="D522" s="29" t="s">
        <v>152</v>
      </c>
      <c r="E522" s="514" t="s">
        <v>1028</v>
      </c>
      <c r="F522" s="29">
        <v>2000</v>
      </c>
      <c r="G522" s="395" t="str">
        <f t="shared" si="47"/>
        <v>SI-2000 ,g-21</v>
      </c>
      <c r="H522" s="29">
        <v>1.9E-3</v>
      </c>
      <c r="I522" s="483">
        <f t="shared" si="46"/>
        <v>1999.9981</v>
      </c>
      <c r="J522" s="29">
        <v>3.3E-3</v>
      </c>
      <c r="K522" s="148">
        <v>2</v>
      </c>
      <c r="L522" s="509">
        <f t="shared" si="44"/>
        <v>3.3E-3</v>
      </c>
      <c r="M522" s="399">
        <f t="shared" si="45"/>
        <v>3.3E-3</v>
      </c>
    </row>
    <row r="523" spans="1:13">
      <c r="A523">
        <v>1</v>
      </c>
      <c r="B523" s="379" t="s">
        <v>284</v>
      </c>
      <c r="C523" s="313" t="s">
        <v>1207</v>
      </c>
      <c r="D523" s="29" t="s">
        <v>360</v>
      </c>
      <c r="E523" s="514" t="s">
        <v>1188</v>
      </c>
      <c r="F523" s="29">
        <v>1E-3</v>
      </c>
      <c r="G523" s="395" t="str">
        <f t="shared" si="47"/>
        <v>N/A-0,001 ,kg-21</v>
      </c>
      <c r="H523" s="29">
        <v>1.4999999999999999E-8</v>
      </c>
      <c r="I523" s="483">
        <f t="shared" si="46"/>
        <v>9.9998500000000011E-4</v>
      </c>
      <c r="J523" s="29">
        <v>3.3000000000000004E-8</v>
      </c>
      <c r="K523" s="148">
        <v>2</v>
      </c>
      <c r="L523" s="509">
        <f t="shared" ref="L523:L586" si="48">IF(AND(B523="E2",N523&lt;&gt;0),ABS(H523-N523),M523)</f>
        <v>3.3000000000000004E-8</v>
      </c>
      <c r="M523" s="399">
        <f t="shared" ref="M523:M586" si="49">J523</f>
        <v>3.3000000000000004E-8</v>
      </c>
    </row>
    <row r="524" spans="1:13">
      <c r="A524">
        <v>2</v>
      </c>
      <c r="B524" s="379" t="s">
        <v>284</v>
      </c>
      <c r="C524" s="313" t="s">
        <v>1207</v>
      </c>
      <c r="D524" s="29" t="s">
        <v>153</v>
      </c>
      <c r="E524" s="514" t="s">
        <v>1189</v>
      </c>
      <c r="F524" s="29">
        <v>2E-3</v>
      </c>
      <c r="G524" s="395" t="str">
        <f t="shared" si="47"/>
        <v>NO-0,002 ,kg-21</v>
      </c>
      <c r="H524" s="29">
        <v>1.0999999999999999E-8</v>
      </c>
      <c r="I524" s="483">
        <f t="shared" si="46"/>
        <v>1.9999890000000002E-3</v>
      </c>
      <c r="J524" s="29">
        <v>4.0000000000000001E-8</v>
      </c>
      <c r="K524" s="148">
        <v>2</v>
      </c>
      <c r="L524" s="509">
        <f t="shared" si="48"/>
        <v>4.0000000000000001E-8</v>
      </c>
      <c r="M524" s="399">
        <f t="shared" si="49"/>
        <v>4.0000000000000001E-8</v>
      </c>
    </row>
    <row r="525" spans="1:13">
      <c r="A525">
        <v>3</v>
      </c>
      <c r="B525" s="379" t="s">
        <v>284</v>
      </c>
      <c r="C525" s="313" t="s">
        <v>1207</v>
      </c>
      <c r="D525" s="29" t="s">
        <v>152</v>
      </c>
      <c r="E525" s="514" t="s">
        <v>1189</v>
      </c>
      <c r="F525" s="29">
        <v>2E-3</v>
      </c>
      <c r="G525" s="395" t="str">
        <f t="shared" si="47"/>
        <v>SI-0,002 ,kg-21</v>
      </c>
      <c r="H525" s="29">
        <v>-2.0000000000000001E-9</v>
      </c>
      <c r="I525" s="483">
        <f t="shared" si="46"/>
        <v>2.0000019999999999E-3</v>
      </c>
      <c r="J525" s="29">
        <v>4.0000000000000001E-8</v>
      </c>
      <c r="K525" s="148">
        <v>2</v>
      </c>
      <c r="L525" s="509">
        <f t="shared" si="48"/>
        <v>4.0000000000000001E-8</v>
      </c>
      <c r="M525" s="399">
        <f t="shared" si="49"/>
        <v>4.0000000000000001E-8</v>
      </c>
    </row>
    <row r="526" spans="1:13">
      <c r="A526">
        <v>4</v>
      </c>
      <c r="B526" s="379" t="s">
        <v>284</v>
      </c>
      <c r="C526" s="313" t="s">
        <v>1207</v>
      </c>
      <c r="D526" s="29" t="s">
        <v>360</v>
      </c>
      <c r="E526" s="514" t="s">
        <v>1190</v>
      </c>
      <c r="F526" s="29">
        <v>5.0000000000000001E-3</v>
      </c>
      <c r="G526" s="395" t="str">
        <f t="shared" si="47"/>
        <v>N/A-0,005 ,kg-21</v>
      </c>
      <c r="H526" s="29">
        <v>1.7E-8</v>
      </c>
      <c r="I526" s="483">
        <f t="shared" si="46"/>
        <v>4.9999830000000004E-3</v>
      </c>
      <c r="J526" s="29">
        <v>5.2999999999999998E-8</v>
      </c>
      <c r="K526" s="148">
        <v>2</v>
      </c>
      <c r="L526" s="509">
        <f t="shared" si="48"/>
        <v>5.2999999999999998E-8</v>
      </c>
      <c r="M526" s="399">
        <f t="shared" si="49"/>
        <v>5.2999999999999998E-8</v>
      </c>
    </row>
    <row r="527" spans="1:13">
      <c r="A527">
        <v>5</v>
      </c>
      <c r="B527" s="379" t="s">
        <v>284</v>
      </c>
      <c r="C527" s="313" t="s">
        <v>1207</v>
      </c>
      <c r="D527" s="29" t="s">
        <v>360</v>
      </c>
      <c r="E527" s="514" t="s">
        <v>1191</v>
      </c>
      <c r="F527" s="29">
        <v>0.01</v>
      </c>
      <c r="G527" s="395" t="str">
        <f t="shared" si="47"/>
        <v>N/A-0,01 ,kg-21</v>
      </c>
      <c r="H527" s="29">
        <v>4.3999999999999997E-8</v>
      </c>
      <c r="I527" s="483">
        <f t="shared" si="46"/>
        <v>9.9999560000000008E-3</v>
      </c>
      <c r="J527" s="29">
        <v>6.7000000000000004E-8</v>
      </c>
      <c r="K527" s="148">
        <v>2</v>
      </c>
      <c r="L527" s="509">
        <f t="shared" si="48"/>
        <v>6.7000000000000004E-8</v>
      </c>
      <c r="M527" s="399">
        <f t="shared" si="49"/>
        <v>6.7000000000000004E-8</v>
      </c>
    </row>
    <row r="528" spans="1:13">
      <c r="A528">
        <v>6</v>
      </c>
      <c r="B528" s="379" t="s">
        <v>284</v>
      </c>
      <c r="C528" s="313" t="s">
        <v>1207</v>
      </c>
      <c r="D528" s="29" t="s">
        <v>153</v>
      </c>
      <c r="E528" s="514" t="s">
        <v>1192</v>
      </c>
      <c r="F528" s="29">
        <v>0.02</v>
      </c>
      <c r="G528" s="395" t="str">
        <f t="shared" si="47"/>
        <v>NO-0,02 ,kg-21</v>
      </c>
      <c r="H528" s="29">
        <v>1.0000000000000001E-235</v>
      </c>
      <c r="I528" s="483">
        <f t="shared" si="46"/>
        <v>0.02</v>
      </c>
      <c r="J528" s="29">
        <v>8.3000000000000002E-8</v>
      </c>
      <c r="K528" s="148">
        <v>2</v>
      </c>
      <c r="L528" s="509">
        <f t="shared" si="48"/>
        <v>8.3000000000000002E-8</v>
      </c>
      <c r="M528" s="399">
        <f t="shared" si="49"/>
        <v>8.3000000000000002E-8</v>
      </c>
    </row>
    <row r="529" spans="1:13">
      <c r="A529">
        <v>7</v>
      </c>
      <c r="B529" s="379" t="s">
        <v>284</v>
      </c>
      <c r="C529" s="313" t="s">
        <v>1207</v>
      </c>
      <c r="D529" s="29" t="s">
        <v>152</v>
      </c>
      <c r="E529" s="514" t="s">
        <v>1192</v>
      </c>
      <c r="F529" s="29">
        <v>0.02</v>
      </c>
      <c r="G529" s="395" t="str">
        <f t="shared" si="47"/>
        <v>SI-0,02 ,kg-21</v>
      </c>
      <c r="H529" s="29">
        <v>-3.2000000000000002E-8</v>
      </c>
      <c r="I529" s="483">
        <f t="shared" si="46"/>
        <v>2.0000032000000001E-2</v>
      </c>
      <c r="J529" s="29">
        <v>8.3000000000000002E-8</v>
      </c>
      <c r="K529" s="148">
        <v>2</v>
      </c>
      <c r="L529" s="509">
        <f t="shared" si="48"/>
        <v>8.3000000000000002E-8</v>
      </c>
      <c r="M529" s="399">
        <f t="shared" si="49"/>
        <v>8.3000000000000002E-8</v>
      </c>
    </row>
    <row r="530" spans="1:13">
      <c r="A530">
        <v>8</v>
      </c>
      <c r="B530" s="379" t="s">
        <v>284</v>
      </c>
      <c r="C530" s="313" t="s">
        <v>1207</v>
      </c>
      <c r="D530" s="29" t="s">
        <v>360</v>
      </c>
      <c r="E530" s="514" t="s">
        <v>1193</v>
      </c>
      <c r="F530" s="29">
        <v>0.05</v>
      </c>
      <c r="G530" s="395" t="str">
        <f t="shared" si="47"/>
        <v>N/A-0,05 ,kg-21</v>
      </c>
      <c r="H530" s="29">
        <v>8.9999999999999999E-8</v>
      </c>
      <c r="I530" s="483">
        <f t="shared" si="46"/>
        <v>4.9999910000000002E-2</v>
      </c>
      <c r="J530" s="29">
        <v>1.0000000000000001E-7</v>
      </c>
      <c r="K530" s="148">
        <v>2</v>
      </c>
      <c r="L530" s="509">
        <f t="shared" si="48"/>
        <v>1.0000000000000001E-7</v>
      </c>
      <c r="M530" s="399">
        <f t="shared" si="49"/>
        <v>1.0000000000000001E-7</v>
      </c>
    </row>
    <row r="531" spans="1:13">
      <c r="A531">
        <v>9</v>
      </c>
      <c r="B531" s="379" t="s">
        <v>284</v>
      </c>
      <c r="C531" s="313" t="s">
        <v>1207</v>
      </c>
      <c r="D531" s="29" t="s">
        <v>360</v>
      </c>
      <c r="E531" s="514" t="s">
        <v>1194</v>
      </c>
      <c r="F531" s="29">
        <v>0.1</v>
      </c>
      <c r="G531" s="395" t="str">
        <f t="shared" si="47"/>
        <v>N/A-0,1 ,kg-21</v>
      </c>
      <c r="H531" s="29">
        <v>1.1999999999999999E-7</v>
      </c>
      <c r="I531" s="483">
        <f t="shared" si="46"/>
        <v>9.9999879999999999E-2</v>
      </c>
      <c r="J531" s="29">
        <v>1.7000000000000001E-7</v>
      </c>
      <c r="K531" s="148">
        <v>2</v>
      </c>
      <c r="L531" s="509">
        <f t="shared" si="48"/>
        <v>1.7000000000000001E-7</v>
      </c>
      <c r="M531" s="399">
        <f t="shared" si="49"/>
        <v>1.7000000000000001E-7</v>
      </c>
    </row>
    <row r="532" spans="1:13">
      <c r="A532">
        <v>10</v>
      </c>
      <c r="B532" s="379" t="s">
        <v>284</v>
      </c>
      <c r="C532" s="313" t="s">
        <v>1207</v>
      </c>
      <c r="D532" s="29" t="s">
        <v>153</v>
      </c>
      <c r="E532" s="514" t="s">
        <v>1195</v>
      </c>
      <c r="F532" s="29">
        <v>0.2</v>
      </c>
      <c r="G532" s="395" t="str">
        <f t="shared" si="47"/>
        <v>NO-0,2 ,kg-21</v>
      </c>
      <c r="H532" s="29">
        <v>2.7000000000000001E-7</v>
      </c>
      <c r="I532" s="483">
        <f t="shared" si="46"/>
        <v>0.19999973000000001</v>
      </c>
      <c r="J532" s="29">
        <v>3.3000000000000002E-7</v>
      </c>
      <c r="K532" s="148">
        <v>2</v>
      </c>
      <c r="L532" s="509">
        <f t="shared" si="48"/>
        <v>3.3000000000000002E-7</v>
      </c>
      <c r="M532" s="399">
        <f t="shared" si="49"/>
        <v>3.3000000000000002E-7</v>
      </c>
    </row>
    <row r="533" spans="1:13">
      <c r="A533">
        <v>11</v>
      </c>
      <c r="B533" s="379" t="s">
        <v>284</v>
      </c>
      <c r="C533" s="313" t="s">
        <v>1207</v>
      </c>
      <c r="D533" s="29" t="s">
        <v>152</v>
      </c>
      <c r="E533" s="514" t="s">
        <v>1195</v>
      </c>
      <c r="F533" s="29">
        <v>0.2</v>
      </c>
      <c r="G533" s="395" t="str">
        <f t="shared" si="47"/>
        <v>SI-0,2 ,kg-21</v>
      </c>
      <c r="H533" s="29">
        <v>7.0000000000000005E-8</v>
      </c>
      <c r="I533" s="483">
        <f t="shared" si="46"/>
        <v>0.19999993000000002</v>
      </c>
      <c r="J533" s="29">
        <v>3.3000000000000002E-7</v>
      </c>
      <c r="K533" s="148">
        <v>2</v>
      </c>
      <c r="L533" s="509">
        <f t="shared" si="48"/>
        <v>3.3000000000000002E-7</v>
      </c>
      <c r="M533" s="399">
        <f t="shared" si="49"/>
        <v>3.3000000000000002E-7</v>
      </c>
    </row>
    <row r="534" spans="1:13">
      <c r="A534">
        <v>12</v>
      </c>
      <c r="B534" s="379" t="s">
        <v>284</v>
      </c>
      <c r="C534" s="313" t="s">
        <v>1207</v>
      </c>
      <c r="D534" s="29" t="s">
        <v>360</v>
      </c>
      <c r="E534" s="514" t="s">
        <v>1199</v>
      </c>
      <c r="F534" s="29">
        <v>0.5</v>
      </c>
      <c r="G534" s="395" t="str">
        <f t="shared" si="47"/>
        <v>N/A-0,5 ,kg-21</v>
      </c>
      <c r="H534" s="29">
        <v>5.9999999999999997E-7</v>
      </c>
      <c r="I534" s="483">
        <f t="shared" si="46"/>
        <v>0.49999939999999998</v>
      </c>
      <c r="J534" s="29">
        <v>8.3000000000000002E-8</v>
      </c>
      <c r="K534" s="148">
        <v>2</v>
      </c>
      <c r="L534" s="509">
        <f t="shared" si="48"/>
        <v>8.3000000000000002E-8</v>
      </c>
      <c r="M534" s="399">
        <f t="shared" si="49"/>
        <v>8.3000000000000002E-8</v>
      </c>
    </row>
    <row r="535" spans="1:13">
      <c r="A535">
        <v>13</v>
      </c>
      <c r="B535" s="379" t="s">
        <v>284</v>
      </c>
      <c r="C535" s="313" t="s">
        <v>1207</v>
      </c>
      <c r="D535" s="29" t="s">
        <v>360</v>
      </c>
      <c r="E535" s="514" t="s">
        <v>1029</v>
      </c>
      <c r="F535" s="29">
        <v>1</v>
      </c>
      <c r="G535" s="395" t="str">
        <f t="shared" si="47"/>
        <v>N/A-1 ,kg-21</v>
      </c>
      <c r="H535" s="29">
        <v>1.3E-6</v>
      </c>
      <c r="I535" s="483">
        <f t="shared" si="46"/>
        <v>0.99999870000000002</v>
      </c>
      <c r="J535" s="29">
        <v>1.7E-6</v>
      </c>
      <c r="K535" s="148">
        <v>2</v>
      </c>
      <c r="L535" s="509">
        <f t="shared" si="48"/>
        <v>1.7E-6</v>
      </c>
      <c r="M535" s="399">
        <f t="shared" si="49"/>
        <v>1.7E-6</v>
      </c>
    </row>
    <row r="536" spans="1:13">
      <c r="A536">
        <v>14</v>
      </c>
      <c r="B536" s="379" t="s">
        <v>284</v>
      </c>
      <c r="C536" s="313" t="s">
        <v>1207</v>
      </c>
      <c r="D536" s="29" t="s">
        <v>153</v>
      </c>
      <c r="E536" s="514" t="s">
        <v>1030</v>
      </c>
      <c r="F536" s="29">
        <v>2</v>
      </c>
      <c r="G536" s="395" t="str">
        <f t="shared" si="47"/>
        <v>NO-2 ,kg-21</v>
      </c>
      <c r="H536" s="29">
        <v>-1.0000000000000001E-7</v>
      </c>
      <c r="I536" s="483">
        <f t="shared" si="46"/>
        <v>2.0000000999999998</v>
      </c>
      <c r="J536" s="29">
        <v>3.2999999999999997E-6</v>
      </c>
      <c r="K536" s="148">
        <v>2</v>
      </c>
      <c r="L536" s="509">
        <f t="shared" si="48"/>
        <v>3.2999999999999997E-6</v>
      </c>
      <c r="M536" s="399">
        <f t="shared" si="49"/>
        <v>3.2999999999999997E-6</v>
      </c>
    </row>
    <row r="537" spans="1:13">
      <c r="A537">
        <v>15</v>
      </c>
      <c r="B537" s="379" t="s">
        <v>284</v>
      </c>
      <c r="C537" s="313" t="s">
        <v>1207</v>
      </c>
      <c r="D537" s="29" t="s">
        <v>152</v>
      </c>
      <c r="E537" s="514" t="s">
        <v>1030</v>
      </c>
      <c r="F537" s="29">
        <v>2</v>
      </c>
      <c r="G537" s="395" t="str">
        <f t="shared" si="47"/>
        <v>SI-2 ,kg-21</v>
      </c>
      <c r="H537" s="29">
        <v>1.8999999999999998E-6</v>
      </c>
      <c r="I537" s="483">
        <f t="shared" si="46"/>
        <v>1.9999981</v>
      </c>
      <c r="J537" s="29">
        <v>3.2999999999999997E-6</v>
      </c>
      <c r="K537" s="148">
        <v>2</v>
      </c>
      <c r="L537" s="509">
        <f t="shared" si="48"/>
        <v>3.2999999999999997E-6</v>
      </c>
      <c r="M537" s="399">
        <f t="shared" si="49"/>
        <v>3.2999999999999997E-6</v>
      </c>
    </row>
    <row r="538" spans="1:13">
      <c r="B538" s="379" t="s">
        <v>284</v>
      </c>
      <c r="C538" s="313" t="s">
        <v>1207</v>
      </c>
      <c r="D538" s="29" t="s">
        <v>360</v>
      </c>
      <c r="E538" s="514" t="s">
        <v>1202</v>
      </c>
      <c r="F538" s="29" t="b">
        <v>0</v>
      </c>
      <c r="G538" s="395" t="str">
        <f t="shared" si="47"/>
        <v>N/A-FALSO ,?-21</v>
      </c>
      <c r="H538" s="29" t="b">
        <v>0</v>
      </c>
      <c r="I538" s="483">
        <f t="shared" si="46"/>
        <v>0</v>
      </c>
      <c r="J538" s="29" t="b">
        <v>0</v>
      </c>
      <c r="K538" s="148">
        <v>2</v>
      </c>
      <c r="L538" s="509" t="b">
        <f t="shared" si="48"/>
        <v>0</v>
      </c>
      <c r="M538" s="399" t="b">
        <f t="shared" si="49"/>
        <v>0</v>
      </c>
    </row>
    <row r="539" spans="1:13">
      <c r="B539" s="379"/>
      <c r="C539" s="313"/>
      <c r="D539" s="29"/>
      <c r="E539" s="514"/>
      <c r="F539" s="29"/>
      <c r="G539" s="395" t="str">
        <f t="shared" si="47"/>
        <v>--</v>
      </c>
      <c r="H539" s="29"/>
      <c r="I539" s="483">
        <f t="shared" si="46"/>
        <v>0</v>
      </c>
      <c r="J539" s="29"/>
      <c r="K539" s="148"/>
      <c r="L539" s="509">
        <f t="shared" si="48"/>
        <v>0</v>
      </c>
      <c r="M539" s="399">
        <f t="shared" si="49"/>
        <v>0</v>
      </c>
    </row>
    <row r="540" spans="1:13">
      <c r="B540" s="379"/>
      <c r="C540" s="313"/>
      <c r="D540" s="29"/>
      <c r="E540" s="514"/>
      <c r="F540" s="29"/>
      <c r="G540" s="395" t="str">
        <f t="shared" si="47"/>
        <v>--</v>
      </c>
      <c r="H540" s="29"/>
      <c r="I540" s="483">
        <f t="shared" si="46"/>
        <v>0</v>
      </c>
      <c r="J540" s="29"/>
      <c r="K540" s="148"/>
      <c r="L540" s="509">
        <f t="shared" si="48"/>
        <v>0</v>
      </c>
      <c r="M540" s="399">
        <f t="shared" si="49"/>
        <v>0</v>
      </c>
    </row>
    <row r="541" spans="1:13">
      <c r="B541" s="379"/>
      <c r="C541" s="313"/>
      <c r="D541" s="29"/>
      <c r="E541" s="514"/>
      <c r="F541" s="29"/>
      <c r="G541" s="395" t="str">
        <f t="shared" si="47"/>
        <v>--</v>
      </c>
      <c r="H541" s="29"/>
      <c r="I541" s="483">
        <f t="shared" si="46"/>
        <v>0</v>
      </c>
      <c r="J541" s="29"/>
      <c r="K541" s="148"/>
      <c r="L541" s="509">
        <f t="shared" si="48"/>
        <v>0</v>
      </c>
      <c r="M541" s="399">
        <f t="shared" si="49"/>
        <v>0</v>
      </c>
    </row>
    <row r="542" spans="1:13">
      <c r="B542" s="379"/>
      <c r="C542" s="313"/>
      <c r="D542" s="29"/>
      <c r="E542" s="514"/>
      <c r="F542" s="29"/>
      <c r="G542" s="395" t="str">
        <f t="shared" si="47"/>
        <v>--</v>
      </c>
      <c r="H542" s="29"/>
      <c r="I542" s="483">
        <f t="shared" si="46"/>
        <v>0</v>
      </c>
      <c r="J542" s="29"/>
      <c r="K542" s="148"/>
      <c r="L542" s="509">
        <f t="shared" si="48"/>
        <v>0</v>
      </c>
      <c r="M542" s="399">
        <f t="shared" si="49"/>
        <v>0</v>
      </c>
    </row>
    <row r="543" spans="1:13">
      <c r="B543" s="379"/>
      <c r="C543" s="313"/>
      <c r="D543" s="29"/>
      <c r="E543" s="514"/>
      <c r="F543" s="29"/>
      <c r="G543" s="395" t="str">
        <f t="shared" si="47"/>
        <v>--</v>
      </c>
      <c r="H543" s="29"/>
      <c r="I543" s="483">
        <f t="shared" si="46"/>
        <v>0</v>
      </c>
      <c r="J543" s="29"/>
      <c r="K543" s="148"/>
      <c r="L543" s="509">
        <f t="shared" si="48"/>
        <v>0</v>
      </c>
      <c r="M543" s="399">
        <f t="shared" si="49"/>
        <v>0</v>
      </c>
    </row>
    <row r="544" spans="1:13">
      <c r="B544" s="379"/>
      <c r="C544" s="313"/>
      <c r="D544" s="29"/>
      <c r="E544" s="514"/>
      <c r="F544" s="29"/>
      <c r="G544" s="395" t="str">
        <f t="shared" si="47"/>
        <v>--</v>
      </c>
      <c r="H544" s="29"/>
      <c r="I544" s="483">
        <f t="shared" si="46"/>
        <v>0</v>
      </c>
      <c r="J544" s="29"/>
      <c r="K544" s="148"/>
      <c r="L544" s="509">
        <f t="shared" si="48"/>
        <v>0</v>
      </c>
      <c r="M544" s="399">
        <f t="shared" si="49"/>
        <v>0</v>
      </c>
    </row>
    <row r="545" spans="2:13">
      <c r="B545" s="379"/>
      <c r="C545" s="313"/>
      <c r="D545" s="29"/>
      <c r="E545" s="514"/>
      <c r="F545" s="29"/>
      <c r="G545" s="395" t="str">
        <f t="shared" si="47"/>
        <v>--</v>
      </c>
      <c r="H545" s="29"/>
      <c r="I545" s="483">
        <f t="shared" si="46"/>
        <v>0</v>
      </c>
      <c r="J545" s="29"/>
      <c r="K545" s="148"/>
      <c r="L545" s="509">
        <f t="shared" si="48"/>
        <v>0</v>
      </c>
      <c r="M545" s="399">
        <f t="shared" si="49"/>
        <v>0</v>
      </c>
    </row>
    <row r="546" spans="2:13">
      <c r="B546" s="379"/>
      <c r="C546" s="313"/>
      <c r="D546" s="29"/>
      <c r="E546" s="514"/>
      <c r="F546" s="29"/>
      <c r="G546" s="395" t="str">
        <f t="shared" si="47"/>
        <v>--</v>
      </c>
      <c r="H546" s="29"/>
      <c r="I546" s="483">
        <f t="shared" si="46"/>
        <v>0</v>
      </c>
      <c r="J546" s="29"/>
      <c r="K546" s="148"/>
      <c r="L546" s="509">
        <f t="shared" si="48"/>
        <v>0</v>
      </c>
      <c r="M546" s="399">
        <f t="shared" si="49"/>
        <v>0</v>
      </c>
    </row>
    <row r="547" spans="2:13">
      <c r="B547" s="379"/>
      <c r="C547" s="313"/>
      <c r="D547" s="29"/>
      <c r="E547" s="514"/>
      <c r="F547" s="29"/>
      <c r="G547" s="395" t="str">
        <f t="shared" si="47"/>
        <v>--</v>
      </c>
      <c r="H547" s="29"/>
      <c r="I547" s="483">
        <f t="shared" si="46"/>
        <v>0</v>
      </c>
      <c r="J547" s="29"/>
      <c r="K547" s="148"/>
      <c r="L547" s="509">
        <f t="shared" si="48"/>
        <v>0</v>
      </c>
      <c r="M547" s="399">
        <f t="shared" si="49"/>
        <v>0</v>
      </c>
    </row>
    <row r="548" spans="2:13">
      <c r="B548" s="379"/>
      <c r="C548" s="313"/>
      <c r="D548" s="29"/>
      <c r="E548" s="514"/>
      <c r="F548" s="29"/>
      <c r="G548" s="395" t="str">
        <f t="shared" si="47"/>
        <v>--</v>
      </c>
      <c r="H548" s="29"/>
      <c r="I548" s="483">
        <f t="shared" si="46"/>
        <v>0</v>
      </c>
      <c r="J548" s="29"/>
      <c r="K548" s="148"/>
      <c r="L548" s="509">
        <f t="shared" si="48"/>
        <v>0</v>
      </c>
      <c r="M548" s="399">
        <f t="shared" si="49"/>
        <v>0</v>
      </c>
    </row>
    <row r="549" spans="2:13">
      <c r="B549" s="379"/>
      <c r="C549" s="313"/>
      <c r="D549" s="29"/>
      <c r="E549" s="514"/>
      <c r="F549" s="29"/>
      <c r="G549" s="395" t="str">
        <f t="shared" si="47"/>
        <v>--</v>
      </c>
      <c r="H549" s="29"/>
      <c r="I549" s="483">
        <f t="shared" si="46"/>
        <v>0</v>
      </c>
      <c r="J549" s="29"/>
      <c r="K549" s="148"/>
      <c r="L549" s="509">
        <f t="shared" si="48"/>
        <v>0</v>
      </c>
      <c r="M549" s="399">
        <f t="shared" si="49"/>
        <v>0</v>
      </c>
    </row>
    <row r="550" spans="2:13">
      <c r="B550" s="379"/>
      <c r="C550" s="313"/>
      <c r="D550" s="29"/>
      <c r="E550" s="514"/>
      <c r="F550" s="29"/>
      <c r="G550" s="395" t="str">
        <f t="shared" si="47"/>
        <v>--</v>
      </c>
      <c r="H550" s="29"/>
      <c r="I550" s="483">
        <f t="shared" si="46"/>
        <v>0</v>
      </c>
      <c r="J550" s="29"/>
      <c r="K550" s="148"/>
      <c r="L550" s="509">
        <f t="shared" si="48"/>
        <v>0</v>
      </c>
      <c r="M550" s="399">
        <f t="shared" si="49"/>
        <v>0</v>
      </c>
    </row>
    <row r="551" spans="2:13">
      <c r="B551" s="379"/>
      <c r="C551" s="313"/>
      <c r="D551" s="29"/>
      <c r="E551" s="514"/>
      <c r="F551" s="29"/>
      <c r="G551" s="395" t="str">
        <f t="shared" si="47"/>
        <v>--</v>
      </c>
      <c r="H551" s="29"/>
      <c r="I551" s="483">
        <f t="shared" si="46"/>
        <v>0</v>
      </c>
      <c r="J551" s="29"/>
      <c r="K551" s="148"/>
      <c r="L551" s="509">
        <f t="shared" si="48"/>
        <v>0</v>
      </c>
      <c r="M551" s="399">
        <f t="shared" si="49"/>
        <v>0</v>
      </c>
    </row>
    <row r="552" spans="2:13">
      <c r="B552" s="379"/>
      <c r="C552" s="313"/>
      <c r="D552" s="29"/>
      <c r="E552" s="514"/>
      <c r="F552" s="29"/>
      <c r="G552" s="395" t="str">
        <f t="shared" si="47"/>
        <v>--</v>
      </c>
      <c r="H552" s="29"/>
      <c r="I552" s="483">
        <f t="shared" si="46"/>
        <v>0</v>
      </c>
      <c r="J552" s="29"/>
      <c r="K552" s="148"/>
      <c r="L552" s="509">
        <f t="shared" si="48"/>
        <v>0</v>
      </c>
      <c r="M552" s="399">
        <f t="shared" si="49"/>
        <v>0</v>
      </c>
    </row>
    <row r="553" spans="2:13">
      <c r="B553" s="379"/>
      <c r="C553" s="313"/>
      <c r="D553" s="29"/>
      <c r="E553" s="514"/>
      <c r="F553" s="29"/>
      <c r="G553" s="395" t="str">
        <f t="shared" si="47"/>
        <v>--</v>
      </c>
      <c r="H553" s="29"/>
      <c r="I553" s="483">
        <f t="shared" si="46"/>
        <v>0</v>
      </c>
      <c r="J553" s="29"/>
      <c r="K553" s="148"/>
      <c r="L553" s="509">
        <f t="shared" si="48"/>
        <v>0</v>
      </c>
      <c r="M553" s="399">
        <f t="shared" si="49"/>
        <v>0</v>
      </c>
    </row>
    <row r="554" spans="2:13">
      <c r="B554" s="379"/>
      <c r="C554" s="313"/>
      <c r="D554" s="29"/>
      <c r="E554" s="514"/>
      <c r="F554" s="29"/>
      <c r="G554" s="395" t="str">
        <f t="shared" si="47"/>
        <v>--</v>
      </c>
      <c r="H554" s="29"/>
      <c r="I554" s="483">
        <f t="shared" si="46"/>
        <v>0</v>
      </c>
      <c r="J554" s="29"/>
      <c r="K554" s="148"/>
      <c r="L554" s="509">
        <f t="shared" si="48"/>
        <v>0</v>
      </c>
      <c r="M554" s="399">
        <f t="shared" si="49"/>
        <v>0</v>
      </c>
    </row>
    <row r="555" spans="2:13">
      <c r="B555" s="379"/>
      <c r="C555" s="313"/>
      <c r="D555" s="29"/>
      <c r="E555" s="514"/>
      <c r="F555" s="29"/>
      <c r="G555" s="395" t="str">
        <f t="shared" si="47"/>
        <v>--</v>
      </c>
      <c r="H555" s="29"/>
      <c r="I555" s="483">
        <f t="shared" si="46"/>
        <v>0</v>
      </c>
      <c r="J555" s="29"/>
      <c r="K555" s="148"/>
      <c r="L555" s="509">
        <f t="shared" si="48"/>
        <v>0</v>
      </c>
      <c r="M555" s="399">
        <f t="shared" si="49"/>
        <v>0</v>
      </c>
    </row>
    <row r="556" spans="2:13">
      <c r="B556" s="379"/>
      <c r="C556" s="313"/>
      <c r="D556" s="29"/>
      <c r="E556" s="514"/>
      <c r="F556" s="29"/>
      <c r="G556" s="395" t="str">
        <f t="shared" si="47"/>
        <v>--</v>
      </c>
      <c r="H556" s="29"/>
      <c r="I556" s="483">
        <f t="shared" si="46"/>
        <v>0</v>
      </c>
      <c r="J556" s="29"/>
      <c r="K556" s="148"/>
      <c r="L556" s="509">
        <f t="shared" si="48"/>
        <v>0</v>
      </c>
      <c r="M556" s="399">
        <f t="shared" si="49"/>
        <v>0</v>
      </c>
    </row>
    <row r="557" spans="2:13">
      <c r="B557" s="379"/>
      <c r="C557" s="313"/>
      <c r="D557" s="29"/>
      <c r="E557" s="514"/>
      <c r="F557" s="29"/>
      <c r="G557" s="395" t="str">
        <f t="shared" si="47"/>
        <v>--</v>
      </c>
      <c r="H557" s="29"/>
      <c r="I557" s="483">
        <f t="shared" si="46"/>
        <v>0</v>
      </c>
      <c r="J557" s="29"/>
      <c r="K557" s="148"/>
      <c r="L557" s="509">
        <f t="shared" si="48"/>
        <v>0</v>
      </c>
      <c r="M557" s="399">
        <f t="shared" si="49"/>
        <v>0</v>
      </c>
    </row>
    <row r="558" spans="2:13">
      <c r="B558" s="379"/>
      <c r="C558" s="313"/>
      <c r="D558" s="29"/>
      <c r="E558" s="514"/>
      <c r="F558" s="29"/>
      <c r="G558" s="395" t="str">
        <f t="shared" si="47"/>
        <v>--</v>
      </c>
      <c r="H558" s="29"/>
      <c r="I558" s="483">
        <f t="shared" si="46"/>
        <v>0</v>
      </c>
      <c r="J558" s="29"/>
      <c r="K558" s="148"/>
      <c r="L558" s="509">
        <f t="shared" si="48"/>
        <v>0</v>
      </c>
      <c r="M558" s="399">
        <f t="shared" si="49"/>
        <v>0</v>
      </c>
    </row>
    <row r="559" spans="2:13">
      <c r="B559" s="379"/>
      <c r="C559" s="313"/>
      <c r="D559" s="29"/>
      <c r="E559" s="514"/>
      <c r="F559" s="29"/>
      <c r="G559" s="395" t="str">
        <f t="shared" si="47"/>
        <v>--</v>
      </c>
      <c r="H559" s="29"/>
      <c r="I559" s="483">
        <f t="shared" si="46"/>
        <v>0</v>
      </c>
      <c r="J559" s="29"/>
      <c r="K559" s="148"/>
      <c r="L559" s="509">
        <f t="shared" si="48"/>
        <v>0</v>
      </c>
      <c r="M559" s="399">
        <f t="shared" si="49"/>
        <v>0</v>
      </c>
    </row>
    <row r="560" spans="2:13">
      <c r="B560" s="379"/>
      <c r="C560" s="313"/>
      <c r="D560" s="29"/>
      <c r="E560" s="514"/>
      <c r="F560" s="29"/>
      <c r="G560" s="395" t="str">
        <f t="shared" si="47"/>
        <v>--</v>
      </c>
      <c r="H560" s="29"/>
      <c r="I560" s="483">
        <f t="shared" si="46"/>
        <v>0</v>
      </c>
      <c r="J560" s="29"/>
      <c r="K560" s="148"/>
      <c r="L560" s="509">
        <f t="shared" si="48"/>
        <v>0</v>
      </c>
      <c r="M560" s="399">
        <f t="shared" si="49"/>
        <v>0</v>
      </c>
    </row>
    <row r="561" spans="2:13">
      <c r="B561" s="379"/>
      <c r="C561" s="313"/>
      <c r="D561" s="29"/>
      <c r="E561" s="514"/>
      <c r="F561" s="29"/>
      <c r="G561" s="395" t="str">
        <f t="shared" si="47"/>
        <v>--</v>
      </c>
      <c r="H561" s="29"/>
      <c r="I561" s="483">
        <f t="shared" si="46"/>
        <v>0</v>
      </c>
      <c r="J561" s="29"/>
      <c r="K561" s="148"/>
      <c r="L561" s="509">
        <f t="shared" si="48"/>
        <v>0</v>
      </c>
      <c r="M561" s="399">
        <f t="shared" si="49"/>
        <v>0</v>
      </c>
    </row>
    <row r="562" spans="2:13">
      <c r="B562" s="379"/>
      <c r="C562" s="313"/>
      <c r="D562" s="29"/>
      <c r="E562" s="514"/>
      <c r="F562" s="29"/>
      <c r="G562" s="395" t="str">
        <f t="shared" si="47"/>
        <v>--</v>
      </c>
      <c r="H562" s="29"/>
      <c r="I562" s="483">
        <f t="shared" si="46"/>
        <v>0</v>
      </c>
      <c r="J562" s="29"/>
      <c r="K562" s="148"/>
      <c r="L562" s="509">
        <f t="shared" si="48"/>
        <v>0</v>
      </c>
      <c r="M562" s="399">
        <f t="shared" si="49"/>
        <v>0</v>
      </c>
    </row>
    <row r="563" spans="2:13">
      <c r="B563" s="379"/>
      <c r="C563" s="313"/>
      <c r="D563" s="29"/>
      <c r="E563" s="514"/>
      <c r="F563" s="29"/>
      <c r="G563" s="395" t="str">
        <f t="shared" si="47"/>
        <v>--</v>
      </c>
      <c r="H563" s="29"/>
      <c r="I563" s="483">
        <f t="shared" si="46"/>
        <v>0</v>
      </c>
      <c r="J563" s="29"/>
      <c r="K563" s="148"/>
      <c r="L563" s="509">
        <f t="shared" si="48"/>
        <v>0</v>
      </c>
      <c r="M563" s="399">
        <f t="shared" si="49"/>
        <v>0</v>
      </c>
    </row>
    <row r="564" spans="2:13">
      <c r="B564" s="379"/>
      <c r="C564" s="313"/>
      <c r="D564" s="29"/>
      <c r="E564" s="514"/>
      <c r="F564" s="29"/>
      <c r="G564" s="395" t="str">
        <f t="shared" si="47"/>
        <v>--</v>
      </c>
      <c r="H564" s="29"/>
      <c r="I564" s="483">
        <f t="shared" si="46"/>
        <v>0</v>
      </c>
      <c r="J564" s="29"/>
      <c r="K564" s="148"/>
      <c r="L564" s="509">
        <f t="shared" si="48"/>
        <v>0</v>
      </c>
      <c r="M564" s="399">
        <f t="shared" si="49"/>
        <v>0</v>
      </c>
    </row>
    <row r="565" spans="2:13">
      <c r="B565" s="379"/>
      <c r="C565" s="313"/>
      <c r="D565" s="29"/>
      <c r="E565" s="514"/>
      <c r="F565" s="29"/>
      <c r="G565" s="395" t="str">
        <f t="shared" si="47"/>
        <v>--</v>
      </c>
      <c r="H565" s="29"/>
      <c r="I565" s="483">
        <f t="shared" si="46"/>
        <v>0</v>
      </c>
      <c r="J565" s="29"/>
      <c r="K565" s="148"/>
      <c r="L565" s="509">
        <f t="shared" si="48"/>
        <v>0</v>
      </c>
      <c r="M565" s="399">
        <f t="shared" si="49"/>
        <v>0</v>
      </c>
    </row>
    <row r="566" spans="2:13">
      <c r="B566" s="379"/>
      <c r="C566" s="313"/>
      <c r="D566" s="29"/>
      <c r="E566" s="514"/>
      <c r="F566" s="29"/>
      <c r="G566" s="395" t="str">
        <f t="shared" si="47"/>
        <v>--</v>
      </c>
      <c r="H566" s="29"/>
      <c r="I566" s="483">
        <f t="shared" si="46"/>
        <v>0</v>
      </c>
      <c r="J566" s="29"/>
      <c r="K566" s="148"/>
      <c r="L566" s="509">
        <f t="shared" si="48"/>
        <v>0</v>
      </c>
      <c r="M566" s="399">
        <f t="shared" si="49"/>
        <v>0</v>
      </c>
    </row>
    <row r="567" spans="2:13">
      <c r="B567" s="379"/>
      <c r="C567" s="313"/>
      <c r="D567" s="29"/>
      <c r="E567" s="514"/>
      <c r="F567" s="29"/>
      <c r="G567" s="395" t="str">
        <f t="shared" si="47"/>
        <v>--</v>
      </c>
      <c r="H567" s="29"/>
      <c r="I567" s="483">
        <f t="shared" si="46"/>
        <v>0</v>
      </c>
      <c r="J567" s="29"/>
      <c r="K567" s="148"/>
      <c r="L567" s="509">
        <f t="shared" si="48"/>
        <v>0</v>
      </c>
      <c r="M567" s="399">
        <f t="shared" si="49"/>
        <v>0</v>
      </c>
    </row>
    <row r="568" spans="2:13">
      <c r="B568" s="379"/>
      <c r="C568" s="313"/>
      <c r="D568" s="29"/>
      <c r="E568" s="514"/>
      <c r="F568" s="29"/>
      <c r="G568" s="395" t="str">
        <f t="shared" si="47"/>
        <v>--</v>
      </c>
      <c r="H568" s="29"/>
      <c r="I568" s="483">
        <f t="shared" si="46"/>
        <v>0</v>
      </c>
      <c r="J568" s="29"/>
      <c r="K568" s="148"/>
      <c r="L568" s="509">
        <f t="shared" si="48"/>
        <v>0</v>
      </c>
      <c r="M568" s="399">
        <f t="shared" si="49"/>
        <v>0</v>
      </c>
    </row>
    <row r="569" spans="2:13">
      <c r="B569" s="379"/>
      <c r="C569" s="313"/>
      <c r="D569" s="29"/>
      <c r="E569" s="514"/>
      <c r="F569" s="29"/>
      <c r="G569" s="395" t="str">
        <f t="shared" si="47"/>
        <v>--</v>
      </c>
      <c r="H569" s="29"/>
      <c r="I569" s="483">
        <f t="shared" si="46"/>
        <v>0</v>
      </c>
      <c r="J569" s="29"/>
      <c r="K569" s="148"/>
      <c r="L569" s="509">
        <f t="shared" si="48"/>
        <v>0</v>
      </c>
      <c r="M569" s="399">
        <f t="shared" si="49"/>
        <v>0</v>
      </c>
    </row>
    <row r="570" spans="2:13">
      <c r="B570" s="379"/>
      <c r="C570" s="313"/>
      <c r="D570" s="29"/>
      <c r="E570" s="514"/>
      <c r="F570" s="29"/>
      <c r="G570" s="395" t="str">
        <f t="shared" si="47"/>
        <v>--</v>
      </c>
      <c r="H570" s="29"/>
      <c r="I570" s="483">
        <f t="shared" si="46"/>
        <v>0</v>
      </c>
      <c r="J570" s="29"/>
      <c r="K570" s="148"/>
      <c r="L570" s="509">
        <f t="shared" si="48"/>
        <v>0</v>
      </c>
      <c r="M570" s="399">
        <f t="shared" si="49"/>
        <v>0</v>
      </c>
    </row>
    <row r="571" spans="2:13">
      <c r="B571" s="379"/>
      <c r="C571" s="313"/>
      <c r="D571" s="29"/>
      <c r="E571" s="514"/>
      <c r="F571" s="29"/>
      <c r="G571" s="395" t="str">
        <f t="shared" si="47"/>
        <v>--</v>
      </c>
      <c r="H571" s="29"/>
      <c r="I571" s="483">
        <f t="shared" si="46"/>
        <v>0</v>
      </c>
      <c r="J571" s="29"/>
      <c r="K571" s="148"/>
      <c r="L571" s="509">
        <f t="shared" si="48"/>
        <v>0</v>
      </c>
      <c r="M571" s="399">
        <f t="shared" si="49"/>
        <v>0</v>
      </c>
    </row>
    <row r="572" spans="2:13">
      <c r="B572" s="379"/>
      <c r="C572" s="313"/>
      <c r="D572" s="29"/>
      <c r="E572" s="514"/>
      <c r="F572" s="29"/>
      <c r="G572" s="395" t="str">
        <f t="shared" si="47"/>
        <v>--</v>
      </c>
      <c r="H572" s="29"/>
      <c r="I572" s="483">
        <f t="shared" si="46"/>
        <v>0</v>
      </c>
      <c r="J572" s="29"/>
      <c r="K572" s="148"/>
      <c r="L572" s="509">
        <f t="shared" si="48"/>
        <v>0</v>
      </c>
      <c r="M572" s="399">
        <f t="shared" si="49"/>
        <v>0</v>
      </c>
    </row>
    <row r="573" spans="2:13">
      <c r="B573" s="379"/>
      <c r="C573" s="313"/>
      <c r="D573" s="29"/>
      <c r="E573" s="514"/>
      <c r="F573" s="29"/>
      <c r="G573" s="395" t="str">
        <f t="shared" si="47"/>
        <v>--</v>
      </c>
      <c r="H573" s="29"/>
      <c r="I573" s="483">
        <f t="shared" si="46"/>
        <v>0</v>
      </c>
      <c r="J573" s="29"/>
      <c r="K573" s="148"/>
      <c r="L573" s="509">
        <f t="shared" si="48"/>
        <v>0</v>
      </c>
      <c r="M573" s="399">
        <f t="shared" si="49"/>
        <v>0</v>
      </c>
    </row>
    <row r="574" spans="2:13">
      <c r="B574" s="379"/>
      <c r="C574" s="313"/>
      <c r="D574" s="29"/>
      <c r="E574" s="514"/>
      <c r="F574" s="29"/>
      <c r="G574" s="395" t="str">
        <f t="shared" si="47"/>
        <v>--</v>
      </c>
      <c r="H574" s="29"/>
      <c r="I574" s="483">
        <f t="shared" si="46"/>
        <v>0</v>
      </c>
      <c r="J574" s="29"/>
      <c r="K574" s="148"/>
      <c r="L574" s="509">
        <f t="shared" si="48"/>
        <v>0</v>
      </c>
      <c r="M574" s="399">
        <f t="shared" si="49"/>
        <v>0</v>
      </c>
    </row>
    <row r="575" spans="2:13">
      <c r="B575" s="379"/>
      <c r="C575" s="313"/>
      <c r="D575" s="29"/>
      <c r="E575" s="514"/>
      <c r="F575" s="29"/>
      <c r="G575" s="395" t="str">
        <f t="shared" si="47"/>
        <v>--</v>
      </c>
      <c r="H575" s="29"/>
      <c r="I575" s="483">
        <f t="shared" si="46"/>
        <v>0</v>
      </c>
      <c r="J575" s="29"/>
      <c r="K575" s="148"/>
      <c r="L575" s="509">
        <f t="shared" si="48"/>
        <v>0</v>
      </c>
      <c r="M575" s="399">
        <f t="shared" si="49"/>
        <v>0</v>
      </c>
    </row>
    <row r="576" spans="2:13">
      <c r="B576" s="379"/>
      <c r="C576" s="313"/>
      <c r="D576" s="29"/>
      <c r="E576" s="514"/>
      <c r="F576" s="29"/>
      <c r="G576" s="395" t="str">
        <f t="shared" si="47"/>
        <v>--</v>
      </c>
      <c r="H576" s="29"/>
      <c r="I576" s="483">
        <f t="shared" si="46"/>
        <v>0</v>
      </c>
      <c r="J576" s="29"/>
      <c r="K576" s="148"/>
      <c r="L576" s="509">
        <f t="shared" si="48"/>
        <v>0</v>
      </c>
      <c r="M576" s="399">
        <f t="shared" si="49"/>
        <v>0</v>
      </c>
    </row>
    <row r="577" spans="2:13">
      <c r="B577" s="379"/>
      <c r="C577" s="313"/>
      <c r="D577" s="29"/>
      <c r="E577" s="514"/>
      <c r="F577" s="29"/>
      <c r="G577" s="395" t="str">
        <f t="shared" si="47"/>
        <v>--</v>
      </c>
      <c r="H577" s="29"/>
      <c r="I577" s="483">
        <f t="shared" si="46"/>
        <v>0</v>
      </c>
      <c r="J577" s="29"/>
      <c r="K577" s="148"/>
      <c r="L577" s="509">
        <f t="shared" si="48"/>
        <v>0</v>
      </c>
      <c r="M577" s="399">
        <f t="shared" si="49"/>
        <v>0</v>
      </c>
    </row>
    <row r="578" spans="2:13">
      <c r="B578" s="379"/>
      <c r="C578" s="313"/>
      <c r="D578" s="29"/>
      <c r="E578" s="514"/>
      <c r="F578" s="29"/>
      <c r="G578" s="395" t="str">
        <f t="shared" si="47"/>
        <v>--</v>
      </c>
      <c r="H578" s="29"/>
      <c r="I578" s="483">
        <f t="shared" si="46"/>
        <v>0</v>
      </c>
      <c r="J578" s="29"/>
      <c r="K578" s="148"/>
      <c r="L578" s="509">
        <f t="shared" si="48"/>
        <v>0</v>
      </c>
      <c r="M578" s="399">
        <f t="shared" si="49"/>
        <v>0</v>
      </c>
    </row>
    <row r="579" spans="2:13">
      <c r="B579" s="379"/>
      <c r="C579" s="313"/>
      <c r="D579" s="29"/>
      <c r="E579" s="514"/>
      <c r="F579" s="29"/>
      <c r="G579" s="395" t="str">
        <f t="shared" si="47"/>
        <v>--</v>
      </c>
      <c r="H579" s="29"/>
      <c r="I579" s="483">
        <f t="shared" si="46"/>
        <v>0</v>
      </c>
      <c r="J579" s="29"/>
      <c r="K579" s="148"/>
      <c r="L579" s="509">
        <f t="shared" si="48"/>
        <v>0</v>
      </c>
      <c r="M579" s="399">
        <f t="shared" si="49"/>
        <v>0</v>
      </c>
    </row>
    <row r="580" spans="2:13">
      <c r="B580" s="379"/>
      <c r="C580" s="313"/>
      <c r="D580" s="29"/>
      <c r="E580" s="514"/>
      <c r="F580" s="29"/>
      <c r="G580" s="395" t="str">
        <f t="shared" si="47"/>
        <v>--</v>
      </c>
      <c r="H580" s="29"/>
      <c r="I580" s="483">
        <f t="shared" si="46"/>
        <v>0</v>
      </c>
      <c r="J580" s="29"/>
      <c r="K580" s="148"/>
      <c r="L580" s="509">
        <f t="shared" si="48"/>
        <v>0</v>
      </c>
      <c r="M580" s="399">
        <f t="shared" si="49"/>
        <v>0</v>
      </c>
    </row>
    <row r="581" spans="2:13">
      <c r="B581" s="379"/>
      <c r="C581" s="313"/>
      <c r="D581" s="29"/>
      <c r="E581" s="514"/>
      <c r="F581" s="29"/>
      <c r="G581" s="395" t="str">
        <f t="shared" si="47"/>
        <v>--</v>
      </c>
      <c r="H581" s="29"/>
      <c r="I581" s="483">
        <f t="shared" ref="I581:I644" si="50">F581-H581</f>
        <v>0</v>
      </c>
      <c r="J581" s="29"/>
      <c r="K581" s="148"/>
      <c r="L581" s="509">
        <f t="shared" si="48"/>
        <v>0</v>
      </c>
      <c r="M581" s="399">
        <f t="shared" si="49"/>
        <v>0</v>
      </c>
    </row>
    <row r="582" spans="2:13">
      <c r="B582" s="379"/>
      <c r="C582" s="313"/>
      <c r="D582" s="29"/>
      <c r="E582" s="514"/>
      <c r="F582" s="29"/>
      <c r="G582" s="395" t="str">
        <f t="shared" si="47"/>
        <v>--</v>
      </c>
      <c r="H582" s="29"/>
      <c r="I582" s="483">
        <f t="shared" si="50"/>
        <v>0</v>
      </c>
      <c r="J582" s="29"/>
      <c r="K582" s="148"/>
      <c r="L582" s="509">
        <f t="shared" si="48"/>
        <v>0</v>
      </c>
      <c r="M582" s="399">
        <f t="shared" si="49"/>
        <v>0</v>
      </c>
    </row>
    <row r="583" spans="2:13">
      <c r="B583" s="379"/>
      <c r="C583" s="313"/>
      <c r="D583" s="29"/>
      <c r="E583" s="514"/>
      <c r="F583" s="29"/>
      <c r="G583" s="395" t="str">
        <f t="shared" si="47"/>
        <v>--</v>
      </c>
      <c r="H583" s="29"/>
      <c r="I583" s="483">
        <f t="shared" si="50"/>
        <v>0</v>
      </c>
      <c r="J583" s="29"/>
      <c r="K583" s="148"/>
      <c r="L583" s="509">
        <f t="shared" si="48"/>
        <v>0</v>
      </c>
      <c r="M583" s="399">
        <f t="shared" si="49"/>
        <v>0</v>
      </c>
    </row>
    <row r="584" spans="2:13">
      <c r="B584" s="379"/>
      <c r="C584" s="313"/>
      <c r="D584" s="29"/>
      <c r="E584" s="514"/>
      <c r="F584" s="29"/>
      <c r="G584" s="395" t="str">
        <f t="shared" ref="G584:G647" si="51">+CONCATENATE(D584,"-",E584,"-",MID(C584,12,2))</f>
        <v>--</v>
      </c>
      <c r="H584" s="29"/>
      <c r="I584" s="483">
        <f t="shared" si="50"/>
        <v>0</v>
      </c>
      <c r="J584" s="29"/>
      <c r="K584" s="148"/>
      <c r="L584" s="509">
        <f t="shared" si="48"/>
        <v>0</v>
      </c>
      <c r="M584" s="399">
        <f t="shared" si="49"/>
        <v>0</v>
      </c>
    </row>
    <row r="585" spans="2:13">
      <c r="B585" s="379"/>
      <c r="C585" s="313"/>
      <c r="D585" s="29"/>
      <c r="E585" s="514"/>
      <c r="F585" s="29"/>
      <c r="G585" s="395" t="str">
        <f t="shared" si="51"/>
        <v>--</v>
      </c>
      <c r="H585" s="29"/>
      <c r="I585" s="483">
        <f t="shared" si="50"/>
        <v>0</v>
      </c>
      <c r="J585" s="29"/>
      <c r="K585" s="148"/>
      <c r="L585" s="509">
        <f t="shared" si="48"/>
        <v>0</v>
      </c>
      <c r="M585" s="399">
        <f t="shared" si="49"/>
        <v>0</v>
      </c>
    </row>
    <row r="586" spans="2:13">
      <c r="B586" s="379"/>
      <c r="C586" s="313"/>
      <c r="D586" s="29"/>
      <c r="E586" s="514"/>
      <c r="F586" s="29"/>
      <c r="G586" s="395" t="str">
        <f t="shared" si="51"/>
        <v>--</v>
      </c>
      <c r="H586" s="29"/>
      <c r="I586" s="483">
        <f t="shared" si="50"/>
        <v>0</v>
      </c>
      <c r="J586" s="29"/>
      <c r="K586" s="148"/>
      <c r="L586" s="509">
        <f t="shared" si="48"/>
        <v>0</v>
      </c>
      <c r="M586" s="399">
        <f t="shared" si="49"/>
        <v>0</v>
      </c>
    </row>
    <row r="587" spans="2:13">
      <c r="B587" s="379"/>
      <c r="C587" s="313"/>
      <c r="D587" s="29"/>
      <c r="E587" s="514"/>
      <c r="F587" s="29"/>
      <c r="G587" s="395" t="str">
        <f t="shared" si="51"/>
        <v>--</v>
      </c>
      <c r="H587" s="29"/>
      <c r="I587" s="483">
        <f t="shared" si="50"/>
        <v>0</v>
      </c>
      <c r="J587" s="29"/>
      <c r="K587" s="148"/>
      <c r="L587" s="509">
        <f t="shared" ref="L587:L650" si="52">IF(AND(B587="E2",N587&lt;&gt;0),ABS(H587-N587),M587)</f>
        <v>0</v>
      </c>
      <c r="M587" s="399">
        <f t="shared" ref="M587:M650" si="53">J587</f>
        <v>0</v>
      </c>
    </row>
    <row r="588" spans="2:13">
      <c r="B588" s="379"/>
      <c r="C588" s="313"/>
      <c r="D588" s="29"/>
      <c r="E588" s="514"/>
      <c r="F588" s="29"/>
      <c r="G588" s="395" t="str">
        <f t="shared" si="51"/>
        <v>--</v>
      </c>
      <c r="H588" s="29"/>
      <c r="I588" s="483">
        <f t="shared" si="50"/>
        <v>0</v>
      </c>
      <c r="J588" s="29"/>
      <c r="K588" s="148"/>
      <c r="L588" s="509">
        <f t="shared" si="52"/>
        <v>0</v>
      </c>
      <c r="M588" s="399">
        <f t="shared" si="53"/>
        <v>0</v>
      </c>
    </row>
    <row r="589" spans="2:13">
      <c r="B589" s="379"/>
      <c r="C589" s="313"/>
      <c r="D589" s="29"/>
      <c r="E589" s="514"/>
      <c r="F589" s="29"/>
      <c r="G589" s="395" t="str">
        <f t="shared" si="51"/>
        <v>--</v>
      </c>
      <c r="H589" s="29"/>
      <c r="I589" s="483">
        <f t="shared" si="50"/>
        <v>0</v>
      </c>
      <c r="J589" s="29"/>
      <c r="K589" s="148"/>
      <c r="L589" s="509">
        <f t="shared" si="52"/>
        <v>0</v>
      </c>
      <c r="M589" s="399">
        <f t="shared" si="53"/>
        <v>0</v>
      </c>
    </row>
    <row r="590" spans="2:13">
      <c r="B590" s="379"/>
      <c r="C590" s="313"/>
      <c r="D590" s="29"/>
      <c r="E590" s="514"/>
      <c r="F590" s="29"/>
      <c r="G590" s="395" t="str">
        <f t="shared" si="51"/>
        <v>--</v>
      </c>
      <c r="H590" s="29"/>
      <c r="I590" s="483">
        <f t="shared" si="50"/>
        <v>0</v>
      </c>
      <c r="J590" s="29"/>
      <c r="K590" s="148"/>
      <c r="L590" s="509">
        <f t="shared" si="52"/>
        <v>0</v>
      </c>
      <c r="M590" s="399">
        <f t="shared" si="53"/>
        <v>0</v>
      </c>
    </row>
    <row r="591" spans="2:13">
      <c r="B591" s="379"/>
      <c r="C591" s="313"/>
      <c r="D591" s="29"/>
      <c r="E591" s="514"/>
      <c r="F591" s="29"/>
      <c r="G591" s="395" t="str">
        <f t="shared" si="51"/>
        <v>--</v>
      </c>
      <c r="H591" s="29"/>
      <c r="I591" s="483">
        <f t="shared" si="50"/>
        <v>0</v>
      </c>
      <c r="J591" s="29"/>
      <c r="K591" s="148"/>
      <c r="L591" s="509">
        <f t="shared" si="52"/>
        <v>0</v>
      </c>
      <c r="M591" s="399">
        <f t="shared" si="53"/>
        <v>0</v>
      </c>
    </row>
    <row r="592" spans="2:13">
      <c r="B592" s="379"/>
      <c r="C592" s="313"/>
      <c r="D592" s="29"/>
      <c r="E592" s="514"/>
      <c r="F592" s="29"/>
      <c r="G592" s="395" t="str">
        <f t="shared" si="51"/>
        <v>--</v>
      </c>
      <c r="H592" s="29"/>
      <c r="I592" s="483">
        <f t="shared" si="50"/>
        <v>0</v>
      </c>
      <c r="J592" s="29"/>
      <c r="K592" s="148"/>
      <c r="L592" s="509">
        <f t="shared" si="52"/>
        <v>0</v>
      </c>
      <c r="M592" s="399">
        <f t="shared" si="53"/>
        <v>0</v>
      </c>
    </row>
    <row r="593" spans="2:13">
      <c r="B593" s="379"/>
      <c r="C593" s="313"/>
      <c r="D593" s="29"/>
      <c r="E593" s="514"/>
      <c r="F593" s="29"/>
      <c r="G593" s="395" t="str">
        <f t="shared" si="51"/>
        <v>--</v>
      </c>
      <c r="H593" s="29"/>
      <c r="I593" s="483">
        <f t="shared" si="50"/>
        <v>0</v>
      </c>
      <c r="J593" s="29"/>
      <c r="K593" s="148"/>
      <c r="L593" s="509">
        <f t="shared" si="52"/>
        <v>0</v>
      </c>
      <c r="M593" s="399">
        <f t="shared" si="53"/>
        <v>0</v>
      </c>
    </row>
    <row r="594" spans="2:13">
      <c r="B594" s="379"/>
      <c r="C594" s="313"/>
      <c r="D594" s="29"/>
      <c r="E594" s="514"/>
      <c r="F594" s="29"/>
      <c r="G594" s="395" t="str">
        <f t="shared" si="51"/>
        <v>--</v>
      </c>
      <c r="H594" s="29"/>
      <c r="I594" s="483">
        <f t="shared" si="50"/>
        <v>0</v>
      </c>
      <c r="J594" s="29"/>
      <c r="K594" s="148"/>
      <c r="L594" s="509">
        <f t="shared" si="52"/>
        <v>0</v>
      </c>
      <c r="M594" s="399">
        <f t="shared" si="53"/>
        <v>0</v>
      </c>
    </row>
    <row r="595" spans="2:13">
      <c r="B595" s="379"/>
      <c r="C595" s="313"/>
      <c r="D595" s="29"/>
      <c r="E595" s="514"/>
      <c r="F595" s="29"/>
      <c r="G595" s="395" t="str">
        <f t="shared" si="51"/>
        <v>--</v>
      </c>
      <c r="H595" s="29"/>
      <c r="I595" s="483">
        <f t="shared" si="50"/>
        <v>0</v>
      </c>
      <c r="J595" s="29"/>
      <c r="K595" s="148"/>
      <c r="L595" s="509">
        <f t="shared" si="52"/>
        <v>0</v>
      </c>
      <c r="M595" s="399">
        <f t="shared" si="53"/>
        <v>0</v>
      </c>
    </row>
    <row r="596" spans="2:13">
      <c r="B596" s="379"/>
      <c r="C596" s="313"/>
      <c r="D596" s="29"/>
      <c r="E596" s="514"/>
      <c r="F596" s="29"/>
      <c r="G596" s="395" t="str">
        <f t="shared" si="51"/>
        <v>--</v>
      </c>
      <c r="H596" s="29"/>
      <c r="I596" s="483">
        <f t="shared" si="50"/>
        <v>0</v>
      </c>
      <c r="J596" s="29"/>
      <c r="K596" s="148"/>
      <c r="L596" s="509">
        <f t="shared" si="52"/>
        <v>0</v>
      </c>
      <c r="M596" s="399">
        <f t="shared" si="53"/>
        <v>0</v>
      </c>
    </row>
    <row r="597" spans="2:13">
      <c r="B597" s="379"/>
      <c r="C597" s="313"/>
      <c r="D597" s="29"/>
      <c r="E597" s="514"/>
      <c r="F597" s="29"/>
      <c r="G597" s="395" t="str">
        <f t="shared" si="51"/>
        <v>--</v>
      </c>
      <c r="H597" s="29"/>
      <c r="I597" s="483">
        <f t="shared" si="50"/>
        <v>0</v>
      </c>
      <c r="J597" s="29"/>
      <c r="K597" s="148"/>
      <c r="L597" s="509">
        <f t="shared" si="52"/>
        <v>0</v>
      </c>
      <c r="M597" s="399">
        <f t="shared" si="53"/>
        <v>0</v>
      </c>
    </row>
    <row r="598" spans="2:13">
      <c r="B598" s="379"/>
      <c r="C598" s="313"/>
      <c r="D598" s="29"/>
      <c r="E598" s="514"/>
      <c r="F598" s="29"/>
      <c r="G598" s="395" t="str">
        <f t="shared" si="51"/>
        <v>--</v>
      </c>
      <c r="H598" s="29"/>
      <c r="I598" s="483">
        <f t="shared" si="50"/>
        <v>0</v>
      </c>
      <c r="J598" s="29"/>
      <c r="K598" s="148"/>
      <c r="L598" s="509">
        <f t="shared" si="52"/>
        <v>0</v>
      </c>
      <c r="M598" s="399">
        <f t="shared" si="53"/>
        <v>0</v>
      </c>
    </row>
    <row r="599" spans="2:13">
      <c r="B599" s="379"/>
      <c r="C599" s="313"/>
      <c r="D599" s="29"/>
      <c r="E599" s="514"/>
      <c r="F599" s="29"/>
      <c r="G599" s="395" t="str">
        <f t="shared" si="51"/>
        <v>--</v>
      </c>
      <c r="H599" s="29"/>
      <c r="I599" s="483">
        <f t="shared" si="50"/>
        <v>0</v>
      </c>
      <c r="J599" s="29"/>
      <c r="K599" s="148"/>
      <c r="L599" s="509">
        <f t="shared" si="52"/>
        <v>0</v>
      </c>
      <c r="M599" s="399">
        <f t="shared" si="53"/>
        <v>0</v>
      </c>
    </row>
    <row r="600" spans="2:13">
      <c r="B600" s="379"/>
      <c r="C600" s="313"/>
      <c r="D600" s="29"/>
      <c r="E600" s="514"/>
      <c r="F600" s="29"/>
      <c r="G600" s="395" t="str">
        <f t="shared" si="51"/>
        <v>--</v>
      </c>
      <c r="H600" s="29"/>
      <c r="I600" s="483">
        <f t="shared" si="50"/>
        <v>0</v>
      </c>
      <c r="J600" s="29"/>
      <c r="K600" s="148"/>
      <c r="L600" s="509">
        <f t="shared" si="52"/>
        <v>0</v>
      </c>
      <c r="M600" s="399">
        <f t="shared" si="53"/>
        <v>0</v>
      </c>
    </row>
    <row r="601" spans="2:13">
      <c r="B601" s="379"/>
      <c r="C601" s="313"/>
      <c r="D601" s="29"/>
      <c r="E601" s="514"/>
      <c r="F601" s="29"/>
      <c r="G601" s="395" t="str">
        <f t="shared" si="51"/>
        <v>--</v>
      </c>
      <c r="H601" s="29"/>
      <c r="I601" s="483">
        <f t="shared" si="50"/>
        <v>0</v>
      </c>
      <c r="J601" s="29"/>
      <c r="K601" s="148"/>
      <c r="L601" s="509">
        <f t="shared" si="52"/>
        <v>0</v>
      </c>
      <c r="M601" s="399">
        <f t="shared" si="53"/>
        <v>0</v>
      </c>
    </row>
    <row r="602" spans="2:13">
      <c r="B602" s="379"/>
      <c r="C602" s="313"/>
      <c r="D602" s="29"/>
      <c r="E602" s="514"/>
      <c r="F602" s="29"/>
      <c r="G602" s="395" t="str">
        <f t="shared" si="51"/>
        <v>--</v>
      </c>
      <c r="H602" s="29"/>
      <c r="I602" s="483">
        <f t="shared" si="50"/>
        <v>0</v>
      </c>
      <c r="J602" s="29"/>
      <c r="K602" s="148"/>
      <c r="L602" s="509">
        <f t="shared" si="52"/>
        <v>0</v>
      </c>
      <c r="M602" s="399">
        <f t="shared" si="53"/>
        <v>0</v>
      </c>
    </row>
    <row r="603" spans="2:13">
      <c r="B603" s="379"/>
      <c r="C603" s="313"/>
      <c r="D603" s="29"/>
      <c r="E603" s="514"/>
      <c r="F603" s="29"/>
      <c r="G603" s="395" t="str">
        <f t="shared" si="51"/>
        <v>--</v>
      </c>
      <c r="H603" s="29"/>
      <c r="I603" s="483">
        <f t="shared" si="50"/>
        <v>0</v>
      </c>
      <c r="J603" s="29"/>
      <c r="K603" s="148"/>
      <c r="L603" s="509">
        <f t="shared" si="52"/>
        <v>0</v>
      </c>
      <c r="M603" s="399">
        <f t="shared" si="53"/>
        <v>0</v>
      </c>
    </row>
    <row r="604" spans="2:13">
      <c r="B604" s="379"/>
      <c r="C604" s="313"/>
      <c r="D604" s="29"/>
      <c r="E604" s="514"/>
      <c r="F604" s="29"/>
      <c r="G604" s="395" t="str">
        <f t="shared" si="51"/>
        <v>--</v>
      </c>
      <c r="H604" s="29"/>
      <c r="I604" s="483">
        <f t="shared" si="50"/>
        <v>0</v>
      </c>
      <c r="J604" s="29"/>
      <c r="K604" s="148"/>
      <c r="L604" s="509">
        <f t="shared" si="52"/>
        <v>0</v>
      </c>
      <c r="M604" s="399">
        <f t="shared" si="53"/>
        <v>0</v>
      </c>
    </row>
    <row r="605" spans="2:13">
      <c r="B605" s="379"/>
      <c r="C605" s="313"/>
      <c r="D605" s="29"/>
      <c r="E605" s="514"/>
      <c r="F605" s="29"/>
      <c r="G605" s="395" t="str">
        <f t="shared" si="51"/>
        <v>--</v>
      </c>
      <c r="H605" s="29"/>
      <c r="I605" s="483">
        <f t="shared" si="50"/>
        <v>0</v>
      </c>
      <c r="J605" s="29"/>
      <c r="K605" s="148"/>
      <c r="L605" s="509">
        <f t="shared" si="52"/>
        <v>0</v>
      </c>
      <c r="M605" s="399">
        <f t="shared" si="53"/>
        <v>0</v>
      </c>
    </row>
    <row r="606" spans="2:13">
      <c r="B606" s="379"/>
      <c r="C606" s="313"/>
      <c r="D606" s="29"/>
      <c r="E606" s="514"/>
      <c r="F606" s="29"/>
      <c r="G606" s="395" t="str">
        <f t="shared" si="51"/>
        <v>--</v>
      </c>
      <c r="H606" s="29"/>
      <c r="I606" s="483">
        <f t="shared" si="50"/>
        <v>0</v>
      </c>
      <c r="J606" s="29"/>
      <c r="K606" s="148"/>
      <c r="L606" s="509">
        <f t="shared" si="52"/>
        <v>0</v>
      </c>
      <c r="M606" s="399">
        <f t="shared" si="53"/>
        <v>0</v>
      </c>
    </row>
    <row r="607" spans="2:13">
      <c r="B607" s="379"/>
      <c r="C607" s="313"/>
      <c r="D607" s="29"/>
      <c r="E607" s="514"/>
      <c r="F607" s="29"/>
      <c r="G607" s="395" t="str">
        <f t="shared" si="51"/>
        <v>--</v>
      </c>
      <c r="H607" s="29"/>
      <c r="I607" s="483">
        <f t="shared" si="50"/>
        <v>0</v>
      </c>
      <c r="J607" s="29"/>
      <c r="K607" s="148"/>
      <c r="L607" s="509">
        <f t="shared" si="52"/>
        <v>0</v>
      </c>
      <c r="M607" s="399">
        <f t="shared" si="53"/>
        <v>0</v>
      </c>
    </row>
    <row r="608" spans="2:13">
      <c r="B608" s="379"/>
      <c r="C608" s="313"/>
      <c r="D608" s="29"/>
      <c r="E608" s="514"/>
      <c r="F608" s="29"/>
      <c r="G608" s="395" t="str">
        <f t="shared" si="51"/>
        <v>--</v>
      </c>
      <c r="H608" s="29"/>
      <c r="I608" s="483">
        <f t="shared" si="50"/>
        <v>0</v>
      </c>
      <c r="J608" s="29"/>
      <c r="K608" s="148"/>
      <c r="L608" s="509">
        <f t="shared" si="52"/>
        <v>0</v>
      </c>
      <c r="M608" s="399">
        <f t="shared" si="53"/>
        <v>0</v>
      </c>
    </row>
    <row r="609" spans="2:13">
      <c r="B609" s="379"/>
      <c r="C609" s="313"/>
      <c r="D609" s="29"/>
      <c r="E609" s="514"/>
      <c r="F609" s="29"/>
      <c r="G609" s="395" t="str">
        <f t="shared" si="51"/>
        <v>--</v>
      </c>
      <c r="H609" s="29"/>
      <c r="I609" s="483">
        <f t="shared" si="50"/>
        <v>0</v>
      </c>
      <c r="J609" s="29"/>
      <c r="K609" s="148"/>
      <c r="L609" s="509">
        <f t="shared" si="52"/>
        <v>0</v>
      </c>
      <c r="M609" s="399">
        <f t="shared" si="53"/>
        <v>0</v>
      </c>
    </row>
    <row r="610" spans="2:13">
      <c r="B610" s="379"/>
      <c r="C610" s="313"/>
      <c r="D610" s="29"/>
      <c r="E610" s="514"/>
      <c r="F610" s="29"/>
      <c r="G610" s="395" t="str">
        <f t="shared" si="51"/>
        <v>--</v>
      </c>
      <c r="H610" s="29"/>
      <c r="I610" s="483">
        <f t="shared" si="50"/>
        <v>0</v>
      </c>
      <c r="J610" s="29"/>
      <c r="K610" s="148"/>
      <c r="L610" s="509">
        <f t="shared" si="52"/>
        <v>0</v>
      </c>
      <c r="M610" s="399">
        <f t="shared" si="53"/>
        <v>0</v>
      </c>
    </row>
    <row r="611" spans="2:13">
      <c r="B611" s="379"/>
      <c r="C611" s="313"/>
      <c r="D611" s="29"/>
      <c r="E611" s="514"/>
      <c r="F611" s="29"/>
      <c r="G611" s="395" t="str">
        <f t="shared" si="51"/>
        <v>--</v>
      </c>
      <c r="H611" s="29"/>
      <c r="I611" s="483">
        <f t="shared" si="50"/>
        <v>0</v>
      </c>
      <c r="J611" s="29"/>
      <c r="K611" s="148"/>
      <c r="L611" s="509">
        <f t="shared" si="52"/>
        <v>0</v>
      </c>
      <c r="M611" s="399">
        <f t="shared" si="53"/>
        <v>0</v>
      </c>
    </row>
    <row r="612" spans="2:13">
      <c r="B612" s="379"/>
      <c r="C612" s="313"/>
      <c r="D612" s="29"/>
      <c r="E612" s="514"/>
      <c r="F612" s="29"/>
      <c r="G612" s="395" t="str">
        <f t="shared" si="51"/>
        <v>--</v>
      </c>
      <c r="H612" s="29"/>
      <c r="I612" s="483">
        <f t="shared" si="50"/>
        <v>0</v>
      </c>
      <c r="J612" s="29"/>
      <c r="K612" s="148"/>
      <c r="L612" s="509">
        <f t="shared" si="52"/>
        <v>0</v>
      </c>
      <c r="M612" s="399">
        <f t="shared" si="53"/>
        <v>0</v>
      </c>
    </row>
    <row r="613" spans="2:13">
      <c r="B613" s="379"/>
      <c r="C613" s="313"/>
      <c r="D613" s="29"/>
      <c r="E613" s="514"/>
      <c r="F613" s="29"/>
      <c r="G613" s="395" t="str">
        <f t="shared" si="51"/>
        <v>--</v>
      </c>
      <c r="H613" s="29"/>
      <c r="I613" s="483">
        <f t="shared" si="50"/>
        <v>0</v>
      </c>
      <c r="J613" s="29"/>
      <c r="K613" s="148"/>
      <c r="L613" s="509">
        <f t="shared" si="52"/>
        <v>0</v>
      </c>
      <c r="M613" s="399">
        <f t="shared" si="53"/>
        <v>0</v>
      </c>
    </row>
    <row r="614" spans="2:13">
      <c r="B614" s="379"/>
      <c r="C614" s="313"/>
      <c r="D614" s="29"/>
      <c r="E614" s="514"/>
      <c r="F614" s="29"/>
      <c r="G614" s="395" t="str">
        <f t="shared" si="51"/>
        <v>--</v>
      </c>
      <c r="H614" s="29"/>
      <c r="I614" s="483">
        <f t="shared" si="50"/>
        <v>0</v>
      </c>
      <c r="J614" s="29"/>
      <c r="K614" s="148"/>
      <c r="L614" s="509">
        <f t="shared" si="52"/>
        <v>0</v>
      </c>
      <c r="M614" s="399">
        <f t="shared" si="53"/>
        <v>0</v>
      </c>
    </row>
    <row r="615" spans="2:13">
      <c r="B615" s="379"/>
      <c r="C615" s="313"/>
      <c r="D615" s="29"/>
      <c r="E615" s="514"/>
      <c r="F615" s="29"/>
      <c r="G615" s="395" t="str">
        <f t="shared" si="51"/>
        <v>--</v>
      </c>
      <c r="H615" s="29"/>
      <c r="I615" s="483">
        <f t="shared" si="50"/>
        <v>0</v>
      </c>
      <c r="J615" s="29"/>
      <c r="K615" s="148"/>
      <c r="L615" s="509">
        <f t="shared" si="52"/>
        <v>0</v>
      </c>
      <c r="M615" s="399">
        <f t="shared" si="53"/>
        <v>0</v>
      </c>
    </row>
    <row r="616" spans="2:13">
      <c r="B616" s="379"/>
      <c r="C616" s="313"/>
      <c r="D616" s="29"/>
      <c r="E616" s="514"/>
      <c r="F616" s="29"/>
      <c r="G616" s="395" t="str">
        <f t="shared" si="51"/>
        <v>--</v>
      </c>
      <c r="H616" s="29"/>
      <c r="I616" s="483">
        <f t="shared" si="50"/>
        <v>0</v>
      </c>
      <c r="J616" s="29"/>
      <c r="K616" s="148"/>
      <c r="L616" s="509">
        <f t="shared" si="52"/>
        <v>0</v>
      </c>
      <c r="M616" s="399">
        <f t="shared" si="53"/>
        <v>0</v>
      </c>
    </row>
    <row r="617" spans="2:13">
      <c r="B617" s="379"/>
      <c r="C617" s="313"/>
      <c r="D617" s="29"/>
      <c r="E617" s="514"/>
      <c r="F617" s="29"/>
      <c r="G617" s="395" t="str">
        <f t="shared" si="51"/>
        <v>--</v>
      </c>
      <c r="H617" s="29"/>
      <c r="I617" s="483">
        <f t="shared" si="50"/>
        <v>0</v>
      </c>
      <c r="J617" s="29"/>
      <c r="K617" s="148"/>
      <c r="L617" s="509">
        <f t="shared" si="52"/>
        <v>0</v>
      </c>
      <c r="M617" s="399">
        <f t="shared" si="53"/>
        <v>0</v>
      </c>
    </row>
    <row r="618" spans="2:13">
      <c r="B618" s="379"/>
      <c r="C618" s="313"/>
      <c r="D618" s="29"/>
      <c r="E618" s="514"/>
      <c r="F618" s="29"/>
      <c r="G618" s="395" t="str">
        <f t="shared" si="51"/>
        <v>--</v>
      </c>
      <c r="H618" s="29"/>
      <c r="I618" s="483">
        <f t="shared" si="50"/>
        <v>0</v>
      </c>
      <c r="J618" s="29"/>
      <c r="K618" s="148"/>
      <c r="L618" s="509">
        <f t="shared" si="52"/>
        <v>0</v>
      </c>
      <c r="M618" s="399">
        <f t="shared" si="53"/>
        <v>0</v>
      </c>
    </row>
    <row r="619" spans="2:13">
      <c r="B619" s="379"/>
      <c r="C619" s="313"/>
      <c r="D619" s="29"/>
      <c r="E619" s="514"/>
      <c r="F619" s="29"/>
      <c r="G619" s="395" t="str">
        <f t="shared" si="51"/>
        <v>--</v>
      </c>
      <c r="H619" s="29"/>
      <c r="I619" s="483">
        <f t="shared" si="50"/>
        <v>0</v>
      </c>
      <c r="J619" s="29"/>
      <c r="K619" s="148"/>
      <c r="L619" s="509">
        <f t="shared" si="52"/>
        <v>0</v>
      </c>
      <c r="M619" s="399">
        <f t="shared" si="53"/>
        <v>0</v>
      </c>
    </row>
    <row r="620" spans="2:13">
      <c r="B620" s="379"/>
      <c r="C620" s="313"/>
      <c r="D620" s="29"/>
      <c r="E620" s="514"/>
      <c r="F620" s="29"/>
      <c r="G620" s="395" t="str">
        <f t="shared" si="51"/>
        <v>--</v>
      </c>
      <c r="H620" s="29"/>
      <c r="I620" s="483">
        <f t="shared" si="50"/>
        <v>0</v>
      </c>
      <c r="J620" s="29"/>
      <c r="K620" s="148"/>
      <c r="L620" s="509">
        <f t="shared" si="52"/>
        <v>0</v>
      </c>
      <c r="M620" s="399">
        <f t="shared" si="53"/>
        <v>0</v>
      </c>
    </row>
    <row r="621" spans="2:13">
      <c r="B621" s="379"/>
      <c r="C621" s="313"/>
      <c r="D621" s="29"/>
      <c r="E621" s="514"/>
      <c r="F621" s="29"/>
      <c r="G621" s="395" t="str">
        <f t="shared" si="51"/>
        <v>--</v>
      </c>
      <c r="H621" s="29"/>
      <c r="I621" s="483">
        <f t="shared" si="50"/>
        <v>0</v>
      </c>
      <c r="J621" s="29"/>
      <c r="K621" s="148"/>
      <c r="L621" s="509">
        <f t="shared" si="52"/>
        <v>0</v>
      </c>
      <c r="M621" s="399">
        <f t="shared" si="53"/>
        <v>0</v>
      </c>
    </row>
    <row r="622" spans="2:13">
      <c r="B622" s="379"/>
      <c r="C622" s="313"/>
      <c r="D622" s="29"/>
      <c r="E622" s="514"/>
      <c r="F622" s="29"/>
      <c r="G622" s="395" t="str">
        <f t="shared" si="51"/>
        <v>--</v>
      </c>
      <c r="H622" s="29"/>
      <c r="I622" s="483">
        <f t="shared" si="50"/>
        <v>0</v>
      </c>
      <c r="J622" s="29"/>
      <c r="K622" s="148"/>
      <c r="L622" s="509">
        <f t="shared" si="52"/>
        <v>0</v>
      </c>
      <c r="M622" s="399">
        <f t="shared" si="53"/>
        <v>0</v>
      </c>
    </row>
    <row r="623" spans="2:13">
      <c r="B623" s="379"/>
      <c r="C623" s="313"/>
      <c r="D623" s="29"/>
      <c r="E623" s="514"/>
      <c r="F623" s="29"/>
      <c r="G623" s="395" t="str">
        <f t="shared" si="51"/>
        <v>--</v>
      </c>
      <c r="H623" s="29"/>
      <c r="I623" s="483">
        <f t="shared" si="50"/>
        <v>0</v>
      </c>
      <c r="J623" s="29"/>
      <c r="K623" s="148"/>
      <c r="L623" s="509">
        <f t="shared" si="52"/>
        <v>0</v>
      </c>
      <c r="M623" s="399">
        <f t="shared" si="53"/>
        <v>0</v>
      </c>
    </row>
    <row r="624" spans="2:13">
      <c r="B624" s="379"/>
      <c r="C624" s="313"/>
      <c r="D624" s="29"/>
      <c r="E624" s="514"/>
      <c r="F624" s="29"/>
      <c r="G624" s="395" t="str">
        <f t="shared" si="51"/>
        <v>--</v>
      </c>
      <c r="H624" s="29"/>
      <c r="I624" s="483">
        <f t="shared" si="50"/>
        <v>0</v>
      </c>
      <c r="J624" s="29"/>
      <c r="K624" s="148"/>
      <c r="L624" s="509">
        <f t="shared" si="52"/>
        <v>0</v>
      </c>
      <c r="M624" s="399">
        <f t="shared" si="53"/>
        <v>0</v>
      </c>
    </row>
    <row r="625" spans="2:13">
      <c r="B625" s="379"/>
      <c r="C625" s="313"/>
      <c r="D625" s="29"/>
      <c r="E625" s="514"/>
      <c r="F625" s="29"/>
      <c r="G625" s="395" t="str">
        <f t="shared" si="51"/>
        <v>--</v>
      </c>
      <c r="H625" s="29"/>
      <c r="I625" s="483">
        <f t="shared" si="50"/>
        <v>0</v>
      </c>
      <c r="J625" s="29"/>
      <c r="K625" s="148"/>
      <c r="L625" s="509">
        <f t="shared" si="52"/>
        <v>0</v>
      </c>
      <c r="M625" s="399">
        <f t="shared" si="53"/>
        <v>0</v>
      </c>
    </row>
    <row r="626" spans="2:13">
      <c r="B626" s="379"/>
      <c r="C626" s="313"/>
      <c r="D626" s="29"/>
      <c r="E626" s="514"/>
      <c r="F626" s="29"/>
      <c r="G626" s="395" t="str">
        <f t="shared" si="51"/>
        <v>--</v>
      </c>
      <c r="H626" s="29"/>
      <c r="I626" s="483">
        <f t="shared" si="50"/>
        <v>0</v>
      </c>
      <c r="J626" s="29"/>
      <c r="K626" s="148"/>
      <c r="L626" s="509">
        <f t="shared" si="52"/>
        <v>0</v>
      </c>
      <c r="M626" s="399">
        <f t="shared" si="53"/>
        <v>0</v>
      </c>
    </row>
    <row r="627" spans="2:13">
      <c r="B627" s="379"/>
      <c r="C627" s="313"/>
      <c r="D627" s="29"/>
      <c r="E627" s="514"/>
      <c r="F627" s="29"/>
      <c r="G627" s="395" t="str">
        <f t="shared" si="51"/>
        <v>--</v>
      </c>
      <c r="H627" s="29"/>
      <c r="I627" s="483">
        <f t="shared" si="50"/>
        <v>0</v>
      </c>
      <c r="J627" s="29"/>
      <c r="K627" s="148"/>
      <c r="L627" s="509">
        <f t="shared" si="52"/>
        <v>0</v>
      </c>
      <c r="M627" s="399">
        <f t="shared" si="53"/>
        <v>0</v>
      </c>
    </row>
    <row r="628" spans="2:13">
      <c r="B628" s="379"/>
      <c r="C628" s="313"/>
      <c r="D628" s="29"/>
      <c r="E628" s="514"/>
      <c r="F628" s="29"/>
      <c r="G628" s="395" t="str">
        <f t="shared" si="51"/>
        <v>--</v>
      </c>
      <c r="H628" s="29"/>
      <c r="I628" s="483">
        <f t="shared" si="50"/>
        <v>0</v>
      </c>
      <c r="J628" s="29"/>
      <c r="K628" s="148"/>
      <c r="L628" s="509">
        <f t="shared" si="52"/>
        <v>0</v>
      </c>
      <c r="M628" s="399">
        <f t="shared" si="53"/>
        <v>0</v>
      </c>
    </row>
    <row r="629" spans="2:13">
      <c r="B629" s="379"/>
      <c r="C629" s="313"/>
      <c r="D629" s="29"/>
      <c r="E629" s="514"/>
      <c r="F629" s="29"/>
      <c r="G629" s="395" t="str">
        <f t="shared" si="51"/>
        <v>--</v>
      </c>
      <c r="H629" s="29"/>
      <c r="I629" s="483">
        <f t="shared" si="50"/>
        <v>0</v>
      </c>
      <c r="J629" s="29"/>
      <c r="K629" s="148"/>
      <c r="L629" s="509">
        <f t="shared" si="52"/>
        <v>0</v>
      </c>
      <c r="M629" s="399">
        <f t="shared" si="53"/>
        <v>0</v>
      </c>
    </row>
    <row r="630" spans="2:13">
      <c r="B630" s="379"/>
      <c r="C630" s="313"/>
      <c r="D630" s="29"/>
      <c r="E630" s="514"/>
      <c r="F630" s="29"/>
      <c r="G630" s="395" t="str">
        <f t="shared" si="51"/>
        <v>--</v>
      </c>
      <c r="H630" s="29"/>
      <c r="I630" s="483">
        <f t="shared" si="50"/>
        <v>0</v>
      </c>
      <c r="J630" s="29"/>
      <c r="K630" s="148"/>
      <c r="L630" s="509">
        <f t="shared" si="52"/>
        <v>0</v>
      </c>
      <c r="M630" s="399">
        <f t="shared" si="53"/>
        <v>0</v>
      </c>
    </row>
    <row r="631" spans="2:13">
      <c r="B631" s="379"/>
      <c r="C631" s="313"/>
      <c r="D631" s="29"/>
      <c r="E631" s="514"/>
      <c r="F631" s="29"/>
      <c r="G631" s="395" t="str">
        <f t="shared" si="51"/>
        <v>--</v>
      </c>
      <c r="H631" s="29"/>
      <c r="I631" s="483">
        <f t="shared" si="50"/>
        <v>0</v>
      </c>
      <c r="J631" s="29"/>
      <c r="K631" s="148"/>
      <c r="L631" s="509">
        <f t="shared" si="52"/>
        <v>0</v>
      </c>
      <c r="M631" s="399">
        <f t="shared" si="53"/>
        <v>0</v>
      </c>
    </row>
    <row r="632" spans="2:13">
      <c r="B632" s="379"/>
      <c r="C632" s="313"/>
      <c r="D632" s="29"/>
      <c r="E632" s="514"/>
      <c r="F632" s="29"/>
      <c r="G632" s="395" t="str">
        <f t="shared" si="51"/>
        <v>--</v>
      </c>
      <c r="H632" s="29"/>
      <c r="I632" s="483">
        <f t="shared" si="50"/>
        <v>0</v>
      </c>
      <c r="J632" s="29"/>
      <c r="K632" s="148"/>
      <c r="L632" s="509">
        <f t="shared" si="52"/>
        <v>0</v>
      </c>
      <c r="M632" s="399">
        <f t="shared" si="53"/>
        <v>0</v>
      </c>
    </row>
    <row r="633" spans="2:13">
      <c r="B633" s="379"/>
      <c r="C633" s="313"/>
      <c r="D633" s="29"/>
      <c r="E633" s="514"/>
      <c r="F633" s="29"/>
      <c r="G633" s="395" t="str">
        <f t="shared" si="51"/>
        <v>--</v>
      </c>
      <c r="H633" s="29"/>
      <c r="I633" s="483">
        <f t="shared" si="50"/>
        <v>0</v>
      </c>
      <c r="J633" s="29"/>
      <c r="K633" s="148"/>
      <c r="L633" s="509">
        <f t="shared" si="52"/>
        <v>0</v>
      </c>
      <c r="M633" s="399">
        <f t="shared" si="53"/>
        <v>0</v>
      </c>
    </row>
    <row r="634" spans="2:13">
      <c r="B634" s="379"/>
      <c r="C634" s="313"/>
      <c r="D634" s="29"/>
      <c r="E634" s="514"/>
      <c r="F634" s="29"/>
      <c r="G634" s="395" t="str">
        <f t="shared" si="51"/>
        <v>--</v>
      </c>
      <c r="H634" s="29"/>
      <c r="I634" s="483">
        <f t="shared" si="50"/>
        <v>0</v>
      </c>
      <c r="J634" s="29"/>
      <c r="K634" s="148"/>
      <c r="L634" s="509">
        <f t="shared" si="52"/>
        <v>0</v>
      </c>
      <c r="M634" s="399">
        <f t="shared" si="53"/>
        <v>0</v>
      </c>
    </row>
    <row r="635" spans="2:13">
      <c r="B635" s="379"/>
      <c r="C635" s="313"/>
      <c r="D635" s="29"/>
      <c r="E635" s="514"/>
      <c r="F635" s="29"/>
      <c r="G635" s="395" t="str">
        <f t="shared" si="51"/>
        <v>--</v>
      </c>
      <c r="H635" s="29"/>
      <c r="I635" s="483">
        <f t="shared" si="50"/>
        <v>0</v>
      </c>
      <c r="J635" s="29"/>
      <c r="K635" s="148"/>
      <c r="L635" s="509">
        <f t="shared" si="52"/>
        <v>0</v>
      </c>
      <c r="M635" s="399">
        <f t="shared" si="53"/>
        <v>0</v>
      </c>
    </row>
    <row r="636" spans="2:13">
      <c r="B636" s="379"/>
      <c r="C636" s="313"/>
      <c r="D636" s="29"/>
      <c r="E636" s="514"/>
      <c r="F636" s="29"/>
      <c r="G636" s="395" t="str">
        <f t="shared" si="51"/>
        <v>--</v>
      </c>
      <c r="H636" s="29"/>
      <c r="I636" s="483">
        <f t="shared" si="50"/>
        <v>0</v>
      </c>
      <c r="J636" s="29"/>
      <c r="K636" s="148"/>
      <c r="L636" s="509">
        <f t="shared" si="52"/>
        <v>0</v>
      </c>
      <c r="M636" s="399">
        <f t="shared" si="53"/>
        <v>0</v>
      </c>
    </row>
    <row r="637" spans="2:13">
      <c r="B637" s="379"/>
      <c r="C637" s="313"/>
      <c r="D637" s="29"/>
      <c r="E637" s="514"/>
      <c r="F637" s="29"/>
      <c r="G637" s="395" t="str">
        <f t="shared" si="51"/>
        <v>--</v>
      </c>
      <c r="H637" s="29"/>
      <c r="I637" s="483">
        <f t="shared" si="50"/>
        <v>0</v>
      </c>
      <c r="J637" s="29"/>
      <c r="K637" s="148"/>
      <c r="L637" s="509">
        <f t="shared" si="52"/>
        <v>0</v>
      </c>
      <c r="M637" s="399">
        <f t="shared" si="53"/>
        <v>0</v>
      </c>
    </row>
    <row r="638" spans="2:13">
      <c r="B638" s="379"/>
      <c r="C638" s="313"/>
      <c r="D638" s="29"/>
      <c r="E638" s="514"/>
      <c r="F638" s="29"/>
      <c r="G638" s="395" t="str">
        <f t="shared" si="51"/>
        <v>--</v>
      </c>
      <c r="H638" s="29"/>
      <c r="I638" s="483">
        <f t="shared" si="50"/>
        <v>0</v>
      </c>
      <c r="J638" s="29"/>
      <c r="K638" s="148"/>
      <c r="L638" s="509">
        <f t="shared" si="52"/>
        <v>0</v>
      </c>
      <c r="M638" s="399">
        <f t="shared" si="53"/>
        <v>0</v>
      </c>
    </row>
    <row r="639" spans="2:13">
      <c r="B639" s="379"/>
      <c r="C639" s="313"/>
      <c r="D639" s="29"/>
      <c r="E639" s="514"/>
      <c r="F639" s="29"/>
      <c r="G639" s="395" t="str">
        <f t="shared" si="51"/>
        <v>--</v>
      </c>
      <c r="H639" s="29"/>
      <c r="I639" s="483">
        <f t="shared" si="50"/>
        <v>0</v>
      </c>
      <c r="J639" s="29"/>
      <c r="K639" s="148"/>
      <c r="L639" s="509">
        <f t="shared" si="52"/>
        <v>0</v>
      </c>
      <c r="M639" s="399">
        <f t="shared" si="53"/>
        <v>0</v>
      </c>
    </row>
    <row r="640" spans="2:13">
      <c r="B640" s="480"/>
      <c r="C640" s="481"/>
      <c r="D640" s="29"/>
      <c r="E640" s="516"/>
      <c r="F640" s="517"/>
      <c r="G640" s="395" t="str">
        <f t="shared" si="51"/>
        <v>--</v>
      </c>
      <c r="H640" s="517"/>
      <c r="I640" s="483">
        <f t="shared" si="50"/>
        <v>0</v>
      </c>
      <c r="J640" s="517"/>
      <c r="K640" s="148"/>
      <c r="L640" s="509">
        <f t="shared" si="52"/>
        <v>0</v>
      </c>
      <c r="M640" s="399">
        <f t="shared" si="53"/>
        <v>0</v>
      </c>
    </row>
    <row r="641" spans="2:13">
      <c r="B641" s="379"/>
      <c r="C641" s="313"/>
      <c r="D641" s="29"/>
      <c r="E641" s="514"/>
      <c r="F641" s="29"/>
      <c r="G641" s="395" t="str">
        <f>+CONCATENATE(D641,"-",E641,"-",MID(C641,12,2))</f>
        <v>--</v>
      </c>
      <c r="H641" s="29"/>
      <c r="I641" s="483">
        <f t="shared" si="50"/>
        <v>0</v>
      </c>
      <c r="J641" s="29"/>
      <c r="K641" s="148"/>
      <c r="L641" s="509">
        <f t="shared" si="52"/>
        <v>0</v>
      </c>
      <c r="M641" s="399">
        <f t="shared" si="53"/>
        <v>0</v>
      </c>
    </row>
    <row r="642" spans="2:13">
      <c r="B642" s="379"/>
      <c r="C642" s="313"/>
      <c r="D642" s="29"/>
      <c r="E642" s="514"/>
      <c r="F642" s="29"/>
      <c r="G642" s="395" t="str">
        <f t="shared" si="51"/>
        <v>--</v>
      </c>
      <c r="H642" s="29"/>
      <c r="I642" s="483">
        <f t="shared" si="50"/>
        <v>0</v>
      </c>
      <c r="J642" s="29"/>
      <c r="K642" s="148"/>
      <c r="L642" s="509">
        <f t="shared" si="52"/>
        <v>0</v>
      </c>
      <c r="M642" s="399">
        <f t="shared" si="53"/>
        <v>0</v>
      </c>
    </row>
    <row r="643" spans="2:13">
      <c r="B643" s="379"/>
      <c r="C643" s="313"/>
      <c r="D643" s="29"/>
      <c r="E643" s="514"/>
      <c r="F643" s="29"/>
      <c r="G643" s="395" t="str">
        <f t="shared" si="51"/>
        <v>--</v>
      </c>
      <c r="H643" s="29"/>
      <c r="I643" s="483">
        <f t="shared" si="50"/>
        <v>0</v>
      </c>
      <c r="J643" s="29"/>
      <c r="K643" s="148"/>
      <c r="L643" s="509">
        <f t="shared" si="52"/>
        <v>0</v>
      </c>
      <c r="M643" s="399">
        <f t="shared" si="53"/>
        <v>0</v>
      </c>
    </row>
    <row r="644" spans="2:13">
      <c r="B644" s="379"/>
      <c r="C644" s="313"/>
      <c r="D644" s="29"/>
      <c r="E644" s="514"/>
      <c r="F644" s="29"/>
      <c r="G644" s="395" t="str">
        <f t="shared" si="51"/>
        <v>--</v>
      </c>
      <c r="H644" s="29"/>
      <c r="I644" s="483">
        <f t="shared" si="50"/>
        <v>0</v>
      </c>
      <c r="J644" s="29"/>
      <c r="K644" s="148"/>
      <c r="L644" s="509">
        <f t="shared" si="52"/>
        <v>0</v>
      </c>
      <c r="M644" s="399">
        <f t="shared" si="53"/>
        <v>0</v>
      </c>
    </row>
    <row r="645" spans="2:13">
      <c r="B645" s="480"/>
      <c r="C645" s="481"/>
      <c r="D645" s="29"/>
      <c r="E645" s="516"/>
      <c r="F645" s="517"/>
      <c r="G645" s="395" t="str">
        <f t="shared" si="51"/>
        <v>--</v>
      </c>
      <c r="H645" s="517"/>
      <c r="I645" s="483">
        <f t="shared" ref="I645:I708" si="54">F645-H645</f>
        <v>0</v>
      </c>
      <c r="J645" s="517"/>
      <c r="K645" s="148"/>
      <c r="L645" s="509">
        <f t="shared" si="52"/>
        <v>0</v>
      </c>
      <c r="M645" s="399">
        <f t="shared" si="53"/>
        <v>0</v>
      </c>
    </row>
    <row r="646" spans="2:13">
      <c r="B646" s="379"/>
      <c r="C646" s="313"/>
      <c r="D646" s="29"/>
      <c r="E646" s="514"/>
      <c r="F646" s="29"/>
      <c r="G646" s="395" t="str">
        <f t="shared" si="51"/>
        <v>--</v>
      </c>
      <c r="H646" s="29"/>
      <c r="I646" s="483">
        <f t="shared" si="54"/>
        <v>0</v>
      </c>
      <c r="J646" s="29"/>
      <c r="K646" s="148"/>
      <c r="L646" s="509">
        <f t="shared" si="52"/>
        <v>0</v>
      </c>
      <c r="M646" s="399">
        <f t="shared" si="53"/>
        <v>0</v>
      </c>
    </row>
    <row r="647" spans="2:13">
      <c r="B647" s="379"/>
      <c r="C647" s="313"/>
      <c r="D647" s="29"/>
      <c r="E647" s="514"/>
      <c r="F647" s="29"/>
      <c r="G647" s="395" t="str">
        <f t="shared" si="51"/>
        <v>--</v>
      </c>
      <c r="H647" s="29"/>
      <c r="I647" s="483">
        <f t="shared" si="54"/>
        <v>0</v>
      </c>
      <c r="J647" s="29"/>
      <c r="K647" s="148"/>
      <c r="L647" s="509">
        <f t="shared" si="52"/>
        <v>0</v>
      </c>
      <c r="M647" s="399">
        <f t="shared" si="53"/>
        <v>0</v>
      </c>
    </row>
    <row r="648" spans="2:13">
      <c r="B648" s="379"/>
      <c r="C648" s="313"/>
      <c r="D648" s="29"/>
      <c r="E648" s="514"/>
      <c r="F648" s="29"/>
      <c r="G648" s="395" t="str">
        <f t="shared" ref="G648:G711" si="55">+CONCATENATE(D648,"-",E648,"-",MID(C648,12,2))</f>
        <v>--</v>
      </c>
      <c r="H648" s="29"/>
      <c r="I648" s="483">
        <f t="shared" si="54"/>
        <v>0</v>
      </c>
      <c r="J648" s="29"/>
      <c r="K648" s="148"/>
      <c r="L648" s="509">
        <f t="shared" si="52"/>
        <v>0</v>
      </c>
      <c r="M648" s="399">
        <f t="shared" si="53"/>
        <v>0</v>
      </c>
    </row>
    <row r="649" spans="2:13">
      <c r="B649" s="379"/>
      <c r="C649" s="313"/>
      <c r="D649" s="29"/>
      <c r="E649" s="514"/>
      <c r="F649" s="29"/>
      <c r="G649" s="395" t="str">
        <f t="shared" si="55"/>
        <v>--</v>
      </c>
      <c r="H649" s="29"/>
      <c r="I649" s="483">
        <f t="shared" si="54"/>
        <v>0</v>
      </c>
      <c r="J649" s="29"/>
      <c r="K649" s="148"/>
      <c r="L649" s="509">
        <f t="shared" si="52"/>
        <v>0</v>
      </c>
      <c r="M649" s="399">
        <f t="shared" si="53"/>
        <v>0</v>
      </c>
    </row>
    <row r="650" spans="2:13">
      <c r="B650" s="480"/>
      <c r="C650" s="481"/>
      <c r="D650" s="29"/>
      <c r="E650" s="516"/>
      <c r="F650" s="517"/>
      <c r="G650" s="395" t="str">
        <f t="shared" si="55"/>
        <v>--</v>
      </c>
      <c r="H650" s="517"/>
      <c r="I650" s="483">
        <f t="shared" si="54"/>
        <v>0</v>
      </c>
      <c r="J650" s="517"/>
      <c r="K650" s="148"/>
      <c r="L650" s="509">
        <f t="shared" si="52"/>
        <v>0</v>
      </c>
      <c r="M650" s="399">
        <f t="shared" si="53"/>
        <v>0</v>
      </c>
    </row>
    <row r="651" spans="2:13">
      <c r="B651" s="379"/>
      <c r="C651" s="313"/>
      <c r="D651" s="29"/>
      <c r="E651" s="514"/>
      <c r="F651" s="29"/>
      <c r="G651" s="395" t="str">
        <f t="shared" si="55"/>
        <v>--</v>
      </c>
      <c r="H651" s="29"/>
      <c r="I651" s="483">
        <f t="shared" si="54"/>
        <v>0</v>
      </c>
      <c r="J651" s="29"/>
      <c r="K651" s="148"/>
      <c r="L651" s="509">
        <f t="shared" ref="L651:L660" si="56">IF(AND(B651="E2",N651&lt;&gt;0),ABS(H651-N651),M651)</f>
        <v>0</v>
      </c>
      <c r="M651" s="399">
        <f t="shared" ref="M651:M660" si="57">J651</f>
        <v>0</v>
      </c>
    </row>
    <row r="652" spans="2:13">
      <c r="B652" s="379"/>
      <c r="C652" s="313"/>
      <c r="D652" s="29"/>
      <c r="E652" s="514"/>
      <c r="F652" s="29"/>
      <c r="G652" s="395" t="str">
        <f t="shared" si="55"/>
        <v>--</v>
      </c>
      <c r="H652" s="29"/>
      <c r="I652" s="483">
        <f t="shared" si="54"/>
        <v>0</v>
      </c>
      <c r="J652" s="29"/>
      <c r="K652" s="148"/>
      <c r="L652" s="509">
        <f t="shared" si="56"/>
        <v>0</v>
      </c>
      <c r="M652" s="399">
        <f t="shared" si="57"/>
        <v>0</v>
      </c>
    </row>
    <row r="653" spans="2:13">
      <c r="B653" s="379"/>
      <c r="C653" s="313"/>
      <c r="D653" s="29"/>
      <c r="E653" s="514"/>
      <c r="F653" s="29"/>
      <c r="G653" s="395" t="str">
        <f t="shared" si="55"/>
        <v>--</v>
      </c>
      <c r="H653" s="29"/>
      <c r="I653" s="483">
        <f t="shared" si="54"/>
        <v>0</v>
      </c>
      <c r="J653" s="29"/>
      <c r="K653" s="148"/>
      <c r="L653" s="509">
        <f t="shared" si="56"/>
        <v>0</v>
      </c>
      <c r="M653" s="399">
        <f t="shared" si="57"/>
        <v>0</v>
      </c>
    </row>
    <row r="654" spans="2:13">
      <c r="B654" s="379"/>
      <c r="C654" s="313"/>
      <c r="D654" s="29"/>
      <c r="E654" s="514"/>
      <c r="F654" s="29"/>
      <c r="G654" s="395" t="str">
        <f t="shared" si="55"/>
        <v>--</v>
      </c>
      <c r="H654" s="29"/>
      <c r="I654" s="483">
        <f t="shared" si="54"/>
        <v>0</v>
      </c>
      <c r="J654" s="29"/>
      <c r="K654" s="148"/>
      <c r="L654" s="509">
        <f t="shared" si="56"/>
        <v>0</v>
      </c>
      <c r="M654" s="399">
        <f t="shared" si="57"/>
        <v>0</v>
      </c>
    </row>
    <row r="655" spans="2:13">
      <c r="B655" s="480"/>
      <c r="C655" s="481"/>
      <c r="D655" s="29"/>
      <c r="E655" s="516"/>
      <c r="F655" s="517"/>
      <c r="G655" s="395" t="str">
        <f t="shared" si="55"/>
        <v>--</v>
      </c>
      <c r="H655" s="517"/>
      <c r="I655" s="483">
        <f t="shared" si="54"/>
        <v>0</v>
      </c>
      <c r="J655" s="517"/>
      <c r="K655" s="148"/>
      <c r="L655" s="509">
        <f t="shared" si="56"/>
        <v>0</v>
      </c>
      <c r="M655" s="399">
        <f t="shared" si="57"/>
        <v>0</v>
      </c>
    </row>
    <row r="656" spans="2:13">
      <c r="B656" s="379"/>
      <c r="C656" s="313"/>
      <c r="D656" s="29"/>
      <c r="E656" s="514"/>
      <c r="F656" s="29"/>
      <c r="G656" s="395" t="str">
        <f t="shared" si="55"/>
        <v>--</v>
      </c>
      <c r="H656" s="29"/>
      <c r="I656" s="483">
        <f t="shared" si="54"/>
        <v>0</v>
      </c>
      <c r="J656" s="29"/>
      <c r="K656" s="148"/>
      <c r="L656" s="509">
        <f t="shared" si="56"/>
        <v>0</v>
      </c>
      <c r="M656" s="399">
        <f t="shared" si="57"/>
        <v>0</v>
      </c>
    </row>
    <row r="657" spans="2:13">
      <c r="B657" s="478"/>
      <c r="C657" s="479"/>
      <c r="D657" s="518"/>
      <c r="E657" s="519"/>
      <c r="F657" s="518"/>
      <c r="G657" s="395" t="str">
        <f t="shared" si="55"/>
        <v>--</v>
      </c>
      <c r="H657" s="29"/>
      <c r="I657" s="483">
        <f t="shared" si="54"/>
        <v>0</v>
      </c>
      <c r="J657" s="29"/>
      <c r="K657" s="148"/>
      <c r="L657" s="509">
        <f t="shared" si="56"/>
        <v>0</v>
      </c>
      <c r="M657" s="399">
        <f t="shared" si="57"/>
        <v>0</v>
      </c>
    </row>
    <row r="658" spans="2:13">
      <c r="B658" s="478"/>
      <c r="C658" s="479"/>
      <c r="D658" s="518"/>
      <c r="E658" s="519"/>
      <c r="F658" s="518"/>
      <c r="G658" s="395" t="str">
        <f t="shared" si="55"/>
        <v>--</v>
      </c>
      <c r="H658" s="29"/>
      <c r="I658" s="483">
        <f t="shared" si="54"/>
        <v>0</v>
      </c>
      <c r="J658" s="29"/>
      <c r="K658" s="148"/>
      <c r="L658" s="509">
        <f t="shared" si="56"/>
        <v>0</v>
      </c>
      <c r="M658" s="399">
        <f t="shared" si="57"/>
        <v>0</v>
      </c>
    </row>
    <row r="659" spans="2:13">
      <c r="B659" s="478"/>
      <c r="C659" s="479"/>
      <c r="D659" s="518"/>
      <c r="E659" s="519"/>
      <c r="F659" s="518"/>
      <c r="G659" s="395" t="str">
        <f t="shared" si="55"/>
        <v>--</v>
      </c>
      <c r="H659" s="29"/>
      <c r="I659" s="483">
        <f t="shared" si="54"/>
        <v>0</v>
      </c>
      <c r="J659" s="29"/>
      <c r="K659" s="148"/>
      <c r="L659" s="509">
        <f t="shared" si="56"/>
        <v>0</v>
      </c>
      <c r="M659" s="399">
        <f t="shared" si="57"/>
        <v>0</v>
      </c>
    </row>
    <row r="660" spans="2:13">
      <c r="B660" s="478"/>
      <c r="C660" s="479"/>
      <c r="D660" s="518"/>
      <c r="E660" s="519"/>
      <c r="F660" s="518"/>
      <c r="G660" s="395" t="str">
        <f t="shared" si="55"/>
        <v>--</v>
      </c>
      <c r="H660" s="29"/>
      <c r="I660" s="483">
        <f t="shared" si="54"/>
        <v>0</v>
      </c>
      <c r="J660" s="29"/>
      <c r="K660" s="148"/>
      <c r="L660" s="509">
        <f t="shared" si="56"/>
        <v>0</v>
      </c>
      <c r="M660" s="399">
        <f t="shared" si="57"/>
        <v>0</v>
      </c>
    </row>
    <row r="661" spans="2:13">
      <c r="B661" s="379"/>
      <c r="C661" s="313"/>
      <c r="D661" s="29"/>
      <c r="E661" s="514"/>
      <c r="F661" s="29"/>
      <c r="G661" s="395" t="str">
        <f t="shared" si="55"/>
        <v>--</v>
      </c>
      <c r="H661" s="29"/>
      <c r="I661" s="483">
        <f t="shared" si="54"/>
        <v>0</v>
      </c>
      <c r="J661" s="29"/>
      <c r="K661" s="148"/>
      <c r="L661" s="509">
        <f t="shared" ref="L661:L724" si="58">IF(AND(B661="E2",N661&lt;&gt;0),ABS(H661-N661),M661)</f>
        <v>0</v>
      </c>
      <c r="M661" s="399">
        <f t="shared" ref="M661:M724" si="59">J661</f>
        <v>0</v>
      </c>
    </row>
    <row r="662" spans="2:13">
      <c r="B662" s="379"/>
      <c r="C662" s="313"/>
      <c r="D662" s="29"/>
      <c r="E662" s="514"/>
      <c r="F662" s="29"/>
      <c r="G662" s="395" t="str">
        <f t="shared" si="55"/>
        <v>--</v>
      </c>
      <c r="H662" s="520"/>
      <c r="I662" s="483">
        <f t="shared" si="54"/>
        <v>0</v>
      </c>
      <c r="J662" s="29"/>
      <c r="K662" s="148"/>
      <c r="L662" s="509">
        <f t="shared" si="58"/>
        <v>0</v>
      </c>
      <c r="M662" s="399">
        <f t="shared" si="59"/>
        <v>0</v>
      </c>
    </row>
    <row r="663" spans="2:13">
      <c r="B663" s="379"/>
      <c r="C663" s="313"/>
      <c r="D663" s="29"/>
      <c r="E663" s="514"/>
      <c r="F663" s="29"/>
      <c r="G663" s="395" t="str">
        <f t="shared" si="55"/>
        <v>--</v>
      </c>
      <c r="H663" s="29"/>
      <c r="I663" s="483">
        <f t="shared" si="54"/>
        <v>0</v>
      </c>
      <c r="J663" s="29"/>
      <c r="K663" s="148"/>
      <c r="L663" s="509">
        <f t="shared" si="58"/>
        <v>0</v>
      </c>
      <c r="M663" s="399">
        <f t="shared" si="59"/>
        <v>0</v>
      </c>
    </row>
    <row r="664" spans="2:13">
      <c r="B664" s="379"/>
      <c r="C664" s="313"/>
      <c r="D664" s="29"/>
      <c r="E664" s="514"/>
      <c r="F664" s="29"/>
      <c r="G664" s="395" t="str">
        <f t="shared" si="55"/>
        <v>--</v>
      </c>
      <c r="H664" s="29"/>
      <c r="I664" s="483">
        <f t="shared" si="54"/>
        <v>0</v>
      </c>
      <c r="J664" s="29"/>
      <c r="K664" s="148"/>
      <c r="L664" s="509">
        <f t="shared" si="58"/>
        <v>0</v>
      </c>
      <c r="M664" s="399">
        <f t="shared" si="59"/>
        <v>0</v>
      </c>
    </row>
    <row r="665" spans="2:13">
      <c r="B665" s="379"/>
      <c r="C665" s="313"/>
      <c r="D665" s="29"/>
      <c r="E665" s="514"/>
      <c r="F665" s="29"/>
      <c r="G665" s="395" t="str">
        <f t="shared" si="55"/>
        <v>--</v>
      </c>
      <c r="H665" s="29"/>
      <c r="I665" s="483">
        <f t="shared" si="54"/>
        <v>0</v>
      </c>
      <c r="J665" s="29"/>
      <c r="K665" s="148"/>
      <c r="L665" s="509">
        <f t="shared" si="58"/>
        <v>0</v>
      </c>
      <c r="M665" s="399">
        <f t="shared" si="59"/>
        <v>0</v>
      </c>
    </row>
    <row r="666" spans="2:13">
      <c r="B666" s="379"/>
      <c r="C666" s="313"/>
      <c r="D666" s="29"/>
      <c r="E666" s="514"/>
      <c r="F666" s="29"/>
      <c r="G666" s="395" t="str">
        <f t="shared" si="55"/>
        <v>--</v>
      </c>
      <c r="H666" s="29"/>
      <c r="I666" s="483">
        <f t="shared" si="54"/>
        <v>0</v>
      </c>
      <c r="J666" s="29"/>
      <c r="K666" s="148"/>
      <c r="L666" s="509">
        <f t="shared" si="58"/>
        <v>0</v>
      </c>
      <c r="M666" s="399">
        <f t="shared" si="59"/>
        <v>0</v>
      </c>
    </row>
    <row r="667" spans="2:13">
      <c r="B667" s="379"/>
      <c r="C667" s="313"/>
      <c r="D667" s="29"/>
      <c r="E667" s="514"/>
      <c r="F667" s="29"/>
      <c r="G667" s="395" t="str">
        <f t="shared" si="55"/>
        <v>--</v>
      </c>
      <c r="H667" s="29"/>
      <c r="I667" s="483">
        <f t="shared" si="54"/>
        <v>0</v>
      </c>
      <c r="J667" s="29"/>
      <c r="K667" s="148"/>
      <c r="L667" s="509">
        <f t="shared" si="58"/>
        <v>0</v>
      </c>
      <c r="M667" s="399">
        <f t="shared" si="59"/>
        <v>0</v>
      </c>
    </row>
    <row r="668" spans="2:13">
      <c r="B668" s="379"/>
      <c r="C668" s="29"/>
      <c r="D668" s="29"/>
      <c r="E668" s="514"/>
      <c r="F668" s="29"/>
      <c r="G668" s="395" t="str">
        <f t="shared" si="55"/>
        <v>--</v>
      </c>
      <c r="H668" s="29"/>
      <c r="I668" s="483">
        <f t="shared" si="54"/>
        <v>0</v>
      </c>
      <c r="J668" s="29"/>
      <c r="K668" s="148"/>
      <c r="L668" s="509">
        <f t="shared" si="58"/>
        <v>0</v>
      </c>
      <c r="M668" s="399">
        <f t="shared" si="59"/>
        <v>0</v>
      </c>
    </row>
    <row r="669" spans="2:13">
      <c r="B669" s="379"/>
      <c r="C669" s="29"/>
      <c r="D669" s="29"/>
      <c r="E669" s="514"/>
      <c r="F669" s="29"/>
      <c r="G669" s="395" t="str">
        <f t="shared" si="55"/>
        <v>--</v>
      </c>
      <c r="H669" s="29"/>
      <c r="I669" s="483">
        <f t="shared" si="54"/>
        <v>0</v>
      </c>
      <c r="J669" s="29"/>
      <c r="K669" s="148"/>
      <c r="L669" s="509">
        <f t="shared" si="58"/>
        <v>0</v>
      </c>
      <c r="M669" s="399">
        <f t="shared" si="59"/>
        <v>0</v>
      </c>
    </row>
    <row r="670" spans="2:13">
      <c r="B670" s="379"/>
      <c r="C670" s="29"/>
      <c r="D670" s="29"/>
      <c r="E670" s="514"/>
      <c r="F670" s="29"/>
      <c r="G670" s="395" t="str">
        <f t="shared" si="55"/>
        <v>--</v>
      </c>
      <c r="H670" s="29"/>
      <c r="I670" s="483">
        <f t="shared" si="54"/>
        <v>0</v>
      </c>
      <c r="J670" s="29"/>
      <c r="K670" s="148"/>
      <c r="L670" s="509">
        <f t="shared" si="58"/>
        <v>0</v>
      </c>
      <c r="M670" s="399">
        <f t="shared" si="59"/>
        <v>0</v>
      </c>
    </row>
    <row r="671" spans="2:13">
      <c r="B671" s="379"/>
      <c r="C671" s="29"/>
      <c r="D671" s="29"/>
      <c r="E671" s="514"/>
      <c r="F671" s="29"/>
      <c r="G671" s="395" t="str">
        <f t="shared" si="55"/>
        <v>--</v>
      </c>
      <c r="H671" s="29"/>
      <c r="I671" s="483">
        <f t="shared" si="54"/>
        <v>0</v>
      </c>
      <c r="J671" s="29"/>
      <c r="K671" s="148"/>
      <c r="L671" s="509">
        <f t="shared" si="58"/>
        <v>0</v>
      </c>
      <c r="M671" s="399">
        <f t="shared" si="59"/>
        <v>0</v>
      </c>
    </row>
    <row r="672" spans="2:13">
      <c r="B672" s="379"/>
      <c r="C672" s="29"/>
      <c r="D672" s="29"/>
      <c r="E672" s="514"/>
      <c r="F672" s="29"/>
      <c r="G672" s="395" t="str">
        <f t="shared" si="55"/>
        <v>--</v>
      </c>
      <c r="H672" s="29"/>
      <c r="I672" s="483">
        <f t="shared" si="54"/>
        <v>0</v>
      </c>
      <c r="J672" s="29"/>
      <c r="K672" s="148"/>
      <c r="L672" s="509">
        <f t="shared" si="58"/>
        <v>0</v>
      </c>
      <c r="M672" s="399">
        <f t="shared" si="59"/>
        <v>0</v>
      </c>
    </row>
    <row r="673" spans="2:13">
      <c r="B673" s="379"/>
      <c r="C673" s="29"/>
      <c r="D673" s="29"/>
      <c r="E673" s="514"/>
      <c r="F673" s="29"/>
      <c r="G673" s="395" t="str">
        <f t="shared" si="55"/>
        <v>--</v>
      </c>
      <c r="H673" s="29"/>
      <c r="I673" s="483">
        <f t="shared" si="54"/>
        <v>0</v>
      </c>
      <c r="J673" s="29"/>
      <c r="K673" s="148"/>
      <c r="L673" s="509">
        <f t="shared" si="58"/>
        <v>0</v>
      </c>
      <c r="M673" s="399">
        <f t="shared" si="59"/>
        <v>0</v>
      </c>
    </row>
    <row r="674" spans="2:13">
      <c r="B674" s="379"/>
      <c r="C674" s="29"/>
      <c r="D674" s="29"/>
      <c r="E674" s="514"/>
      <c r="F674" s="29"/>
      <c r="G674" s="395" t="str">
        <f t="shared" si="55"/>
        <v>--</v>
      </c>
      <c r="H674" s="29"/>
      <c r="I674" s="483">
        <f t="shared" si="54"/>
        <v>0</v>
      </c>
      <c r="J674" s="29"/>
      <c r="K674" s="148"/>
      <c r="L674" s="509">
        <f t="shared" si="58"/>
        <v>0</v>
      </c>
      <c r="M674" s="399">
        <f t="shared" si="59"/>
        <v>0</v>
      </c>
    </row>
    <row r="675" spans="2:13">
      <c r="B675" s="379"/>
      <c r="C675" s="29"/>
      <c r="D675" s="29"/>
      <c r="E675" s="514"/>
      <c r="F675" s="29"/>
      <c r="G675" s="395" t="str">
        <f t="shared" si="55"/>
        <v>--</v>
      </c>
      <c r="H675" s="29"/>
      <c r="I675" s="483">
        <f t="shared" si="54"/>
        <v>0</v>
      </c>
      <c r="J675" s="29"/>
      <c r="K675" s="148"/>
      <c r="L675" s="509">
        <f t="shared" si="58"/>
        <v>0</v>
      </c>
      <c r="M675" s="399">
        <f t="shared" si="59"/>
        <v>0</v>
      </c>
    </row>
    <row r="676" spans="2:13">
      <c r="B676" s="379"/>
      <c r="C676" s="29"/>
      <c r="D676" s="29"/>
      <c r="E676" s="514"/>
      <c r="F676" s="29"/>
      <c r="G676" s="395" t="str">
        <f t="shared" si="55"/>
        <v>--</v>
      </c>
      <c r="H676" s="29"/>
      <c r="I676" s="483">
        <f t="shared" si="54"/>
        <v>0</v>
      </c>
      <c r="J676" s="29"/>
      <c r="K676" s="148"/>
      <c r="L676" s="509">
        <f t="shared" si="58"/>
        <v>0</v>
      </c>
      <c r="M676" s="399">
        <f t="shared" si="59"/>
        <v>0</v>
      </c>
    </row>
    <row r="677" spans="2:13">
      <c r="B677" s="379"/>
      <c r="C677" s="29"/>
      <c r="D677" s="29"/>
      <c r="E677" s="514"/>
      <c r="F677" s="29"/>
      <c r="G677" s="395" t="str">
        <f t="shared" si="55"/>
        <v>--</v>
      </c>
      <c r="H677" s="29"/>
      <c r="I677" s="483">
        <f t="shared" si="54"/>
        <v>0</v>
      </c>
      <c r="J677" s="29"/>
      <c r="K677" s="148"/>
      <c r="L677" s="509">
        <f t="shared" si="58"/>
        <v>0</v>
      </c>
      <c r="M677" s="399">
        <f t="shared" si="59"/>
        <v>0</v>
      </c>
    </row>
    <row r="678" spans="2:13">
      <c r="B678" s="379"/>
      <c r="C678" s="29"/>
      <c r="D678" s="29"/>
      <c r="E678" s="514"/>
      <c r="F678" s="29"/>
      <c r="G678" s="395" t="str">
        <f t="shared" si="55"/>
        <v>--</v>
      </c>
      <c r="H678" s="29"/>
      <c r="I678" s="483">
        <f t="shared" si="54"/>
        <v>0</v>
      </c>
      <c r="J678" s="29"/>
      <c r="K678" s="148"/>
      <c r="L678" s="509">
        <f t="shared" si="58"/>
        <v>0</v>
      </c>
      <c r="M678" s="399">
        <f t="shared" si="59"/>
        <v>0</v>
      </c>
    </row>
    <row r="679" spans="2:13">
      <c r="B679" s="379"/>
      <c r="C679" s="29"/>
      <c r="D679" s="29"/>
      <c r="E679" s="514"/>
      <c r="F679" s="29"/>
      <c r="G679" s="395" t="str">
        <f t="shared" si="55"/>
        <v>--</v>
      </c>
      <c r="H679" s="29"/>
      <c r="I679" s="483">
        <f t="shared" si="54"/>
        <v>0</v>
      </c>
      <c r="J679" s="29"/>
      <c r="K679" s="148"/>
      <c r="L679" s="509">
        <f t="shared" si="58"/>
        <v>0</v>
      </c>
      <c r="M679" s="399">
        <f t="shared" si="59"/>
        <v>0</v>
      </c>
    </row>
    <row r="680" spans="2:13">
      <c r="B680" s="379"/>
      <c r="C680" s="29"/>
      <c r="D680" s="29"/>
      <c r="E680" s="514"/>
      <c r="F680" s="29"/>
      <c r="G680" s="395" t="str">
        <f t="shared" si="55"/>
        <v>--</v>
      </c>
      <c r="H680" s="29"/>
      <c r="I680" s="483">
        <f t="shared" si="54"/>
        <v>0</v>
      </c>
      <c r="J680" s="29"/>
      <c r="K680" s="148"/>
      <c r="L680" s="509">
        <f t="shared" si="58"/>
        <v>0</v>
      </c>
      <c r="M680" s="399">
        <f t="shared" si="59"/>
        <v>0</v>
      </c>
    </row>
    <row r="681" spans="2:13">
      <c r="B681" s="379"/>
      <c r="C681" s="29"/>
      <c r="D681" s="29"/>
      <c r="E681" s="514"/>
      <c r="F681" s="29"/>
      <c r="G681" s="395" t="str">
        <f t="shared" si="55"/>
        <v>--</v>
      </c>
      <c r="H681" s="29"/>
      <c r="I681" s="483">
        <f t="shared" si="54"/>
        <v>0</v>
      </c>
      <c r="J681" s="29"/>
      <c r="K681" s="148"/>
      <c r="L681" s="509">
        <f t="shared" si="58"/>
        <v>0</v>
      </c>
      <c r="M681" s="399">
        <f t="shared" si="59"/>
        <v>0</v>
      </c>
    </row>
    <row r="682" spans="2:13">
      <c r="B682" s="379"/>
      <c r="C682" s="29"/>
      <c r="D682" s="29"/>
      <c r="E682" s="514"/>
      <c r="F682" s="29"/>
      <c r="G682" s="395" t="str">
        <f t="shared" si="55"/>
        <v>--</v>
      </c>
      <c r="H682" s="29"/>
      <c r="I682" s="483">
        <f t="shared" si="54"/>
        <v>0</v>
      </c>
      <c r="J682" s="29"/>
      <c r="K682" s="148"/>
      <c r="L682" s="509">
        <f t="shared" si="58"/>
        <v>0</v>
      </c>
      <c r="M682" s="399">
        <f t="shared" si="59"/>
        <v>0</v>
      </c>
    </row>
    <row r="683" spans="2:13">
      <c r="B683" s="379"/>
      <c r="C683" s="29"/>
      <c r="D683" s="29"/>
      <c r="E683" s="514"/>
      <c r="F683" s="29"/>
      <c r="G683" s="395" t="str">
        <f t="shared" si="55"/>
        <v>--</v>
      </c>
      <c r="H683" s="29"/>
      <c r="I683" s="483">
        <f t="shared" si="54"/>
        <v>0</v>
      </c>
      <c r="J683" s="29"/>
      <c r="K683" s="148"/>
      <c r="L683" s="509">
        <f t="shared" si="58"/>
        <v>0</v>
      </c>
      <c r="M683" s="399">
        <f t="shared" si="59"/>
        <v>0</v>
      </c>
    </row>
    <row r="684" spans="2:13">
      <c r="B684" s="379"/>
      <c r="C684" s="29"/>
      <c r="D684" s="29"/>
      <c r="E684" s="514"/>
      <c r="F684" s="29"/>
      <c r="G684" s="395" t="str">
        <f t="shared" si="55"/>
        <v>--</v>
      </c>
      <c r="H684" s="29"/>
      <c r="I684" s="483">
        <f t="shared" si="54"/>
        <v>0</v>
      </c>
      <c r="J684" s="29"/>
      <c r="K684" s="148"/>
      <c r="L684" s="509">
        <f t="shared" si="58"/>
        <v>0</v>
      </c>
      <c r="M684" s="399">
        <f t="shared" si="59"/>
        <v>0</v>
      </c>
    </row>
    <row r="685" spans="2:13">
      <c r="B685" s="379"/>
      <c r="C685" s="29"/>
      <c r="D685" s="29"/>
      <c r="E685" s="514"/>
      <c r="F685" s="29"/>
      <c r="G685" s="395" t="str">
        <f t="shared" si="55"/>
        <v>--</v>
      </c>
      <c r="H685" s="29"/>
      <c r="I685" s="483">
        <f t="shared" si="54"/>
        <v>0</v>
      </c>
      <c r="J685" s="29"/>
      <c r="K685" s="148"/>
      <c r="L685" s="509">
        <f t="shared" si="58"/>
        <v>0</v>
      </c>
      <c r="M685" s="399">
        <f t="shared" si="59"/>
        <v>0</v>
      </c>
    </row>
    <row r="686" spans="2:13">
      <c r="B686" s="379"/>
      <c r="C686" s="29"/>
      <c r="D686" s="29"/>
      <c r="E686" s="514"/>
      <c r="F686" s="29"/>
      <c r="G686" s="395" t="str">
        <f t="shared" si="55"/>
        <v>--</v>
      </c>
      <c r="H686" s="29"/>
      <c r="I686" s="483">
        <f t="shared" si="54"/>
        <v>0</v>
      </c>
      <c r="J686" s="29"/>
      <c r="K686" s="148"/>
      <c r="L686" s="509">
        <f t="shared" si="58"/>
        <v>0</v>
      </c>
      <c r="M686" s="399">
        <f t="shared" si="59"/>
        <v>0</v>
      </c>
    </row>
    <row r="687" spans="2:13">
      <c r="B687" s="379"/>
      <c r="C687" s="29"/>
      <c r="D687" s="29"/>
      <c r="E687" s="514"/>
      <c r="F687" s="29"/>
      <c r="G687" s="395" t="str">
        <f t="shared" si="55"/>
        <v>--</v>
      </c>
      <c r="H687" s="29"/>
      <c r="I687" s="483">
        <f t="shared" si="54"/>
        <v>0</v>
      </c>
      <c r="J687" s="29"/>
      <c r="K687" s="148"/>
      <c r="L687" s="509">
        <f t="shared" si="58"/>
        <v>0</v>
      </c>
      <c r="M687" s="399">
        <f t="shared" si="59"/>
        <v>0</v>
      </c>
    </row>
    <row r="688" spans="2:13">
      <c r="B688" s="379"/>
      <c r="C688" s="29"/>
      <c r="D688" s="29"/>
      <c r="E688" s="514"/>
      <c r="F688" s="29"/>
      <c r="G688" s="395" t="str">
        <f t="shared" si="55"/>
        <v>--</v>
      </c>
      <c r="H688" s="29"/>
      <c r="I688" s="483">
        <f t="shared" si="54"/>
        <v>0</v>
      </c>
      <c r="J688" s="29"/>
      <c r="K688" s="148"/>
      <c r="L688" s="509">
        <f t="shared" si="58"/>
        <v>0</v>
      </c>
      <c r="M688" s="399">
        <f t="shared" si="59"/>
        <v>0</v>
      </c>
    </row>
    <row r="689" spans="2:13">
      <c r="B689" s="379"/>
      <c r="C689" s="29"/>
      <c r="D689" s="29"/>
      <c r="E689" s="514"/>
      <c r="F689" s="29"/>
      <c r="G689" s="395" t="str">
        <f t="shared" si="55"/>
        <v>--</v>
      </c>
      <c r="H689" s="29"/>
      <c r="I689" s="483">
        <f t="shared" si="54"/>
        <v>0</v>
      </c>
      <c r="J689" s="29"/>
      <c r="K689" s="148"/>
      <c r="L689" s="509">
        <f t="shared" si="58"/>
        <v>0</v>
      </c>
      <c r="M689" s="399">
        <f t="shared" si="59"/>
        <v>0</v>
      </c>
    </row>
    <row r="690" spans="2:13">
      <c r="B690" s="379"/>
      <c r="C690" s="29"/>
      <c r="D690" s="29"/>
      <c r="E690" s="514"/>
      <c r="F690" s="29"/>
      <c r="G690" s="395" t="str">
        <f t="shared" si="55"/>
        <v>--</v>
      </c>
      <c r="H690" s="29"/>
      <c r="I690" s="483">
        <f t="shared" si="54"/>
        <v>0</v>
      </c>
      <c r="J690" s="29"/>
      <c r="K690" s="148"/>
      <c r="L690" s="509">
        <f t="shared" si="58"/>
        <v>0</v>
      </c>
      <c r="M690" s="399">
        <f t="shared" si="59"/>
        <v>0</v>
      </c>
    </row>
    <row r="691" spans="2:13">
      <c r="B691" s="379"/>
      <c r="C691" s="29"/>
      <c r="D691" s="29"/>
      <c r="E691" s="514"/>
      <c r="F691" s="29"/>
      <c r="G691" s="395" t="str">
        <f t="shared" si="55"/>
        <v>--</v>
      </c>
      <c r="H691" s="29"/>
      <c r="I691" s="483">
        <f t="shared" si="54"/>
        <v>0</v>
      </c>
      <c r="J691" s="29"/>
      <c r="K691" s="148"/>
      <c r="L691" s="509">
        <f t="shared" si="58"/>
        <v>0</v>
      </c>
      <c r="M691" s="399">
        <f t="shared" si="59"/>
        <v>0</v>
      </c>
    </row>
    <row r="692" spans="2:13">
      <c r="B692" s="379"/>
      <c r="C692" s="29"/>
      <c r="D692" s="29"/>
      <c r="E692" s="514"/>
      <c r="F692" s="29"/>
      <c r="G692" s="395" t="str">
        <f t="shared" si="55"/>
        <v>--</v>
      </c>
      <c r="H692" s="29"/>
      <c r="I692" s="483">
        <f t="shared" si="54"/>
        <v>0</v>
      </c>
      <c r="J692" s="29"/>
      <c r="K692" s="148"/>
      <c r="L692" s="509">
        <f t="shared" si="58"/>
        <v>0</v>
      </c>
      <c r="M692" s="399">
        <f t="shared" si="59"/>
        <v>0</v>
      </c>
    </row>
    <row r="693" spans="2:13">
      <c r="B693" s="379"/>
      <c r="C693" s="29"/>
      <c r="D693" s="29"/>
      <c r="E693" s="514"/>
      <c r="F693" s="29"/>
      <c r="G693" s="395" t="str">
        <f t="shared" si="55"/>
        <v>--</v>
      </c>
      <c r="H693" s="29"/>
      <c r="I693" s="483">
        <f t="shared" si="54"/>
        <v>0</v>
      </c>
      <c r="J693" s="29"/>
      <c r="K693" s="148"/>
      <c r="L693" s="509">
        <f t="shared" si="58"/>
        <v>0</v>
      </c>
      <c r="M693" s="399">
        <f t="shared" si="59"/>
        <v>0</v>
      </c>
    </row>
    <row r="694" spans="2:13">
      <c r="B694" s="379"/>
      <c r="C694" s="29"/>
      <c r="D694" s="29"/>
      <c r="E694" s="514"/>
      <c r="F694" s="29"/>
      <c r="G694" s="395" t="str">
        <f t="shared" si="55"/>
        <v>--</v>
      </c>
      <c r="H694" s="29"/>
      <c r="I694" s="483">
        <f t="shared" si="54"/>
        <v>0</v>
      </c>
      <c r="J694" s="29"/>
      <c r="K694" s="148"/>
      <c r="L694" s="509">
        <f t="shared" si="58"/>
        <v>0</v>
      </c>
      <c r="M694" s="399">
        <f t="shared" si="59"/>
        <v>0</v>
      </c>
    </row>
    <row r="695" spans="2:13">
      <c r="B695" s="379"/>
      <c r="C695" s="29"/>
      <c r="D695" s="29"/>
      <c r="E695" s="514"/>
      <c r="F695" s="29"/>
      <c r="G695" s="395" t="str">
        <f t="shared" si="55"/>
        <v>--</v>
      </c>
      <c r="H695" s="29"/>
      <c r="I695" s="483">
        <f t="shared" si="54"/>
        <v>0</v>
      </c>
      <c r="J695" s="29"/>
      <c r="K695" s="148"/>
      <c r="L695" s="509">
        <f t="shared" si="58"/>
        <v>0</v>
      </c>
      <c r="M695" s="399">
        <f t="shared" si="59"/>
        <v>0</v>
      </c>
    </row>
    <row r="696" spans="2:13">
      <c r="B696" s="379"/>
      <c r="C696" s="29"/>
      <c r="D696" s="29"/>
      <c r="E696" s="514"/>
      <c r="F696" s="29"/>
      <c r="G696" s="395" t="str">
        <f t="shared" si="55"/>
        <v>--</v>
      </c>
      <c r="H696" s="29"/>
      <c r="I696" s="483">
        <f t="shared" si="54"/>
        <v>0</v>
      </c>
      <c r="J696" s="29"/>
      <c r="K696" s="148"/>
      <c r="L696" s="509">
        <f t="shared" si="58"/>
        <v>0</v>
      </c>
      <c r="M696" s="399">
        <f t="shared" si="59"/>
        <v>0</v>
      </c>
    </row>
    <row r="697" spans="2:13">
      <c r="B697" s="379"/>
      <c r="C697" s="29"/>
      <c r="D697" s="29"/>
      <c r="E697" s="514"/>
      <c r="F697" s="29"/>
      <c r="G697" s="395" t="str">
        <f t="shared" si="55"/>
        <v>--</v>
      </c>
      <c r="H697" s="29"/>
      <c r="I697" s="483">
        <f t="shared" si="54"/>
        <v>0</v>
      </c>
      <c r="J697" s="29"/>
      <c r="K697" s="148"/>
      <c r="L697" s="509">
        <f t="shared" si="58"/>
        <v>0</v>
      </c>
      <c r="M697" s="399">
        <f t="shared" si="59"/>
        <v>0</v>
      </c>
    </row>
    <row r="698" spans="2:13">
      <c r="B698" s="379"/>
      <c r="C698" s="29"/>
      <c r="D698" s="29"/>
      <c r="E698" s="514"/>
      <c r="F698" s="29"/>
      <c r="G698" s="395" t="str">
        <f t="shared" si="55"/>
        <v>--</v>
      </c>
      <c r="H698" s="29"/>
      <c r="I698" s="483">
        <f t="shared" si="54"/>
        <v>0</v>
      </c>
      <c r="J698" s="29"/>
      <c r="K698" s="148"/>
      <c r="L698" s="509">
        <f t="shared" si="58"/>
        <v>0</v>
      </c>
      <c r="M698" s="399">
        <f t="shared" si="59"/>
        <v>0</v>
      </c>
    </row>
    <row r="699" spans="2:13">
      <c r="B699" s="379"/>
      <c r="C699" s="29"/>
      <c r="D699" s="29"/>
      <c r="E699" s="514"/>
      <c r="F699" s="29"/>
      <c r="G699" s="395" t="str">
        <f t="shared" si="55"/>
        <v>--</v>
      </c>
      <c r="H699" s="29"/>
      <c r="I699" s="483">
        <f t="shared" si="54"/>
        <v>0</v>
      </c>
      <c r="J699" s="29"/>
      <c r="K699" s="148"/>
      <c r="L699" s="509">
        <f t="shared" si="58"/>
        <v>0</v>
      </c>
      <c r="M699" s="399">
        <f t="shared" si="59"/>
        <v>0</v>
      </c>
    </row>
    <row r="700" spans="2:13">
      <c r="B700" s="379"/>
      <c r="C700" s="29"/>
      <c r="D700" s="29"/>
      <c r="E700" s="514"/>
      <c r="F700" s="29"/>
      <c r="G700" s="395" t="str">
        <f t="shared" si="55"/>
        <v>--</v>
      </c>
      <c r="H700" s="29"/>
      <c r="I700" s="483">
        <f t="shared" si="54"/>
        <v>0</v>
      </c>
      <c r="J700" s="29"/>
      <c r="K700" s="148"/>
      <c r="L700" s="509">
        <f t="shared" si="58"/>
        <v>0</v>
      </c>
      <c r="M700" s="399">
        <f t="shared" si="59"/>
        <v>0</v>
      </c>
    </row>
    <row r="701" spans="2:13">
      <c r="B701" s="379"/>
      <c r="C701" s="29"/>
      <c r="D701" s="29"/>
      <c r="E701" s="514"/>
      <c r="F701" s="29"/>
      <c r="G701" s="395" t="str">
        <f t="shared" si="55"/>
        <v>--</v>
      </c>
      <c r="H701" s="29"/>
      <c r="I701" s="483">
        <f t="shared" si="54"/>
        <v>0</v>
      </c>
      <c r="J701" s="29"/>
      <c r="K701" s="148"/>
      <c r="L701" s="509">
        <f t="shared" si="58"/>
        <v>0</v>
      </c>
      <c r="M701" s="399">
        <f t="shared" si="59"/>
        <v>0</v>
      </c>
    </row>
    <row r="702" spans="2:13">
      <c r="B702" s="379"/>
      <c r="C702" s="29"/>
      <c r="D702" s="29"/>
      <c r="E702" s="514"/>
      <c r="F702" s="29"/>
      <c r="G702" s="395" t="str">
        <f t="shared" si="55"/>
        <v>--</v>
      </c>
      <c r="H702" s="29"/>
      <c r="I702" s="483">
        <f t="shared" si="54"/>
        <v>0</v>
      </c>
      <c r="J702" s="29"/>
      <c r="K702" s="148"/>
      <c r="L702" s="509">
        <f t="shared" si="58"/>
        <v>0</v>
      </c>
      <c r="M702" s="399">
        <f t="shared" si="59"/>
        <v>0</v>
      </c>
    </row>
    <row r="703" spans="2:13">
      <c r="B703" s="379"/>
      <c r="C703" s="29"/>
      <c r="D703" s="29"/>
      <c r="E703" s="514"/>
      <c r="F703" s="29"/>
      <c r="G703" s="395" t="str">
        <f t="shared" si="55"/>
        <v>--</v>
      </c>
      <c r="H703" s="29"/>
      <c r="I703" s="483">
        <f t="shared" si="54"/>
        <v>0</v>
      </c>
      <c r="J703" s="29"/>
      <c r="K703" s="148"/>
      <c r="L703" s="509">
        <f t="shared" si="58"/>
        <v>0</v>
      </c>
      <c r="M703" s="399">
        <f t="shared" si="59"/>
        <v>0</v>
      </c>
    </row>
    <row r="704" spans="2:13">
      <c r="B704" s="379"/>
      <c r="C704" s="29"/>
      <c r="D704" s="29"/>
      <c r="E704" s="514"/>
      <c r="F704" s="29"/>
      <c r="G704" s="395" t="str">
        <f t="shared" si="55"/>
        <v>--</v>
      </c>
      <c r="H704" s="29"/>
      <c r="I704" s="483">
        <f t="shared" si="54"/>
        <v>0</v>
      </c>
      <c r="J704" s="29"/>
      <c r="K704" s="148"/>
      <c r="L704" s="509">
        <f t="shared" si="58"/>
        <v>0</v>
      </c>
      <c r="M704" s="399">
        <f t="shared" si="59"/>
        <v>0</v>
      </c>
    </row>
    <row r="705" spans="2:13">
      <c r="B705" s="379"/>
      <c r="C705" s="29"/>
      <c r="D705" s="29"/>
      <c r="E705" s="514"/>
      <c r="F705" s="29"/>
      <c r="G705" s="395" t="str">
        <f t="shared" si="55"/>
        <v>--</v>
      </c>
      <c r="H705" s="29"/>
      <c r="I705" s="483">
        <f t="shared" si="54"/>
        <v>0</v>
      </c>
      <c r="J705" s="29"/>
      <c r="K705" s="148"/>
      <c r="L705" s="509">
        <f t="shared" si="58"/>
        <v>0</v>
      </c>
      <c r="M705" s="399">
        <f t="shared" si="59"/>
        <v>0</v>
      </c>
    </row>
    <row r="706" spans="2:13">
      <c r="B706" s="379"/>
      <c r="C706" s="29"/>
      <c r="D706" s="29"/>
      <c r="E706" s="514"/>
      <c r="F706" s="29"/>
      <c r="G706" s="395" t="str">
        <f t="shared" si="55"/>
        <v>--</v>
      </c>
      <c r="H706" s="29"/>
      <c r="I706" s="483">
        <f t="shared" si="54"/>
        <v>0</v>
      </c>
      <c r="J706" s="29"/>
      <c r="K706" s="148"/>
      <c r="L706" s="509">
        <f t="shared" si="58"/>
        <v>0</v>
      </c>
      <c r="M706" s="399">
        <f t="shared" si="59"/>
        <v>0</v>
      </c>
    </row>
    <row r="707" spans="2:13">
      <c r="B707" s="379"/>
      <c r="C707" s="29"/>
      <c r="D707" s="29"/>
      <c r="E707" s="514"/>
      <c r="F707" s="29"/>
      <c r="G707" s="395" t="str">
        <f t="shared" si="55"/>
        <v>--</v>
      </c>
      <c r="H707" s="29"/>
      <c r="I707" s="483">
        <f t="shared" si="54"/>
        <v>0</v>
      </c>
      <c r="J707" s="29"/>
      <c r="K707" s="148"/>
      <c r="L707" s="509">
        <f t="shared" si="58"/>
        <v>0</v>
      </c>
      <c r="M707" s="399">
        <f t="shared" si="59"/>
        <v>0</v>
      </c>
    </row>
    <row r="708" spans="2:13">
      <c r="B708" s="379"/>
      <c r="C708" s="29"/>
      <c r="D708" s="29"/>
      <c r="E708" s="514"/>
      <c r="F708" s="29"/>
      <c r="G708" s="395" t="str">
        <f t="shared" si="55"/>
        <v>--</v>
      </c>
      <c r="H708" s="29"/>
      <c r="I708" s="483">
        <f t="shared" si="54"/>
        <v>0</v>
      </c>
      <c r="J708" s="29"/>
      <c r="K708" s="148"/>
      <c r="L708" s="509">
        <f t="shared" si="58"/>
        <v>0</v>
      </c>
      <c r="M708" s="399">
        <f t="shared" si="59"/>
        <v>0</v>
      </c>
    </row>
    <row r="709" spans="2:13">
      <c r="B709" s="379"/>
      <c r="C709" s="29"/>
      <c r="D709" s="29"/>
      <c r="E709" s="514"/>
      <c r="F709" s="29"/>
      <c r="G709" s="395" t="str">
        <f t="shared" si="55"/>
        <v>--</v>
      </c>
      <c r="H709" s="29"/>
      <c r="I709" s="483">
        <f t="shared" ref="I709:I724" si="60">F709-H709</f>
        <v>0</v>
      </c>
      <c r="J709" s="29"/>
      <c r="K709" s="148"/>
      <c r="L709" s="509">
        <f t="shared" si="58"/>
        <v>0</v>
      </c>
      <c r="M709" s="399">
        <f t="shared" si="59"/>
        <v>0</v>
      </c>
    </row>
    <row r="710" spans="2:13">
      <c r="B710" s="379"/>
      <c r="C710" s="29"/>
      <c r="D710" s="29"/>
      <c r="E710" s="514"/>
      <c r="F710" s="29"/>
      <c r="G710" s="395" t="str">
        <f t="shared" si="55"/>
        <v>--</v>
      </c>
      <c r="H710" s="29"/>
      <c r="I710" s="483">
        <f t="shared" si="60"/>
        <v>0</v>
      </c>
      <c r="J710" s="29"/>
      <c r="K710" s="148"/>
      <c r="L710" s="509">
        <f t="shared" si="58"/>
        <v>0</v>
      </c>
      <c r="M710" s="399">
        <f t="shared" si="59"/>
        <v>0</v>
      </c>
    </row>
    <row r="711" spans="2:13">
      <c r="B711" s="379"/>
      <c r="C711" s="29"/>
      <c r="D711" s="29"/>
      <c r="E711" s="514"/>
      <c r="F711" s="29"/>
      <c r="G711" s="395" t="str">
        <f t="shared" si="55"/>
        <v>--</v>
      </c>
      <c r="H711" s="29"/>
      <c r="I711" s="483">
        <f t="shared" si="60"/>
        <v>0</v>
      </c>
      <c r="J711" s="29"/>
      <c r="K711" s="148"/>
      <c r="L711" s="509">
        <f t="shared" si="58"/>
        <v>0</v>
      </c>
      <c r="M711" s="399">
        <f t="shared" si="59"/>
        <v>0</v>
      </c>
    </row>
    <row r="712" spans="2:13">
      <c r="B712" s="379"/>
      <c r="C712" s="29"/>
      <c r="D712" s="29"/>
      <c r="E712" s="514"/>
      <c r="F712" s="29"/>
      <c r="G712" s="395" t="str">
        <f t="shared" ref="G712:G724" si="61">+CONCATENATE(D712,"-",E712,"-",MID(C712,12,2))</f>
        <v>--</v>
      </c>
      <c r="H712" s="29"/>
      <c r="I712" s="483">
        <f t="shared" si="60"/>
        <v>0</v>
      </c>
      <c r="J712" s="29"/>
      <c r="K712" s="148"/>
      <c r="L712" s="509">
        <f t="shared" si="58"/>
        <v>0</v>
      </c>
      <c r="M712" s="399">
        <f t="shared" si="59"/>
        <v>0</v>
      </c>
    </row>
    <row r="713" spans="2:13">
      <c r="B713" s="379"/>
      <c r="C713" s="29"/>
      <c r="D713" s="29"/>
      <c r="E713" s="514"/>
      <c r="F713" s="29"/>
      <c r="G713" s="395" t="str">
        <f t="shared" si="61"/>
        <v>--</v>
      </c>
      <c r="H713" s="29"/>
      <c r="I713" s="483">
        <f t="shared" si="60"/>
        <v>0</v>
      </c>
      <c r="J713" s="29"/>
      <c r="K713" s="148"/>
      <c r="L713" s="509">
        <f t="shared" si="58"/>
        <v>0</v>
      </c>
      <c r="M713" s="399">
        <f t="shared" si="59"/>
        <v>0</v>
      </c>
    </row>
    <row r="714" spans="2:13">
      <c r="B714" s="379"/>
      <c r="C714" s="29"/>
      <c r="D714" s="29"/>
      <c r="E714" s="514"/>
      <c r="F714" s="29"/>
      <c r="G714" s="395" t="str">
        <f t="shared" si="61"/>
        <v>--</v>
      </c>
      <c r="H714" s="29"/>
      <c r="I714" s="483">
        <f t="shared" si="60"/>
        <v>0</v>
      </c>
      <c r="J714" s="29"/>
      <c r="K714" s="148"/>
      <c r="L714" s="509">
        <f t="shared" si="58"/>
        <v>0</v>
      </c>
      <c r="M714" s="399">
        <f t="shared" si="59"/>
        <v>0</v>
      </c>
    </row>
    <row r="715" spans="2:13">
      <c r="B715" s="379"/>
      <c r="C715" s="29"/>
      <c r="D715" s="29"/>
      <c r="E715" s="514"/>
      <c r="F715" s="29"/>
      <c r="G715" s="395" t="str">
        <f t="shared" si="61"/>
        <v>--</v>
      </c>
      <c r="H715" s="29"/>
      <c r="I715" s="483">
        <f t="shared" si="60"/>
        <v>0</v>
      </c>
      <c r="J715" s="29"/>
      <c r="K715" s="148"/>
      <c r="L715" s="509">
        <f t="shared" si="58"/>
        <v>0</v>
      </c>
      <c r="M715" s="399">
        <f t="shared" si="59"/>
        <v>0</v>
      </c>
    </row>
    <row r="716" spans="2:13">
      <c r="G716" s="395" t="str">
        <f t="shared" si="61"/>
        <v>--</v>
      </c>
      <c r="I716" s="483">
        <f t="shared" si="60"/>
        <v>0</v>
      </c>
      <c r="K716" s="148"/>
      <c r="L716" s="509">
        <f t="shared" si="58"/>
        <v>0</v>
      </c>
      <c r="M716" s="399">
        <f t="shared" si="59"/>
        <v>0</v>
      </c>
    </row>
    <row r="717" spans="2:13">
      <c r="G717" s="395" t="str">
        <f t="shared" si="61"/>
        <v>--</v>
      </c>
      <c r="I717" s="483">
        <f t="shared" si="60"/>
        <v>0</v>
      </c>
      <c r="K717" s="148"/>
      <c r="L717" s="509">
        <f t="shared" si="58"/>
        <v>0</v>
      </c>
      <c r="M717" s="399">
        <f t="shared" si="59"/>
        <v>0</v>
      </c>
    </row>
    <row r="718" spans="2:13">
      <c r="G718" s="395" t="str">
        <f t="shared" si="61"/>
        <v>--</v>
      </c>
      <c r="I718" s="483">
        <f t="shared" si="60"/>
        <v>0</v>
      </c>
      <c r="K718" s="148"/>
      <c r="L718" s="509">
        <f t="shared" si="58"/>
        <v>0</v>
      </c>
      <c r="M718" s="399">
        <f t="shared" si="59"/>
        <v>0</v>
      </c>
    </row>
    <row r="719" spans="2:13">
      <c r="G719" s="395" t="str">
        <f t="shared" si="61"/>
        <v>--</v>
      </c>
      <c r="I719" s="483">
        <f t="shared" si="60"/>
        <v>0</v>
      </c>
      <c r="K719" s="148"/>
      <c r="L719" s="509">
        <f t="shared" si="58"/>
        <v>0</v>
      </c>
      <c r="M719" s="399">
        <f t="shared" si="59"/>
        <v>0</v>
      </c>
    </row>
    <row r="720" spans="2:13">
      <c r="G720" s="395" t="str">
        <f t="shared" si="61"/>
        <v>--</v>
      </c>
      <c r="I720" s="483">
        <f t="shared" si="60"/>
        <v>0</v>
      </c>
      <c r="K720" s="148"/>
      <c r="L720" s="509">
        <f t="shared" si="58"/>
        <v>0</v>
      </c>
      <c r="M720" s="399">
        <f t="shared" si="59"/>
        <v>0</v>
      </c>
    </row>
    <row r="721" spans="7:13">
      <c r="G721" s="395" t="str">
        <f t="shared" si="61"/>
        <v>--</v>
      </c>
      <c r="I721" s="483">
        <f t="shared" si="60"/>
        <v>0</v>
      </c>
      <c r="K721" s="148"/>
      <c r="L721" s="509">
        <f t="shared" si="58"/>
        <v>0</v>
      </c>
      <c r="M721" s="399">
        <f t="shared" si="59"/>
        <v>0</v>
      </c>
    </row>
    <row r="722" spans="7:13">
      <c r="G722" s="395" t="str">
        <f t="shared" si="61"/>
        <v>--</v>
      </c>
      <c r="I722" s="483">
        <f t="shared" si="60"/>
        <v>0</v>
      </c>
      <c r="K722" s="148"/>
      <c r="L722" s="509">
        <f t="shared" si="58"/>
        <v>0</v>
      </c>
      <c r="M722" s="399">
        <f t="shared" si="59"/>
        <v>0</v>
      </c>
    </row>
    <row r="723" spans="7:13">
      <c r="G723" s="395" t="str">
        <f t="shared" si="61"/>
        <v>--</v>
      </c>
      <c r="I723" s="483">
        <f t="shared" si="60"/>
        <v>0</v>
      </c>
      <c r="K723" s="148"/>
      <c r="L723" s="509">
        <f t="shared" si="58"/>
        <v>0</v>
      </c>
      <c r="M723" s="399">
        <f t="shared" si="59"/>
        <v>0</v>
      </c>
    </row>
    <row r="724" spans="7:13">
      <c r="G724" s="395" t="str">
        <f t="shared" si="61"/>
        <v>--</v>
      </c>
      <c r="I724" s="483">
        <f t="shared" si="60"/>
        <v>0</v>
      </c>
      <c r="K724" s="148"/>
      <c r="L724" s="509">
        <f t="shared" si="58"/>
        <v>0</v>
      </c>
      <c r="M724" s="399">
        <f t="shared" si="59"/>
        <v>0</v>
      </c>
    </row>
  </sheetData>
  <sheetProtection algorithmName="SHA-512" hashValue="h8ppXW7pMSVKuQchYtw4Z5HqRoAygVY/37aQdqEWc34G2gxBIgVeHJkbcXX/kGWi0JzGhTy5lp7cnO1mb0D7PA==" saltValue="LLf3NSm/WISpVAqEeqtFmQ==" spinCount="100000" sheet="1" autoFilter="0"/>
  <mergeCells count="6">
    <mergeCell ref="W1:AA1"/>
    <mergeCell ref="Q1:U1"/>
    <mergeCell ref="Q3:R3"/>
    <mergeCell ref="X3:Y3"/>
    <mergeCell ref="Q2:U2"/>
    <mergeCell ref="W2:AA2"/>
  </mergeCells>
  <dataValidations disablePrompts="1" count="1">
    <dataValidation type="list" allowBlank="1" showInputMessage="1" showErrorMessage="1" sqref="D70 D329:D330 D153:D202 D204:D208 D93 D4:D22 D24:D45 D47:D64" xr:uid="{00000000-0002-0000-0700-000000000000}">
      <formula1>$AB$26:$AB$27</formula1>
    </dataValidation>
  </dataValidations>
  <printOptions horizontalCentered="1" verticalCentered="1"/>
  <pageMargins left="0.31496062992125984" right="0.31496062992125984" top="0.15748031496062992" bottom="0.15748031496062992" header="0.31496062992125984" footer="0.31496062992125984"/>
  <pageSetup scale="56" fitToHeight="1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A5D70-DD03-4D5F-B6AF-C8173BB40E4C}">
  <sheetPr codeName="Hoja9"/>
  <dimension ref="A1:F676"/>
  <sheetViews>
    <sheetView workbookViewId="0">
      <selection activeCell="E3" sqref="E3"/>
    </sheetView>
  </sheetViews>
  <sheetFormatPr baseColWidth="10" defaultRowHeight="15"/>
  <cols>
    <col min="1" max="1" width="17.28515625" customWidth="1"/>
    <col min="2" max="2" width="3.7109375" bestFit="1" customWidth="1"/>
    <col min="4" max="4" width="16.85546875" customWidth="1"/>
    <col min="6" max="7" width="33.7109375" bestFit="1" customWidth="1"/>
  </cols>
  <sheetData>
    <row r="1" spans="1:6" ht="141" thickBot="1">
      <c r="C1" s="396" t="str">
        <f>'Errores  Patrones'!L3</f>
        <v>Deriva |Cn-Cn-1|Para pesas no sometidas a adjuste y  Deriva (ec 7.1.2-10 guia SIM) Para pesas sometidas a adjuste</v>
      </c>
      <c r="D1" s="398" t="str">
        <f>'Errores  Patrones'!M3</f>
        <v xml:space="preserve">Deriva (ecuacion 7.1.2-10 guia SIM) </v>
      </c>
    </row>
    <row r="2" spans="1:6">
      <c r="A2" t="str">
        <f>'Errores  Patrones'!C4</f>
        <v>TEC-LAB-MP-04</v>
      </c>
      <c r="B2" t="str">
        <f>'Errores  Patrones'!B4</f>
        <v>E2</v>
      </c>
      <c r="C2">
        <f>'Errores  Patrones'!L4</f>
        <v>3.5022E-3</v>
      </c>
      <c r="D2" s="408">
        <f>'Errores  Patrones'!M4</f>
        <v>2E-3</v>
      </c>
      <c r="E2" s="408">
        <f>C2-D2</f>
        <v>1.5022E-3</v>
      </c>
      <c r="F2" t="str">
        <f>IF(E2&gt;0,"mejor resultado con Ec 7,1,2-10 Gsim"," la U es mayor")</f>
        <v>mejor resultado con Ec 7,1,2-10 Gsim</v>
      </c>
    </row>
    <row r="3" spans="1:6">
      <c r="A3" t="str">
        <f>'Errores  Patrones'!C5</f>
        <v>TEC-LAB-MP-04</v>
      </c>
      <c r="B3" t="str">
        <f>'Errores  Patrones'!B5</f>
        <v>E2</v>
      </c>
      <c r="C3">
        <f>'Errores  Patrones'!L5</f>
        <v>9.9949999999999995E-4</v>
      </c>
      <c r="D3" s="408">
        <f>'Errores  Patrones'!M5</f>
        <v>2E-3</v>
      </c>
      <c r="E3">
        <f t="shared" ref="E3:E66" si="0">C3-D3</f>
        <v>-1.0005000000000001E-3</v>
      </c>
      <c r="F3" t="str">
        <f t="shared" ref="F3:F66" si="1">IF(E3&gt;0,"mejor resultado con Ec 7,1,2-10 Gsim"," la U es mayor")</f>
        <v xml:space="preserve"> la U es mayor</v>
      </c>
    </row>
    <row r="4" spans="1:6">
      <c r="A4" t="str">
        <f>'Errores  Patrones'!C6</f>
        <v>TEC-LAB-MP-04</v>
      </c>
      <c r="B4" t="str">
        <f>'Errores  Patrones'!B6</f>
        <v>E2</v>
      </c>
      <c r="C4">
        <f>'Errores  Patrones'!L6</f>
        <v>2.8035999999999998E-3</v>
      </c>
      <c r="D4" s="408">
        <f>'Errores  Patrones'!M6</f>
        <v>2E-3</v>
      </c>
      <c r="E4">
        <f t="shared" si="0"/>
        <v>8.035999999999998E-4</v>
      </c>
      <c r="F4" t="str">
        <f t="shared" si="1"/>
        <v>mejor resultado con Ec 7,1,2-10 Gsim</v>
      </c>
    </row>
    <row r="5" spans="1:6">
      <c r="A5" t="str">
        <f>'Errores  Patrones'!C7</f>
        <v>TEC-LAB-MP-04</v>
      </c>
      <c r="B5" t="str">
        <f>'Errores  Patrones'!B7</f>
        <v>E2</v>
      </c>
      <c r="C5">
        <f>'Errores  Patrones'!L7</f>
        <v>5.0080000000000003E-4</v>
      </c>
      <c r="D5" s="408">
        <f>'Errores  Patrones'!M7</f>
        <v>2E-3</v>
      </c>
      <c r="E5">
        <f t="shared" si="0"/>
        <v>-1.4992E-3</v>
      </c>
      <c r="F5" t="str">
        <f t="shared" si="1"/>
        <v xml:space="preserve"> la U es mayor</v>
      </c>
    </row>
    <row r="6" spans="1:6">
      <c r="A6" t="str">
        <f>'Errores  Patrones'!C8</f>
        <v>TEC-LAB-MP-04</v>
      </c>
      <c r="B6" t="str">
        <f>'Errores  Patrones'!B8</f>
        <v>E2</v>
      </c>
      <c r="C6">
        <f>'Errores  Patrones'!L8</f>
        <v>2.9899999999999995E-4</v>
      </c>
      <c r="D6" s="408">
        <f>'Errores  Patrones'!M8</f>
        <v>2.7000000000000001E-3</v>
      </c>
      <c r="E6">
        <f t="shared" si="0"/>
        <v>-2.4010000000000004E-3</v>
      </c>
      <c r="F6" t="str">
        <f t="shared" si="1"/>
        <v xml:space="preserve"> la U es mayor</v>
      </c>
    </row>
    <row r="7" spans="1:6">
      <c r="A7" t="str">
        <f>'Errores  Patrones'!C9</f>
        <v>TEC-LAB-MP-04</v>
      </c>
      <c r="B7" t="str">
        <f>'Errores  Patrones'!B9</f>
        <v>E2</v>
      </c>
      <c r="C7">
        <f>'Errores  Patrones'!L9</f>
        <v>5.0210000000000001E-4</v>
      </c>
      <c r="D7" s="408">
        <f>'Errores  Patrones'!M9</f>
        <v>3.3E-3</v>
      </c>
      <c r="E7">
        <f t="shared" si="0"/>
        <v>-2.7978999999999999E-3</v>
      </c>
      <c r="F7" t="str">
        <f t="shared" si="1"/>
        <v xml:space="preserve"> la U es mayor</v>
      </c>
    </row>
    <row r="8" spans="1:6">
      <c r="A8" t="str">
        <f>'Errores  Patrones'!C10</f>
        <v>TEC-LAB-MP-04</v>
      </c>
      <c r="B8" t="str">
        <f>'Errores  Patrones'!B10</f>
        <v>E2</v>
      </c>
      <c r="C8">
        <f>'Errores  Patrones'!L10</f>
        <v>4.4036000000000006E-3</v>
      </c>
      <c r="D8" s="408">
        <f>'Errores  Patrones'!M10</f>
        <v>3.3E-3</v>
      </c>
      <c r="E8">
        <f t="shared" si="0"/>
        <v>1.1036000000000006E-3</v>
      </c>
      <c r="F8" t="str">
        <f t="shared" si="1"/>
        <v>mejor resultado con Ec 7,1,2-10 Gsim</v>
      </c>
    </row>
    <row r="9" spans="1:6">
      <c r="A9" t="str">
        <f>'Errores  Patrones'!C11</f>
        <v>TEC-LAB-MP-04</v>
      </c>
      <c r="B9" t="str">
        <f>'Errores  Patrones'!B11</f>
        <v>E2</v>
      </c>
      <c r="C9">
        <f>'Errores  Patrones'!L11</f>
        <v>2.1995000000000001E-3</v>
      </c>
      <c r="D9" s="408">
        <f>'Errores  Patrones'!M11</f>
        <v>4.0000000000000001E-3</v>
      </c>
      <c r="E9">
        <f t="shared" si="0"/>
        <v>-1.8005E-3</v>
      </c>
      <c r="F9" t="str">
        <f t="shared" si="1"/>
        <v xml:space="preserve"> la U es mayor</v>
      </c>
    </row>
    <row r="10" spans="1:6">
      <c r="A10" t="str">
        <f>'Errores  Patrones'!C12</f>
        <v>TEC-LAB-MP-04</v>
      </c>
      <c r="B10" t="str">
        <f>'Errores  Patrones'!B12</f>
        <v>E2</v>
      </c>
      <c r="C10">
        <f>'Errores  Patrones'!L12</f>
        <v>7.0339999999999997E-4</v>
      </c>
      <c r="D10" s="408">
        <f>'Errores  Patrones'!M12</f>
        <v>5.3E-3</v>
      </c>
      <c r="E10">
        <f t="shared" si="0"/>
        <v>-4.5966000000000002E-3</v>
      </c>
      <c r="F10" t="str">
        <f t="shared" si="1"/>
        <v xml:space="preserve"> la U es mayor</v>
      </c>
    </row>
    <row r="11" spans="1:6">
      <c r="A11" t="str">
        <f>'Errores  Patrones'!C13</f>
        <v>TEC-LAB-MP-04</v>
      </c>
      <c r="B11" t="str">
        <f>'Errores  Patrones'!B13</f>
        <v>E2</v>
      </c>
      <c r="C11">
        <f>'Errores  Patrones'!L13</f>
        <v>1.702E-3</v>
      </c>
      <c r="D11" s="408">
        <f>'Errores  Patrones'!M13</f>
        <v>6.7000000000000002E-3</v>
      </c>
      <c r="E11">
        <f t="shared" si="0"/>
        <v>-4.9980000000000007E-3</v>
      </c>
      <c r="F11" t="str">
        <f t="shared" si="1"/>
        <v xml:space="preserve"> la U es mayor</v>
      </c>
    </row>
    <row r="12" spans="1:6">
      <c r="A12" t="str">
        <f>'Errores  Patrones'!C14</f>
        <v>TEC-LAB-MP-04</v>
      </c>
      <c r="B12" t="str">
        <f>'Errores  Patrones'!B14</f>
        <v>E2</v>
      </c>
      <c r="C12">
        <f>'Errores  Patrones'!L14</f>
        <v>6.9979999999999999E-4</v>
      </c>
      <c r="D12" s="408">
        <f>'Errores  Patrones'!M14</f>
        <v>6.7000000000000002E-3</v>
      </c>
      <c r="E12">
        <f t="shared" si="0"/>
        <v>-6.0002000000000007E-3</v>
      </c>
      <c r="F12" t="str">
        <f t="shared" si="1"/>
        <v xml:space="preserve"> la U es mayor</v>
      </c>
    </row>
    <row r="13" spans="1:6">
      <c r="A13" t="str">
        <f>'Errores  Patrones'!C15</f>
        <v>TEC-LAB-MP-04</v>
      </c>
      <c r="B13" t="str">
        <f>'Errores  Patrones'!B15</f>
        <v>E2</v>
      </c>
      <c r="C13">
        <f>'Errores  Patrones'!L15</f>
        <v>3.6985E-3</v>
      </c>
      <c r="D13" s="408">
        <f>'Errores  Patrones'!M15</f>
        <v>8.3000000000000001E-3</v>
      </c>
      <c r="E13">
        <f t="shared" si="0"/>
        <v>-4.6014999999999997E-3</v>
      </c>
      <c r="F13" t="str">
        <f t="shared" si="1"/>
        <v xml:space="preserve"> la U es mayor</v>
      </c>
    </row>
    <row r="14" spans="1:6">
      <c r="A14" t="str">
        <f>'Errores  Patrones'!C16</f>
        <v>TEC-LAB-MP-04</v>
      </c>
      <c r="B14" t="str">
        <f>'Errores  Patrones'!B16</f>
        <v>E2</v>
      </c>
      <c r="C14">
        <f>'Errores  Patrones'!L16</f>
        <v>9.0119999999999992E-3</v>
      </c>
      <c r="D14" s="408">
        <f>'Errores  Patrones'!M16</f>
        <v>0.01</v>
      </c>
      <c r="E14">
        <f t="shared" si="0"/>
        <v>-9.8800000000000103E-4</v>
      </c>
      <c r="F14" t="str">
        <f t="shared" si="1"/>
        <v xml:space="preserve"> la U es mayor</v>
      </c>
    </row>
    <row r="15" spans="1:6">
      <c r="A15" t="str">
        <f>'Errores  Patrones'!C17</f>
        <v>TEC-LAB-MP-04</v>
      </c>
      <c r="B15" t="str">
        <f>'Errores  Patrones'!B17</f>
        <v>E2</v>
      </c>
      <c r="C15">
        <f>'Errores  Patrones'!L17</f>
        <v>4.0006E-3</v>
      </c>
      <c r="D15" s="408">
        <f>'Errores  Patrones'!M17</f>
        <v>1.2999999999999999E-2</v>
      </c>
      <c r="E15">
        <f t="shared" si="0"/>
        <v>-8.9993999999999994E-3</v>
      </c>
      <c r="F15" t="str">
        <f t="shared" si="1"/>
        <v xml:space="preserve"> la U es mayor</v>
      </c>
    </row>
    <row r="16" spans="1:6">
      <c r="A16" t="str">
        <f>'Errores  Patrones'!C18</f>
        <v>TEC-LAB-MP-04</v>
      </c>
      <c r="B16" t="str">
        <f>'Errores  Patrones'!B18</f>
        <v>E2</v>
      </c>
      <c r="C16">
        <f>'Errores  Patrones'!L18</f>
        <v>1.0005E-2</v>
      </c>
      <c r="D16" s="408">
        <f>'Errores  Patrones'!M18</f>
        <v>1.2999999999999999E-2</v>
      </c>
      <c r="E16">
        <f t="shared" si="0"/>
        <v>-2.9949999999999994E-3</v>
      </c>
      <c r="F16" t="str">
        <f t="shared" si="1"/>
        <v xml:space="preserve"> la U es mayor</v>
      </c>
    </row>
    <row r="17" spans="1:6">
      <c r="A17" t="str">
        <f>'Errores  Patrones'!C19</f>
        <v>TEC-LAB-MP-04</v>
      </c>
      <c r="B17" t="str">
        <f>'Errores  Patrones'!B19</f>
        <v>E2</v>
      </c>
      <c r="C17">
        <f>'Errores  Patrones'!L19</f>
        <v>1.2007E-2</v>
      </c>
      <c r="D17" s="408">
        <f>'Errores  Patrones'!M19</f>
        <v>1.7000000000000001E-2</v>
      </c>
      <c r="E17">
        <f t="shared" si="0"/>
        <v>-4.9930000000000009E-3</v>
      </c>
      <c r="F17" t="str">
        <f t="shared" si="1"/>
        <v xml:space="preserve"> la U es mayor</v>
      </c>
    </row>
    <row r="18" spans="1:6">
      <c r="A18" t="str">
        <f>'Errores  Patrones'!C20</f>
        <v>TEC-LAB-MP-04</v>
      </c>
      <c r="B18" t="str">
        <f>'Errores  Patrones'!B20</f>
        <v>E2</v>
      </c>
      <c r="C18">
        <f>'Errores  Patrones'!L20</f>
        <v>2.0027E-2</v>
      </c>
      <c r="D18" s="408">
        <f>'Errores  Patrones'!M20</f>
        <v>0.02</v>
      </c>
      <c r="E18">
        <f t="shared" si="0"/>
        <v>2.6999999999999247E-5</v>
      </c>
      <c r="F18" t="str">
        <f t="shared" si="1"/>
        <v>mejor resultado con Ec 7,1,2-10 Gsim</v>
      </c>
    </row>
    <row r="19" spans="1:6">
      <c r="A19" t="str">
        <f>'Errores  Patrones'!C21</f>
        <v>TEC-LAB-MP-04</v>
      </c>
      <c r="B19" t="str">
        <f>'Errores  Patrones'!B21</f>
        <v>E2</v>
      </c>
      <c r="C19">
        <f>'Errores  Patrones'!L21</f>
        <v>1.0018000000000001E-2</v>
      </c>
      <c r="D19" s="408">
        <f>'Errores  Patrones'!M21</f>
        <v>2.7E-2</v>
      </c>
      <c r="E19">
        <f t="shared" si="0"/>
        <v>-1.6981999999999997E-2</v>
      </c>
      <c r="F19" t="str">
        <f t="shared" si="1"/>
        <v xml:space="preserve"> la U es mayor</v>
      </c>
    </row>
    <row r="20" spans="1:6">
      <c r="A20" t="str">
        <f>'Errores  Patrones'!C22</f>
        <v>TEC-LAB-MP-04</v>
      </c>
      <c r="B20" t="str">
        <f>'Errores  Patrones'!B22</f>
        <v>E2</v>
      </c>
      <c r="C20">
        <f>'Errores  Patrones'!L22</f>
        <v>4.0030000000000005E-3</v>
      </c>
      <c r="D20" s="408">
        <f>'Errores  Patrones'!M22</f>
        <v>2.7E-2</v>
      </c>
      <c r="E20">
        <f t="shared" si="0"/>
        <v>-2.2997E-2</v>
      </c>
      <c r="F20" t="str">
        <f t="shared" si="1"/>
        <v xml:space="preserve"> la U es mayor</v>
      </c>
    </row>
    <row r="21" spans="1:6">
      <c r="A21" t="str">
        <f>'Errores  Patrones'!C23</f>
        <v>TEC-LAB-MP-04</v>
      </c>
      <c r="B21" t="str">
        <f>'Errores  Patrones'!B23</f>
        <v>E2</v>
      </c>
      <c r="C21">
        <f>'Errores  Patrones'!L23</f>
        <v>4.4953E-2</v>
      </c>
      <c r="D21" s="408">
        <f>'Errores  Patrones'!M23</f>
        <v>3.3000000000000002E-2</v>
      </c>
      <c r="E21">
        <f t="shared" si="0"/>
        <v>1.1952999999999998E-2</v>
      </c>
      <c r="F21" t="str">
        <f t="shared" si="1"/>
        <v>mejor resultado con Ec 7,1,2-10 Gsim</v>
      </c>
    </row>
    <row r="22" spans="1:6">
      <c r="A22" t="str">
        <f>'Errores  Patrones'!C24</f>
        <v>TEC-LAB-MP-04</v>
      </c>
      <c r="B22" t="str">
        <f>'Errores  Patrones'!B24</f>
        <v>E2</v>
      </c>
      <c r="C22">
        <f>'Errores  Patrones'!L24</f>
        <v>2.3904000000000002E-2</v>
      </c>
      <c r="D22" s="408">
        <f>'Errores  Patrones'!M24</f>
        <v>5.2999999999999999E-2</v>
      </c>
      <c r="E22">
        <f t="shared" si="0"/>
        <v>-2.9095999999999997E-2</v>
      </c>
      <c r="F22" t="str">
        <f t="shared" si="1"/>
        <v xml:space="preserve"> la U es mayor</v>
      </c>
    </row>
    <row r="23" spans="1:6">
      <c r="A23" t="str">
        <f>'Errores  Patrones'!C25</f>
        <v>TEC-LAB-MP-04</v>
      </c>
      <c r="B23" t="str">
        <f>'Errores  Patrones'!B25</f>
        <v>E2</v>
      </c>
      <c r="C23">
        <f>'Errores  Patrones'!L25</f>
        <v>0.17015000000000002</v>
      </c>
      <c r="D23" s="408">
        <f>'Errores  Patrones'!M25</f>
        <v>0.1</v>
      </c>
      <c r="E23">
        <f t="shared" si="0"/>
        <v>7.0150000000000018E-2</v>
      </c>
      <c r="F23" t="str">
        <f t="shared" si="1"/>
        <v>mejor resultado con Ec 7,1,2-10 Gsim</v>
      </c>
    </row>
    <row r="24" spans="1:6">
      <c r="A24" t="str">
        <f>'Errores  Patrones'!C26</f>
        <v>TEC-LAB-MP-04</v>
      </c>
      <c r="B24" t="str">
        <f>'Errores  Patrones'!B26</f>
        <v>E2</v>
      </c>
      <c r="C24">
        <f>'Errores  Patrones'!L26</f>
        <v>0.18009</v>
      </c>
      <c r="D24" s="408">
        <f>'Errores  Patrones'!M26</f>
        <v>0.1</v>
      </c>
      <c r="E24">
        <f t="shared" si="0"/>
        <v>8.0089999999999995E-2</v>
      </c>
      <c r="F24" t="str">
        <f t="shared" si="1"/>
        <v>mejor resultado con Ec 7,1,2-10 Gsim</v>
      </c>
    </row>
    <row r="25" spans="1:6">
      <c r="A25" t="str">
        <f>'Errores  Patrones'!C27</f>
        <v>TEC-LAB-MP-04</v>
      </c>
      <c r="B25" t="str">
        <f>'Errores  Patrones'!B27</f>
        <v>E2</v>
      </c>
      <c r="C25">
        <f>'Errores  Patrones'!L27</f>
        <v>9.5000000000000005E-6</v>
      </c>
      <c r="D25" s="408">
        <f>'Errores  Patrones'!M27</f>
        <v>1.9999999999999999E-6</v>
      </c>
      <c r="E25">
        <f t="shared" si="0"/>
        <v>7.500000000000001E-6</v>
      </c>
      <c r="F25" t="str">
        <f t="shared" si="1"/>
        <v>mejor resultado con Ec 7,1,2-10 Gsim</v>
      </c>
    </row>
    <row r="26" spans="1:6">
      <c r="A26" t="str">
        <f>'Errores  Patrones'!C28</f>
        <v>TEC-LAB-MP-04</v>
      </c>
      <c r="B26" t="str">
        <f>'Errores  Patrones'!B28</f>
        <v>E2</v>
      </c>
      <c r="C26">
        <f>'Errores  Patrones'!L28</f>
        <v>2.4000000000000001E-5</v>
      </c>
      <c r="D26" s="408">
        <f>'Errores  Patrones'!M28</f>
        <v>1.9999999999999999E-6</v>
      </c>
      <c r="E26">
        <f t="shared" si="0"/>
        <v>2.1999999999999999E-5</v>
      </c>
      <c r="F26" t="str">
        <f t="shared" si="1"/>
        <v>mejor resultado con Ec 7,1,2-10 Gsim</v>
      </c>
    </row>
    <row r="27" spans="1:6">
      <c r="A27" t="str">
        <f>'Errores  Patrones'!C29</f>
        <v>TEC-LAB-MP-04</v>
      </c>
      <c r="B27" t="str">
        <f>'Errores  Patrones'!B29</f>
        <v>E2</v>
      </c>
      <c r="C27">
        <f>'Errores  Patrones'!L29</f>
        <v>2.8200000000000001E-5</v>
      </c>
      <c r="D27" s="408">
        <f>'Errores  Patrones'!M29</f>
        <v>1.9999999999999999E-6</v>
      </c>
      <c r="E27">
        <f t="shared" si="0"/>
        <v>2.62E-5</v>
      </c>
      <c r="F27" t="str">
        <f t="shared" si="1"/>
        <v>mejor resultado con Ec 7,1,2-10 Gsim</v>
      </c>
    </row>
    <row r="28" spans="1:6">
      <c r="A28" t="str">
        <f>'Errores  Patrones'!C30</f>
        <v>TEC-LAB-MP-04</v>
      </c>
      <c r="B28" t="str">
        <f>'Errores  Patrones'!B30</f>
        <v>E2</v>
      </c>
      <c r="C28">
        <f>'Errores  Patrones'!L30</f>
        <v>2.1500000000000001E-5</v>
      </c>
      <c r="D28" s="408">
        <f>'Errores  Patrones'!M30</f>
        <v>1.9999999999999999E-6</v>
      </c>
      <c r="E28">
        <f t="shared" si="0"/>
        <v>1.95E-5</v>
      </c>
      <c r="F28" t="str">
        <f t="shared" si="1"/>
        <v>mejor resultado con Ec 7,1,2-10 Gsim</v>
      </c>
    </row>
    <row r="29" spans="1:6">
      <c r="A29" t="str">
        <f>'Errores  Patrones'!C31</f>
        <v>TEC-LAB-MP-04</v>
      </c>
      <c r="B29" t="str">
        <f>'Errores  Patrones'!B31</f>
        <v>E2</v>
      </c>
      <c r="C29">
        <f>'Errores  Patrones'!L31</f>
        <v>2.5300000000000002E-5</v>
      </c>
      <c r="D29" s="408">
        <f>'Errores  Patrones'!M31</f>
        <v>2.7E-6</v>
      </c>
      <c r="E29">
        <f t="shared" si="0"/>
        <v>2.26E-5</v>
      </c>
      <c r="F29" t="str">
        <f t="shared" si="1"/>
        <v>mejor resultado con Ec 7,1,2-10 Gsim</v>
      </c>
    </row>
    <row r="30" spans="1:6">
      <c r="A30" t="str">
        <f>'Errores  Patrones'!C32</f>
        <v>TEC-LAB-MP-04</v>
      </c>
      <c r="B30" t="str">
        <f>'Errores  Patrones'!B32</f>
        <v>E2</v>
      </c>
      <c r="C30">
        <f>'Errores  Patrones'!L32</f>
        <v>1.6650000000000001E-4</v>
      </c>
      <c r="D30" s="408">
        <f>'Errores  Patrones'!M32</f>
        <v>3.3000000000000002E-6</v>
      </c>
      <c r="E30">
        <f t="shared" si="0"/>
        <v>1.6320000000000001E-4</v>
      </c>
      <c r="F30" t="str">
        <f t="shared" si="1"/>
        <v>mejor resultado con Ec 7,1,2-10 Gsim</v>
      </c>
    </row>
    <row r="31" spans="1:6">
      <c r="A31" t="str">
        <f>'Errores  Patrones'!C33</f>
        <v>TEC-LAB-MP-04</v>
      </c>
      <c r="B31" t="str">
        <f>'Errores  Patrones'!B33</f>
        <v>E2</v>
      </c>
      <c r="C31">
        <f>'Errores  Patrones'!L33</f>
        <v>1.7399999999999999E-5</v>
      </c>
      <c r="D31" s="408">
        <f>'Errores  Patrones'!M33</f>
        <v>3.3000000000000002E-6</v>
      </c>
      <c r="E31">
        <f t="shared" si="0"/>
        <v>1.4099999999999999E-5</v>
      </c>
      <c r="F31" t="str">
        <f t="shared" si="1"/>
        <v>mejor resultado con Ec 7,1,2-10 Gsim</v>
      </c>
    </row>
    <row r="32" spans="1:6">
      <c r="A32" t="str">
        <f>'Errores  Patrones'!C34</f>
        <v>TEC-LAB-MP-04</v>
      </c>
      <c r="B32" t="str">
        <f>'Errores  Patrones'!B34</f>
        <v>E2</v>
      </c>
      <c r="C32">
        <f>'Errores  Patrones'!L34</f>
        <v>3.2200000000000003E-5</v>
      </c>
      <c r="D32" s="408">
        <f>'Errores  Patrones'!M34</f>
        <v>3.9999999999999998E-6</v>
      </c>
      <c r="E32">
        <f t="shared" si="0"/>
        <v>2.8200000000000004E-5</v>
      </c>
      <c r="F32" t="str">
        <f t="shared" si="1"/>
        <v>mejor resultado con Ec 7,1,2-10 Gsim</v>
      </c>
    </row>
    <row r="33" spans="1:6">
      <c r="A33" t="str">
        <f>'Errores  Patrones'!C35</f>
        <v>TEC-LAB-MP-04</v>
      </c>
      <c r="B33" t="str">
        <f>'Errores  Patrones'!B35</f>
        <v>E2</v>
      </c>
      <c r="C33">
        <f>'Errores  Patrones'!L35</f>
        <v>1.6930000000000002E-4</v>
      </c>
      <c r="D33" s="408">
        <f>'Errores  Patrones'!M35</f>
        <v>5.3000000000000001E-6</v>
      </c>
      <c r="E33">
        <f t="shared" si="0"/>
        <v>1.6400000000000003E-4</v>
      </c>
      <c r="F33" t="str">
        <f t="shared" si="1"/>
        <v>mejor resultado con Ec 7,1,2-10 Gsim</v>
      </c>
    </row>
    <row r="34" spans="1:6">
      <c r="A34" t="str">
        <f>'Errores  Patrones'!C36</f>
        <v>TEC-LAB-MP-04</v>
      </c>
      <c r="B34" t="str">
        <f>'Errores  Patrones'!B36</f>
        <v>E2</v>
      </c>
      <c r="C34">
        <f>'Errores  Patrones'!L36</f>
        <v>1.717E-4</v>
      </c>
      <c r="D34" s="408">
        <f>'Errores  Patrones'!M36</f>
        <v>6.7000000000000002E-6</v>
      </c>
      <c r="E34">
        <f t="shared" si="0"/>
        <v>1.65E-4</v>
      </c>
      <c r="F34" t="str">
        <f t="shared" si="1"/>
        <v>mejor resultado con Ec 7,1,2-10 Gsim</v>
      </c>
    </row>
    <row r="35" spans="1:6">
      <c r="A35" t="str">
        <f>'Errores  Patrones'!C37</f>
        <v>TEC-LAB-MP-04</v>
      </c>
      <c r="B35" t="str">
        <f>'Errores  Patrones'!B37</f>
        <v>E2</v>
      </c>
      <c r="C35">
        <f>'Errores  Patrones'!L37</f>
        <v>2.307E-4</v>
      </c>
      <c r="D35" s="408">
        <f>'Errores  Patrones'!M37</f>
        <v>6.7000000000000002E-6</v>
      </c>
      <c r="E35">
        <f t="shared" si="0"/>
        <v>2.24E-4</v>
      </c>
      <c r="F35" t="str">
        <f t="shared" si="1"/>
        <v>mejor resultado con Ec 7,1,2-10 Gsim</v>
      </c>
    </row>
    <row r="36" spans="1:6">
      <c r="A36" t="str">
        <f>'Errores  Patrones'!C38</f>
        <v>TEC-LAB-MP-04</v>
      </c>
      <c r="B36" t="str">
        <f>'Errores  Patrones'!B38</f>
        <v>E2</v>
      </c>
      <c r="C36">
        <f>'Errores  Patrones'!L38</f>
        <v>6.937E-4</v>
      </c>
      <c r="D36" s="408">
        <f>'Errores  Patrones'!M38</f>
        <v>8.3000000000000002E-6</v>
      </c>
      <c r="E36">
        <f t="shared" si="0"/>
        <v>6.8539999999999996E-4</v>
      </c>
      <c r="F36" t="str">
        <f t="shared" si="1"/>
        <v>mejor resultado con Ec 7,1,2-10 Gsim</v>
      </c>
    </row>
    <row r="37" spans="1:6">
      <c r="A37" t="str">
        <f>'Errores  Patrones'!C39</f>
        <v>TEC-LAB-MP-04</v>
      </c>
      <c r="B37" t="str">
        <f>'Errores  Patrones'!B39</f>
        <v>E2</v>
      </c>
      <c r="C37">
        <f>'Errores  Patrones'!L39</f>
        <v>1.3089999999999998E-3</v>
      </c>
      <c r="D37" s="408">
        <f>'Errores  Patrones'!M39</f>
        <v>1.0000000000000001E-5</v>
      </c>
      <c r="E37">
        <f t="shared" si="0"/>
        <v>1.2989999999999998E-3</v>
      </c>
      <c r="F37" t="str">
        <f t="shared" si="1"/>
        <v>mejor resultado con Ec 7,1,2-10 Gsim</v>
      </c>
    </row>
    <row r="38" spans="1:6">
      <c r="A38" t="str">
        <f>'Errores  Patrones'!C40</f>
        <v>TEC-LAB-MP-04</v>
      </c>
      <c r="B38" t="str">
        <f>'Errores  Patrones'!B40</f>
        <v>E2</v>
      </c>
      <c r="C38">
        <f>'Errores  Patrones'!L40</f>
        <v>2.196E-3</v>
      </c>
      <c r="D38" s="408">
        <f>'Errores  Patrones'!M40</f>
        <v>1.2999999999999999E-5</v>
      </c>
      <c r="E38">
        <f t="shared" si="0"/>
        <v>2.183E-3</v>
      </c>
      <c r="F38" t="str">
        <f t="shared" si="1"/>
        <v>mejor resultado con Ec 7,1,2-10 Gsim</v>
      </c>
    </row>
    <row r="39" spans="1:6">
      <c r="A39" t="str">
        <f>'Errores  Patrones'!C41</f>
        <v>TEC-LAB-MP-04</v>
      </c>
      <c r="B39" t="str">
        <f>'Errores  Patrones'!B41</f>
        <v>E2</v>
      </c>
      <c r="C39">
        <f>'Errores  Patrones'!L41</f>
        <v>1.2099999999999999E-3</v>
      </c>
      <c r="D39" s="408">
        <f>'Errores  Patrones'!M41</f>
        <v>1.2999999999999999E-5</v>
      </c>
      <c r="E39">
        <f t="shared" si="0"/>
        <v>1.1969999999999999E-3</v>
      </c>
      <c r="F39" t="str">
        <f t="shared" si="1"/>
        <v>mejor resultado con Ec 7,1,2-10 Gsim</v>
      </c>
    </row>
    <row r="40" spans="1:6">
      <c r="A40" t="str">
        <f>'Errores  Patrones'!C42</f>
        <v>TEC-LAB-MP-04</v>
      </c>
      <c r="B40" t="str">
        <f>'Errores  Patrones'!B42</f>
        <v>E2</v>
      </c>
      <c r="C40">
        <f>'Errores  Patrones'!L42</f>
        <v>1.1212E-2</v>
      </c>
      <c r="D40" s="408">
        <f>'Errores  Patrones'!M42</f>
        <v>1.7E-5</v>
      </c>
      <c r="E40">
        <f t="shared" si="0"/>
        <v>1.1195E-2</v>
      </c>
      <c r="F40" t="str">
        <f t="shared" si="1"/>
        <v>mejor resultado con Ec 7,1,2-10 Gsim</v>
      </c>
    </row>
    <row r="41" spans="1:6">
      <c r="A41" t="str">
        <f>'Errores  Patrones'!C43</f>
        <v>TEC-LAB-MP-04</v>
      </c>
      <c r="B41" t="str">
        <f>'Errores  Patrones'!B43</f>
        <v>E2</v>
      </c>
      <c r="C41">
        <f>'Errores  Patrones'!L43</f>
        <v>1.9994000000000002E-5</v>
      </c>
      <c r="D41" s="408">
        <f>'Errores  Patrones'!M43</f>
        <v>2.0000000000000002E-5</v>
      </c>
      <c r="E41">
        <f t="shared" si="0"/>
        <v>-5.9999999999996037E-9</v>
      </c>
      <c r="F41" t="str">
        <f t="shared" si="1"/>
        <v xml:space="preserve"> la U es mayor</v>
      </c>
    </row>
    <row r="42" spans="1:6">
      <c r="A42" t="str">
        <f>'Errores  Patrones'!C44</f>
        <v>TEC-LAB-MP-04</v>
      </c>
      <c r="B42" t="str">
        <f>'Errores  Patrones'!B44</f>
        <v>E2</v>
      </c>
      <c r="C42">
        <f>'Errores  Patrones'!L44</f>
        <v>9.9770000000000012E-6</v>
      </c>
      <c r="D42" s="408">
        <f>'Errores  Patrones'!M44</f>
        <v>2.6999999999999999E-5</v>
      </c>
      <c r="E42">
        <f t="shared" si="0"/>
        <v>-1.7022999999999996E-5</v>
      </c>
      <c r="F42" t="str">
        <f t="shared" si="1"/>
        <v xml:space="preserve"> la U es mayor</v>
      </c>
    </row>
    <row r="43" spans="1:6">
      <c r="A43" t="str">
        <f>'Errores  Patrones'!C45</f>
        <v>TEC-LAB-MP-04</v>
      </c>
      <c r="B43" t="str">
        <f>'Errores  Patrones'!B45</f>
        <v>E2</v>
      </c>
      <c r="C43">
        <f>'Errores  Patrones'!L45</f>
        <v>3.9689999999999996E-6</v>
      </c>
      <c r="D43" s="408">
        <f>'Errores  Patrones'!M45</f>
        <v>2.6999999999999999E-5</v>
      </c>
      <c r="E43">
        <f t="shared" si="0"/>
        <v>-2.3031E-5</v>
      </c>
      <c r="F43" t="str">
        <f t="shared" si="1"/>
        <v xml:space="preserve"> la U es mayor</v>
      </c>
    </row>
    <row r="44" spans="1:6">
      <c r="A44" t="str">
        <f>'Errores  Patrones'!C46</f>
        <v>TEC-LAB-MP-04</v>
      </c>
      <c r="B44" t="str">
        <f>'Errores  Patrones'!B46</f>
        <v>E2</v>
      </c>
      <c r="C44">
        <f>'Errores  Patrones'!L46</f>
        <v>4.4977999999999995E-5</v>
      </c>
      <c r="D44" s="408">
        <f>'Errores  Patrones'!M46</f>
        <v>3.3000000000000003E-5</v>
      </c>
      <c r="E44">
        <f t="shared" si="0"/>
        <v>1.1977999999999993E-5</v>
      </c>
      <c r="F44" t="str">
        <f t="shared" si="1"/>
        <v>mejor resultado con Ec 7,1,2-10 Gsim</v>
      </c>
    </row>
    <row r="45" spans="1:6">
      <c r="A45" t="str">
        <f>'Errores  Patrones'!C47</f>
        <v>TEC-LAB-MP-04</v>
      </c>
      <c r="B45" t="str">
        <f>'Errores  Patrones'!B47</f>
        <v>E2</v>
      </c>
      <c r="C45">
        <f>'Errores  Patrones'!L47</f>
        <v>2.3975E-5</v>
      </c>
      <c r="D45" s="408">
        <f>'Errores  Patrones'!M47</f>
        <v>5.3000000000000001E-5</v>
      </c>
      <c r="E45">
        <f t="shared" si="0"/>
        <v>-2.9025000000000001E-5</v>
      </c>
      <c r="F45" t="str">
        <f t="shared" si="1"/>
        <v xml:space="preserve"> la U es mayor</v>
      </c>
    </row>
    <row r="46" spans="1:6">
      <c r="A46" t="str">
        <f>'Errores  Patrones'!C48</f>
        <v>TEC-LAB-MP-04</v>
      </c>
      <c r="B46" t="str">
        <f>'Errores  Patrones'!B48</f>
        <v>E2</v>
      </c>
      <c r="C46">
        <f>'Errores  Patrones'!L48</f>
        <v>1.7016600000000002E-4</v>
      </c>
      <c r="D46" s="408">
        <f>'Errores  Patrones'!M48</f>
        <v>1E-4</v>
      </c>
      <c r="E46">
        <f t="shared" si="0"/>
        <v>7.0166000000000019E-5</v>
      </c>
      <c r="F46" t="str">
        <f t="shared" si="1"/>
        <v>mejor resultado con Ec 7,1,2-10 Gsim</v>
      </c>
    </row>
    <row r="47" spans="1:6">
      <c r="A47" t="str">
        <f>'Errores  Patrones'!C49</f>
        <v>TEC-LAB-MP-04</v>
      </c>
      <c r="B47" t="str">
        <f>'Errores  Patrones'!B49</f>
        <v>E2</v>
      </c>
      <c r="C47">
        <f>'Errores  Patrones'!L49</f>
        <v>1.8001299999999997E-4</v>
      </c>
      <c r="D47" s="408">
        <f>'Errores  Patrones'!M49</f>
        <v>1E-4</v>
      </c>
      <c r="E47">
        <f t="shared" si="0"/>
        <v>8.0012999999999967E-5</v>
      </c>
      <c r="F47" t="str">
        <f t="shared" si="1"/>
        <v>mejor resultado con Ec 7,1,2-10 Gsim</v>
      </c>
    </row>
    <row r="48" spans="1:6">
      <c r="A48" t="str">
        <f>'Errores  Patrones'!C50</f>
        <v>TEC-LAB-MP-04</v>
      </c>
      <c r="B48" t="str">
        <f>'Errores  Patrones'!B50</f>
        <v>E2</v>
      </c>
      <c r="C48">
        <f>'Errores  Patrones'!L50</f>
        <v>3.3499999999999996E-8</v>
      </c>
      <c r="D48" s="408">
        <f>'Errores  Patrones'!M50</f>
        <v>2.0000000000000001E-9</v>
      </c>
      <c r="E48">
        <f t="shared" si="0"/>
        <v>3.1499999999999998E-8</v>
      </c>
      <c r="F48" t="str">
        <f t="shared" si="1"/>
        <v>mejor resultado con Ec 7,1,2-10 Gsim</v>
      </c>
    </row>
    <row r="49" spans="1:6">
      <c r="A49" t="str">
        <f>'Errores  Patrones'!C51</f>
        <v>TEC-LAB-MP-04</v>
      </c>
      <c r="B49" t="str">
        <f>'Errores  Patrones'!B51</f>
        <v>E2</v>
      </c>
      <c r="C49">
        <f>'Errores  Patrones'!L51</f>
        <v>1.7099999999999998E-7</v>
      </c>
      <c r="D49" s="408">
        <f>'Errores  Patrones'!M51</f>
        <v>2.0000000000000001E-9</v>
      </c>
      <c r="E49">
        <f t="shared" si="0"/>
        <v>1.6899999999999999E-7</v>
      </c>
      <c r="F49" t="str">
        <f t="shared" si="1"/>
        <v>mejor resultado con Ec 7,1,2-10 Gsim</v>
      </c>
    </row>
    <row r="50" spans="1:6">
      <c r="A50" t="str">
        <f>'Errores  Patrones'!C52</f>
        <v>TEC-LAB-MP-04</v>
      </c>
      <c r="B50" t="str">
        <f>'Errores  Patrones'!B52</f>
        <v>E2</v>
      </c>
      <c r="C50">
        <f>'Errores  Patrones'!L52</f>
        <v>1.7280000000000001E-7</v>
      </c>
      <c r="D50" s="408">
        <f>'Errores  Patrones'!M52</f>
        <v>2.0000000000000001E-9</v>
      </c>
      <c r="E50">
        <f t="shared" si="0"/>
        <v>1.7080000000000002E-7</v>
      </c>
      <c r="F50" t="str">
        <f t="shared" si="1"/>
        <v>mejor resultado con Ec 7,1,2-10 Gsim</v>
      </c>
    </row>
    <row r="51" spans="1:6">
      <c r="A51" t="str">
        <f>'Errores  Patrones'!C53</f>
        <v>TEC-LAB-MP-04</v>
      </c>
      <c r="B51" t="str">
        <f>'Errores  Patrones'!B53</f>
        <v>E2</v>
      </c>
      <c r="C51">
        <f>'Errores  Patrones'!L53</f>
        <v>2.2949999999999998E-7</v>
      </c>
      <c r="D51" s="408">
        <f>'Errores  Patrones'!M53</f>
        <v>2.0000000000000001E-9</v>
      </c>
      <c r="E51">
        <f t="shared" si="0"/>
        <v>2.2749999999999999E-7</v>
      </c>
      <c r="F51" t="str">
        <f t="shared" si="1"/>
        <v>mejor resultado con Ec 7,1,2-10 Gsim</v>
      </c>
    </row>
    <row r="52" spans="1:6">
      <c r="A52" t="str">
        <f>'Errores  Patrones'!C54</f>
        <v>TEC-LAB-MP-04</v>
      </c>
      <c r="B52" t="str">
        <f>'Errores  Patrones'!B54</f>
        <v>E2</v>
      </c>
      <c r="C52">
        <f>'Errores  Patrones'!L54</f>
        <v>6.9029999999999998E-7</v>
      </c>
      <c r="D52" s="408">
        <f>'Errores  Patrones'!M54</f>
        <v>2.7000000000000002E-9</v>
      </c>
      <c r="E52">
        <f t="shared" si="0"/>
        <v>6.8759999999999999E-7</v>
      </c>
      <c r="F52" t="str">
        <f t="shared" si="1"/>
        <v>mejor resultado con Ec 7,1,2-10 Gsim</v>
      </c>
    </row>
    <row r="53" spans="1:6">
      <c r="A53" t="str">
        <f>'Errores  Patrones'!C55</f>
        <v>TEC-LAB-MP-04</v>
      </c>
      <c r="B53" t="str">
        <f>'Errores  Patrones'!B55</f>
        <v>E2</v>
      </c>
      <c r="C53">
        <f>'Errores  Patrones'!L55</f>
        <v>1.2994999999999998E-6</v>
      </c>
      <c r="D53" s="408">
        <f>'Errores  Patrones'!M55</f>
        <v>3.3000000000000002E-9</v>
      </c>
      <c r="E53">
        <f t="shared" si="0"/>
        <v>1.2961999999999998E-6</v>
      </c>
      <c r="F53" t="str">
        <f t="shared" si="1"/>
        <v>mejor resultado con Ec 7,1,2-10 Gsim</v>
      </c>
    </row>
    <row r="54" spans="1:6">
      <c r="A54" t="str">
        <f>'Errores  Patrones'!C56</f>
        <v>TEC-LAB-MP-04</v>
      </c>
      <c r="B54" t="str">
        <f>'Errores  Patrones'!B56</f>
        <v>E2</v>
      </c>
      <c r="C54">
        <f>'Errores  Patrones'!L56</f>
        <v>2.2044E-6</v>
      </c>
      <c r="D54" s="408">
        <f>'Errores  Patrones'!M56</f>
        <v>3.3000000000000002E-9</v>
      </c>
      <c r="E54">
        <f t="shared" si="0"/>
        <v>2.2011E-6</v>
      </c>
      <c r="F54" t="str">
        <f t="shared" si="1"/>
        <v>mejor resultado con Ec 7,1,2-10 Gsim</v>
      </c>
    </row>
    <row r="55" spans="1:6">
      <c r="A55" t="str">
        <f>'Errores  Patrones'!C57</f>
        <v>TEC-LAB-MP-04</v>
      </c>
      <c r="B55" t="str">
        <f>'Errores  Patrones'!B57</f>
        <v>E2</v>
      </c>
      <c r="C55">
        <f>'Errores  Patrones'!L57</f>
        <v>1.2021999999999999E-6</v>
      </c>
      <c r="D55" s="408">
        <f>'Errores  Patrones'!M57</f>
        <v>4.0000000000000002E-9</v>
      </c>
      <c r="E55">
        <f t="shared" si="0"/>
        <v>1.1981999999999998E-6</v>
      </c>
      <c r="F55" t="str">
        <f t="shared" si="1"/>
        <v>mejor resultado con Ec 7,1,2-10 Gsim</v>
      </c>
    </row>
    <row r="56" spans="1:6">
      <c r="A56" t="str">
        <f>'Errores  Patrones'!C58</f>
        <v>TEC-LAB-MP-04</v>
      </c>
      <c r="B56" t="str">
        <f>'Errores  Patrones'!B58</f>
        <v>E2</v>
      </c>
      <c r="C56">
        <f>'Errores  Patrones'!L58</f>
        <v>1.11993E-5</v>
      </c>
      <c r="D56" s="408">
        <f>'Errores  Patrones'!M58</f>
        <v>5.3000000000000003E-9</v>
      </c>
      <c r="E56">
        <f t="shared" si="0"/>
        <v>1.1194E-5</v>
      </c>
      <c r="F56" t="str">
        <f t="shared" si="1"/>
        <v>mejor resultado con Ec 7,1,2-10 Gsim</v>
      </c>
    </row>
    <row r="57" spans="1:6">
      <c r="A57" t="str">
        <f>'Errores  Patrones'!C59</f>
        <v>TEC-LAB-MP-04</v>
      </c>
      <c r="B57" t="str">
        <f>'Errores  Patrones'!B59</f>
        <v>E2</v>
      </c>
      <c r="C57">
        <f>'Errores  Patrones'!L59</f>
        <v>7.5017000000000005E-6</v>
      </c>
      <c r="D57" s="408">
        <f>'Errores  Patrones'!M59</f>
        <v>6.7000000000000004E-9</v>
      </c>
      <c r="E57">
        <f t="shared" si="0"/>
        <v>7.4950000000000002E-6</v>
      </c>
      <c r="F57" t="str">
        <f t="shared" si="1"/>
        <v>mejor resultado con Ec 7,1,2-10 Gsim</v>
      </c>
    </row>
    <row r="58" spans="1:6">
      <c r="A58" t="str">
        <f>'Errores  Patrones'!C60</f>
        <v>TEC-LAB-MP-04</v>
      </c>
      <c r="B58" t="str">
        <f>'Errores  Patrones'!B60</f>
        <v>E2</v>
      </c>
      <c r="C58">
        <f>'Errores  Patrones'!L60</f>
        <v>7.4999992999999999E-3</v>
      </c>
      <c r="D58" s="408">
        <f>'Errores  Patrones'!M60</f>
        <v>6.7000000000000004E-9</v>
      </c>
      <c r="E58">
        <f t="shared" si="0"/>
        <v>7.4999925999999998E-3</v>
      </c>
      <c r="F58" t="str">
        <f t="shared" si="1"/>
        <v>mejor resultado con Ec 7,1,2-10 Gsim</v>
      </c>
    </row>
    <row r="59" spans="1:6">
      <c r="A59" t="str">
        <f>'Errores  Patrones'!C61</f>
        <v>TEC-LAB-MP-04</v>
      </c>
      <c r="B59" t="str">
        <f>'Errores  Patrones'!B61</f>
        <v>E2</v>
      </c>
      <c r="C59">
        <f>'Errores  Patrones'!L61</f>
        <v>8.2999999999999999E-9</v>
      </c>
      <c r="D59" s="408">
        <f>'Errores  Patrones'!M61</f>
        <v>8.2999999999999999E-9</v>
      </c>
      <c r="E59">
        <f t="shared" si="0"/>
        <v>0</v>
      </c>
      <c r="F59" t="str">
        <f t="shared" si="1"/>
        <v xml:space="preserve"> la U es mayor</v>
      </c>
    </row>
    <row r="60" spans="1:6">
      <c r="A60" t="str">
        <f>'Errores  Patrones'!C62</f>
        <v>TEC-LAB-MP-04</v>
      </c>
      <c r="B60" t="str">
        <f>'Errores  Patrones'!B62</f>
        <v>E2</v>
      </c>
      <c r="C60">
        <f>'Errores  Patrones'!L62</f>
        <v>1E-8</v>
      </c>
      <c r="D60" s="408">
        <f>'Errores  Patrones'!M62</f>
        <v>1E-8</v>
      </c>
      <c r="E60">
        <f t="shared" si="0"/>
        <v>0</v>
      </c>
      <c r="F60" t="str">
        <f t="shared" si="1"/>
        <v xml:space="preserve"> la U es mayor</v>
      </c>
    </row>
    <row r="61" spans="1:6">
      <c r="A61" t="str">
        <f>'Errores  Patrones'!C63</f>
        <v>TEC-LAB-MP-04</v>
      </c>
      <c r="B61" t="str">
        <f>'Errores  Patrones'!B63</f>
        <v>E2</v>
      </c>
      <c r="C61">
        <f>'Errores  Patrones'!L63</f>
        <v>3.0000040000000001E-3</v>
      </c>
      <c r="D61" s="408">
        <f>'Errores  Patrones'!M63</f>
        <v>1.2999999999999999E-8</v>
      </c>
      <c r="E61">
        <f t="shared" si="0"/>
        <v>2.999991E-3</v>
      </c>
      <c r="F61" t="str">
        <f t="shared" si="1"/>
        <v>mejor resultado con Ec 7,1,2-10 Gsim</v>
      </c>
    </row>
    <row r="62" spans="1:6">
      <c r="A62" t="str">
        <f>'Errores  Patrones'!C64</f>
        <v>TEC-LAB-MP-04</v>
      </c>
      <c r="B62" t="str">
        <f>'Errores  Patrones'!B64</f>
        <v>E2</v>
      </c>
      <c r="C62">
        <f>'Errores  Patrones'!L64</f>
        <v>2.9900000000000002E-6</v>
      </c>
      <c r="D62" s="408">
        <f>'Errores  Patrones'!M64</f>
        <v>1.2999999999999999E-8</v>
      </c>
      <c r="E62">
        <f t="shared" si="0"/>
        <v>2.977E-6</v>
      </c>
      <c r="F62" t="str">
        <f t="shared" si="1"/>
        <v>mejor resultado con Ec 7,1,2-10 Gsim</v>
      </c>
    </row>
    <row r="63" spans="1:6">
      <c r="A63" t="str">
        <f>'Errores  Patrones'!C65</f>
        <v>TEC-LAB-MP-04</v>
      </c>
      <c r="B63" t="str">
        <f>'Errores  Patrones'!B65</f>
        <v>E2</v>
      </c>
      <c r="C63">
        <f>'Errores  Patrones'!L65</f>
        <v>1.9879999999999999E-6</v>
      </c>
      <c r="D63" s="408">
        <f>'Errores  Patrones'!M65</f>
        <v>1.7E-8</v>
      </c>
      <c r="E63">
        <f t="shared" si="0"/>
        <v>1.9709999999999998E-6</v>
      </c>
      <c r="F63" t="str">
        <f t="shared" si="1"/>
        <v>mejor resultado con Ec 7,1,2-10 Gsim</v>
      </c>
    </row>
    <row r="64" spans="1:6">
      <c r="A64" t="str">
        <f>'Errores  Patrones'!C66</f>
        <v>TEC-LAB-MP-04</v>
      </c>
      <c r="B64" t="str">
        <f>'Errores  Patrones'!B66</f>
        <v>E2</v>
      </c>
      <c r="C64">
        <f>'Errores  Patrones'!L66</f>
        <v>1.0020000000000001E-5</v>
      </c>
      <c r="D64" s="408">
        <f>'Errores  Patrones'!M66</f>
        <v>2E-8</v>
      </c>
      <c r="E64">
        <f t="shared" si="0"/>
        <v>1.0000000000000001E-5</v>
      </c>
      <c r="F64" t="str">
        <f t="shared" si="1"/>
        <v>mejor resultado con Ec 7,1,2-10 Gsim</v>
      </c>
    </row>
    <row r="65" spans="1:6">
      <c r="A65" t="str">
        <f>'Errores  Patrones'!C67</f>
        <v>TEC-LAB-MP-04</v>
      </c>
      <c r="B65" t="str">
        <f>'Errores  Patrones'!B67</f>
        <v>E2</v>
      </c>
      <c r="C65">
        <f>'Errores  Patrones'!L67</f>
        <v>8.0010000000000001E-5</v>
      </c>
      <c r="D65" s="408">
        <f>'Errores  Patrones'!M67</f>
        <v>2.7E-8</v>
      </c>
      <c r="E65">
        <f t="shared" si="0"/>
        <v>7.9982999999999996E-5</v>
      </c>
      <c r="F65" t="str">
        <f t="shared" si="1"/>
        <v>mejor resultado con Ec 7,1,2-10 Gsim</v>
      </c>
    </row>
    <row r="66" spans="1:6">
      <c r="A66" t="str">
        <f>'Errores  Patrones'!C68</f>
        <v>TEC-LAB-MP-04</v>
      </c>
      <c r="B66" t="str">
        <f>'Errores  Patrones'!B68</f>
        <v>E2</v>
      </c>
      <c r="C66">
        <f>'Errores  Patrones'!L68</f>
        <v>8.0004000000000002E-5</v>
      </c>
      <c r="D66" s="408">
        <f>'Errores  Patrones'!M68</f>
        <v>2.7E-8</v>
      </c>
      <c r="E66">
        <f t="shared" si="0"/>
        <v>7.9976999999999997E-5</v>
      </c>
      <c r="F66" t="str">
        <f t="shared" si="1"/>
        <v>mejor resultado con Ec 7,1,2-10 Gsim</v>
      </c>
    </row>
    <row r="67" spans="1:6">
      <c r="A67" t="str">
        <f>'Errores  Patrones'!C69</f>
        <v>TEC-LAB-MP-04</v>
      </c>
      <c r="B67" t="str">
        <f>'Errores  Patrones'!B69</f>
        <v>E2</v>
      </c>
      <c r="C67">
        <f>'Errores  Patrones'!L69</f>
        <v>8.004500000000001E-5</v>
      </c>
      <c r="D67" s="408">
        <f>'Errores  Patrones'!M69</f>
        <v>3.3000000000000004E-8</v>
      </c>
      <c r="E67">
        <f t="shared" ref="E67:E130" si="2">C67-D67</f>
        <v>8.0012000000000006E-5</v>
      </c>
      <c r="F67" t="str">
        <f t="shared" ref="F67:F130" si="3">IF(E67&gt;0,"mejor resultado con Ec 7,1,2-10 Gsim"," la U es mayor")</f>
        <v>mejor resultado con Ec 7,1,2-10 Gsim</v>
      </c>
    </row>
    <row r="68" spans="1:6">
      <c r="A68" t="str">
        <f>'Errores  Patrones'!C70</f>
        <v>TEC-LAB-MP-04</v>
      </c>
      <c r="B68" t="str">
        <f>'Errores  Patrones'!B70</f>
        <v>E2</v>
      </c>
      <c r="C68">
        <f>'Errores  Patrones'!L70</f>
        <v>8.0024000000000005E-5</v>
      </c>
      <c r="D68" s="408">
        <f>'Errores  Patrones'!M70</f>
        <v>5.2999999999999998E-8</v>
      </c>
      <c r="E68">
        <f t="shared" si="2"/>
        <v>7.9971000000000011E-5</v>
      </c>
      <c r="F68" t="str">
        <f t="shared" si="3"/>
        <v>mejor resultado con Ec 7,1,2-10 Gsim</v>
      </c>
    </row>
    <row r="69" spans="1:6">
      <c r="A69" t="str">
        <f>'Errores  Patrones'!C71</f>
        <v>TEC-LAB-MP-04</v>
      </c>
      <c r="B69" t="str">
        <f>'Errores  Patrones'!B71</f>
        <v>E2</v>
      </c>
      <c r="C69">
        <f>'Errores  Patrones'!L71</f>
        <v>7.9830000000000013E-5</v>
      </c>
      <c r="D69" s="408">
        <f>'Errores  Patrones'!M71</f>
        <v>1.0000000000000001E-7</v>
      </c>
      <c r="E69">
        <f t="shared" si="2"/>
        <v>7.9730000000000011E-5</v>
      </c>
      <c r="F69" t="str">
        <f t="shared" si="3"/>
        <v>mejor resultado con Ec 7,1,2-10 Gsim</v>
      </c>
    </row>
    <row r="70" spans="1:6">
      <c r="A70" t="str">
        <f>'Errores  Patrones'!C72</f>
        <v>TEC-LAB-MP-04</v>
      </c>
      <c r="B70" t="str">
        <f>'Errores  Patrones'!B72</f>
        <v>E2</v>
      </c>
      <c r="C70">
        <f>'Errores  Patrones'!L72</f>
        <v>8.981999999999999E-5</v>
      </c>
      <c r="D70" s="408">
        <f>'Errores  Patrones'!M72</f>
        <v>1.0000000000000001E-7</v>
      </c>
      <c r="E70">
        <f t="shared" si="2"/>
        <v>8.9719999999999988E-5</v>
      </c>
      <c r="F70" t="str">
        <f t="shared" si="3"/>
        <v>mejor resultado con Ec 7,1,2-10 Gsim</v>
      </c>
    </row>
    <row r="71" spans="1:6">
      <c r="A71" t="str">
        <f>'Errores  Patrones'!C73</f>
        <v>TEC-LAB-MP-19</v>
      </c>
      <c r="B71" t="str">
        <f>'Errores  Patrones'!B73</f>
        <v>E2</v>
      </c>
      <c r="C71">
        <f>'Errores  Patrones'!L73</f>
        <v>7.9000000000000001E-4</v>
      </c>
      <c r="D71" s="408">
        <f>'Errores  Patrones'!M73</f>
        <v>2E-3</v>
      </c>
      <c r="E71">
        <f t="shared" si="2"/>
        <v>-1.2100000000000001E-3</v>
      </c>
      <c r="F71" t="str">
        <f t="shared" si="3"/>
        <v xml:space="preserve"> la U es mayor</v>
      </c>
    </row>
    <row r="72" spans="1:6">
      <c r="A72" t="str">
        <f>'Errores  Patrones'!C74</f>
        <v>TEC-LAB-MP-19</v>
      </c>
      <c r="B72" t="str">
        <f>'Errores  Patrones'!B74</f>
        <v>E2</v>
      </c>
      <c r="C72">
        <f>'Errores  Patrones'!L74</f>
        <v>3.5899999999999999E-3</v>
      </c>
      <c r="D72" s="408">
        <f>'Errores  Patrones'!M74</f>
        <v>2E-3</v>
      </c>
      <c r="E72">
        <f t="shared" si="2"/>
        <v>1.5899999999999998E-3</v>
      </c>
      <c r="F72" t="str">
        <f t="shared" si="3"/>
        <v>mejor resultado con Ec 7,1,2-10 Gsim</v>
      </c>
    </row>
    <row r="73" spans="1:6">
      <c r="A73" t="str">
        <f>'Errores  Patrones'!C75</f>
        <v>TEC-LAB-MP-19</v>
      </c>
      <c r="B73" t="str">
        <f>'Errores  Patrones'!B75</f>
        <v>E2</v>
      </c>
      <c r="C73">
        <f>'Errores  Patrones'!L75</f>
        <v>3.0899999999999999E-3</v>
      </c>
      <c r="D73" s="408">
        <f>'Errores  Patrones'!M75</f>
        <v>2E-3</v>
      </c>
      <c r="E73">
        <f t="shared" si="2"/>
        <v>1.0899999999999998E-3</v>
      </c>
      <c r="F73" t="str">
        <f t="shared" si="3"/>
        <v>mejor resultado con Ec 7,1,2-10 Gsim</v>
      </c>
    </row>
    <row r="74" spans="1:6">
      <c r="A74" t="str">
        <f>'Errores  Patrones'!C76</f>
        <v>TEC-LAB-MP-19</v>
      </c>
      <c r="B74" t="str">
        <f>'Errores  Patrones'!B76</f>
        <v>E2</v>
      </c>
      <c r="C74">
        <f>'Errores  Patrones'!L76</f>
        <v>4.8899999999999994E-3</v>
      </c>
      <c r="D74" s="408">
        <f>'Errores  Patrones'!M76</f>
        <v>2E-3</v>
      </c>
      <c r="E74">
        <f t="shared" si="2"/>
        <v>2.8899999999999993E-3</v>
      </c>
      <c r="F74" t="str">
        <f t="shared" si="3"/>
        <v>mejor resultado con Ec 7,1,2-10 Gsim</v>
      </c>
    </row>
    <row r="75" spans="1:6">
      <c r="A75" t="str">
        <f>'Errores  Patrones'!C77</f>
        <v>TEC-LAB-MP-19</v>
      </c>
      <c r="B75" t="str">
        <f>'Errores  Patrones'!B77</f>
        <v>E2</v>
      </c>
      <c r="C75">
        <f>'Errores  Patrones'!L77</f>
        <v>8.5900000000000004E-3</v>
      </c>
      <c r="D75" s="408">
        <f>'Errores  Patrones'!M77</f>
        <v>2.7000000000000001E-3</v>
      </c>
      <c r="E75">
        <f t="shared" si="2"/>
        <v>5.8900000000000003E-3</v>
      </c>
      <c r="F75" t="str">
        <f t="shared" si="3"/>
        <v>mejor resultado con Ec 7,1,2-10 Gsim</v>
      </c>
    </row>
    <row r="76" spans="1:6">
      <c r="A76" t="str">
        <f>'Errores  Patrones'!C78</f>
        <v>TEC-LAB-MP-19</v>
      </c>
      <c r="B76" t="str">
        <f>'Errores  Patrones'!B78</f>
        <v>E2</v>
      </c>
      <c r="C76">
        <f>'Errores  Patrones'!L78</f>
        <v>1.5570000000000001E-2</v>
      </c>
      <c r="D76" s="408">
        <f>'Errores  Patrones'!M78</f>
        <v>3.3E-3</v>
      </c>
      <c r="E76">
        <f t="shared" si="2"/>
        <v>1.227E-2</v>
      </c>
      <c r="F76" t="str">
        <f t="shared" si="3"/>
        <v>mejor resultado con Ec 7,1,2-10 Gsim</v>
      </c>
    </row>
    <row r="77" spans="1:6">
      <c r="A77" t="str">
        <f>'Errores  Patrones'!C79</f>
        <v>TEC-LAB-MP-19</v>
      </c>
      <c r="B77" t="str">
        <f>'Errores  Patrones'!B79</f>
        <v>E2</v>
      </c>
      <c r="C77">
        <f>'Errores  Patrones'!L79</f>
        <v>7.6899999999999998E-3</v>
      </c>
      <c r="D77" s="408">
        <f>'Errores  Patrones'!M79</f>
        <v>3.3E-3</v>
      </c>
      <c r="E77">
        <f t="shared" si="2"/>
        <v>4.3899999999999998E-3</v>
      </c>
      <c r="F77" t="str">
        <f t="shared" si="3"/>
        <v>mejor resultado con Ec 7,1,2-10 Gsim</v>
      </c>
    </row>
    <row r="78" spans="1:6">
      <c r="A78" t="str">
        <f>'Errores  Patrones'!C80</f>
        <v>TEC-LAB-MP-19</v>
      </c>
      <c r="B78" t="str">
        <f>'Errores  Patrones'!B80</f>
        <v>E2</v>
      </c>
      <c r="C78">
        <f>'Errores  Patrones'!L80</f>
        <v>5.2899999999999996E-3</v>
      </c>
      <c r="D78" s="408">
        <f>'Errores  Patrones'!M80</f>
        <v>4.0000000000000001E-3</v>
      </c>
      <c r="E78">
        <f t="shared" si="2"/>
        <v>1.2899999999999995E-3</v>
      </c>
      <c r="F78" t="str">
        <f t="shared" si="3"/>
        <v>mejor resultado con Ec 7,1,2-10 Gsim</v>
      </c>
    </row>
    <row r="79" spans="1:6">
      <c r="A79" t="str">
        <f>'Errores  Patrones'!C81</f>
        <v>TEC-LAB-MP-19</v>
      </c>
      <c r="B79" t="str">
        <f>'Errores  Patrones'!B81</f>
        <v>E2</v>
      </c>
      <c r="C79">
        <f>'Errores  Patrones'!L81</f>
        <v>1.269E-2</v>
      </c>
      <c r="D79" s="408">
        <f>'Errores  Patrones'!M81</f>
        <v>5.3E-3</v>
      </c>
      <c r="E79">
        <f t="shared" si="2"/>
        <v>7.3899999999999999E-3</v>
      </c>
      <c r="F79" t="str">
        <f t="shared" si="3"/>
        <v>mejor resultado con Ec 7,1,2-10 Gsim</v>
      </c>
    </row>
    <row r="80" spans="1:6">
      <c r="A80" t="str">
        <f>'Errores  Patrones'!C82</f>
        <v>TEC-LAB-MP-19</v>
      </c>
      <c r="B80" t="str">
        <f>'Errores  Patrones'!B82</f>
        <v>E2</v>
      </c>
      <c r="C80">
        <f>'Errores  Patrones'!L82</f>
        <v>2.3189999999999999E-2</v>
      </c>
      <c r="D80" s="408">
        <f>'Errores  Patrones'!M82</f>
        <v>6.7000000000000002E-3</v>
      </c>
      <c r="E80">
        <f t="shared" si="2"/>
        <v>1.6489999999999998E-2</v>
      </c>
      <c r="F80" t="str">
        <f t="shared" si="3"/>
        <v>mejor resultado con Ec 7,1,2-10 Gsim</v>
      </c>
    </row>
    <row r="81" spans="1:6">
      <c r="A81" t="str">
        <f>'Errores  Patrones'!C83</f>
        <v>TEC-LAB-MP-19</v>
      </c>
      <c r="B81" t="str">
        <f>'Errores  Patrones'!B83</f>
        <v>E2</v>
      </c>
      <c r="C81">
        <f>'Errores  Patrones'!L83</f>
        <v>2.3890000000000002E-2</v>
      </c>
      <c r="D81" s="408">
        <f>'Errores  Patrones'!M83</f>
        <v>6.7000000000000002E-3</v>
      </c>
      <c r="E81">
        <f t="shared" si="2"/>
        <v>1.719E-2</v>
      </c>
      <c r="F81" t="str">
        <f t="shared" si="3"/>
        <v>mejor resultado con Ec 7,1,2-10 Gsim</v>
      </c>
    </row>
    <row r="82" spans="1:6">
      <c r="A82" t="str">
        <f>'Errores  Patrones'!C84</f>
        <v>TEC-LAB-MP-19</v>
      </c>
      <c r="B82" t="str">
        <f>'Errores  Patrones'!B84</f>
        <v>E2</v>
      </c>
      <c r="C82">
        <f>'Errores  Patrones'!L84</f>
        <v>1.9189999999999999E-2</v>
      </c>
      <c r="D82" s="408">
        <f>'Errores  Patrones'!M84</f>
        <v>8.3000000000000001E-3</v>
      </c>
      <c r="E82">
        <f t="shared" si="2"/>
        <v>1.0889999999999999E-2</v>
      </c>
      <c r="F82" t="str">
        <f t="shared" si="3"/>
        <v>mejor resultado con Ec 7,1,2-10 Gsim</v>
      </c>
    </row>
    <row r="83" spans="1:6">
      <c r="A83" t="str">
        <f>'Errores  Patrones'!C85</f>
        <v>TEC-LAB-MP-19</v>
      </c>
      <c r="B83" t="str">
        <f>'Errores  Patrones'!B85</f>
        <v>E2</v>
      </c>
      <c r="C83">
        <f>'Errores  Patrones'!L85</f>
        <v>8.9999999999999992E-5</v>
      </c>
      <c r="D83" s="408">
        <f>'Errores  Patrones'!M85</f>
        <v>0.01</v>
      </c>
      <c r="E83">
        <f t="shared" si="2"/>
        <v>-9.9100000000000004E-3</v>
      </c>
      <c r="F83" t="str">
        <f t="shared" si="3"/>
        <v xml:space="preserve"> la U es mayor</v>
      </c>
    </row>
    <row r="84" spans="1:6">
      <c r="A84" t="str">
        <f>'Errores  Patrones'!C86</f>
        <v>TEC-LAB-MP-19</v>
      </c>
      <c r="B84" t="str">
        <f>'Errores  Patrones'!B86</f>
        <v>E2</v>
      </c>
      <c r="C84">
        <f>'Errores  Patrones'!L86</f>
        <v>1.609E-2</v>
      </c>
      <c r="D84" s="408">
        <f>'Errores  Patrones'!M86</f>
        <v>1.2999999999999999E-2</v>
      </c>
      <c r="E84">
        <f t="shared" si="2"/>
        <v>3.0900000000000007E-3</v>
      </c>
      <c r="F84" t="str">
        <f t="shared" si="3"/>
        <v>mejor resultado con Ec 7,1,2-10 Gsim</v>
      </c>
    </row>
    <row r="85" spans="1:6">
      <c r="A85" t="str">
        <f>'Errores  Patrones'!C87</f>
        <v>TEC-LAB-MP-19</v>
      </c>
      <c r="B85" t="str">
        <f>'Errores  Patrones'!B87</f>
        <v>E2</v>
      </c>
      <c r="C85">
        <f>'Errores  Patrones'!L87</f>
        <v>1.308E-2</v>
      </c>
      <c r="D85" s="408">
        <f>'Errores  Patrones'!M87</f>
        <v>1.2999999999999999E-2</v>
      </c>
      <c r="E85">
        <f t="shared" si="2"/>
        <v>8.000000000000021E-5</v>
      </c>
      <c r="F85" t="str">
        <f t="shared" si="3"/>
        <v>mejor resultado con Ec 7,1,2-10 Gsim</v>
      </c>
    </row>
    <row r="86" spans="1:6">
      <c r="A86" t="str">
        <f>'Errores  Patrones'!C88</f>
        <v>TEC-LAB-MP-19</v>
      </c>
      <c r="B86" t="str">
        <f>'Errores  Patrones'!B88</f>
        <v>E2</v>
      </c>
      <c r="C86">
        <f>'Errores  Patrones'!L88</f>
        <v>1.008E-2</v>
      </c>
      <c r="D86" s="408">
        <f>'Errores  Patrones'!M88</f>
        <v>1.7000000000000001E-2</v>
      </c>
      <c r="E86">
        <f t="shared" si="2"/>
        <v>-6.9200000000000008E-3</v>
      </c>
      <c r="F86" t="str">
        <f t="shared" si="3"/>
        <v xml:space="preserve"> la U es mayor</v>
      </c>
    </row>
    <row r="87" spans="1:6">
      <c r="A87" t="str">
        <f>'Errores  Patrones'!C89</f>
        <v>TEC-LAB-MP-19</v>
      </c>
      <c r="B87" t="str">
        <f>'Errores  Patrones'!B89</f>
        <v>E2</v>
      </c>
      <c r="C87">
        <f>'Errores  Patrones'!L89</f>
        <v>7.0800000000000004E-3</v>
      </c>
      <c r="D87" s="408">
        <f>'Errores  Patrones'!M89</f>
        <v>0.02</v>
      </c>
      <c r="E87">
        <f t="shared" si="2"/>
        <v>-1.2920000000000001E-2</v>
      </c>
      <c r="F87" t="str">
        <f t="shared" si="3"/>
        <v xml:space="preserve"> la U es mayor</v>
      </c>
    </row>
    <row r="88" spans="1:6">
      <c r="A88" t="str">
        <f>'Errores  Patrones'!C90</f>
        <v>TEC-LAB-MP-19</v>
      </c>
      <c r="B88" t="str">
        <f>'Errores  Patrones'!B90</f>
        <v>E2</v>
      </c>
      <c r="C88">
        <f>'Errores  Patrones'!L90</f>
        <v>4.5079999999999995E-2</v>
      </c>
      <c r="D88" s="408">
        <f>'Errores  Patrones'!M90</f>
        <v>2.7E-2</v>
      </c>
      <c r="E88">
        <f t="shared" si="2"/>
        <v>1.8079999999999995E-2</v>
      </c>
      <c r="F88" t="str">
        <f t="shared" si="3"/>
        <v>mejor resultado con Ec 7,1,2-10 Gsim</v>
      </c>
    </row>
    <row r="89" spans="1:6">
      <c r="A89" t="str">
        <f>'Errores  Patrones'!C91</f>
        <v>TEC-LAB-MP-19</v>
      </c>
      <c r="B89" t="str">
        <f>'Errores  Patrones'!B91</f>
        <v>E2</v>
      </c>
      <c r="C89">
        <f>'Errores  Patrones'!L91</f>
        <v>4.3079999999999993E-2</v>
      </c>
      <c r="D89" s="408">
        <f>'Errores  Patrones'!M91</f>
        <v>2.7E-2</v>
      </c>
      <c r="E89">
        <f t="shared" si="2"/>
        <v>1.6079999999999994E-2</v>
      </c>
      <c r="F89" t="str">
        <f t="shared" si="3"/>
        <v>mejor resultado con Ec 7,1,2-10 Gsim</v>
      </c>
    </row>
    <row r="90" spans="1:6">
      <c r="A90" t="str">
        <f>'Errores  Patrones'!C92</f>
        <v>TEC-LAB-MP-19</v>
      </c>
      <c r="B90" t="str">
        <f>'Errores  Patrones'!B92</f>
        <v>E2</v>
      </c>
      <c r="C90">
        <f>'Errores  Patrones'!L92</f>
        <v>2.4080000000000001E-2</v>
      </c>
      <c r="D90" s="408">
        <f>'Errores  Patrones'!M92</f>
        <v>3.3000000000000002E-2</v>
      </c>
      <c r="E90">
        <f t="shared" si="2"/>
        <v>-8.9200000000000008E-3</v>
      </c>
      <c r="F90" t="str">
        <f t="shared" si="3"/>
        <v xml:space="preserve"> la U es mayor</v>
      </c>
    </row>
    <row r="91" spans="1:6">
      <c r="A91" t="str">
        <f>'Errores  Patrones'!C93</f>
        <v>TEC-LAB-MP-19</v>
      </c>
      <c r="B91" t="str">
        <f>'Errores  Patrones'!B93</f>
        <v>E2</v>
      </c>
      <c r="C91">
        <f>'Errores  Patrones'!L93</f>
        <v>9.92E-3</v>
      </c>
      <c r="D91" s="408">
        <f>'Errores  Patrones'!M93</f>
        <v>5.2999999999999999E-2</v>
      </c>
      <c r="E91">
        <f t="shared" si="2"/>
        <v>-4.308E-2</v>
      </c>
      <c r="F91" t="str">
        <f t="shared" si="3"/>
        <v xml:space="preserve"> la U es mayor</v>
      </c>
    </row>
    <row r="92" spans="1:6">
      <c r="A92" t="str">
        <f>'Errores  Patrones'!C94</f>
        <v>TEC-LAB-MP-19</v>
      </c>
      <c r="B92" t="str">
        <f>'Errores  Patrones'!B94</f>
        <v>E2</v>
      </c>
      <c r="C92">
        <f>'Errores  Patrones'!L94</f>
        <v>4.0070000000000001E-2</v>
      </c>
      <c r="D92" s="408">
        <f>'Errores  Patrones'!M94</f>
        <v>0.1</v>
      </c>
      <c r="E92">
        <f t="shared" si="2"/>
        <v>-5.9930000000000004E-2</v>
      </c>
      <c r="F92" t="str">
        <f t="shared" si="3"/>
        <v xml:space="preserve"> la U es mayor</v>
      </c>
    </row>
    <row r="93" spans="1:6">
      <c r="A93" t="str">
        <f>'Errores  Patrones'!C95</f>
        <v>TEC-LAB-MP-19</v>
      </c>
      <c r="B93" t="str">
        <f>'Errores  Patrones'!B95</f>
        <v>E2</v>
      </c>
      <c r="C93">
        <f>'Errores  Patrones'!L95</f>
        <v>4.0079999999999998E-2</v>
      </c>
      <c r="D93" s="408">
        <f>'Errores  Patrones'!M95</f>
        <v>0.1</v>
      </c>
      <c r="E93">
        <f t="shared" si="2"/>
        <v>-5.9920000000000008E-2</v>
      </c>
      <c r="F93" t="str">
        <f t="shared" si="3"/>
        <v xml:space="preserve"> la U es mayor</v>
      </c>
    </row>
    <row r="94" spans="1:6">
      <c r="A94" t="str">
        <f>'Errores  Patrones'!C96</f>
        <v>TEC-LAB-MP-19</v>
      </c>
      <c r="B94" t="str">
        <f>'Errores  Patrones'!B96</f>
        <v>E2</v>
      </c>
      <c r="C94">
        <f>'Errores  Patrones'!L96</f>
        <v>8.070000000000001E-5</v>
      </c>
      <c r="D94" s="408">
        <f>'Errores  Patrones'!M96</f>
        <v>1.9999999999999999E-6</v>
      </c>
      <c r="E94">
        <f t="shared" si="2"/>
        <v>7.8700000000000016E-5</v>
      </c>
      <c r="F94" t="str">
        <f t="shared" si="3"/>
        <v>mejor resultado con Ec 7,1,2-10 Gsim</v>
      </c>
    </row>
    <row r="95" spans="1:6">
      <c r="A95" t="str">
        <f>'Errores  Patrones'!C97</f>
        <v>TEC-LAB-MP-19</v>
      </c>
      <c r="B95" t="str">
        <f>'Errores  Patrones'!B97</f>
        <v>E2</v>
      </c>
      <c r="C95">
        <f>'Errores  Patrones'!L97</f>
        <v>9.0350000000000001E-4</v>
      </c>
      <c r="D95" s="408">
        <f>'Errores  Patrones'!M97</f>
        <v>1.9999999999999999E-6</v>
      </c>
      <c r="E95">
        <f t="shared" si="2"/>
        <v>9.0149999999999996E-4</v>
      </c>
      <c r="F95" t="str">
        <f t="shared" si="3"/>
        <v>mejor resultado con Ec 7,1,2-10 Gsim</v>
      </c>
    </row>
    <row r="96" spans="1:6">
      <c r="A96" t="str">
        <f>'Errores  Patrones'!C98</f>
        <v>TEC-LAB-MP-19</v>
      </c>
      <c r="B96" t="str">
        <f>'Errores  Patrones'!B98</f>
        <v>E2</v>
      </c>
      <c r="C96">
        <f>'Errores  Patrones'!L98</f>
        <v>9.0299999999999994E-4</v>
      </c>
      <c r="D96" s="408">
        <f>'Errores  Patrones'!M98</f>
        <v>1.9999999999999999E-6</v>
      </c>
      <c r="E96">
        <f t="shared" si="2"/>
        <v>9.0099999999999989E-4</v>
      </c>
      <c r="F96" t="str">
        <f t="shared" si="3"/>
        <v>mejor resultado con Ec 7,1,2-10 Gsim</v>
      </c>
    </row>
    <row r="97" spans="1:6">
      <c r="A97" t="str">
        <f>'Errores  Patrones'!C99</f>
        <v>TEC-LAB-MP-19</v>
      </c>
      <c r="B97" t="str">
        <f>'Errores  Patrones'!B99</f>
        <v>E2</v>
      </c>
      <c r="C97">
        <f>'Errores  Patrones'!L99</f>
        <v>9.0479999999999998E-4</v>
      </c>
      <c r="D97" s="408">
        <f>'Errores  Patrones'!M99</f>
        <v>1.9999999999999999E-6</v>
      </c>
      <c r="E97">
        <f t="shared" si="2"/>
        <v>9.0279999999999994E-4</v>
      </c>
      <c r="F97" t="str">
        <f t="shared" si="3"/>
        <v>mejor resultado con Ec 7,1,2-10 Gsim</v>
      </c>
    </row>
    <row r="98" spans="1:6">
      <c r="A98" t="str">
        <f>'Errores  Patrones'!C100</f>
        <v>TEC-LAB-MP-19</v>
      </c>
      <c r="B98" t="str">
        <f>'Errores  Patrones'!B100</f>
        <v>E2</v>
      </c>
      <c r="C98">
        <f>'Errores  Patrones'!L100</f>
        <v>9.0850000000000002E-4</v>
      </c>
      <c r="D98" s="408">
        <f>'Errores  Patrones'!M100</f>
        <v>2.7E-6</v>
      </c>
      <c r="E98">
        <f t="shared" si="2"/>
        <v>9.0580000000000001E-4</v>
      </c>
      <c r="F98" t="str">
        <f t="shared" si="3"/>
        <v>mejor resultado con Ec 7,1,2-10 Gsim</v>
      </c>
    </row>
    <row r="99" spans="1:6">
      <c r="A99" t="str">
        <f>'Errores  Patrones'!C101</f>
        <v>TEC-LAB-MP-19</v>
      </c>
      <c r="B99" t="str">
        <f>'Errores  Patrones'!B101</f>
        <v>E2</v>
      </c>
      <c r="C99">
        <f>'Errores  Patrones'!L101</f>
        <v>9.1549999999999997E-4</v>
      </c>
      <c r="D99" s="408">
        <f>'Errores  Patrones'!M101</f>
        <v>3.3000000000000002E-6</v>
      </c>
      <c r="E99">
        <f t="shared" si="2"/>
        <v>9.1219999999999995E-4</v>
      </c>
      <c r="F99" t="str">
        <f t="shared" si="3"/>
        <v>mejor resultado con Ec 7,1,2-10 Gsim</v>
      </c>
    </row>
    <row r="100" spans="1:6">
      <c r="A100" t="str">
        <f>'Errores  Patrones'!C102</f>
        <v>TEC-LAB-MP-19</v>
      </c>
      <c r="B100" t="str">
        <f>'Errores  Patrones'!B102</f>
        <v>E2</v>
      </c>
      <c r="C100">
        <f>'Errores  Patrones'!L102</f>
        <v>3.3000000000000002E-6</v>
      </c>
      <c r="D100" s="408">
        <f>'Errores  Patrones'!M102</f>
        <v>3.3000000000000002E-6</v>
      </c>
      <c r="E100">
        <f t="shared" si="2"/>
        <v>0</v>
      </c>
      <c r="F100" t="str">
        <f t="shared" si="3"/>
        <v xml:space="preserve"> la U es mayor</v>
      </c>
    </row>
    <row r="101" spans="1:6">
      <c r="A101" t="str">
        <f>'Errores  Patrones'!C103</f>
        <v>TEC-LAB-MP-19</v>
      </c>
      <c r="B101" t="str">
        <f>'Errores  Patrones'!B103</f>
        <v>E2</v>
      </c>
      <c r="C101">
        <f>'Errores  Patrones'!L103</f>
        <v>3.9999999999999998E-6</v>
      </c>
      <c r="D101" s="408">
        <f>'Errores  Patrones'!M103</f>
        <v>3.9999999999999998E-6</v>
      </c>
      <c r="E101">
        <f t="shared" si="2"/>
        <v>0</v>
      </c>
      <c r="F101" t="str">
        <f t="shared" si="3"/>
        <v xml:space="preserve"> la U es mayor</v>
      </c>
    </row>
    <row r="102" spans="1:6">
      <c r="A102" t="str">
        <f>'Errores  Patrones'!C104</f>
        <v>TEC-LAB-MP-19</v>
      </c>
      <c r="B102" t="str">
        <f>'Errores  Patrones'!B104</f>
        <v>E2</v>
      </c>
      <c r="C102">
        <f>'Errores  Patrones'!L104</f>
        <v>5.3000000000000001E-6</v>
      </c>
      <c r="D102" s="408">
        <f>'Errores  Patrones'!M104</f>
        <v>5.3000000000000001E-6</v>
      </c>
      <c r="E102">
        <f t="shared" si="2"/>
        <v>0</v>
      </c>
      <c r="F102" t="str">
        <f t="shared" si="3"/>
        <v xml:space="preserve"> la U es mayor</v>
      </c>
    </row>
    <row r="103" spans="1:6">
      <c r="A103" t="str">
        <f>'Errores  Patrones'!C105</f>
        <v>TEC-LAB-MP-19</v>
      </c>
      <c r="B103" t="str">
        <f>'Errores  Patrones'!B105</f>
        <v>E2</v>
      </c>
      <c r="C103">
        <f>'Errores  Patrones'!L105</f>
        <v>6.7000000000000002E-6</v>
      </c>
      <c r="D103" s="408">
        <f>'Errores  Patrones'!M105</f>
        <v>6.7000000000000002E-6</v>
      </c>
      <c r="E103">
        <f t="shared" si="2"/>
        <v>0</v>
      </c>
      <c r="F103" t="str">
        <f t="shared" si="3"/>
        <v xml:space="preserve"> la U es mayor</v>
      </c>
    </row>
    <row r="104" spans="1:6">
      <c r="A104" t="str">
        <f>'Errores  Patrones'!C106</f>
        <v>TEC-LAB-MP-19</v>
      </c>
      <c r="B104" t="str">
        <f>'Errores  Patrones'!B106</f>
        <v>E2</v>
      </c>
      <c r="C104">
        <f>'Errores  Patrones'!L106</f>
        <v>6.7000000000000002E-6</v>
      </c>
      <c r="D104" s="408">
        <f>'Errores  Patrones'!M106</f>
        <v>6.7000000000000002E-6</v>
      </c>
      <c r="E104">
        <f t="shared" si="2"/>
        <v>0</v>
      </c>
      <c r="F104" t="str">
        <f t="shared" si="3"/>
        <v xml:space="preserve"> la U es mayor</v>
      </c>
    </row>
    <row r="105" spans="1:6">
      <c r="A105" t="str">
        <f>'Errores  Patrones'!C107</f>
        <v>TEC-LAB-MP-19</v>
      </c>
      <c r="B105" t="str">
        <f>'Errores  Patrones'!B107</f>
        <v>E2</v>
      </c>
      <c r="C105">
        <f>'Errores  Patrones'!L107</f>
        <v>8.3000000000000002E-6</v>
      </c>
      <c r="D105" s="408">
        <f>'Errores  Patrones'!M107</f>
        <v>8.3000000000000002E-6</v>
      </c>
      <c r="E105">
        <f t="shared" si="2"/>
        <v>0</v>
      </c>
      <c r="F105" t="str">
        <f t="shared" si="3"/>
        <v xml:space="preserve"> la U es mayor</v>
      </c>
    </row>
    <row r="106" spans="1:6">
      <c r="A106" t="str">
        <f>'Errores  Patrones'!C108</f>
        <v>TEC-LAB-MP-19</v>
      </c>
      <c r="B106" t="str">
        <f>'Errores  Patrones'!B108</f>
        <v>E2</v>
      </c>
      <c r="C106">
        <f>'Errores  Patrones'!L108</f>
        <v>1.0000000000000001E-5</v>
      </c>
      <c r="D106" s="408">
        <f>'Errores  Patrones'!M108</f>
        <v>1.0000000000000001E-5</v>
      </c>
      <c r="E106">
        <f t="shared" si="2"/>
        <v>0</v>
      </c>
      <c r="F106" t="str">
        <f t="shared" si="3"/>
        <v xml:space="preserve"> la U es mayor</v>
      </c>
    </row>
    <row r="107" spans="1:6">
      <c r="A107" t="str">
        <f>'Errores  Patrones'!C109</f>
        <v>TEC-LAB-MP-19</v>
      </c>
      <c r="B107" t="str">
        <f>'Errores  Patrones'!B109</f>
        <v>E2</v>
      </c>
      <c r="C107">
        <f>'Errores  Patrones'!L109</f>
        <v>1.2999999999999999E-5</v>
      </c>
      <c r="D107" s="408">
        <f>'Errores  Patrones'!M109</f>
        <v>1.2999999999999999E-5</v>
      </c>
      <c r="E107">
        <f t="shared" si="2"/>
        <v>0</v>
      </c>
      <c r="F107" t="str">
        <f t="shared" si="3"/>
        <v xml:space="preserve"> la U es mayor</v>
      </c>
    </row>
    <row r="108" spans="1:6">
      <c r="A108" t="str">
        <f>'Errores  Patrones'!C110</f>
        <v>TEC-LAB-MP-19</v>
      </c>
      <c r="B108" t="str">
        <f>'Errores  Patrones'!B110</f>
        <v>E2</v>
      </c>
      <c r="C108">
        <f>'Errores  Patrones'!L110</f>
        <v>1.2999999999999999E-5</v>
      </c>
      <c r="D108" s="408">
        <f>'Errores  Patrones'!M110</f>
        <v>1.2999999999999999E-5</v>
      </c>
      <c r="E108">
        <f t="shared" si="2"/>
        <v>0</v>
      </c>
      <c r="F108" t="str">
        <f t="shared" si="3"/>
        <v xml:space="preserve"> la U es mayor</v>
      </c>
    </row>
    <row r="109" spans="1:6">
      <c r="A109" t="str">
        <f>'Errores  Patrones'!C111</f>
        <v>TEC-LAB-MP-19</v>
      </c>
      <c r="B109" t="str">
        <f>'Errores  Patrones'!B111</f>
        <v>E2</v>
      </c>
      <c r="C109">
        <f>'Errores  Patrones'!L111</f>
        <v>1.7E-5</v>
      </c>
      <c r="D109" s="408">
        <f>'Errores  Patrones'!M111</f>
        <v>1.7E-5</v>
      </c>
      <c r="E109">
        <f t="shared" si="2"/>
        <v>0</v>
      </c>
      <c r="F109" t="str">
        <f t="shared" si="3"/>
        <v xml:space="preserve"> la U es mayor</v>
      </c>
    </row>
    <row r="110" spans="1:6">
      <c r="A110" t="str">
        <f>'Errores  Patrones'!C112</f>
        <v>TEC-LAB-MP-19</v>
      </c>
      <c r="B110" t="str">
        <f>'Errores  Patrones'!B112</f>
        <v>E2</v>
      </c>
      <c r="C110">
        <f>'Errores  Patrones'!L112</f>
        <v>2.0000000000000002E-5</v>
      </c>
      <c r="D110" s="408">
        <f>'Errores  Patrones'!M112</f>
        <v>2.0000000000000002E-5</v>
      </c>
      <c r="E110">
        <f t="shared" si="2"/>
        <v>0</v>
      </c>
      <c r="F110" t="str">
        <f t="shared" si="3"/>
        <v xml:space="preserve"> la U es mayor</v>
      </c>
    </row>
    <row r="111" spans="1:6">
      <c r="A111" t="str">
        <f>'Errores  Patrones'!C113</f>
        <v>TEC-LAB-MP-19</v>
      </c>
      <c r="B111" t="str">
        <f>'Errores  Patrones'!B113</f>
        <v>E2</v>
      </c>
      <c r="C111">
        <f>'Errores  Patrones'!L113</f>
        <v>2.6999999999999999E-5</v>
      </c>
      <c r="D111" s="408">
        <f>'Errores  Patrones'!M113</f>
        <v>2.6999999999999999E-5</v>
      </c>
      <c r="E111">
        <f t="shared" si="2"/>
        <v>0</v>
      </c>
      <c r="F111" t="str">
        <f t="shared" si="3"/>
        <v xml:space="preserve"> la U es mayor</v>
      </c>
    </row>
    <row r="112" spans="1:6">
      <c r="A112" t="str">
        <f>'Errores  Patrones'!C114</f>
        <v>TEC-LAB-MP-19</v>
      </c>
      <c r="B112" t="str">
        <f>'Errores  Patrones'!B114</f>
        <v>E2</v>
      </c>
      <c r="C112">
        <f>'Errores  Patrones'!L114</f>
        <v>2.6999999999999999E-5</v>
      </c>
      <c r="D112" s="408">
        <f>'Errores  Patrones'!M114</f>
        <v>2.6999999999999999E-5</v>
      </c>
      <c r="E112">
        <f t="shared" si="2"/>
        <v>0</v>
      </c>
      <c r="F112" t="str">
        <f t="shared" si="3"/>
        <v xml:space="preserve"> la U es mayor</v>
      </c>
    </row>
    <row r="113" spans="1:6">
      <c r="A113" t="str">
        <f>'Errores  Patrones'!C115</f>
        <v>TEC-LAB-MP-19</v>
      </c>
      <c r="B113" t="str">
        <f>'Errores  Patrones'!B115</f>
        <v>E2</v>
      </c>
      <c r="C113">
        <f>'Errores  Patrones'!L115</f>
        <v>3.3000000000000003E-5</v>
      </c>
      <c r="D113" s="408">
        <f>'Errores  Patrones'!M115</f>
        <v>3.3000000000000003E-5</v>
      </c>
      <c r="E113">
        <f t="shared" si="2"/>
        <v>0</v>
      </c>
      <c r="F113" t="str">
        <f t="shared" si="3"/>
        <v xml:space="preserve"> la U es mayor</v>
      </c>
    </row>
    <row r="114" spans="1:6">
      <c r="A114" t="str">
        <f>'Errores  Patrones'!C116</f>
        <v>TEC-LAB-MP-19</v>
      </c>
      <c r="B114" t="str">
        <f>'Errores  Patrones'!B116</f>
        <v>E2</v>
      </c>
      <c r="C114">
        <f>'Errores  Patrones'!L116</f>
        <v>5.3000000000000001E-5</v>
      </c>
      <c r="D114" s="408">
        <f>'Errores  Patrones'!M116</f>
        <v>5.3000000000000001E-5</v>
      </c>
      <c r="E114">
        <f t="shared" si="2"/>
        <v>0</v>
      </c>
      <c r="F114" t="str">
        <f t="shared" si="3"/>
        <v xml:space="preserve"> la U es mayor</v>
      </c>
    </row>
    <row r="115" spans="1:6">
      <c r="A115" t="str">
        <f>'Errores  Patrones'!C117</f>
        <v>TEC-LAB-MP-19</v>
      </c>
      <c r="B115" t="str">
        <f>'Errores  Patrones'!B117</f>
        <v>E2</v>
      </c>
      <c r="C115">
        <f>'Errores  Patrones'!L117</f>
        <v>1E-4</v>
      </c>
      <c r="D115" s="408">
        <f>'Errores  Patrones'!M117</f>
        <v>1E-4</v>
      </c>
      <c r="E115">
        <f t="shared" si="2"/>
        <v>0</v>
      </c>
      <c r="F115" t="str">
        <f t="shared" si="3"/>
        <v xml:space="preserve"> la U es mayor</v>
      </c>
    </row>
    <row r="116" spans="1:6">
      <c r="A116" t="str">
        <f>'Errores  Patrones'!C118</f>
        <v>TEC-LAB-MP-19</v>
      </c>
      <c r="B116" t="str">
        <f>'Errores  Patrones'!B118</f>
        <v>E2</v>
      </c>
      <c r="C116">
        <f>'Errores  Patrones'!L118</f>
        <v>1E-4</v>
      </c>
      <c r="D116" s="408">
        <f>'Errores  Patrones'!M118</f>
        <v>1E-4</v>
      </c>
      <c r="E116">
        <f t="shared" si="2"/>
        <v>0</v>
      </c>
      <c r="F116" t="str">
        <f t="shared" si="3"/>
        <v xml:space="preserve"> la U es mayor</v>
      </c>
    </row>
    <row r="117" spans="1:6">
      <c r="A117" t="str">
        <f>'Errores  Patrones'!C119</f>
        <v>TEC-LAB-MP-19</v>
      </c>
      <c r="B117" t="str">
        <f>'Errores  Patrones'!B119</f>
        <v>E2</v>
      </c>
      <c r="C117">
        <f>'Errores  Patrones'!L119</f>
        <v>2.0000000000000001E-9</v>
      </c>
      <c r="D117" s="408">
        <f>'Errores  Patrones'!M119</f>
        <v>2.0000000000000001E-9</v>
      </c>
      <c r="E117">
        <f t="shared" si="2"/>
        <v>0</v>
      </c>
      <c r="F117" t="str">
        <f t="shared" si="3"/>
        <v xml:space="preserve"> la U es mayor</v>
      </c>
    </row>
    <row r="118" spans="1:6">
      <c r="A118" t="str">
        <f>'Errores  Patrones'!C120</f>
        <v>TEC-LAB-MP-19</v>
      </c>
      <c r="B118" t="str">
        <f>'Errores  Patrones'!B120</f>
        <v>E2</v>
      </c>
      <c r="C118">
        <f>'Errores  Patrones'!L120</f>
        <v>2.0000000000000001E-9</v>
      </c>
      <c r="D118" s="408">
        <f>'Errores  Patrones'!M120</f>
        <v>2.0000000000000001E-9</v>
      </c>
      <c r="E118">
        <f t="shared" si="2"/>
        <v>0</v>
      </c>
      <c r="F118" t="str">
        <f t="shared" si="3"/>
        <v xml:space="preserve"> la U es mayor</v>
      </c>
    </row>
    <row r="119" spans="1:6">
      <c r="A119" t="str">
        <f>'Errores  Patrones'!C121</f>
        <v>TEC-LAB-MP-19</v>
      </c>
      <c r="B119" t="str">
        <f>'Errores  Patrones'!B121</f>
        <v>E2</v>
      </c>
      <c r="C119">
        <f>'Errores  Patrones'!L121</f>
        <v>2.0000000000000001E-9</v>
      </c>
      <c r="D119" s="408">
        <f>'Errores  Patrones'!M121</f>
        <v>2.0000000000000001E-9</v>
      </c>
      <c r="E119">
        <f t="shared" si="2"/>
        <v>0</v>
      </c>
      <c r="F119" t="str">
        <f t="shared" si="3"/>
        <v xml:space="preserve"> la U es mayor</v>
      </c>
    </row>
    <row r="120" spans="1:6">
      <c r="A120" t="str">
        <f>'Errores  Patrones'!C122</f>
        <v>TEC-LAB-MP-19</v>
      </c>
      <c r="B120" t="str">
        <f>'Errores  Patrones'!B122</f>
        <v>E2</v>
      </c>
      <c r="C120">
        <f>'Errores  Patrones'!L122</f>
        <v>2.0000000000000001E-9</v>
      </c>
      <c r="D120" s="408">
        <f>'Errores  Patrones'!M122</f>
        <v>2.0000000000000001E-9</v>
      </c>
      <c r="E120">
        <f t="shared" si="2"/>
        <v>0</v>
      </c>
      <c r="F120" t="str">
        <f t="shared" si="3"/>
        <v xml:space="preserve"> la U es mayor</v>
      </c>
    </row>
    <row r="121" spans="1:6">
      <c r="A121" t="str">
        <f>'Errores  Patrones'!C123</f>
        <v>TEC-LAB-MP-19</v>
      </c>
      <c r="B121" t="str">
        <f>'Errores  Patrones'!B123</f>
        <v>E2</v>
      </c>
      <c r="C121">
        <f>'Errores  Patrones'!L123</f>
        <v>2.7000000000000002E-9</v>
      </c>
      <c r="D121" s="408">
        <f>'Errores  Patrones'!M123</f>
        <v>2.7000000000000002E-9</v>
      </c>
      <c r="E121">
        <f t="shared" si="2"/>
        <v>0</v>
      </c>
      <c r="F121" t="str">
        <f t="shared" si="3"/>
        <v xml:space="preserve"> la U es mayor</v>
      </c>
    </row>
    <row r="122" spans="1:6">
      <c r="A122" t="str">
        <f>'Errores  Patrones'!C124</f>
        <v>TEC-LAB-MP-19</v>
      </c>
      <c r="B122" t="str">
        <f>'Errores  Patrones'!B124</f>
        <v>E2</v>
      </c>
      <c r="C122">
        <f>'Errores  Patrones'!L124</f>
        <v>3.3000000000000002E-9</v>
      </c>
      <c r="D122" s="408">
        <f>'Errores  Patrones'!M124</f>
        <v>3.3000000000000002E-9</v>
      </c>
      <c r="E122">
        <f t="shared" si="2"/>
        <v>0</v>
      </c>
      <c r="F122" t="str">
        <f t="shared" si="3"/>
        <v xml:space="preserve"> la U es mayor</v>
      </c>
    </row>
    <row r="123" spans="1:6">
      <c r="A123" t="str">
        <f>'Errores  Patrones'!C125</f>
        <v>TEC-LAB-MP-19</v>
      </c>
      <c r="B123" t="str">
        <f>'Errores  Patrones'!B125</f>
        <v>E2</v>
      </c>
      <c r="C123">
        <f>'Errores  Patrones'!L125</f>
        <v>3.3000000000000002E-9</v>
      </c>
      <c r="D123" s="408">
        <f>'Errores  Patrones'!M125</f>
        <v>3.3000000000000002E-9</v>
      </c>
      <c r="E123">
        <f t="shared" si="2"/>
        <v>0</v>
      </c>
      <c r="F123" t="str">
        <f t="shared" si="3"/>
        <v xml:space="preserve"> la U es mayor</v>
      </c>
    </row>
    <row r="124" spans="1:6">
      <c r="A124" t="str">
        <f>'Errores  Patrones'!C126</f>
        <v>TEC-LAB-MP-19</v>
      </c>
      <c r="B124" t="str">
        <f>'Errores  Patrones'!B126</f>
        <v>E2</v>
      </c>
      <c r="C124">
        <f>'Errores  Patrones'!L126</f>
        <v>4.0000000000000002E-9</v>
      </c>
      <c r="D124" s="408">
        <f>'Errores  Patrones'!M126</f>
        <v>4.0000000000000002E-9</v>
      </c>
      <c r="E124">
        <f t="shared" si="2"/>
        <v>0</v>
      </c>
      <c r="F124" t="str">
        <f t="shared" si="3"/>
        <v xml:space="preserve"> la U es mayor</v>
      </c>
    </row>
    <row r="125" spans="1:6">
      <c r="A125" t="str">
        <f>'Errores  Patrones'!C127</f>
        <v>TEC-LAB-MP-19</v>
      </c>
      <c r="B125" t="str">
        <f>'Errores  Patrones'!B127</f>
        <v>E2</v>
      </c>
      <c r="C125">
        <f>'Errores  Patrones'!L127</f>
        <v>5.3000000000000003E-9</v>
      </c>
      <c r="D125" s="408">
        <f>'Errores  Patrones'!M127</f>
        <v>5.3000000000000003E-9</v>
      </c>
      <c r="E125">
        <f t="shared" si="2"/>
        <v>0</v>
      </c>
      <c r="F125" t="str">
        <f t="shared" si="3"/>
        <v xml:space="preserve"> la U es mayor</v>
      </c>
    </row>
    <row r="126" spans="1:6">
      <c r="A126" t="str">
        <f>'Errores  Patrones'!C128</f>
        <v>TEC-LAB-MP-19</v>
      </c>
      <c r="B126" t="str">
        <f>'Errores  Patrones'!B128</f>
        <v>E2</v>
      </c>
      <c r="C126">
        <f>'Errores  Patrones'!L128</f>
        <v>6.7000000000000004E-9</v>
      </c>
      <c r="D126" s="408">
        <f>'Errores  Patrones'!M128</f>
        <v>6.7000000000000004E-9</v>
      </c>
      <c r="E126">
        <f t="shared" si="2"/>
        <v>0</v>
      </c>
      <c r="F126" t="str">
        <f t="shared" si="3"/>
        <v xml:space="preserve"> la U es mayor</v>
      </c>
    </row>
    <row r="127" spans="1:6">
      <c r="A127" t="str">
        <f>'Errores  Patrones'!C129</f>
        <v>TEC-LAB-MP-19</v>
      </c>
      <c r="B127" t="str">
        <f>'Errores  Patrones'!B129</f>
        <v>E2</v>
      </c>
      <c r="C127">
        <f>'Errores  Patrones'!L129</f>
        <v>6.7000000000000004E-9</v>
      </c>
      <c r="D127" s="408">
        <f>'Errores  Patrones'!M129</f>
        <v>6.7000000000000004E-9</v>
      </c>
      <c r="E127">
        <f t="shared" si="2"/>
        <v>0</v>
      </c>
      <c r="F127" t="str">
        <f t="shared" si="3"/>
        <v xml:space="preserve"> la U es mayor</v>
      </c>
    </row>
    <row r="128" spans="1:6">
      <c r="A128" t="str">
        <f>'Errores  Patrones'!C130</f>
        <v>TEC-LAB-MP-19</v>
      </c>
      <c r="B128" t="str">
        <f>'Errores  Patrones'!B130</f>
        <v>E2</v>
      </c>
      <c r="C128">
        <f>'Errores  Patrones'!L130</f>
        <v>8.2999999999999999E-9</v>
      </c>
      <c r="D128" s="408">
        <f>'Errores  Patrones'!M130</f>
        <v>8.2999999999999999E-9</v>
      </c>
      <c r="E128">
        <f t="shared" si="2"/>
        <v>0</v>
      </c>
      <c r="F128" t="str">
        <f t="shared" si="3"/>
        <v xml:space="preserve"> la U es mayor</v>
      </c>
    </row>
    <row r="129" spans="1:6">
      <c r="A129" t="str">
        <f>'Errores  Patrones'!C131</f>
        <v>TEC-LAB-MP-19</v>
      </c>
      <c r="B129" t="str">
        <f>'Errores  Patrones'!B131</f>
        <v>E2</v>
      </c>
      <c r="C129">
        <f>'Errores  Patrones'!L131</f>
        <v>1E-8</v>
      </c>
      <c r="D129" s="408">
        <f>'Errores  Patrones'!M131</f>
        <v>1E-8</v>
      </c>
      <c r="E129">
        <f t="shared" si="2"/>
        <v>0</v>
      </c>
      <c r="F129" t="str">
        <f t="shared" si="3"/>
        <v xml:space="preserve"> la U es mayor</v>
      </c>
    </row>
    <row r="130" spans="1:6">
      <c r="A130" t="str">
        <f>'Errores  Patrones'!C132</f>
        <v>TEC-LAB-MP-19</v>
      </c>
      <c r="B130" t="str">
        <f>'Errores  Patrones'!B132</f>
        <v>E2</v>
      </c>
      <c r="C130">
        <f>'Errores  Patrones'!L132</f>
        <v>1.2999999999999999E-8</v>
      </c>
      <c r="D130" s="408">
        <f>'Errores  Patrones'!M132</f>
        <v>1.2999999999999999E-8</v>
      </c>
      <c r="E130">
        <f t="shared" si="2"/>
        <v>0</v>
      </c>
      <c r="F130" t="str">
        <f t="shared" si="3"/>
        <v xml:space="preserve"> la U es mayor</v>
      </c>
    </row>
    <row r="131" spans="1:6">
      <c r="A131" t="str">
        <f>'Errores  Patrones'!C133</f>
        <v>TEC-LAB-MP-19</v>
      </c>
      <c r="B131" t="str">
        <f>'Errores  Patrones'!B133</f>
        <v>E2</v>
      </c>
      <c r="C131">
        <f>'Errores  Patrones'!L133</f>
        <v>1.2999999999999999E-8</v>
      </c>
      <c r="D131" s="408">
        <f>'Errores  Patrones'!M133</f>
        <v>1.2999999999999999E-8</v>
      </c>
      <c r="E131">
        <f t="shared" ref="E131:E164" si="4">C131-D131</f>
        <v>0</v>
      </c>
      <c r="F131" t="str">
        <f t="shared" ref="F131:F164" si="5">IF(E131&gt;0,"mejor resultado con Ec 7,1,2-10 Gsim"," la U es mayor")</f>
        <v xml:space="preserve"> la U es mayor</v>
      </c>
    </row>
    <row r="132" spans="1:6">
      <c r="A132" t="str">
        <f>'Errores  Patrones'!C134</f>
        <v>TEC-LAB-MP-19</v>
      </c>
      <c r="B132" t="str">
        <f>'Errores  Patrones'!B134</f>
        <v>E2</v>
      </c>
      <c r="C132">
        <f>'Errores  Patrones'!L134</f>
        <v>1.7E-8</v>
      </c>
      <c r="D132" s="408">
        <f>'Errores  Patrones'!M134</f>
        <v>1.7E-8</v>
      </c>
      <c r="E132">
        <f t="shared" si="4"/>
        <v>0</v>
      </c>
      <c r="F132" t="str">
        <f t="shared" si="5"/>
        <v xml:space="preserve"> la U es mayor</v>
      </c>
    </row>
    <row r="133" spans="1:6">
      <c r="A133" t="str">
        <f>'Errores  Patrones'!C135</f>
        <v>TEC-LAB-MP-19</v>
      </c>
      <c r="B133" t="str">
        <f>'Errores  Patrones'!B135</f>
        <v>E2</v>
      </c>
      <c r="C133">
        <f>'Errores  Patrones'!L135</f>
        <v>2E-8</v>
      </c>
      <c r="D133" s="408">
        <f>'Errores  Patrones'!M135</f>
        <v>2E-8</v>
      </c>
      <c r="E133">
        <f t="shared" si="4"/>
        <v>0</v>
      </c>
      <c r="F133" t="str">
        <f t="shared" si="5"/>
        <v xml:space="preserve"> la U es mayor</v>
      </c>
    </row>
    <row r="134" spans="1:6">
      <c r="A134" t="str">
        <f>'Errores  Patrones'!C136</f>
        <v>TEC-LAB-MP-19</v>
      </c>
      <c r="B134" t="str">
        <f>'Errores  Patrones'!B136</f>
        <v>E2</v>
      </c>
      <c r="C134">
        <f>'Errores  Patrones'!L136</f>
        <v>2.7E-8</v>
      </c>
      <c r="D134" s="408">
        <f>'Errores  Patrones'!M136</f>
        <v>2.7E-8</v>
      </c>
      <c r="E134">
        <f t="shared" si="4"/>
        <v>0</v>
      </c>
      <c r="F134" t="str">
        <f t="shared" si="5"/>
        <v xml:space="preserve"> la U es mayor</v>
      </c>
    </row>
    <row r="135" spans="1:6">
      <c r="A135" t="str">
        <f>'Errores  Patrones'!C137</f>
        <v>TEC-LAB-MP-19</v>
      </c>
      <c r="B135" t="str">
        <f>'Errores  Patrones'!B137</f>
        <v>E2</v>
      </c>
      <c r="C135">
        <f>'Errores  Patrones'!L137</f>
        <v>2.7E-8</v>
      </c>
      <c r="D135" s="408">
        <f>'Errores  Patrones'!M137</f>
        <v>2.7E-8</v>
      </c>
      <c r="E135">
        <f t="shared" si="4"/>
        <v>0</v>
      </c>
      <c r="F135" t="str">
        <f t="shared" si="5"/>
        <v xml:space="preserve"> la U es mayor</v>
      </c>
    </row>
    <row r="136" spans="1:6">
      <c r="A136" t="str">
        <f>'Errores  Patrones'!C138</f>
        <v>TEC-LAB-MP-19</v>
      </c>
      <c r="B136" t="str">
        <f>'Errores  Patrones'!B138</f>
        <v>E2</v>
      </c>
      <c r="C136">
        <f>'Errores  Patrones'!L138</f>
        <v>3.3000000000000004E-8</v>
      </c>
      <c r="D136" s="408">
        <f>'Errores  Patrones'!M138</f>
        <v>3.3000000000000004E-8</v>
      </c>
      <c r="E136">
        <f t="shared" si="4"/>
        <v>0</v>
      </c>
      <c r="F136" t="str">
        <f t="shared" si="5"/>
        <v xml:space="preserve"> la U es mayor</v>
      </c>
    </row>
    <row r="137" spans="1:6">
      <c r="A137" t="str">
        <f>'Errores  Patrones'!C139</f>
        <v>TEC-LAB-MP-19</v>
      </c>
      <c r="B137" t="str">
        <f>'Errores  Patrones'!B139</f>
        <v>E2</v>
      </c>
      <c r="C137">
        <f>'Errores  Patrones'!L139</f>
        <v>5.2999999999999998E-8</v>
      </c>
      <c r="D137" s="408">
        <f>'Errores  Patrones'!M139</f>
        <v>5.2999999999999998E-8</v>
      </c>
      <c r="E137">
        <f t="shared" si="4"/>
        <v>0</v>
      </c>
      <c r="F137" t="str">
        <f t="shared" si="5"/>
        <v xml:space="preserve"> la U es mayor</v>
      </c>
    </row>
    <row r="138" spans="1:6">
      <c r="A138" t="str">
        <f>'Errores  Patrones'!C140</f>
        <v>TEC-LAB-MP-19</v>
      </c>
      <c r="B138" t="str">
        <f>'Errores  Patrones'!B140</f>
        <v>E2</v>
      </c>
      <c r="C138">
        <f>'Errores  Patrones'!L140</f>
        <v>1.0000000000000001E-7</v>
      </c>
      <c r="D138" s="408">
        <f>'Errores  Patrones'!M140</f>
        <v>1.0000000000000001E-7</v>
      </c>
      <c r="E138">
        <f t="shared" si="4"/>
        <v>0</v>
      </c>
      <c r="F138" t="str">
        <f t="shared" si="5"/>
        <v xml:space="preserve"> la U es mayor</v>
      </c>
    </row>
    <row r="139" spans="1:6">
      <c r="A139" t="str">
        <f>'Errores  Patrones'!C141</f>
        <v>TEC-LAB-MP-19</v>
      </c>
      <c r="B139" t="str">
        <f>'Errores  Patrones'!B141</f>
        <v>E2</v>
      </c>
      <c r="C139">
        <f>'Errores  Patrones'!L141</f>
        <v>1.0000000000000001E-7</v>
      </c>
      <c r="D139" s="408">
        <f>'Errores  Patrones'!M141</f>
        <v>1.0000000000000001E-7</v>
      </c>
      <c r="E139">
        <f t="shared" si="4"/>
        <v>0</v>
      </c>
      <c r="F139" t="str">
        <f t="shared" si="5"/>
        <v xml:space="preserve"> la U es mayor</v>
      </c>
    </row>
    <row r="140" spans="1:6">
      <c r="A140" t="str">
        <f>'Errores  Patrones'!C142</f>
        <v>TEC-LAB-MP-05</v>
      </c>
      <c r="B140" t="str">
        <f>'Errores  Patrones'!B142</f>
        <v>F1</v>
      </c>
      <c r="C140">
        <f>'Errores  Patrones'!L142</f>
        <v>3.3000000000000002E-2</v>
      </c>
      <c r="D140" s="408">
        <f>'Errores  Patrones'!M142</f>
        <v>3.3000000000000002E-2</v>
      </c>
      <c r="E140">
        <f t="shared" si="4"/>
        <v>0</v>
      </c>
      <c r="F140" t="str">
        <f t="shared" si="5"/>
        <v xml:space="preserve"> la U es mayor</v>
      </c>
    </row>
    <row r="141" spans="1:6">
      <c r="A141" t="str">
        <f>'Errores  Patrones'!C143</f>
        <v>TEC-LAB-MP-05</v>
      </c>
      <c r="B141" t="str">
        <f>'Errores  Patrones'!B143</f>
        <v>F1</v>
      </c>
      <c r="C141">
        <f>'Errores  Patrones'!L143</f>
        <v>0.04</v>
      </c>
      <c r="D141" s="408">
        <f>'Errores  Patrones'!M143</f>
        <v>0.04</v>
      </c>
      <c r="E141">
        <f t="shared" si="4"/>
        <v>0</v>
      </c>
      <c r="F141" t="str">
        <f t="shared" si="5"/>
        <v xml:space="preserve"> la U es mayor</v>
      </c>
    </row>
    <row r="142" spans="1:6">
      <c r="A142" t="str">
        <f>'Errores  Patrones'!C144</f>
        <v>TEC-LAB-MP-05</v>
      </c>
      <c r="B142" t="str">
        <f>'Errores  Patrones'!B144</f>
        <v>F1</v>
      </c>
      <c r="C142">
        <f>'Errores  Patrones'!L144</f>
        <v>0.04</v>
      </c>
      <c r="D142" s="408">
        <f>'Errores  Patrones'!M144</f>
        <v>0.04</v>
      </c>
      <c r="E142">
        <f t="shared" si="4"/>
        <v>0</v>
      </c>
      <c r="F142" t="str">
        <f t="shared" si="5"/>
        <v xml:space="preserve"> la U es mayor</v>
      </c>
    </row>
    <row r="143" spans="1:6">
      <c r="A143" t="str">
        <f>'Errores  Patrones'!C145</f>
        <v>TEC-LAB-MP-05</v>
      </c>
      <c r="B143" t="str">
        <f>'Errores  Patrones'!B145</f>
        <v>F1</v>
      </c>
      <c r="C143">
        <f>'Errores  Patrones'!L145</f>
        <v>5.2999999999999999E-2</v>
      </c>
      <c r="D143" s="408">
        <f>'Errores  Patrones'!M145</f>
        <v>5.2999999999999999E-2</v>
      </c>
      <c r="E143">
        <f t="shared" si="4"/>
        <v>0</v>
      </c>
      <c r="F143" t="str">
        <f t="shared" si="5"/>
        <v xml:space="preserve"> la U es mayor</v>
      </c>
    </row>
    <row r="144" spans="1:6">
      <c r="A144" t="str">
        <f>'Errores  Patrones'!C146</f>
        <v>TEC-LAB-MP-05</v>
      </c>
      <c r="B144" t="str">
        <f>'Errores  Patrones'!B146</f>
        <v>F1</v>
      </c>
      <c r="C144">
        <f>'Errores  Patrones'!L146</f>
        <v>6.7000000000000004E-2</v>
      </c>
      <c r="D144" s="408">
        <f>'Errores  Patrones'!M146</f>
        <v>6.7000000000000004E-2</v>
      </c>
      <c r="E144">
        <f t="shared" si="4"/>
        <v>0</v>
      </c>
      <c r="F144" t="str">
        <f t="shared" si="5"/>
        <v xml:space="preserve"> la U es mayor</v>
      </c>
    </row>
    <row r="145" spans="1:6">
      <c r="A145" t="str">
        <f>'Errores  Patrones'!C147</f>
        <v>TEC-LAB-MP-05</v>
      </c>
      <c r="B145" t="str">
        <f>'Errores  Patrones'!B147</f>
        <v>F1</v>
      </c>
      <c r="C145">
        <f>'Errores  Patrones'!L147</f>
        <v>8.3000000000000004E-2</v>
      </c>
      <c r="D145" s="408">
        <f>'Errores  Patrones'!M147</f>
        <v>8.3000000000000004E-2</v>
      </c>
      <c r="E145">
        <f t="shared" si="4"/>
        <v>0</v>
      </c>
      <c r="F145" t="str">
        <f t="shared" si="5"/>
        <v xml:space="preserve"> la U es mayor</v>
      </c>
    </row>
    <row r="146" spans="1:6">
      <c r="A146" t="str">
        <f>'Errores  Patrones'!C148</f>
        <v>TEC-LAB-MP-05</v>
      </c>
      <c r="B146" t="str">
        <f>'Errores  Patrones'!B148</f>
        <v>F1</v>
      </c>
      <c r="C146">
        <f>'Errores  Patrones'!L148</f>
        <v>8.3000000000000004E-2</v>
      </c>
      <c r="D146" s="408">
        <f>'Errores  Patrones'!M148</f>
        <v>8.3000000000000004E-2</v>
      </c>
      <c r="E146">
        <f t="shared" si="4"/>
        <v>0</v>
      </c>
      <c r="F146" t="str">
        <f t="shared" si="5"/>
        <v xml:space="preserve"> la U es mayor</v>
      </c>
    </row>
    <row r="147" spans="1:6">
      <c r="A147" t="str">
        <f>'Errores  Patrones'!C149</f>
        <v>TEC-LAB-MP-05</v>
      </c>
      <c r="B147" t="str">
        <f>'Errores  Patrones'!B149</f>
        <v>F1</v>
      </c>
      <c r="C147">
        <f>'Errores  Patrones'!L149</f>
        <v>0.1</v>
      </c>
      <c r="D147" s="408">
        <f>'Errores  Patrones'!M149</f>
        <v>0.1</v>
      </c>
      <c r="E147">
        <f t="shared" si="4"/>
        <v>0</v>
      </c>
      <c r="F147" t="str">
        <f t="shared" si="5"/>
        <v xml:space="preserve"> la U es mayor</v>
      </c>
    </row>
    <row r="148" spans="1:6">
      <c r="A148" t="str">
        <f>'Errores  Patrones'!C150</f>
        <v>TEC-LAB-MP-05</v>
      </c>
      <c r="B148" t="str">
        <f>'Errores  Patrones'!B150</f>
        <v>F1</v>
      </c>
      <c r="C148">
        <f>'Errores  Patrones'!L150</f>
        <v>0.17</v>
      </c>
      <c r="D148" s="408">
        <f>'Errores  Patrones'!M150</f>
        <v>0.17</v>
      </c>
      <c r="E148">
        <f t="shared" si="4"/>
        <v>0</v>
      </c>
      <c r="F148" t="str">
        <f t="shared" si="5"/>
        <v xml:space="preserve"> la U es mayor</v>
      </c>
    </row>
    <row r="149" spans="1:6">
      <c r="A149" t="str">
        <f>'Errores  Patrones'!C151</f>
        <v>TEC-LAB-MP-05</v>
      </c>
      <c r="B149" t="str">
        <f>'Errores  Patrones'!B151</f>
        <v>F1</v>
      </c>
      <c r="C149">
        <f>'Errores  Patrones'!L151</f>
        <v>0.33</v>
      </c>
      <c r="D149" s="408">
        <f>'Errores  Patrones'!M151</f>
        <v>0.33</v>
      </c>
      <c r="E149">
        <f t="shared" si="4"/>
        <v>0</v>
      </c>
      <c r="F149" t="str">
        <f t="shared" si="5"/>
        <v xml:space="preserve"> la U es mayor</v>
      </c>
    </row>
    <row r="150" spans="1:6">
      <c r="A150" t="str">
        <f>'Errores  Patrones'!C152</f>
        <v>TEC-LAB-MP-05</v>
      </c>
      <c r="B150" t="str">
        <f>'Errores  Patrones'!B152</f>
        <v>F1</v>
      </c>
      <c r="C150">
        <f>'Errores  Patrones'!L152</f>
        <v>0.33</v>
      </c>
      <c r="D150" s="408">
        <f>'Errores  Patrones'!M152</f>
        <v>0.33</v>
      </c>
      <c r="E150">
        <f t="shared" si="4"/>
        <v>0</v>
      </c>
      <c r="F150" t="str">
        <f t="shared" si="5"/>
        <v xml:space="preserve"> la U es mayor</v>
      </c>
    </row>
    <row r="151" spans="1:6">
      <c r="A151" t="str">
        <f>'Errores  Patrones'!C153</f>
        <v>TEC-LAB-MP-05</v>
      </c>
      <c r="B151" t="str">
        <f>'Errores  Patrones'!B153</f>
        <v>F1</v>
      </c>
      <c r="C151">
        <f>'Errores  Patrones'!L153</f>
        <v>0.83</v>
      </c>
      <c r="D151" s="408">
        <f>'Errores  Patrones'!M153</f>
        <v>0.83</v>
      </c>
      <c r="E151">
        <f t="shared" si="4"/>
        <v>0</v>
      </c>
      <c r="F151" t="str">
        <f t="shared" si="5"/>
        <v xml:space="preserve"> la U es mayor</v>
      </c>
    </row>
    <row r="152" spans="1:6">
      <c r="A152" t="str">
        <f>'Errores  Patrones'!C154</f>
        <v>TEC-LAB-MP-05</v>
      </c>
      <c r="B152" t="str">
        <f>'Errores  Patrones'!B154</f>
        <v>F1</v>
      </c>
      <c r="C152">
        <f>'Errores  Patrones'!L154</f>
        <v>1.7</v>
      </c>
      <c r="D152" s="408">
        <f>'Errores  Patrones'!M154</f>
        <v>1.7</v>
      </c>
      <c r="E152">
        <f t="shared" si="4"/>
        <v>0</v>
      </c>
      <c r="F152" t="str">
        <f t="shared" si="5"/>
        <v xml:space="preserve"> la U es mayor</v>
      </c>
    </row>
    <row r="153" spans="1:6">
      <c r="A153" t="str">
        <f>'Errores  Patrones'!C155</f>
        <v>TEC-LAB-MP-05</v>
      </c>
      <c r="B153" t="str">
        <f>'Errores  Patrones'!B155</f>
        <v>F1</v>
      </c>
      <c r="C153">
        <f>'Errores  Patrones'!L155</f>
        <v>3.3</v>
      </c>
      <c r="D153" s="408">
        <f>'Errores  Patrones'!M155</f>
        <v>3.3</v>
      </c>
      <c r="E153">
        <f t="shared" si="4"/>
        <v>0</v>
      </c>
      <c r="F153" t="str">
        <f t="shared" si="5"/>
        <v xml:space="preserve"> la U es mayor</v>
      </c>
    </row>
    <row r="154" spans="1:6">
      <c r="A154" t="str">
        <f>'Errores  Patrones'!C156</f>
        <v>TEC-LAB-MP-05</v>
      </c>
      <c r="B154" t="str">
        <f>'Errores  Patrones'!B156</f>
        <v>F1</v>
      </c>
      <c r="C154">
        <f>'Errores  Patrones'!L156</f>
        <v>3.3</v>
      </c>
      <c r="D154" s="408">
        <f>'Errores  Patrones'!M156</f>
        <v>3.3</v>
      </c>
      <c r="E154">
        <f t="shared" si="4"/>
        <v>0</v>
      </c>
      <c r="F154" t="str">
        <f t="shared" si="5"/>
        <v xml:space="preserve"> la U es mayor</v>
      </c>
    </row>
    <row r="155" spans="1:6">
      <c r="A155" t="str">
        <f>'Errores  Patrones'!C157</f>
        <v>TEC-LAB-MP-05</v>
      </c>
      <c r="B155" t="str">
        <f>'Errores  Patrones'!B157</f>
        <v>F1</v>
      </c>
      <c r="C155">
        <f>'Errores  Patrones'!L157</f>
        <v>8.3000000000000007</v>
      </c>
      <c r="D155" s="408">
        <f>'Errores  Patrones'!M157</f>
        <v>8.3000000000000007</v>
      </c>
      <c r="E155">
        <f t="shared" si="4"/>
        <v>0</v>
      </c>
      <c r="F155" t="str">
        <f t="shared" si="5"/>
        <v xml:space="preserve"> la U es mayor</v>
      </c>
    </row>
    <row r="156" spans="1:6">
      <c r="A156" t="str">
        <f>'Errores  Patrones'!C158</f>
        <v>TEC-LAB-MP-05</v>
      </c>
      <c r="B156" t="str">
        <f>'Errores  Patrones'!B158</f>
        <v>F1</v>
      </c>
      <c r="C156">
        <f>'Errores  Patrones'!L158</f>
        <v>3.3000000000000003E-5</v>
      </c>
      <c r="D156" s="408">
        <f>'Errores  Patrones'!M158</f>
        <v>3.3000000000000003E-5</v>
      </c>
      <c r="E156">
        <f t="shared" si="4"/>
        <v>0</v>
      </c>
      <c r="F156" t="str">
        <f t="shared" si="5"/>
        <v xml:space="preserve"> la U es mayor</v>
      </c>
    </row>
    <row r="157" spans="1:6">
      <c r="A157" t="str">
        <f>'Errores  Patrones'!C159</f>
        <v>TEC-LAB-MP-05</v>
      </c>
      <c r="B157" t="str">
        <f>'Errores  Patrones'!B159</f>
        <v>F1</v>
      </c>
      <c r="C157">
        <f>'Errores  Patrones'!L159</f>
        <v>4.0000000000000003E-5</v>
      </c>
      <c r="D157" s="408">
        <f>'Errores  Patrones'!M159</f>
        <v>4.0000000000000003E-5</v>
      </c>
      <c r="E157">
        <f t="shared" si="4"/>
        <v>0</v>
      </c>
      <c r="F157" t="str">
        <f t="shared" si="5"/>
        <v xml:space="preserve"> la U es mayor</v>
      </c>
    </row>
    <row r="158" spans="1:6">
      <c r="A158" t="str">
        <f>'Errores  Patrones'!C160</f>
        <v>TEC-LAB-MP-05</v>
      </c>
      <c r="B158" t="str">
        <f>'Errores  Patrones'!B160</f>
        <v>F1</v>
      </c>
      <c r="C158">
        <f>'Errores  Patrones'!L160</f>
        <v>4.0000000000000003E-5</v>
      </c>
      <c r="D158" s="408">
        <f>'Errores  Patrones'!M160</f>
        <v>4.0000000000000003E-5</v>
      </c>
      <c r="E158">
        <f t="shared" si="4"/>
        <v>0</v>
      </c>
      <c r="F158" t="str">
        <f t="shared" si="5"/>
        <v xml:space="preserve"> la U es mayor</v>
      </c>
    </row>
    <row r="159" spans="1:6">
      <c r="A159" t="str">
        <f>'Errores  Patrones'!C161</f>
        <v>TEC-LAB-MP-05</v>
      </c>
      <c r="B159" t="str">
        <f>'Errores  Patrones'!B161</f>
        <v>F1</v>
      </c>
      <c r="C159">
        <f>'Errores  Patrones'!L161</f>
        <v>5.3000000000000001E-5</v>
      </c>
      <c r="D159" s="408">
        <f>'Errores  Patrones'!M161</f>
        <v>5.3000000000000001E-5</v>
      </c>
      <c r="E159">
        <f t="shared" si="4"/>
        <v>0</v>
      </c>
      <c r="F159" t="str">
        <f t="shared" si="5"/>
        <v xml:space="preserve"> la U es mayor</v>
      </c>
    </row>
    <row r="160" spans="1:6">
      <c r="A160" t="str">
        <f>'Errores  Patrones'!C162</f>
        <v>TEC-LAB-MP-05</v>
      </c>
      <c r="B160" t="str">
        <f>'Errores  Patrones'!B162</f>
        <v>F1</v>
      </c>
      <c r="C160">
        <f>'Errores  Patrones'!L162</f>
        <v>6.7000000000000002E-5</v>
      </c>
      <c r="D160" s="408">
        <f>'Errores  Patrones'!M162</f>
        <v>6.7000000000000002E-5</v>
      </c>
      <c r="E160">
        <f t="shared" si="4"/>
        <v>0</v>
      </c>
      <c r="F160" t="str">
        <f t="shared" si="5"/>
        <v xml:space="preserve"> la U es mayor</v>
      </c>
    </row>
    <row r="161" spans="1:6">
      <c r="A161" t="str">
        <f>'Errores  Patrones'!C163</f>
        <v>TEC-LAB-MP-05</v>
      </c>
      <c r="B161" t="str">
        <f>'Errores  Patrones'!B163</f>
        <v>F1</v>
      </c>
      <c r="C161">
        <f>'Errores  Patrones'!L163</f>
        <v>8.2999999999999998E-5</v>
      </c>
      <c r="D161" s="408">
        <f>'Errores  Patrones'!M163</f>
        <v>8.2999999999999998E-5</v>
      </c>
      <c r="E161">
        <f t="shared" si="4"/>
        <v>0</v>
      </c>
      <c r="F161" t="str">
        <f t="shared" si="5"/>
        <v xml:space="preserve"> la U es mayor</v>
      </c>
    </row>
    <row r="162" spans="1:6">
      <c r="A162" t="str">
        <f>'Errores  Patrones'!C164</f>
        <v>TEC-LAB-MP-05</v>
      </c>
      <c r="B162" t="str">
        <f>'Errores  Patrones'!B164</f>
        <v>F1</v>
      </c>
      <c r="C162">
        <f>'Errores  Patrones'!L164</f>
        <v>8.2999999999999998E-5</v>
      </c>
      <c r="D162" s="408">
        <f>'Errores  Patrones'!M164</f>
        <v>8.2999999999999998E-5</v>
      </c>
      <c r="E162">
        <f t="shared" si="4"/>
        <v>0</v>
      </c>
      <c r="F162" t="str">
        <f t="shared" si="5"/>
        <v xml:space="preserve"> la U es mayor</v>
      </c>
    </row>
    <row r="163" spans="1:6">
      <c r="A163" t="str">
        <f>'Errores  Patrones'!C165</f>
        <v>TEC-LAB-MP-05</v>
      </c>
      <c r="B163" t="str">
        <f>'Errores  Patrones'!B165</f>
        <v>F1</v>
      </c>
      <c r="C163">
        <f>'Errores  Patrones'!L165</f>
        <v>1E-4</v>
      </c>
      <c r="D163" s="408">
        <f>'Errores  Patrones'!M165</f>
        <v>1E-4</v>
      </c>
      <c r="E163">
        <f t="shared" si="4"/>
        <v>0</v>
      </c>
      <c r="F163" t="str">
        <f t="shared" si="5"/>
        <v xml:space="preserve"> la U es mayor</v>
      </c>
    </row>
    <row r="164" spans="1:6">
      <c r="A164" t="str">
        <f>'Errores  Patrones'!C166</f>
        <v>TEC-LAB-MP-05</v>
      </c>
      <c r="B164" t="str">
        <f>'Errores  Patrones'!B166</f>
        <v>F1</v>
      </c>
      <c r="C164">
        <f>'Errores  Patrones'!L166</f>
        <v>1.7000000000000001E-4</v>
      </c>
      <c r="D164" s="408">
        <f>'Errores  Patrones'!M166</f>
        <v>1.7000000000000001E-4</v>
      </c>
      <c r="E164">
        <f t="shared" si="4"/>
        <v>0</v>
      </c>
      <c r="F164" t="str">
        <f t="shared" si="5"/>
        <v xml:space="preserve"> la U es mayor</v>
      </c>
    </row>
    <row r="165" spans="1:6">
      <c r="D165" s="408"/>
    </row>
    <row r="166" spans="1:6">
      <c r="D166" s="408"/>
    </row>
    <row r="167" spans="1:6">
      <c r="D167" s="408"/>
    </row>
    <row r="168" spans="1:6">
      <c r="D168" s="408"/>
    </row>
    <row r="169" spans="1:6">
      <c r="D169" s="408"/>
    </row>
    <row r="170" spans="1:6">
      <c r="D170" s="408"/>
    </row>
    <row r="171" spans="1:6">
      <c r="D171" s="408"/>
    </row>
    <row r="172" spans="1:6">
      <c r="D172" s="408"/>
    </row>
    <row r="173" spans="1:6">
      <c r="D173" s="408"/>
    </row>
    <row r="174" spans="1:6">
      <c r="D174" s="408"/>
    </row>
    <row r="175" spans="1:6">
      <c r="D175" s="408"/>
    </row>
    <row r="176" spans="1:6">
      <c r="D176" s="408"/>
    </row>
    <row r="177" spans="4:4">
      <c r="D177" s="408"/>
    </row>
    <row r="178" spans="4:4">
      <c r="D178" s="408"/>
    </row>
    <row r="179" spans="4:4">
      <c r="D179" s="408"/>
    </row>
    <row r="180" spans="4:4">
      <c r="D180" s="408"/>
    </row>
    <row r="181" spans="4:4">
      <c r="D181" s="408"/>
    </row>
    <row r="182" spans="4:4">
      <c r="D182" s="408"/>
    </row>
    <row r="183" spans="4:4">
      <c r="D183" s="408"/>
    </row>
    <row r="184" spans="4:4">
      <c r="D184" s="408"/>
    </row>
    <row r="185" spans="4:4">
      <c r="D185" s="408"/>
    </row>
    <row r="186" spans="4:4">
      <c r="D186" s="408"/>
    </row>
    <row r="187" spans="4:4">
      <c r="D187" s="408"/>
    </row>
    <row r="188" spans="4:4">
      <c r="D188" s="408"/>
    </row>
    <row r="189" spans="4:4">
      <c r="D189" s="408"/>
    </row>
    <row r="190" spans="4:4">
      <c r="D190" s="408"/>
    </row>
    <row r="191" spans="4:4">
      <c r="D191" s="408"/>
    </row>
    <row r="192" spans="4:4">
      <c r="D192" s="408"/>
    </row>
    <row r="193" spans="4:4">
      <c r="D193" s="408"/>
    </row>
    <row r="194" spans="4:4">
      <c r="D194" s="408"/>
    </row>
    <row r="195" spans="4:4">
      <c r="D195" s="408"/>
    </row>
    <row r="196" spans="4:4">
      <c r="D196" s="408"/>
    </row>
    <row r="197" spans="4:4">
      <c r="D197" s="408"/>
    </row>
    <row r="198" spans="4:4">
      <c r="D198" s="408"/>
    </row>
    <row r="199" spans="4:4">
      <c r="D199" s="408"/>
    </row>
    <row r="200" spans="4:4">
      <c r="D200" s="408"/>
    </row>
    <row r="201" spans="4:4">
      <c r="D201" s="408"/>
    </row>
    <row r="202" spans="4:4">
      <c r="D202" s="408"/>
    </row>
    <row r="203" spans="4:4">
      <c r="D203" s="408"/>
    </row>
    <row r="204" spans="4:4">
      <c r="D204" s="408"/>
    </row>
    <row r="205" spans="4:4">
      <c r="D205" s="408"/>
    </row>
    <row r="206" spans="4:4">
      <c r="D206" s="408"/>
    </row>
    <row r="207" spans="4:4">
      <c r="D207" s="408"/>
    </row>
    <row r="208" spans="4:4">
      <c r="D208" s="408"/>
    </row>
    <row r="209" spans="4:4">
      <c r="D209" s="408"/>
    </row>
    <row r="210" spans="4:4">
      <c r="D210" s="408"/>
    </row>
    <row r="211" spans="4:4">
      <c r="D211" s="408"/>
    </row>
    <row r="212" spans="4:4">
      <c r="D212" s="408"/>
    </row>
    <row r="213" spans="4:4">
      <c r="D213" s="408"/>
    </row>
    <row r="214" spans="4:4">
      <c r="D214" s="408"/>
    </row>
    <row r="215" spans="4:4">
      <c r="D215" s="408"/>
    </row>
    <row r="216" spans="4:4">
      <c r="D216" s="408"/>
    </row>
    <row r="217" spans="4:4">
      <c r="D217" s="408"/>
    </row>
    <row r="218" spans="4:4">
      <c r="D218" s="408"/>
    </row>
    <row r="219" spans="4:4">
      <c r="D219" s="408"/>
    </row>
    <row r="220" spans="4:4">
      <c r="D220" s="408"/>
    </row>
    <row r="221" spans="4:4">
      <c r="D221" s="408"/>
    </row>
    <row r="222" spans="4:4">
      <c r="D222" s="408"/>
    </row>
    <row r="223" spans="4:4">
      <c r="D223" s="408"/>
    </row>
    <row r="224" spans="4:4">
      <c r="D224" s="408"/>
    </row>
    <row r="225" spans="4:4">
      <c r="D225" s="408"/>
    </row>
    <row r="226" spans="4:4">
      <c r="D226" s="408"/>
    </row>
    <row r="227" spans="4:4">
      <c r="D227" s="408"/>
    </row>
    <row r="228" spans="4:4">
      <c r="D228" s="408"/>
    </row>
    <row r="229" spans="4:4">
      <c r="D229" s="408"/>
    </row>
    <row r="230" spans="4:4">
      <c r="D230" s="408"/>
    </row>
    <row r="231" spans="4:4">
      <c r="D231" s="408"/>
    </row>
    <row r="232" spans="4:4">
      <c r="D232" s="408"/>
    </row>
    <row r="233" spans="4:4">
      <c r="D233" s="408"/>
    </row>
    <row r="234" spans="4:4">
      <c r="D234" s="408"/>
    </row>
    <row r="235" spans="4:4">
      <c r="D235" s="408"/>
    </row>
    <row r="236" spans="4:4">
      <c r="D236" s="408"/>
    </row>
    <row r="237" spans="4:4">
      <c r="D237" s="408"/>
    </row>
    <row r="238" spans="4:4">
      <c r="D238" s="408"/>
    </row>
    <row r="239" spans="4:4">
      <c r="D239" s="408"/>
    </row>
    <row r="240" spans="4:4">
      <c r="D240" s="408"/>
    </row>
    <row r="241" spans="4:4">
      <c r="D241" s="408"/>
    </row>
    <row r="242" spans="4:4">
      <c r="D242" s="408"/>
    </row>
    <row r="243" spans="4:4">
      <c r="D243" s="408"/>
    </row>
    <row r="244" spans="4:4">
      <c r="D244" s="408"/>
    </row>
    <row r="245" spans="4:4">
      <c r="D245" s="408"/>
    </row>
    <row r="246" spans="4:4">
      <c r="D246" s="408"/>
    </row>
    <row r="247" spans="4:4">
      <c r="D247" s="408"/>
    </row>
    <row r="248" spans="4:4">
      <c r="D248" s="408"/>
    </row>
    <row r="249" spans="4:4">
      <c r="D249" s="408"/>
    </row>
    <row r="250" spans="4:4">
      <c r="D250" s="408"/>
    </row>
    <row r="251" spans="4:4">
      <c r="D251" s="408"/>
    </row>
    <row r="252" spans="4:4">
      <c r="D252" s="408"/>
    </row>
    <row r="253" spans="4:4">
      <c r="D253" s="408"/>
    </row>
    <row r="254" spans="4:4">
      <c r="D254" s="408"/>
    </row>
    <row r="255" spans="4:4">
      <c r="D255" s="408"/>
    </row>
    <row r="256" spans="4:4">
      <c r="D256" s="408"/>
    </row>
    <row r="257" spans="4:4">
      <c r="D257" s="408"/>
    </row>
    <row r="258" spans="4:4">
      <c r="D258" s="408"/>
    </row>
    <row r="259" spans="4:4">
      <c r="D259" s="408"/>
    </row>
    <row r="260" spans="4:4">
      <c r="D260" s="408"/>
    </row>
    <row r="261" spans="4:4">
      <c r="D261" s="408"/>
    </row>
    <row r="262" spans="4:4">
      <c r="D262" s="408"/>
    </row>
    <row r="263" spans="4:4">
      <c r="D263" s="408"/>
    </row>
    <row r="264" spans="4:4">
      <c r="D264" s="408"/>
    </row>
    <row r="265" spans="4:4">
      <c r="D265" s="408"/>
    </row>
    <row r="266" spans="4:4">
      <c r="D266" s="408"/>
    </row>
    <row r="267" spans="4:4">
      <c r="D267" s="408"/>
    </row>
    <row r="268" spans="4:4">
      <c r="D268" s="408"/>
    </row>
    <row r="269" spans="4:4">
      <c r="D269" s="408"/>
    </row>
    <row r="270" spans="4:4">
      <c r="D270" s="408"/>
    </row>
    <row r="271" spans="4:4">
      <c r="D271" s="408"/>
    </row>
    <row r="272" spans="4:4">
      <c r="D272" s="408"/>
    </row>
    <row r="273" spans="4:4">
      <c r="D273" s="408"/>
    </row>
    <row r="274" spans="4:4">
      <c r="D274" s="408"/>
    </row>
    <row r="275" spans="4:4">
      <c r="D275" s="408"/>
    </row>
    <row r="276" spans="4:4">
      <c r="D276" s="408"/>
    </row>
    <row r="277" spans="4:4">
      <c r="D277" s="408"/>
    </row>
    <row r="278" spans="4:4">
      <c r="D278" s="408"/>
    </row>
    <row r="279" spans="4:4">
      <c r="D279" s="408"/>
    </row>
    <row r="280" spans="4:4">
      <c r="D280" s="408"/>
    </row>
    <row r="281" spans="4:4">
      <c r="D281" s="408"/>
    </row>
    <row r="282" spans="4:4">
      <c r="D282" s="408"/>
    </row>
    <row r="283" spans="4:4">
      <c r="D283" s="408"/>
    </row>
    <row r="284" spans="4:4">
      <c r="D284" s="408"/>
    </row>
    <row r="285" spans="4:4">
      <c r="D285" s="408"/>
    </row>
    <row r="286" spans="4:4">
      <c r="D286" s="408"/>
    </row>
    <row r="287" spans="4:4">
      <c r="D287" s="408"/>
    </row>
    <row r="288" spans="4:4">
      <c r="D288" s="408"/>
    </row>
    <row r="289" spans="4:4">
      <c r="D289" s="408"/>
    </row>
    <row r="290" spans="4:4">
      <c r="D290" s="408"/>
    </row>
    <row r="291" spans="4:4">
      <c r="D291" s="408"/>
    </row>
    <row r="292" spans="4:4">
      <c r="D292" s="408"/>
    </row>
    <row r="293" spans="4:4">
      <c r="D293" s="408"/>
    </row>
    <row r="294" spans="4:4">
      <c r="D294" s="408"/>
    </row>
    <row r="295" spans="4:4">
      <c r="D295" s="408"/>
    </row>
    <row r="296" spans="4:4">
      <c r="D296" s="408"/>
    </row>
    <row r="297" spans="4:4">
      <c r="D297" s="408"/>
    </row>
    <row r="298" spans="4:4">
      <c r="D298" s="408"/>
    </row>
    <row r="299" spans="4:4">
      <c r="D299" s="408"/>
    </row>
    <row r="300" spans="4:4">
      <c r="D300" s="408"/>
    </row>
    <row r="301" spans="4:4">
      <c r="D301" s="408"/>
    </row>
    <row r="302" spans="4:4">
      <c r="D302" s="408"/>
    </row>
    <row r="303" spans="4:4">
      <c r="D303" s="408"/>
    </row>
    <row r="304" spans="4:4">
      <c r="D304" s="408"/>
    </row>
    <row r="305" spans="4:4">
      <c r="D305" s="408"/>
    </row>
    <row r="306" spans="4:4">
      <c r="D306" s="408"/>
    </row>
    <row r="307" spans="4:4">
      <c r="D307" s="408"/>
    </row>
    <row r="308" spans="4:4">
      <c r="D308" s="408"/>
    </row>
    <row r="309" spans="4:4">
      <c r="D309" s="408"/>
    </row>
    <row r="310" spans="4:4">
      <c r="D310" s="408"/>
    </row>
    <row r="311" spans="4:4">
      <c r="D311" s="408"/>
    </row>
    <row r="312" spans="4:4">
      <c r="D312" s="408"/>
    </row>
    <row r="313" spans="4:4">
      <c r="D313" s="408"/>
    </row>
    <row r="314" spans="4:4">
      <c r="D314" s="408"/>
    </row>
    <row r="315" spans="4:4">
      <c r="D315" s="408"/>
    </row>
    <row r="316" spans="4:4">
      <c r="D316" s="408"/>
    </row>
    <row r="317" spans="4:4">
      <c r="D317" s="408"/>
    </row>
    <row r="318" spans="4:4">
      <c r="D318" s="408"/>
    </row>
    <row r="319" spans="4:4">
      <c r="D319" s="408"/>
    </row>
    <row r="320" spans="4:4">
      <c r="D320" s="408"/>
    </row>
    <row r="321" spans="4:4">
      <c r="D321" s="408"/>
    </row>
    <row r="322" spans="4:4">
      <c r="D322" s="408"/>
    </row>
    <row r="323" spans="4:4">
      <c r="D323" s="408"/>
    </row>
    <row r="324" spans="4:4">
      <c r="D324" s="408"/>
    </row>
    <row r="325" spans="4:4">
      <c r="D325" s="408"/>
    </row>
    <row r="326" spans="4:4">
      <c r="D326" s="408"/>
    </row>
    <row r="327" spans="4:4">
      <c r="D327" s="408"/>
    </row>
    <row r="328" spans="4:4">
      <c r="D328" s="408"/>
    </row>
    <row r="329" spans="4:4">
      <c r="D329" s="408"/>
    </row>
    <row r="330" spans="4:4">
      <c r="D330" s="408"/>
    </row>
    <row r="331" spans="4:4">
      <c r="D331" s="408"/>
    </row>
    <row r="332" spans="4:4">
      <c r="D332" s="408"/>
    </row>
    <row r="333" spans="4:4">
      <c r="D333" s="408"/>
    </row>
    <row r="334" spans="4:4">
      <c r="D334" s="408"/>
    </row>
    <row r="335" spans="4:4">
      <c r="D335" s="408"/>
    </row>
    <row r="336" spans="4:4">
      <c r="D336" s="408"/>
    </row>
    <row r="337" spans="4:4">
      <c r="D337" s="408"/>
    </row>
    <row r="338" spans="4:4">
      <c r="D338" s="408"/>
    </row>
    <row r="339" spans="4:4">
      <c r="D339" s="408"/>
    </row>
    <row r="340" spans="4:4">
      <c r="D340" s="408"/>
    </row>
    <row r="341" spans="4:4">
      <c r="D341" s="408"/>
    </row>
    <row r="342" spans="4:4">
      <c r="D342" s="408"/>
    </row>
    <row r="343" spans="4:4">
      <c r="D343" s="408"/>
    </row>
    <row r="344" spans="4:4">
      <c r="D344" s="408"/>
    </row>
    <row r="345" spans="4:4">
      <c r="D345" s="408"/>
    </row>
    <row r="346" spans="4:4">
      <c r="D346" s="408"/>
    </row>
    <row r="347" spans="4:4">
      <c r="D347" s="408"/>
    </row>
    <row r="348" spans="4:4">
      <c r="D348" s="408"/>
    </row>
    <row r="349" spans="4:4">
      <c r="D349" s="408"/>
    </row>
    <row r="350" spans="4:4">
      <c r="D350" s="408"/>
    </row>
    <row r="351" spans="4:4">
      <c r="D351" s="408"/>
    </row>
    <row r="352" spans="4:4">
      <c r="D352" s="408"/>
    </row>
    <row r="353" spans="4:4">
      <c r="D353" s="408"/>
    </row>
    <row r="354" spans="4:4">
      <c r="D354" s="408"/>
    </row>
    <row r="355" spans="4:4">
      <c r="D355" s="408"/>
    </row>
    <row r="356" spans="4:4">
      <c r="D356" s="408"/>
    </row>
    <row r="357" spans="4:4">
      <c r="D357" s="408"/>
    </row>
    <row r="358" spans="4:4">
      <c r="D358" s="408"/>
    </row>
    <row r="359" spans="4:4">
      <c r="D359" s="408"/>
    </row>
    <row r="360" spans="4:4">
      <c r="D360" s="408"/>
    </row>
    <row r="361" spans="4:4">
      <c r="D361" s="408"/>
    </row>
    <row r="362" spans="4:4">
      <c r="D362" s="408"/>
    </row>
    <row r="363" spans="4:4">
      <c r="D363" s="408"/>
    </row>
    <row r="364" spans="4:4">
      <c r="D364" s="408"/>
    </row>
    <row r="365" spans="4:4">
      <c r="D365" s="408"/>
    </row>
    <row r="366" spans="4:4">
      <c r="D366" s="408"/>
    </row>
    <row r="367" spans="4:4">
      <c r="D367" s="408"/>
    </row>
    <row r="368" spans="4:4">
      <c r="D368" s="408"/>
    </row>
    <row r="369" spans="4:4">
      <c r="D369" s="408"/>
    </row>
    <row r="370" spans="4:4">
      <c r="D370" s="408"/>
    </row>
    <row r="371" spans="4:4">
      <c r="D371" s="408"/>
    </row>
    <row r="372" spans="4:4">
      <c r="D372" s="408"/>
    </row>
    <row r="373" spans="4:4">
      <c r="D373" s="408"/>
    </row>
    <row r="374" spans="4:4">
      <c r="D374" s="408"/>
    </row>
    <row r="375" spans="4:4">
      <c r="D375" s="408"/>
    </row>
    <row r="376" spans="4:4">
      <c r="D376" s="408"/>
    </row>
    <row r="377" spans="4:4">
      <c r="D377" s="408"/>
    </row>
    <row r="378" spans="4:4">
      <c r="D378" s="408"/>
    </row>
    <row r="379" spans="4:4">
      <c r="D379" s="408"/>
    </row>
    <row r="380" spans="4:4">
      <c r="D380" s="408"/>
    </row>
    <row r="381" spans="4:4">
      <c r="D381" s="408"/>
    </row>
    <row r="382" spans="4:4">
      <c r="D382" s="408"/>
    </row>
    <row r="383" spans="4:4">
      <c r="D383" s="408"/>
    </row>
    <row r="384" spans="4:4">
      <c r="D384" s="408"/>
    </row>
    <row r="385" spans="4:4">
      <c r="D385" s="408"/>
    </row>
    <row r="386" spans="4:4">
      <c r="D386" s="408"/>
    </row>
    <row r="387" spans="4:4">
      <c r="D387" s="408"/>
    </row>
    <row r="388" spans="4:4">
      <c r="D388" s="408"/>
    </row>
    <row r="389" spans="4:4">
      <c r="D389" s="408"/>
    </row>
    <row r="390" spans="4:4">
      <c r="D390" s="408"/>
    </row>
    <row r="391" spans="4:4">
      <c r="D391" s="408"/>
    </row>
    <row r="392" spans="4:4">
      <c r="D392" s="408"/>
    </row>
    <row r="393" spans="4:4">
      <c r="D393" s="408"/>
    </row>
    <row r="394" spans="4:4">
      <c r="D394" s="408"/>
    </row>
    <row r="395" spans="4:4">
      <c r="D395" s="408"/>
    </row>
    <row r="396" spans="4:4">
      <c r="D396" s="408"/>
    </row>
    <row r="397" spans="4:4">
      <c r="D397" s="408"/>
    </row>
    <row r="398" spans="4:4">
      <c r="D398" s="408"/>
    </row>
    <row r="399" spans="4:4">
      <c r="D399" s="408"/>
    </row>
    <row r="400" spans="4:4">
      <c r="D400" s="408"/>
    </row>
    <row r="401" spans="4:4">
      <c r="D401" s="408"/>
    </row>
    <row r="402" spans="4:4">
      <c r="D402" s="408"/>
    </row>
    <row r="403" spans="4:4">
      <c r="D403" s="408"/>
    </row>
    <row r="404" spans="4:4">
      <c r="D404" s="408"/>
    </row>
    <row r="405" spans="4:4">
      <c r="D405" s="408"/>
    </row>
    <row r="406" spans="4:4">
      <c r="D406" s="408"/>
    </row>
    <row r="407" spans="4:4">
      <c r="D407" s="408"/>
    </row>
    <row r="408" spans="4:4">
      <c r="D408" s="408"/>
    </row>
    <row r="409" spans="4:4">
      <c r="D409" s="408"/>
    </row>
    <row r="410" spans="4:4">
      <c r="D410" s="408"/>
    </row>
    <row r="411" spans="4:4">
      <c r="D411" s="408"/>
    </row>
    <row r="412" spans="4:4">
      <c r="D412" s="408"/>
    </row>
    <row r="413" spans="4:4">
      <c r="D413" s="408"/>
    </row>
    <row r="414" spans="4:4">
      <c r="D414" s="408"/>
    </row>
    <row r="415" spans="4:4">
      <c r="D415" s="408"/>
    </row>
    <row r="416" spans="4:4">
      <c r="D416" s="408"/>
    </row>
    <row r="417" spans="4:4">
      <c r="D417" s="408"/>
    </row>
    <row r="418" spans="4:4">
      <c r="D418" s="408"/>
    </row>
    <row r="419" spans="4:4">
      <c r="D419" s="408"/>
    </row>
    <row r="420" spans="4:4">
      <c r="D420" s="408"/>
    </row>
    <row r="421" spans="4:4">
      <c r="D421" s="408"/>
    </row>
    <row r="422" spans="4:4">
      <c r="D422" s="408"/>
    </row>
    <row r="423" spans="4:4">
      <c r="D423" s="408"/>
    </row>
    <row r="424" spans="4:4">
      <c r="D424" s="408"/>
    </row>
    <row r="425" spans="4:4">
      <c r="D425" s="408"/>
    </row>
    <row r="426" spans="4:4">
      <c r="D426" s="408"/>
    </row>
    <row r="427" spans="4:4">
      <c r="D427" s="408"/>
    </row>
    <row r="428" spans="4:4">
      <c r="D428" s="408"/>
    </row>
    <row r="429" spans="4:4">
      <c r="D429" s="408"/>
    </row>
    <row r="430" spans="4:4">
      <c r="D430" s="408"/>
    </row>
    <row r="431" spans="4:4">
      <c r="D431" s="408"/>
    </row>
    <row r="432" spans="4:4">
      <c r="D432" s="408"/>
    </row>
    <row r="433" spans="4:4">
      <c r="D433" s="408"/>
    </row>
    <row r="434" spans="4:4">
      <c r="D434" s="408"/>
    </row>
    <row r="435" spans="4:4">
      <c r="D435" s="408"/>
    </row>
    <row r="436" spans="4:4">
      <c r="D436" s="408"/>
    </row>
    <row r="437" spans="4:4">
      <c r="D437" s="408"/>
    </row>
    <row r="438" spans="4:4">
      <c r="D438" s="408"/>
    </row>
    <row r="439" spans="4:4">
      <c r="D439" s="408"/>
    </row>
    <row r="440" spans="4:4">
      <c r="D440" s="408"/>
    </row>
    <row r="441" spans="4:4">
      <c r="D441" s="408"/>
    </row>
    <row r="442" spans="4:4">
      <c r="D442" s="408"/>
    </row>
    <row r="443" spans="4:4">
      <c r="D443" s="408"/>
    </row>
    <row r="444" spans="4:4">
      <c r="D444" s="408"/>
    </row>
    <row r="445" spans="4:4">
      <c r="D445" s="408"/>
    </row>
    <row r="446" spans="4:4">
      <c r="D446" s="408"/>
    </row>
    <row r="447" spans="4:4">
      <c r="D447" s="408"/>
    </row>
    <row r="448" spans="4:4">
      <c r="D448" s="408"/>
    </row>
    <row r="449" spans="4:4">
      <c r="D449" s="408"/>
    </row>
    <row r="450" spans="4:4">
      <c r="D450" s="408"/>
    </row>
    <row r="451" spans="4:4">
      <c r="D451" s="408"/>
    </row>
    <row r="452" spans="4:4">
      <c r="D452" s="408"/>
    </row>
    <row r="453" spans="4:4">
      <c r="D453" s="408"/>
    </row>
    <row r="454" spans="4:4">
      <c r="D454" s="408"/>
    </row>
    <row r="455" spans="4:4">
      <c r="D455" s="408"/>
    </row>
    <row r="456" spans="4:4">
      <c r="D456" s="408"/>
    </row>
    <row r="457" spans="4:4">
      <c r="D457" s="408"/>
    </row>
    <row r="458" spans="4:4">
      <c r="D458" s="408"/>
    </row>
    <row r="459" spans="4:4">
      <c r="D459" s="408"/>
    </row>
    <row r="460" spans="4:4">
      <c r="D460" s="408"/>
    </row>
    <row r="461" spans="4:4">
      <c r="D461" s="408"/>
    </row>
    <row r="462" spans="4:4">
      <c r="D462" s="408"/>
    </row>
    <row r="463" spans="4:4">
      <c r="D463" s="408"/>
    </row>
    <row r="464" spans="4:4">
      <c r="D464" s="408"/>
    </row>
    <row r="465" spans="4:4">
      <c r="D465" s="408"/>
    </row>
    <row r="466" spans="4:4">
      <c r="D466" s="408"/>
    </row>
    <row r="467" spans="4:4">
      <c r="D467" s="408"/>
    </row>
    <row r="468" spans="4:4">
      <c r="D468" s="408"/>
    </row>
    <row r="469" spans="4:4">
      <c r="D469" s="408"/>
    </row>
    <row r="470" spans="4:4">
      <c r="D470" s="408"/>
    </row>
    <row r="471" spans="4:4">
      <c r="D471" s="408"/>
    </row>
    <row r="472" spans="4:4">
      <c r="D472" s="408"/>
    </row>
    <row r="473" spans="4:4">
      <c r="D473" s="408"/>
    </row>
    <row r="474" spans="4:4">
      <c r="D474" s="408"/>
    </row>
    <row r="475" spans="4:4">
      <c r="D475" s="408"/>
    </row>
    <row r="476" spans="4:4">
      <c r="D476" s="408"/>
    </row>
    <row r="477" spans="4:4">
      <c r="D477" s="408"/>
    </row>
    <row r="478" spans="4:4">
      <c r="D478" s="408"/>
    </row>
    <row r="479" spans="4:4">
      <c r="D479" s="408"/>
    </row>
    <row r="480" spans="4:4">
      <c r="D480" s="408"/>
    </row>
    <row r="481" spans="4:4">
      <c r="D481" s="408"/>
    </row>
    <row r="482" spans="4:4">
      <c r="D482" s="408"/>
    </row>
    <row r="483" spans="4:4">
      <c r="D483" s="408"/>
    </row>
    <row r="484" spans="4:4">
      <c r="D484" s="408"/>
    </row>
    <row r="485" spans="4:4">
      <c r="D485" s="408"/>
    </row>
    <row r="486" spans="4:4">
      <c r="D486" s="408"/>
    </row>
    <row r="487" spans="4:4">
      <c r="D487" s="408"/>
    </row>
    <row r="488" spans="4:4">
      <c r="D488" s="408"/>
    </row>
    <row r="489" spans="4:4">
      <c r="D489" s="408"/>
    </row>
    <row r="490" spans="4:4">
      <c r="D490" s="408"/>
    </row>
    <row r="491" spans="4:4">
      <c r="D491" s="408"/>
    </row>
    <row r="492" spans="4:4">
      <c r="D492" s="408"/>
    </row>
    <row r="493" spans="4:4">
      <c r="D493" s="408"/>
    </row>
    <row r="494" spans="4:4">
      <c r="D494" s="408"/>
    </row>
    <row r="495" spans="4:4">
      <c r="D495" s="408"/>
    </row>
    <row r="496" spans="4:4">
      <c r="D496" s="408"/>
    </row>
    <row r="497" spans="4:4">
      <c r="D497" s="408"/>
    </row>
    <row r="498" spans="4:4">
      <c r="D498" s="408"/>
    </row>
    <row r="499" spans="4:4">
      <c r="D499" s="408"/>
    </row>
    <row r="500" spans="4:4">
      <c r="D500" s="408"/>
    </row>
    <row r="501" spans="4:4">
      <c r="D501" s="408"/>
    </row>
    <row r="502" spans="4:4">
      <c r="D502" s="408"/>
    </row>
    <row r="503" spans="4:4">
      <c r="D503" s="408"/>
    </row>
    <row r="504" spans="4:4">
      <c r="D504" s="408"/>
    </row>
    <row r="505" spans="4:4">
      <c r="D505" s="408"/>
    </row>
    <row r="506" spans="4:4">
      <c r="D506" s="408"/>
    </row>
    <row r="507" spans="4:4">
      <c r="D507" s="408"/>
    </row>
    <row r="508" spans="4:4">
      <c r="D508" s="408"/>
    </row>
    <row r="509" spans="4:4">
      <c r="D509" s="408"/>
    </row>
    <row r="510" spans="4:4">
      <c r="D510" s="408"/>
    </row>
    <row r="511" spans="4:4">
      <c r="D511" s="408"/>
    </row>
    <row r="512" spans="4:4">
      <c r="D512" s="408"/>
    </row>
    <row r="513" spans="4:4">
      <c r="D513" s="408"/>
    </row>
    <row r="514" spans="4:4">
      <c r="D514" s="408"/>
    </row>
    <row r="515" spans="4:4">
      <c r="D515" s="408"/>
    </row>
    <row r="516" spans="4:4">
      <c r="D516" s="408"/>
    </row>
    <row r="517" spans="4:4">
      <c r="D517" s="408"/>
    </row>
    <row r="518" spans="4:4">
      <c r="D518" s="408"/>
    </row>
    <row r="519" spans="4:4">
      <c r="D519" s="408"/>
    </row>
    <row r="520" spans="4:4">
      <c r="D520" s="408"/>
    </row>
    <row r="521" spans="4:4">
      <c r="D521" s="408"/>
    </row>
    <row r="522" spans="4:4">
      <c r="D522" s="408"/>
    </row>
    <row r="523" spans="4:4">
      <c r="D523" s="408"/>
    </row>
    <row r="524" spans="4:4">
      <c r="D524" s="408"/>
    </row>
    <row r="525" spans="4:4">
      <c r="D525" s="408"/>
    </row>
    <row r="526" spans="4:4">
      <c r="D526" s="408"/>
    </row>
    <row r="527" spans="4:4">
      <c r="D527" s="408"/>
    </row>
    <row r="528" spans="4:4">
      <c r="D528" s="408"/>
    </row>
    <row r="529" spans="4:4">
      <c r="D529" s="408"/>
    </row>
    <row r="530" spans="4:4">
      <c r="D530" s="408"/>
    </row>
    <row r="531" spans="4:4">
      <c r="D531" s="408"/>
    </row>
    <row r="532" spans="4:4">
      <c r="D532" s="408"/>
    </row>
    <row r="533" spans="4:4">
      <c r="D533" s="408"/>
    </row>
    <row r="534" spans="4:4">
      <c r="D534" s="408"/>
    </row>
    <row r="535" spans="4:4">
      <c r="D535" s="408"/>
    </row>
    <row r="536" spans="4:4">
      <c r="D536" s="408"/>
    </row>
    <row r="537" spans="4:4">
      <c r="D537" s="408"/>
    </row>
    <row r="538" spans="4:4">
      <c r="D538" s="408"/>
    </row>
    <row r="539" spans="4:4">
      <c r="D539" s="408"/>
    </row>
    <row r="540" spans="4:4">
      <c r="D540" s="408"/>
    </row>
    <row r="541" spans="4:4">
      <c r="D541" s="408"/>
    </row>
    <row r="542" spans="4:4">
      <c r="D542" s="408"/>
    </row>
    <row r="543" spans="4:4">
      <c r="D543" s="408"/>
    </row>
    <row r="544" spans="4:4">
      <c r="D544" s="408"/>
    </row>
    <row r="545" spans="4:4">
      <c r="D545" s="408"/>
    </row>
    <row r="546" spans="4:4">
      <c r="D546" s="408"/>
    </row>
    <row r="547" spans="4:4">
      <c r="D547" s="408"/>
    </row>
    <row r="548" spans="4:4">
      <c r="D548" s="408"/>
    </row>
    <row r="549" spans="4:4">
      <c r="D549" s="408"/>
    </row>
    <row r="550" spans="4:4">
      <c r="D550" s="408"/>
    </row>
    <row r="551" spans="4:4">
      <c r="D551" s="408"/>
    </row>
    <row r="552" spans="4:4">
      <c r="D552" s="408"/>
    </row>
    <row r="553" spans="4:4">
      <c r="D553" s="408"/>
    </row>
    <row r="554" spans="4:4">
      <c r="D554" s="408"/>
    </row>
    <row r="555" spans="4:4">
      <c r="D555" s="408"/>
    </row>
    <row r="556" spans="4:4">
      <c r="D556" s="408"/>
    </row>
    <row r="557" spans="4:4">
      <c r="D557" s="408"/>
    </row>
    <row r="558" spans="4:4">
      <c r="D558" s="408"/>
    </row>
    <row r="559" spans="4:4">
      <c r="D559" s="408"/>
    </row>
    <row r="560" spans="4:4">
      <c r="D560" s="408"/>
    </row>
    <row r="561" spans="4:4">
      <c r="D561" s="408"/>
    </row>
    <row r="562" spans="4:4">
      <c r="D562" s="408"/>
    </row>
    <row r="563" spans="4:4">
      <c r="D563" s="408"/>
    </row>
    <row r="564" spans="4:4">
      <c r="D564" s="408"/>
    </row>
    <row r="565" spans="4:4">
      <c r="D565" s="408"/>
    </row>
    <row r="566" spans="4:4">
      <c r="D566" s="408"/>
    </row>
    <row r="567" spans="4:4">
      <c r="D567" s="408"/>
    </row>
    <row r="568" spans="4:4">
      <c r="D568" s="408"/>
    </row>
    <row r="569" spans="4:4">
      <c r="D569" s="408"/>
    </row>
    <row r="570" spans="4:4">
      <c r="D570" s="408"/>
    </row>
    <row r="571" spans="4:4">
      <c r="D571" s="408"/>
    </row>
    <row r="572" spans="4:4">
      <c r="D572" s="408"/>
    </row>
    <row r="573" spans="4:4">
      <c r="D573" s="408"/>
    </row>
    <row r="574" spans="4:4">
      <c r="D574" s="408"/>
    </row>
    <row r="575" spans="4:4">
      <c r="D575" s="408"/>
    </row>
    <row r="576" spans="4:4">
      <c r="D576" s="408"/>
    </row>
    <row r="577" spans="4:4">
      <c r="D577" s="408"/>
    </row>
    <row r="578" spans="4:4">
      <c r="D578" s="408"/>
    </row>
    <row r="579" spans="4:4">
      <c r="D579" s="408"/>
    </row>
    <row r="580" spans="4:4">
      <c r="D580" s="408"/>
    </row>
    <row r="581" spans="4:4">
      <c r="D581" s="408"/>
    </row>
    <row r="582" spans="4:4">
      <c r="D582" s="408"/>
    </row>
    <row r="583" spans="4:4">
      <c r="D583" s="408"/>
    </row>
    <row r="584" spans="4:4">
      <c r="D584" s="408"/>
    </row>
    <row r="585" spans="4:4">
      <c r="D585" s="408"/>
    </row>
    <row r="586" spans="4:4">
      <c r="D586" s="408"/>
    </row>
    <row r="587" spans="4:4">
      <c r="D587" s="408"/>
    </row>
    <row r="588" spans="4:4">
      <c r="D588" s="408"/>
    </row>
    <row r="589" spans="4:4">
      <c r="D589" s="408"/>
    </row>
    <row r="590" spans="4:4">
      <c r="D590" s="408"/>
    </row>
    <row r="591" spans="4:4">
      <c r="D591" s="408"/>
    </row>
    <row r="592" spans="4:4">
      <c r="D592" s="408"/>
    </row>
    <row r="593" spans="4:4">
      <c r="D593" s="408"/>
    </row>
    <row r="594" spans="4:4">
      <c r="D594" s="408"/>
    </row>
    <row r="595" spans="4:4">
      <c r="D595" s="408"/>
    </row>
    <row r="596" spans="4:4">
      <c r="D596" s="408"/>
    </row>
    <row r="597" spans="4:4">
      <c r="D597" s="408"/>
    </row>
    <row r="598" spans="4:4">
      <c r="D598" s="408"/>
    </row>
    <row r="599" spans="4:4">
      <c r="D599" s="408"/>
    </row>
    <row r="600" spans="4:4">
      <c r="D600" s="408"/>
    </row>
    <row r="601" spans="4:4">
      <c r="D601" s="408"/>
    </row>
    <row r="602" spans="4:4">
      <c r="D602" s="408"/>
    </row>
    <row r="603" spans="4:4">
      <c r="D603" s="408"/>
    </row>
    <row r="604" spans="4:4">
      <c r="D604" s="408"/>
    </row>
    <row r="605" spans="4:4">
      <c r="D605" s="408"/>
    </row>
    <row r="606" spans="4:4">
      <c r="D606" s="408"/>
    </row>
    <row r="607" spans="4:4">
      <c r="D607" s="408"/>
    </row>
    <row r="608" spans="4:4">
      <c r="D608" s="408"/>
    </row>
    <row r="609" spans="4:4">
      <c r="D609" s="408"/>
    </row>
    <row r="610" spans="4:4">
      <c r="D610" s="408"/>
    </row>
    <row r="611" spans="4:4">
      <c r="D611" s="408"/>
    </row>
    <row r="612" spans="4:4">
      <c r="D612" s="408"/>
    </row>
    <row r="613" spans="4:4">
      <c r="D613" s="408"/>
    </row>
    <row r="614" spans="4:4">
      <c r="D614" s="408"/>
    </row>
    <row r="615" spans="4:4">
      <c r="D615" s="408"/>
    </row>
    <row r="616" spans="4:4">
      <c r="D616" s="408"/>
    </row>
    <row r="617" spans="4:4">
      <c r="D617" s="408"/>
    </row>
    <row r="618" spans="4:4">
      <c r="D618" s="408"/>
    </row>
    <row r="619" spans="4:4">
      <c r="D619" s="408"/>
    </row>
    <row r="620" spans="4:4">
      <c r="D620" s="408"/>
    </row>
    <row r="621" spans="4:4">
      <c r="D621" s="408"/>
    </row>
    <row r="622" spans="4:4">
      <c r="D622" s="408"/>
    </row>
    <row r="623" spans="4:4">
      <c r="D623" s="408"/>
    </row>
    <row r="624" spans="4:4">
      <c r="D624" s="408"/>
    </row>
    <row r="625" spans="4:4">
      <c r="D625" s="408"/>
    </row>
    <row r="626" spans="4:4">
      <c r="D626" s="408"/>
    </row>
    <row r="627" spans="4:4">
      <c r="D627" s="408"/>
    </row>
    <row r="628" spans="4:4">
      <c r="D628" s="408"/>
    </row>
    <row r="629" spans="4:4">
      <c r="D629" s="408"/>
    </row>
    <row r="630" spans="4:4">
      <c r="D630" s="408"/>
    </row>
    <row r="631" spans="4:4">
      <c r="D631" s="408"/>
    </row>
    <row r="632" spans="4:4">
      <c r="D632" s="408"/>
    </row>
    <row r="633" spans="4:4">
      <c r="D633" s="408"/>
    </row>
    <row r="634" spans="4:4">
      <c r="D634" s="408"/>
    </row>
    <row r="635" spans="4:4">
      <c r="D635" s="408"/>
    </row>
    <row r="636" spans="4:4">
      <c r="D636" s="408"/>
    </row>
    <row r="637" spans="4:4">
      <c r="D637" s="408"/>
    </row>
    <row r="638" spans="4:4">
      <c r="D638" s="408"/>
    </row>
    <row r="639" spans="4:4">
      <c r="D639" s="408"/>
    </row>
    <row r="640" spans="4:4">
      <c r="D640" s="408"/>
    </row>
    <row r="641" spans="4:4">
      <c r="D641" s="408"/>
    </row>
    <row r="642" spans="4:4">
      <c r="D642" s="408"/>
    </row>
    <row r="643" spans="4:4">
      <c r="D643" s="408"/>
    </row>
    <row r="644" spans="4:4">
      <c r="D644" s="408"/>
    </row>
    <row r="645" spans="4:4">
      <c r="D645" s="408"/>
    </row>
    <row r="646" spans="4:4">
      <c r="D646" s="408"/>
    </row>
    <row r="647" spans="4:4">
      <c r="D647" s="408"/>
    </row>
    <row r="648" spans="4:4">
      <c r="D648" s="408"/>
    </row>
    <row r="649" spans="4:4">
      <c r="D649" s="408"/>
    </row>
    <row r="650" spans="4:4">
      <c r="D650" s="408"/>
    </row>
    <row r="651" spans="4:4">
      <c r="D651" s="408"/>
    </row>
    <row r="652" spans="4:4">
      <c r="D652" s="408"/>
    </row>
    <row r="653" spans="4:4">
      <c r="D653" s="408"/>
    </row>
    <row r="654" spans="4:4">
      <c r="D654" s="408"/>
    </row>
    <row r="655" spans="4:4">
      <c r="D655" s="408"/>
    </row>
    <row r="656" spans="4:4">
      <c r="D656" s="408"/>
    </row>
    <row r="657" spans="4:4">
      <c r="D657" s="408"/>
    </row>
    <row r="658" spans="4:4">
      <c r="D658" s="408"/>
    </row>
    <row r="659" spans="4:4">
      <c r="D659" s="408"/>
    </row>
    <row r="660" spans="4:4">
      <c r="D660" s="408"/>
    </row>
    <row r="661" spans="4:4">
      <c r="D661" s="408"/>
    </row>
    <row r="662" spans="4:4">
      <c r="D662" s="408"/>
    </row>
    <row r="663" spans="4:4">
      <c r="D663" s="408"/>
    </row>
    <row r="664" spans="4:4">
      <c r="D664" s="408"/>
    </row>
    <row r="665" spans="4:4">
      <c r="D665" s="408"/>
    </row>
    <row r="666" spans="4:4">
      <c r="D666" s="408"/>
    </row>
    <row r="667" spans="4:4">
      <c r="D667" s="408"/>
    </row>
    <row r="668" spans="4:4">
      <c r="D668" s="408"/>
    </row>
    <row r="669" spans="4:4">
      <c r="D669" s="408"/>
    </row>
    <row r="670" spans="4:4">
      <c r="D670" s="408"/>
    </row>
    <row r="671" spans="4:4">
      <c r="D671" s="408"/>
    </row>
    <row r="672" spans="4:4">
      <c r="D672" s="408"/>
    </row>
    <row r="673" spans="4:4">
      <c r="D673" s="408"/>
    </row>
    <row r="674" spans="4:4">
      <c r="D674" s="408"/>
    </row>
    <row r="675" spans="4:4">
      <c r="D675" s="408"/>
    </row>
    <row r="676" spans="4:4">
      <c r="D676" s="40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AD179"/>
  <sheetViews>
    <sheetView topLeftCell="A16" zoomScale="80" zoomScaleNormal="80" workbookViewId="0">
      <selection activeCell="K19" sqref="K19"/>
    </sheetView>
  </sheetViews>
  <sheetFormatPr baseColWidth="10" defaultRowHeight="15"/>
  <cols>
    <col min="9" max="9" width="11.42578125" customWidth="1"/>
  </cols>
  <sheetData>
    <row r="1" spans="1:30" ht="15.75" thickBot="1">
      <c r="A1" t="s">
        <v>46</v>
      </c>
    </row>
    <row r="2" spans="1:30" ht="24" thickBot="1">
      <c r="A2" t="s">
        <v>47</v>
      </c>
      <c r="F2" s="163" t="s">
        <v>981</v>
      </c>
      <c r="I2" s="1835" t="e">
        <f>IF(AND(F8="CUMPLE",F10="CUMPLE",F12="CUMPLE",F14="CUMPLE",F16="CUMPLE",F23="CUMPLE",F24="CUMPLE",F25="CUMPLE",G23="CUMPLE",G24="CUMPLE",I23="CUMPLE",Q8="CUMPLE",Q10="CUMPLE",Q12="CUMPLE",Q14="CUMPLE",Q16="CUMPLE",Q18="CUMPLE",Q23="CUMPLE",R23="CUMPLE",R24="CUMPLE",R25="CUMPLE",T23="CUMPLE",A51="CUMPLE",A52="CUMPLE",D51="CUMPLE",D52="CUMPLE",J51="CUMPLE",J52="CUMPLE",L51="CUMPLE",L52="CUMPLE",P51="CUMPLE",V52="CUMPLE",P52="CUMPLE",S51="CUMPLE",S52="CUMPLE",V51="CUMPLE",H74="CUMPLE",H75="CUMPLE",L74="CUMPLE",L75="CUMPLE",P83="CUMPLE",P84="CUMPLE",P85="CUMPLE",P86="CUMPLE",P87="CUMPLE",P88="CUMPLE",P89="CUMPLE",L96="CUMPLE",P96="CUMPLE",L98="CUMPLE",L99="CUMPLE",L100="CUMPLE",L101="CUMPLE",L102="CUMPLE",L103="CUMPLE",L104="CUMPLE",L105="CUMPLE",L106="CUMPLE",L107="CUMPLE",L108="CUMPLE",P98="CUMPLE",P99="CUMPLE",P100="CUMPLE",P101="CUMPLE",P102="CUMPLE",P103="CUMPLE",P104="CUMPLE",P105="CUMPLE",P106="CUMPLE",P107="CUMPLE",P108="CUMPLE",D117="CUMPLE",D118="CUMPLE",D119="CUMPLE",D120="CUMPLE",D121="CUMPLE",D122="CUMPLE",D123="CUMPLE",D124="CUMPLE",D125="CUMPLE",D126="CUMPLE",E117="CUMPLE",E118="CUMPLE",E119="CUMPLE",E120="CUMPLE",E121="CUMPLE",E122="CUMPLE",E123,E124,E125,E126,H117,H118,H119,H120,H121,H122,H123,H124,H125,H126,L117,L118,L119,L120,L121,L122,L123,L124,L125,L126,P117,P118,P119,P120,P121,P122,P123="CUMPLE",P124="CUMPLE",P125="CUMPLE",P126="CUMPLE",S117="CUMPLE",S118="CUMPLE",S119="CUMPLE",S120="CUMPLE",S121="CUMPLE",S122="CUMPLE",S123="CUMPLE",S124="CUMPLE",S125="CUMPLE",S126="CUMPLE",D154="CUMPLE",G154="CUMPLE",K154="CUMPLE",Q154="CUMPLE",C163="CUMPLE",I163="CUMPLE"),"CUMPLE","REVISAR")</f>
        <v>#VALUE!</v>
      </c>
      <c r="J2" s="1836"/>
      <c r="K2" s="1836"/>
      <c r="L2" s="1837"/>
    </row>
    <row r="5" spans="1:30">
      <c r="R5" t="s">
        <v>1</v>
      </c>
      <c r="V5" t="s">
        <v>384</v>
      </c>
    </row>
    <row r="6" spans="1:30">
      <c r="R6" t="s">
        <v>2</v>
      </c>
    </row>
    <row r="8" spans="1:30">
      <c r="A8" t="s">
        <v>367</v>
      </c>
      <c r="F8" t="str">
        <f>+IF('Certificado de calibración'!F14:J14='Verificación certificado'!F8,"CUMPLE","REVISAR")</f>
        <v>REVISAR</v>
      </c>
      <c r="N8" t="s">
        <v>74</v>
      </c>
      <c r="Q8" t="str">
        <f>IF('Certificado de calibración'!Q14:Y14='Verificación certificado'!Q8,"CUMPLE","REVISAR")</f>
        <v>REVISAR</v>
      </c>
    </row>
    <row r="9" spans="1:30">
      <c r="AD9" t="s">
        <v>124</v>
      </c>
    </row>
    <row r="10" spans="1:30">
      <c r="A10" t="s">
        <v>16</v>
      </c>
      <c r="F10" t="str">
        <f>IF('Certificado de calibración'!D16='Verificación certificado'!F10,"CUMPLE","REVISAR")</f>
        <v>REVISAR</v>
      </c>
      <c r="N10" t="s">
        <v>13</v>
      </c>
      <c r="Q10" t="str">
        <f>IF('Certificado de calibración'!E20='Verificación certificado'!Q10,"CUMPLE","REVISAR")</f>
        <v>REVISAR</v>
      </c>
    </row>
    <row r="12" spans="1:30">
      <c r="A12" t="s">
        <v>17</v>
      </c>
      <c r="F12" t="e">
        <f>IF('Certificado de calibración'!H23:M23='Verificación certificado'!F12,"CUMPLE","REVISAR")</f>
        <v>#VALUE!</v>
      </c>
      <c r="N12" t="s">
        <v>12</v>
      </c>
      <c r="Q12" t="e">
        <f>IF('Certificado de calibración'!#REF!='Verificación certificado'!Q12,"CUMPLE","REVISAR")</f>
        <v>#REF!</v>
      </c>
    </row>
    <row r="14" spans="1:30">
      <c r="A14" t="s">
        <v>75</v>
      </c>
      <c r="F14" t="e">
        <f>IF('Certificado de calibración'!G19:L19='Verificación certificado'!F14,"CUMPLE","REVISAR")</f>
        <v>#VALUE!</v>
      </c>
      <c r="N14" t="s">
        <v>30</v>
      </c>
      <c r="Q14" t="str">
        <f>IF('Certificado de calibración'!Q19:W19='Verificación certificado'!Q14,"CUMPLE","REVISAR")</f>
        <v>REVISAR</v>
      </c>
    </row>
    <row r="16" spans="1:30">
      <c r="A16" t="s">
        <v>76</v>
      </c>
      <c r="F16" t="str">
        <f>IF('Certificado de calibración'!E20:K20='Verificación certificado'!F16:K16,"CUMPLE","REVISAR")</f>
        <v>REVISAR</v>
      </c>
      <c r="N16" t="s">
        <v>29</v>
      </c>
      <c r="Q16" t="e">
        <f>IF('Certificado de calibración'!S20:X20='Verificación certificado'!Q16,"CUMPLE","REVISAR")</f>
        <v>#VALUE!</v>
      </c>
      <c r="U16" t="s">
        <v>83</v>
      </c>
    </row>
    <row r="18" spans="1:21">
      <c r="A18" t="s">
        <v>138</v>
      </c>
      <c r="K18" t="s">
        <v>81</v>
      </c>
      <c r="N18" t="s">
        <v>14</v>
      </c>
      <c r="Q18" t="str">
        <f>IF('Certificado de calibración'!H23='Verificación certificado'!Q18,"CUMPLE","REVISAR")</f>
        <v>REVISAR</v>
      </c>
    </row>
    <row r="21" spans="1:21">
      <c r="A21" t="s">
        <v>368</v>
      </c>
    </row>
    <row r="23" spans="1:21">
      <c r="A23" t="s">
        <v>373</v>
      </c>
      <c r="F23" t="str">
        <f>IF('Certificado de calibración'!E28='Verificación certificado'!F23,"CUMPLE","REVISAR")</f>
        <v>CUMPLE</v>
      </c>
      <c r="G23" t="str">
        <f>IF('Certificado de calibración'!G28='Verificación certificado'!G23,"CUMPLE","REVISAR")</f>
        <v>CUMPLE</v>
      </c>
      <c r="H23" t="s">
        <v>372</v>
      </c>
      <c r="I23" t="str">
        <f>IF('Certificado de calibración'!$I$28:$J$28='Verificación certificado'!I23,"CUMPLE","REVISAR")</f>
        <v>REVISAR</v>
      </c>
      <c r="K23" t="s">
        <v>0</v>
      </c>
      <c r="N23" t="s">
        <v>369</v>
      </c>
      <c r="Q23" t="str">
        <f>IF('Certificado de calibración'!Q28='Verificación certificado'!Q23,"CUMPLE","REVISAR")</f>
        <v>REVISAR</v>
      </c>
      <c r="R23" t="str">
        <f>IF('Certificado de calibración'!R28='Verificación certificado'!R23,"CUMPLE","REVISAR")</f>
        <v>CUMPLE</v>
      </c>
      <c r="S23" t="s">
        <v>372</v>
      </c>
      <c r="T23" t="str">
        <f>IF('Certificado de calibración'!T28='Verificación certificado'!T23,"CUMPLE","REVISAR")</f>
        <v>REVISAR</v>
      </c>
      <c r="U23" t="s">
        <v>0</v>
      </c>
    </row>
    <row r="24" spans="1:21">
      <c r="A24" t="s">
        <v>392</v>
      </c>
      <c r="F24" t="str">
        <f>IF('Certificado de calibración'!E29='Verificación certificado'!F24,"CUMPLE","REVISAR")</f>
        <v>REVISAR</v>
      </c>
      <c r="G24" t="str">
        <f>IF('Certificado de calibración'!G29='Verificación certificado'!G24,"CUMPLE","REVISAR")</f>
        <v>CUMPLE</v>
      </c>
      <c r="N24" t="s">
        <v>370</v>
      </c>
      <c r="R24" t="str">
        <f>IF('Certificado de calibración'!T29='Verificación certificado'!R24,"CUMPLE","REVISAR")</f>
        <v>CUMPLE</v>
      </c>
      <c r="T24" t="s">
        <v>425</v>
      </c>
    </row>
    <row r="25" spans="1:21">
      <c r="A25" t="s">
        <v>137</v>
      </c>
      <c r="F25" t="str">
        <f>IF('Certificado de calibración'!E30='Verificación certificado'!F25,"CUMPLE","REVISAR")</f>
        <v>REVISAR</v>
      </c>
      <c r="G25" t="s">
        <v>0</v>
      </c>
      <c r="N25" t="s">
        <v>371</v>
      </c>
      <c r="R25" t="str">
        <f>IF('Certificado de calibración'!T30='Verificación certificado'!R25,"CUMPLE","REVISAR")</f>
        <v>CUMPLE</v>
      </c>
      <c r="T25" t="s">
        <v>425</v>
      </c>
    </row>
    <row r="29" spans="1:21">
      <c r="A29" t="s">
        <v>130</v>
      </c>
    </row>
    <row r="30" spans="1:21">
      <c r="A30" t="s">
        <v>129</v>
      </c>
    </row>
    <row r="34" spans="1:1">
      <c r="A34" t="s">
        <v>113</v>
      </c>
    </row>
    <row r="36" spans="1:1">
      <c r="A36" t="s">
        <v>374</v>
      </c>
    </row>
    <row r="37" spans="1:1">
      <c r="A37" t="s">
        <v>375</v>
      </c>
    </row>
    <row r="40" spans="1:1">
      <c r="A40" t="s">
        <v>427</v>
      </c>
    </row>
    <row r="42" spans="1:1">
      <c r="A42" t="s">
        <v>114</v>
      </c>
    </row>
    <row r="43" spans="1:1">
      <c r="A43" t="s">
        <v>103</v>
      </c>
    </row>
    <row r="45" spans="1:1">
      <c r="A45" t="s">
        <v>139</v>
      </c>
    </row>
    <row r="47" spans="1:1">
      <c r="A47" t="s">
        <v>49</v>
      </c>
    </row>
    <row r="48" spans="1:1">
      <c r="A48" t="s">
        <v>98</v>
      </c>
    </row>
    <row r="50" spans="1:23">
      <c r="A50" t="s">
        <v>15</v>
      </c>
      <c r="D50" t="s">
        <v>8</v>
      </c>
      <c r="J50" t="s">
        <v>10</v>
      </c>
      <c r="L50" t="s">
        <v>34</v>
      </c>
      <c r="P50" t="s">
        <v>9</v>
      </c>
      <c r="S50" t="s">
        <v>79</v>
      </c>
      <c r="V50" t="s">
        <v>80</v>
      </c>
    </row>
    <row r="51" spans="1:23">
      <c r="A51" t="str">
        <f>IF('Certificado de calibración'!A57:C57='Verificación certificado'!A51,"CUMPLE","REVISAR")</f>
        <v>REVISAR</v>
      </c>
      <c r="D51" t="str">
        <f>IF('Certificado de calibración'!D57:I57='Verificación certificado'!D51,"CUMPLE","REVISAR")</f>
        <v>REVISAR</v>
      </c>
      <c r="J51" t="str">
        <f>IF('Certificado de calibración'!J57:K57='Verificación certificado'!J51,"CUMPLE","REVISAR")</f>
        <v>REVISAR</v>
      </c>
      <c r="L51" t="e">
        <f>IF('Certificado de calibración'!M57:O57='Verificación certificado'!L51,"CUMPLE","REVISAR")</f>
        <v>#VALUE!</v>
      </c>
      <c r="P51" t="e">
        <f>IF('Certificado de calibración'!Q57:R57='Verificación certificado'!P51,"CUMPLE","REVISAR")</f>
        <v>#VALUE!</v>
      </c>
      <c r="S51" t="e">
        <f>IF('Certificado de calibración'!T57:U57='Verificación certificado'!S51,"CUMPLE","REVISAR")</f>
        <v>#VALUE!</v>
      </c>
      <c r="V51" t="str">
        <f>IF('Certificado de calibración'!V57:Y57='Verificación certificado'!V51,"CUMPLE","REVISAR")</f>
        <v>REVISAR</v>
      </c>
    </row>
    <row r="52" spans="1:23">
      <c r="A52" t="str">
        <f>IF('Certificado de calibración'!A58:C58='Verificación certificado'!A52,"CUMPLE","REVISAR")</f>
        <v>REVISAR</v>
      </c>
      <c r="D52" t="str">
        <f>IF('Certificado de calibración'!D58:I58='Verificación certificado'!D52,"CUMPLE","REVISAR")</f>
        <v>REVISAR</v>
      </c>
      <c r="J52" t="e">
        <f>IF('Certificado de calibración'!J58:K58='Verificación certificado'!J52,"CUMPLE","REVISAR")</f>
        <v>#N/A</v>
      </c>
      <c r="L52" t="e">
        <f>IF('Certificado de calibración'!M58:O58='Verificación certificado'!L52,"CUMPLE","REVISAR")</f>
        <v>#VALUE!</v>
      </c>
      <c r="P52" t="e">
        <f>IF('Certificado de calibración'!Q58:R58='Verificación certificado'!P52,"CUMPLE","REVISAR")</f>
        <v>#VALUE!</v>
      </c>
      <c r="S52" t="e">
        <f>IF('Certificado de calibración'!T58:U58='Verificación certificado'!S52,"CUMPLE","REVISAR")</f>
        <v>#VALUE!</v>
      </c>
      <c r="V52" t="str">
        <f>IF('Certificado de calibración'!V58:Y58='Verificación certificado'!V52,"CUMPLE","REVISAR")</f>
        <v>REVISAR</v>
      </c>
    </row>
    <row r="55" spans="1:23">
      <c r="A55" t="s">
        <v>27</v>
      </c>
    </row>
    <row r="56" spans="1:23">
      <c r="A56" t="s">
        <v>28</v>
      </c>
    </row>
    <row r="60" spans="1:23">
      <c r="A60" t="s">
        <v>287</v>
      </c>
      <c r="H60" t="s">
        <v>391</v>
      </c>
      <c r="O60" t="s">
        <v>425</v>
      </c>
    </row>
    <row r="61" spans="1:23">
      <c r="A61" t="s">
        <v>84</v>
      </c>
      <c r="H61" t="s">
        <v>135</v>
      </c>
      <c r="O61">
        <v>43214</v>
      </c>
    </row>
    <row r="62" spans="1:23">
      <c r="A62" t="s">
        <v>34</v>
      </c>
      <c r="H62" t="s">
        <v>121</v>
      </c>
      <c r="O62" t="s">
        <v>122</v>
      </c>
    </row>
    <row r="63" spans="1:23">
      <c r="A63" t="s">
        <v>5</v>
      </c>
      <c r="H63" t="s">
        <v>6</v>
      </c>
      <c r="O63" t="s">
        <v>7</v>
      </c>
      <c r="V63" t="s">
        <v>142</v>
      </c>
    </row>
    <row r="64" spans="1:23">
      <c r="W64" t="s">
        <v>428</v>
      </c>
    </row>
    <row r="66" spans="1:22">
      <c r="A66" t="s">
        <v>46</v>
      </c>
    </row>
    <row r="67" spans="1:22">
      <c r="A67" t="s">
        <v>47</v>
      </c>
    </row>
    <row r="69" spans="1:22">
      <c r="R69" t="s">
        <v>1</v>
      </c>
      <c r="V69" t="s">
        <v>384</v>
      </c>
    </row>
    <row r="70" spans="1:22">
      <c r="R70" t="s">
        <v>2</v>
      </c>
    </row>
    <row r="72" spans="1:22">
      <c r="A72" t="s">
        <v>131</v>
      </c>
    </row>
    <row r="74" spans="1:22">
      <c r="A74" t="s">
        <v>140</v>
      </c>
      <c r="F74" t="s">
        <v>78</v>
      </c>
      <c r="H74" t="str">
        <f>IF('Certificado de calibración'!H83:I83='Verificación certificado'!H74,"CUMPLE","REVISAR")</f>
        <v>REVISAR</v>
      </c>
      <c r="J74" t="s">
        <v>77</v>
      </c>
      <c r="L74" t="str">
        <f>IF('Certificado de calibración'!L83:M83='Verificación certificado'!L74,"CUMPLE","REVISAR")</f>
        <v>REVISAR</v>
      </c>
    </row>
    <row r="75" spans="1:22">
      <c r="A75" t="s">
        <v>141</v>
      </c>
      <c r="F75" t="s">
        <v>78</v>
      </c>
      <c r="H75" t="str">
        <f>IF('Certificado de calibración'!H84:I84='Verificación certificado'!H75,"CUMPLE","REVISAR")</f>
        <v>REVISAR</v>
      </c>
      <c r="I75" t="s">
        <v>102</v>
      </c>
      <c r="J75" t="s">
        <v>77</v>
      </c>
      <c r="L75" t="str">
        <f>IF('Certificado de calibración'!L84:M84='Verificación certificado'!L75,"CUMPLE","REVISAR")</f>
        <v>REVISAR</v>
      </c>
      <c r="M75" t="s">
        <v>102</v>
      </c>
    </row>
    <row r="78" spans="1:22">
      <c r="A78" t="s">
        <v>115</v>
      </c>
    </row>
    <row r="79" spans="1:22">
      <c r="A79" t="s">
        <v>429</v>
      </c>
    </row>
    <row r="81" spans="1:16">
      <c r="L81" t="s">
        <v>48</v>
      </c>
      <c r="P81" t="s">
        <v>430</v>
      </c>
    </row>
    <row r="83" spans="1:16">
      <c r="L83">
        <v>1</v>
      </c>
      <c r="P83" t="str">
        <f>IF('Certificado de calibración'!P92:S92='Verificación certificado'!P83,"CUMPLE","REVISAR")</f>
        <v>REVISAR</v>
      </c>
    </row>
    <row r="84" spans="1:16">
      <c r="L84">
        <v>2</v>
      </c>
      <c r="P84" t="str">
        <f>IF('Certificado de calibración'!P93:S93='Verificación certificado'!P84,"CUMPLE","REVISAR")</f>
        <v>REVISAR</v>
      </c>
    </row>
    <row r="85" spans="1:16">
      <c r="L85">
        <v>3</v>
      </c>
      <c r="P85" t="str">
        <f>IF('Certificado de calibración'!P94:S94='Verificación certificado'!P85,"CUMPLE","REVISAR")</f>
        <v>REVISAR</v>
      </c>
    </row>
    <row r="86" spans="1:16">
      <c r="L86">
        <v>4</v>
      </c>
      <c r="P86" t="str">
        <f>IF('Certificado de calibración'!P95:S95='Verificación certificado'!P86,"CUMPLE","REVISAR")</f>
        <v>REVISAR</v>
      </c>
    </row>
    <row r="87" spans="1:16">
      <c r="D87" t="s">
        <v>299</v>
      </c>
      <c r="E87" t="s">
        <v>425</v>
      </c>
      <c r="H87" t="s">
        <v>425</v>
      </c>
      <c r="L87">
        <v>5</v>
      </c>
      <c r="P87" t="str">
        <f>IF('Certificado de calibración'!P96:S96='Verificación certificado'!P87,"CUMPLE","REVISAR")</f>
        <v>REVISAR</v>
      </c>
    </row>
    <row r="88" spans="1:16">
      <c r="L88">
        <v>1</v>
      </c>
      <c r="P88" t="str">
        <f>IF('Certificado de calibración'!P97:S97='Verificación certificado'!P88,"CUMPLE","REVISAR")</f>
        <v>REVISAR</v>
      </c>
    </row>
    <row r="89" spans="1:16">
      <c r="L89" t="s">
        <v>434</v>
      </c>
      <c r="P89" t="str">
        <f>IF('Certificado de calibración'!P98:S98='Verificación certificado'!P89,"CUMPLE","REVISAR")</f>
        <v>REVISAR</v>
      </c>
    </row>
    <row r="91" spans="1:16">
      <c r="A91" t="s">
        <v>116</v>
      </c>
    </row>
    <row r="93" spans="1:16">
      <c r="A93" t="s">
        <v>104</v>
      </c>
    </row>
    <row r="94" spans="1:16">
      <c r="A94" t="s">
        <v>133</v>
      </c>
      <c r="G94" t="s">
        <v>436</v>
      </c>
    </row>
    <row r="95" spans="1:16">
      <c r="H95" t="s">
        <v>18</v>
      </c>
      <c r="L95" t="s">
        <v>45</v>
      </c>
    </row>
    <row r="96" spans="1:16">
      <c r="L96" t="str">
        <f>IF('Certificado de calibración'!L106:O106='Verificación certificado'!L96,"CUMPLE","REVISAR")</f>
        <v>REVISAR</v>
      </c>
      <c r="P96" t="str">
        <f>IF('Certificado de calibración'!P106:R106='Verificación certificado'!P96,"CUMPLE","REVISAR")</f>
        <v>REVISAR</v>
      </c>
    </row>
    <row r="97" spans="1:16">
      <c r="L97" t="s">
        <v>430</v>
      </c>
    </row>
    <row r="98" spans="1:16">
      <c r="H98">
        <v>1</v>
      </c>
      <c r="L98" t="str">
        <f>IF('Certificado de calibración'!L108:O108='Verificación certificado'!L98,"CUMPLE","REVISAR")</f>
        <v>REVISAR</v>
      </c>
      <c r="P98" t="str">
        <f>IF('Certificado de calibración'!P108:R108='Verificación certificado'!P98,"CUMPLE","REVISAR")</f>
        <v>REVISAR</v>
      </c>
    </row>
    <row r="99" spans="1:16">
      <c r="H99">
        <v>2</v>
      </c>
      <c r="L99" t="str">
        <f>IF('Certificado de calibración'!L109:O109='Verificación certificado'!L99,"CUMPLE","REVISAR")</f>
        <v>REVISAR</v>
      </c>
      <c r="P99" t="str">
        <f>IF('Certificado de calibración'!P109:R109='Verificación certificado'!P99,"CUMPLE","REVISAR")</f>
        <v>REVISAR</v>
      </c>
    </row>
    <row r="100" spans="1:16">
      <c r="H100">
        <v>3</v>
      </c>
      <c r="L100" t="str">
        <f>IF('Certificado de calibración'!L110:O110='Verificación certificado'!L100,"CUMPLE","REVISAR")</f>
        <v>REVISAR</v>
      </c>
      <c r="P100" t="str">
        <f>IF('Certificado de calibración'!P110:R110='Verificación certificado'!P100,"CUMPLE","REVISAR")</f>
        <v>REVISAR</v>
      </c>
    </row>
    <row r="101" spans="1:16">
      <c r="H101">
        <v>4</v>
      </c>
      <c r="L101" t="str">
        <f>IF('Certificado de calibración'!L111:O111='Verificación certificado'!L101,"CUMPLE","REVISAR")</f>
        <v>REVISAR</v>
      </c>
      <c r="P101" t="str">
        <f>IF('Certificado de calibración'!P111:R111='Verificación certificado'!P101,"CUMPLE","REVISAR")</f>
        <v>REVISAR</v>
      </c>
    </row>
    <row r="102" spans="1:16">
      <c r="H102">
        <v>5</v>
      </c>
      <c r="L102" t="str">
        <f>IF('Certificado de calibración'!L112:O112='Verificación certificado'!L102,"CUMPLE","REVISAR")</f>
        <v>REVISAR</v>
      </c>
      <c r="P102" t="str">
        <f>IF('Certificado de calibración'!P112:R112='Verificación certificado'!P102,"CUMPLE","REVISAR")</f>
        <v>REVISAR</v>
      </c>
    </row>
    <row r="103" spans="1:16">
      <c r="H103">
        <v>6</v>
      </c>
      <c r="L103" t="str">
        <f>IF('Certificado de calibración'!L113:O113='Verificación certificado'!L103,"CUMPLE","REVISAR")</f>
        <v>REVISAR</v>
      </c>
      <c r="P103" t="str">
        <f>IF('Certificado de calibración'!P113:R113='Verificación certificado'!P103,"CUMPLE","REVISAR")</f>
        <v>REVISAR</v>
      </c>
    </row>
    <row r="104" spans="1:16">
      <c r="H104">
        <v>7</v>
      </c>
      <c r="L104" t="str">
        <f>IF('Certificado de calibración'!L114:O114='Verificación certificado'!L104,"CUMPLE","REVISAR")</f>
        <v>REVISAR</v>
      </c>
      <c r="P104" t="str">
        <f>IF('Certificado de calibración'!P114:R114='Verificación certificado'!P104,"CUMPLE","REVISAR")</f>
        <v>REVISAR</v>
      </c>
    </row>
    <row r="105" spans="1:16">
      <c r="H105">
        <v>8</v>
      </c>
      <c r="L105" t="str">
        <f>IF('Certificado de calibración'!L115:O115='Verificación certificado'!L105,"CUMPLE","REVISAR")</f>
        <v>REVISAR</v>
      </c>
      <c r="P105" t="str">
        <f>IF('Certificado de calibración'!P115:R115='Verificación certificado'!P105,"CUMPLE","REVISAR")</f>
        <v>REVISAR</v>
      </c>
    </row>
    <row r="106" spans="1:16">
      <c r="H106">
        <v>9</v>
      </c>
      <c r="L106" t="str">
        <f>IF('Certificado de calibración'!L116:O116='Verificación certificado'!L106,"CUMPLE","REVISAR")</f>
        <v>REVISAR</v>
      </c>
      <c r="P106" t="str">
        <f>IF('Certificado de calibración'!P116:R116='Verificación certificado'!P106,"CUMPLE","REVISAR")</f>
        <v>REVISAR</v>
      </c>
    </row>
    <row r="107" spans="1:16">
      <c r="H107">
        <v>10</v>
      </c>
      <c r="L107" t="str">
        <f>IF('Certificado de calibración'!L117:O117='Verificación certificado'!L107,"CUMPLE","REVISAR")</f>
        <v>REVISAR</v>
      </c>
      <c r="P107" t="str">
        <f>IF('Certificado de calibración'!P117:R117='Verificación certificado'!P107,"CUMPLE","REVISAR")</f>
        <v>REVISAR</v>
      </c>
    </row>
    <row r="108" spans="1:16">
      <c r="H108" t="s">
        <v>441</v>
      </c>
      <c r="L108" t="str">
        <f>IF('Certificado de calibración'!L118:O118='Verificación certificado'!L108,"CUMPLE","REVISAR")</f>
        <v>REVISAR</v>
      </c>
      <c r="P108" t="str">
        <f>IF('Certificado de calibración'!P118:R118='Verificación certificado'!P108,"CUMPLE","REVISAR")</f>
        <v>REVISAR</v>
      </c>
    </row>
    <row r="110" spans="1:16">
      <c r="A110" t="s">
        <v>134</v>
      </c>
    </row>
    <row r="112" spans="1:16">
      <c r="A112" t="s">
        <v>105</v>
      </c>
    </row>
    <row r="115" spans="4:23">
      <c r="E115" t="e">
        <f>IF('Certificado de calibración'!E125:G126='Verificación certificado'!E115,"CUMPLE","REVISAR")</f>
        <v>#VALUE!</v>
      </c>
      <c r="H115" t="s">
        <v>445</v>
      </c>
      <c r="L115" t="s">
        <v>182</v>
      </c>
      <c r="P115" t="s">
        <v>446</v>
      </c>
    </row>
    <row r="117" spans="4:23">
      <c r="D117" t="str">
        <f>IF('Certificado de calibración'!C128='Verificación certificado'!D117,"CUMPLE","REVISAR")</f>
        <v>REVISAR</v>
      </c>
      <c r="E117" t="str">
        <f>IF('Certificado de calibración'!E128:G128='Verificación certificado'!E117,"CUMPLE","REVISAR")</f>
        <v>REVISAR</v>
      </c>
      <c r="H117" t="str">
        <f>IF('Certificado de calibración'!H128:K128='Verificación certificado'!H117,"CUMPLE","REVISAR")</f>
        <v>REVISAR</v>
      </c>
      <c r="L117" t="str">
        <f>IF('Certificado de calibración'!L128:O128='Verificación certificado'!L117,"CUMPLE","REVISAR")</f>
        <v>REVISAR</v>
      </c>
      <c r="P117" t="str">
        <f>IF('Certificado de calibración'!P128:R128='Verificación certificado'!P117,"CUMPLE","REVISAR")</f>
        <v>REVISAR</v>
      </c>
      <c r="S117" t="str">
        <f>IF('Certificado de calibración'!U128='Verificación certificado'!S117,"CUMPLE","REVISAR")</f>
        <v>REVISAR</v>
      </c>
    </row>
    <row r="118" spans="4:23">
      <c r="D118" t="str">
        <f>IF('Certificado de calibración'!C129='Verificación certificado'!D118,"CUMPLE","REVISAR")</f>
        <v>REVISAR</v>
      </c>
      <c r="E118" t="str">
        <f>IF('Certificado de calibración'!E129:G129='Verificación certificado'!E118,"CUMPLE","REVISAR")</f>
        <v>REVISAR</v>
      </c>
      <c r="H118" t="str">
        <f>IF('Certificado de calibración'!H129:K129='Verificación certificado'!H118,"CUMPLE","REVISAR")</f>
        <v>REVISAR</v>
      </c>
      <c r="L118" t="str">
        <f>IF('Certificado de calibración'!L129:O129='Verificación certificado'!L118,"CUMPLE","REVISAR")</f>
        <v>REVISAR</v>
      </c>
      <c r="P118" t="str">
        <f>IF('Certificado de calibración'!P129:R129='Verificación certificado'!P118,"CUMPLE","REVISAR")</f>
        <v>REVISAR</v>
      </c>
      <c r="S118" t="str">
        <f>IF('Certificado de calibración'!U129='Verificación certificado'!S118,"CUMPLE","REVISAR")</f>
        <v>REVISAR</v>
      </c>
    </row>
    <row r="119" spans="4:23">
      <c r="D119" t="str">
        <f>IF('Certificado de calibración'!C130='Verificación certificado'!D119,"CUMPLE","REVISAR")</f>
        <v>REVISAR</v>
      </c>
      <c r="E119" t="str">
        <f>IF('Certificado de calibración'!E130:G130='Verificación certificado'!E119,"CUMPLE","REVISAR")</f>
        <v>REVISAR</v>
      </c>
      <c r="H119" t="str">
        <f>IF('Certificado de calibración'!H130:K130='Verificación certificado'!H119,"CUMPLE","REVISAR")</f>
        <v>REVISAR</v>
      </c>
      <c r="L119" t="str">
        <f>IF('Certificado de calibración'!L130:O130='Verificación certificado'!L119,"CUMPLE","REVISAR")</f>
        <v>REVISAR</v>
      </c>
      <c r="P119" t="str">
        <f>IF('Certificado de calibración'!P130:R130='Verificación certificado'!P119,"CUMPLE","REVISAR")</f>
        <v>REVISAR</v>
      </c>
      <c r="S119" t="str">
        <f>IF('Certificado de calibración'!U130='Verificación certificado'!S119,"CUMPLE","REVISAR")</f>
        <v>REVISAR</v>
      </c>
    </row>
    <row r="120" spans="4:23">
      <c r="D120" t="str">
        <f>IF('Certificado de calibración'!C131='Verificación certificado'!D120,"CUMPLE","REVISAR")</f>
        <v>REVISAR</v>
      </c>
      <c r="E120" t="str">
        <f>IF('Certificado de calibración'!E131:G131='Verificación certificado'!E120,"CUMPLE","REVISAR")</f>
        <v>REVISAR</v>
      </c>
      <c r="H120" t="str">
        <f>IF('Certificado de calibración'!H131:K131='Verificación certificado'!H120,"CUMPLE","REVISAR")</f>
        <v>REVISAR</v>
      </c>
      <c r="L120" t="str">
        <f>IF('Certificado de calibración'!L131:O131='Verificación certificado'!L120,"CUMPLE","REVISAR")</f>
        <v>REVISAR</v>
      </c>
      <c r="P120" t="str">
        <f>IF('Certificado de calibración'!P131:R131='Verificación certificado'!P120,"CUMPLE","REVISAR")</f>
        <v>REVISAR</v>
      </c>
      <c r="S120" t="str">
        <f>IF('Certificado de calibración'!U131='Verificación certificado'!S120,"CUMPLE","REVISAR")</f>
        <v>REVISAR</v>
      </c>
    </row>
    <row r="121" spans="4:23">
      <c r="D121" t="str">
        <f>IF('Certificado de calibración'!C132='Verificación certificado'!D121,"CUMPLE","REVISAR")</f>
        <v>REVISAR</v>
      </c>
      <c r="E121" t="str">
        <f>IF('Certificado de calibración'!E132:G132='Verificación certificado'!E121,"CUMPLE","REVISAR")</f>
        <v>REVISAR</v>
      </c>
      <c r="H121" t="str">
        <f>IF('Certificado de calibración'!H132:K132='Verificación certificado'!H121,"CUMPLE","REVISAR")</f>
        <v>REVISAR</v>
      </c>
      <c r="L121" t="str">
        <f>IF('Certificado de calibración'!L132:O132='Verificación certificado'!L121,"CUMPLE","REVISAR")</f>
        <v>REVISAR</v>
      </c>
      <c r="P121" t="str">
        <f>IF('Certificado de calibración'!P132:R132='Verificación certificado'!P121,"CUMPLE","REVISAR")</f>
        <v>REVISAR</v>
      </c>
      <c r="S121" t="str">
        <f>IF('Certificado de calibración'!U132='Verificación certificado'!S121,"CUMPLE","REVISAR")</f>
        <v>REVISAR</v>
      </c>
    </row>
    <row r="122" spans="4:23">
      <c r="D122" t="str">
        <f>IF('Certificado de calibración'!C133='Verificación certificado'!D122,"CUMPLE","REVISAR")</f>
        <v>REVISAR</v>
      </c>
      <c r="E122" t="str">
        <f>IF('Certificado de calibración'!E133:G133='Verificación certificado'!E122,"CUMPLE","REVISAR")</f>
        <v>REVISAR</v>
      </c>
      <c r="H122" t="str">
        <f>IF('Certificado de calibración'!H133:K133='Verificación certificado'!H122,"CUMPLE","REVISAR")</f>
        <v>REVISAR</v>
      </c>
      <c r="L122" t="str">
        <f>IF('Certificado de calibración'!L133:O133='Verificación certificado'!L122,"CUMPLE","REVISAR")</f>
        <v>REVISAR</v>
      </c>
      <c r="P122" t="str">
        <f>IF('Certificado de calibración'!P133:R133='Verificación certificado'!P122,"CUMPLE","REVISAR")</f>
        <v>REVISAR</v>
      </c>
      <c r="S122" t="str">
        <f>IF('Certificado de calibración'!U133='Verificación certificado'!S122,"CUMPLE","REVISAR")</f>
        <v>REVISAR</v>
      </c>
    </row>
    <row r="123" spans="4:23">
      <c r="D123" t="str">
        <f>IF('Certificado de calibración'!C134='Verificación certificado'!D123,"CUMPLE","REVISAR")</f>
        <v>REVISAR</v>
      </c>
      <c r="E123" t="str">
        <f>IF('Certificado de calibración'!E134:G134='Verificación certificado'!E123,"CUMPLE","REVISAR")</f>
        <v>REVISAR</v>
      </c>
      <c r="H123" t="str">
        <f>IF('Certificado de calibración'!H134:K134='Verificación certificado'!H123,"CUMPLE","REVISAR")</f>
        <v>REVISAR</v>
      </c>
      <c r="L123" t="str">
        <f>IF('Certificado de calibración'!L134:O134='Verificación certificado'!L123,"CUMPLE","REVISAR")</f>
        <v>REVISAR</v>
      </c>
      <c r="P123" t="str">
        <f>IF('Certificado de calibración'!P134:R134='Verificación certificado'!P123,"CUMPLE","REVISAR")</f>
        <v>REVISAR</v>
      </c>
      <c r="S123" t="str">
        <f>IF('Certificado de calibración'!U134='Verificación certificado'!S123,"CUMPLE","REVISAR")</f>
        <v>REVISAR</v>
      </c>
    </row>
    <row r="124" spans="4:23">
      <c r="D124" t="str">
        <f>IF('Certificado de calibración'!C135='Verificación certificado'!D124,"CUMPLE","REVISAR")</f>
        <v>REVISAR</v>
      </c>
      <c r="E124" t="str">
        <f>IF('Certificado de calibración'!E135:G135='Verificación certificado'!E124,"CUMPLE","REVISAR")</f>
        <v>REVISAR</v>
      </c>
      <c r="H124" t="str">
        <f>IF('Certificado de calibración'!H135:K135='Verificación certificado'!H124,"CUMPLE","REVISAR")</f>
        <v>REVISAR</v>
      </c>
      <c r="L124" t="str">
        <f>IF('Certificado de calibración'!L135:O135='Verificación certificado'!L124,"CUMPLE","REVISAR")</f>
        <v>REVISAR</v>
      </c>
      <c r="P124" t="str">
        <f>IF('Certificado de calibración'!P135:R135='Verificación certificado'!P124,"CUMPLE","REVISAR")</f>
        <v>REVISAR</v>
      </c>
      <c r="S124" t="str">
        <f>IF('Certificado de calibración'!U135='Verificación certificado'!S124,"CUMPLE","REVISAR")</f>
        <v>REVISAR</v>
      </c>
    </row>
    <row r="125" spans="4:23">
      <c r="D125" t="str">
        <f>IF('Certificado de calibración'!C136='Verificación certificado'!D125,"CUMPLE","REVISAR")</f>
        <v>REVISAR</v>
      </c>
      <c r="E125" t="str">
        <f>IF('Certificado de calibración'!E136:G136='Verificación certificado'!E125,"CUMPLE","REVISAR")</f>
        <v>REVISAR</v>
      </c>
      <c r="H125" t="str">
        <f>IF('Certificado de calibración'!H136:K136='Verificación certificado'!H125,"CUMPLE","REVISAR")</f>
        <v>REVISAR</v>
      </c>
      <c r="L125" t="str">
        <f>IF('Certificado de calibración'!L136:O136='Verificación certificado'!L125,"CUMPLE","REVISAR")</f>
        <v>REVISAR</v>
      </c>
      <c r="P125" t="str">
        <f>IF('Certificado de calibración'!P136:R136='Verificación certificado'!P125,"CUMPLE","REVISAR")</f>
        <v>REVISAR</v>
      </c>
      <c r="S125" t="str">
        <f>IF('Certificado de calibración'!U136='Verificación certificado'!S125,"CUMPLE","REVISAR")</f>
        <v>REVISAR</v>
      </c>
    </row>
    <row r="126" spans="4:23">
      <c r="D126" t="str">
        <f>IF('Certificado de calibración'!C137='Verificación certificado'!D126,"CUMPLE","REVISAR")</f>
        <v>REVISAR</v>
      </c>
      <c r="E126" t="str">
        <f>IF('Certificado de calibración'!E137:G137='Verificación certificado'!E126,"CUMPLE","REVISAR")</f>
        <v>REVISAR</v>
      </c>
      <c r="H126" t="str">
        <f>IF('Certificado de calibración'!H137:K137='Verificación certificado'!H126,"CUMPLE","REVISAR")</f>
        <v>REVISAR</v>
      </c>
      <c r="L126" t="str">
        <f>IF('Certificado de calibración'!L137:O137='Verificación certificado'!L126,"CUMPLE","REVISAR")</f>
        <v>REVISAR</v>
      </c>
      <c r="P126" t="str">
        <f>IF('Certificado de calibración'!P137:R137='Verificación certificado'!P126,"CUMPLE","REVISAR")</f>
        <v>REVISAR</v>
      </c>
      <c r="S126" t="str">
        <f>IF('Certificado de calibración'!U137='Verificación certificado'!S126,"CUMPLE","REVISAR")</f>
        <v>REVISAR</v>
      </c>
      <c r="V126" t="s">
        <v>143</v>
      </c>
    </row>
    <row r="127" spans="4:23">
      <c r="W127" t="s">
        <v>428</v>
      </c>
    </row>
    <row r="129" spans="1:22">
      <c r="A129" t="s">
        <v>46</v>
      </c>
    </row>
    <row r="130" spans="1:22">
      <c r="A130" t="s">
        <v>47</v>
      </c>
    </row>
    <row r="132" spans="1:22">
      <c r="R132" t="s">
        <v>1</v>
      </c>
      <c r="V132" t="s">
        <v>384</v>
      </c>
    </row>
    <row r="133" spans="1:22">
      <c r="R133" t="s">
        <v>2</v>
      </c>
    </row>
    <row r="145" spans="1:27">
      <c r="Z145" t="s">
        <v>188</v>
      </c>
      <c r="AA145">
        <v>0.99999999858867938</v>
      </c>
    </row>
    <row r="146" spans="1:27">
      <c r="Z146" t="s">
        <v>189</v>
      </c>
      <c r="AA146">
        <v>0.99999999929433969</v>
      </c>
    </row>
    <row r="147" spans="1:27">
      <c r="Z147" t="s">
        <v>190</v>
      </c>
      <c r="AA147">
        <v>75289.107759950421</v>
      </c>
    </row>
    <row r="148" spans="1:27">
      <c r="Z148" t="s">
        <v>191</v>
      </c>
      <c r="AA148">
        <v>2.3060041352041671</v>
      </c>
    </row>
    <row r="149" spans="1:27">
      <c r="Z149" t="s">
        <v>192</v>
      </c>
      <c r="AA149" t="s">
        <v>465</v>
      </c>
    </row>
    <row r="151" spans="1:27">
      <c r="A151" t="s">
        <v>128</v>
      </c>
    </row>
    <row r="152" spans="1:27">
      <c r="A152" t="s">
        <v>132</v>
      </c>
    </row>
    <row r="154" spans="1:27">
      <c r="A154" t="s">
        <v>19</v>
      </c>
      <c r="D154" t="str">
        <f>IF('Certificado de calibración'!$D$169:$F$169='Verificación certificado'!$D$156,"CUMPLE","REVISAR")</f>
        <v>REVISAR</v>
      </c>
      <c r="G154" t="str">
        <f>IF('Certificado de calibración'!$G$169='Verificación certificado'!$G$156,"CUMPLE","REVISAR")</f>
        <v>CUMPLE</v>
      </c>
      <c r="H154" t="s">
        <v>20</v>
      </c>
      <c r="K154" t="str">
        <f>IF('Certificado de calibración'!$K$169:$L$169='Verificación certificado'!$K$156,"CUMPLE","REVISAR")</f>
        <v>REVISAR</v>
      </c>
      <c r="M154" t="s">
        <v>0</v>
      </c>
      <c r="N154" t="s">
        <v>21</v>
      </c>
      <c r="Q154" t="str">
        <f>IF('Certificado de calibración'!$Q$169:$R$169='Verificación certificado'!$Q$156,"CUMPLE","REVISAR")</f>
        <v>REVISAR</v>
      </c>
      <c r="S154" t="s">
        <v>0</v>
      </c>
    </row>
    <row r="156" spans="1:27">
      <c r="A156" t="s">
        <v>118</v>
      </c>
    </row>
    <row r="157" spans="1:27">
      <c r="A157" t="s">
        <v>184</v>
      </c>
    </row>
    <row r="158" spans="1:27">
      <c r="A158" t="s">
        <v>185</v>
      </c>
      <c r="D158">
        <v>1.9785244914792603</v>
      </c>
      <c r="E158" t="s">
        <v>186</v>
      </c>
    </row>
    <row r="159" spans="1:27">
      <c r="A159" t="s">
        <v>187</v>
      </c>
    </row>
    <row r="162" spans="1:12" ht="15.75" thickBot="1">
      <c r="A162" t="s">
        <v>466</v>
      </c>
    </row>
    <row r="163" spans="1:12" ht="15.75" thickBot="1">
      <c r="B163" s="160" t="s">
        <v>467</v>
      </c>
      <c r="C163" s="161" t="str">
        <f>IF('Certificado de calibración'!$C$178:$D$178='Verificación certificado'!C165,"CUMPLE","REVISAR")</f>
        <v>REVISAR</v>
      </c>
      <c r="D163" s="161"/>
      <c r="E163" s="161"/>
      <c r="F163" s="161" t="s">
        <v>468</v>
      </c>
      <c r="G163" s="161"/>
      <c r="H163" s="161" t="s">
        <v>469</v>
      </c>
      <c r="I163" s="161" t="str">
        <f>IF('Certificado de calibración'!$B$178:$J$178='Verificación certificado'!I165,"CUMPLE","REVISAR")</f>
        <v>REVISAR</v>
      </c>
      <c r="J163" s="161"/>
      <c r="K163" s="161" t="s">
        <v>0</v>
      </c>
      <c r="L163" s="162"/>
    </row>
    <row r="166" spans="1:12">
      <c r="A166" t="s">
        <v>150</v>
      </c>
      <c r="H166" t="s">
        <v>0</v>
      </c>
    </row>
    <row r="168" spans="1:12">
      <c r="A168" t="s">
        <v>26</v>
      </c>
    </row>
    <row r="169" spans="1:12">
      <c r="A169" t="s">
        <v>107</v>
      </c>
    </row>
    <row r="171" spans="1:12">
      <c r="A171" t="s">
        <v>106</v>
      </c>
    </row>
    <row r="173" spans="1:12">
      <c r="A173" t="s">
        <v>127</v>
      </c>
    </row>
    <row r="175" spans="1:12">
      <c r="A175" t="s">
        <v>470</v>
      </c>
    </row>
    <row r="177" spans="1:23">
      <c r="A177" t="s">
        <v>117</v>
      </c>
    </row>
    <row r="178" spans="1:23">
      <c r="V178" t="s">
        <v>144</v>
      </c>
    </row>
    <row r="179" spans="1:23">
      <c r="W179" t="s">
        <v>428</v>
      </c>
    </row>
  </sheetData>
  <sheetProtection sheet="1" objects="1" scenarios="1"/>
  <mergeCells count="1">
    <mergeCell ref="I2:L2"/>
  </mergeCells>
  <conditionalFormatting sqref="A51:A52 D51:D52 J51:J52 L51:L52 P51:P52 S51:S52 V51:V52">
    <cfRule type="containsText" dxfId="12" priority="9" operator="containsText" text="CUMPLE">
      <formula>NOT(ISERROR(SEARCH("CUMPLE",A51)))</formula>
    </cfRule>
  </conditionalFormatting>
  <conditionalFormatting sqref="D154 G154 K154 Q154 C163 I163">
    <cfRule type="containsText" dxfId="11" priority="5" operator="containsText" text="REVISAR">
      <formula>NOT(ISERROR(SEARCH("REVISAR",C154)))</formula>
    </cfRule>
    <cfRule type="containsText" dxfId="10" priority="6" operator="containsText" text="CUMPLE">
      <formula>NOT(ISERROR(SEARCH("CUMPLE",C154)))</formula>
    </cfRule>
  </conditionalFormatting>
  <conditionalFormatting sqref="D117:E126 L117:L126 P117:P126 S117:S126 H117:H127">
    <cfRule type="containsText" dxfId="9" priority="7" operator="containsText" text="CUMPLE">
      <formula>NOT(ISERROR(SEARCH("CUMPLE",D117)))</formula>
    </cfRule>
  </conditionalFormatting>
  <conditionalFormatting sqref="F8 Q8 F10 Q10 F12 Q12 F14 Q14 F16 Q16 Q18 I23 Q23 T23 G23:G24 F23:F25 R23:R25">
    <cfRule type="containsText" dxfId="8" priority="15" operator="containsText" text="CUMPLE">
      <formula>NOT(ISERROR(SEARCH("CUMPLE",F8)))</formula>
    </cfRule>
  </conditionalFormatting>
  <conditionalFormatting sqref="F8 Q8 F10 Q10 F12 Q12 F14 Q14 F16 Q16 Q18">
    <cfRule type="containsText" dxfId="7" priority="14" operator="containsText" text="REVISAR">
      <formula>NOT(ISERROR(SEARCH("REVISAR",F8)))</formula>
    </cfRule>
  </conditionalFormatting>
  <conditionalFormatting sqref="H74:H75 L74:L75 P83:P89 L96 P96 L98:L108 P98:P108 D117:E126 H117:H126 L117:L126 P117:P126 S117:S126">
    <cfRule type="containsText" dxfId="6" priority="4" operator="containsText" text="REVISAR">
      <formula>NOT(ISERROR(SEARCH("REVISAR",D74)))</formula>
    </cfRule>
  </conditionalFormatting>
  <conditionalFormatting sqref="H74:H75 L74:L75 P83:P89 L96 P96 L98:L108 P98:P108 U57">
    <cfRule type="containsText" dxfId="5" priority="8" operator="containsText" text="CUMPLE">
      <formula>NOT(ISERROR(SEARCH("CUMPLE",H57)))</formula>
    </cfRule>
  </conditionalFormatting>
  <conditionalFormatting sqref="I23 Q23 T23 G23:G24 F23:F25 R23:R25 A51:A52 D51:D52 J51:J52 L51:L52 P51:P52 S51:S52 V51:V52">
    <cfRule type="containsText" dxfId="4" priority="3" operator="containsText" text="REVISAR">
      <formula>NOT(ISERROR(SEARCH("REVISAR",A23)))</formula>
    </cfRule>
  </conditionalFormatting>
  <conditionalFormatting sqref="I2:L2">
    <cfRule type="containsText" dxfId="3" priority="1" operator="containsText" text="REVISAR">
      <formula>NOT(ISERROR(SEARCH("REVISAR",I2)))</formula>
    </cfRule>
    <cfRule type="containsText" dxfId="2" priority="2" operator="containsText" text="CUMPLE">
      <formula>NOT(ISERROR(SEARCH("CUMPLE",I2)))</formula>
    </cfRule>
  </conditionalFormatting>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1"/>
  <dimension ref="A1:AD181"/>
  <sheetViews>
    <sheetView zoomScale="50" zoomScaleNormal="50" workbookViewId="0">
      <selection activeCell="J120" sqref="J120"/>
    </sheetView>
  </sheetViews>
  <sheetFormatPr baseColWidth="10" defaultRowHeight="15"/>
  <sheetData>
    <row r="1" spans="1:30">
      <c r="A1" t="s">
        <v>46</v>
      </c>
    </row>
    <row r="2" spans="1:30">
      <c r="A2" t="s">
        <v>47</v>
      </c>
    </row>
    <row r="5" spans="1:30">
      <c r="R5" t="s">
        <v>1</v>
      </c>
      <c r="V5" t="s">
        <v>384</v>
      </c>
    </row>
    <row r="6" spans="1:30">
      <c r="R6" t="s">
        <v>2</v>
      </c>
    </row>
    <row r="8" spans="1:30">
      <c r="A8" t="s">
        <v>367</v>
      </c>
      <c r="F8" t="s">
        <v>73</v>
      </c>
      <c r="N8" t="s">
        <v>74</v>
      </c>
      <c r="Q8" t="s">
        <v>359</v>
      </c>
    </row>
    <row r="9" spans="1:30">
      <c r="AD9" t="s">
        <v>124</v>
      </c>
    </row>
    <row r="10" spans="1:30">
      <c r="A10" t="s">
        <v>16</v>
      </c>
      <c r="F10" t="s">
        <v>385</v>
      </c>
      <c r="N10" t="s">
        <v>13</v>
      </c>
      <c r="Q10" t="s">
        <v>397</v>
      </c>
    </row>
    <row r="12" spans="1:30">
      <c r="A12" t="s">
        <v>17</v>
      </c>
      <c r="F12" t="s">
        <v>421</v>
      </c>
      <c r="N12" t="s">
        <v>12</v>
      </c>
      <c r="Q12" t="s">
        <v>398</v>
      </c>
    </row>
    <row r="14" spans="1:30">
      <c r="A14" t="s">
        <v>75</v>
      </c>
      <c r="F14" s="1838">
        <v>43214</v>
      </c>
      <c r="G14" s="1838"/>
      <c r="H14" s="1838"/>
      <c r="I14" s="1838"/>
      <c r="J14" s="1838"/>
      <c r="K14" s="1838"/>
      <c r="L14" s="1838"/>
      <c r="N14" t="s">
        <v>30</v>
      </c>
      <c r="Q14" t="s">
        <v>388</v>
      </c>
    </row>
    <row r="15" spans="1:30">
      <c r="F15" s="1"/>
      <c r="G15" s="14"/>
      <c r="H15" s="14"/>
      <c r="I15" s="14"/>
      <c r="J15" s="14"/>
      <c r="K15" s="14"/>
      <c r="L15" s="14"/>
    </row>
    <row r="16" spans="1:30">
      <c r="A16" t="s">
        <v>76</v>
      </c>
      <c r="F16" s="1839">
        <v>43214</v>
      </c>
      <c r="G16" s="1839"/>
      <c r="H16" s="1839"/>
      <c r="I16" s="1839"/>
      <c r="J16" s="1839"/>
      <c r="K16" s="1839"/>
      <c r="L16" s="1"/>
      <c r="N16" t="s">
        <v>29</v>
      </c>
      <c r="Q16">
        <v>1126460782</v>
      </c>
    </row>
    <row r="18" spans="1:21">
      <c r="A18" t="s">
        <v>138</v>
      </c>
      <c r="K18" t="s">
        <v>81</v>
      </c>
      <c r="N18" t="s">
        <v>14</v>
      </c>
      <c r="Q18" t="s">
        <v>389</v>
      </c>
    </row>
    <row r="21" spans="1:21">
      <c r="A21" t="s">
        <v>368</v>
      </c>
    </row>
    <row r="23" spans="1:21">
      <c r="A23" t="s">
        <v>373</v>
      </c>
      <c r="F23">
        <v>0</v>
      </c>
      <c r="G23" t="s">
        <v>0</v>
      </c>
      <c r="H23" t="s">
        <v>372</v>
      </c>
      <c r="I23">
        <v>1210</v>
      </c>
      <c r="K23" t="s">
        <v>0</v>
      </c>
      <c r="N23" t="s">
        <v>369</v>
      </c>
      <c r="Q23" t="s">
        <v>422</v>
      </c>
      <c r="R23" t="s">
        <v>0</v>
      </c>
      <c r="S23" t="s">
        <v>372</v>
      </c>
      <c r="T23" t="s">
        <v>423</v>
      </c>
      <c r="U23" t="s">
        <v>0</v>
      </c>
    </row>
    <row r="24" spans="1:21">
      <c r="A24" t="s">
        <v>392</v>
      </c>
      <c r="F24" t="s">
        <v>83</v>
      </c>
      <c r="G24" t="s">
        <v>424</v>
      </c>
      <c r="N24" t="s">
        <v>370</v>
      </c>
      <c r="R24" t="s">
        <v>311</v>
      </c>
      <c r="T24" t="s">
        <v>425</v>
      </c>
    </row>
    <row r="25" spans="1:21">
      <c r="A25" t="s">
        <v>137</v>
      </c>
      <c r="F25" t="s">
        <v>426</v>
      </c>
      <c r="G25" t="s">
        <v>0</v>
      </c>
      <c r="N25" t="s">
        <v>371</v>
      </c>
      <c r="R25" t="s">
        <v>311</v>
      </c>
      <c r="T25" t="s">
        <v>425</v>
      </c>
    </row>
    <row r="29" spans="1:21">
      <c r="A29" t="s">
        <v>130</v>
      </c>
    </row>
    <row r="30" spans="1:21">
      <c r="A30" t="s">
        <v>129</v>
      </c>
    </row>
    <row r="34" spans="1:1">
      <c r="A34" t="s">
        <v>113</v>
      </c>
    </row>
    <row r="36" spans="1:1">
      <c r="A36" t="s">
        <v>374</v>
      </c>
    </row>
    <row r="37" spans="1:1">
      <c r="A37" t="s">
        <v>375</v>
      </c>
    </row>
    <row r="40" spans="1:1">
      <c r="A40" t="s">
        <v>427</v>
      </c>
    </row>
    <row r="42" spans="1:1">
      <c r="A42" t="s">
        <v>114</v>
      </c>
    </row>
    <row r="43" spans="1:1">
      <c r="A43" t="s">
        <v>103</v>
      </c>
    </row>
    <row r="45" spans="1:1">
      <c r="A45" t="s">
        <v>139</v>
      </c>
    </row>
    <row r="47" spans="1:1">
      <c r="A47" t="s">
        <v>49</v>
      </c>
    </row>
    <row r="48" spans="1:1">
      <c r="A48" t="s">
        <v>98</v>
      </c>
    </row>
    <row r="50" spans="1:23">
      <c r="A50" t="s">
        <v>15</v>
      </c>
      <c r="D50" t="s">
        <v>8</v>
      </c>
      <c r="J50" t="s">
        <v>10</v>
      </c>
      <c r="L50" t="s">
        <v>34</v>
      </c>
      <c r="P50" t="s">
        <v>9</v>
      </c>
      <c r="S50" t="s">
        <v>79</v>
      </c>
      <c r="V50" t="s">
        <v>80</v>
      </c>
    </row>
    <row r="51" spans="1:23">
      <c r="A51" t="s">
        <v>230</v>
      </c>
      <c r="D51" t="s">
        <v>382</v>
      </c>
      <c r="J51" t="s">
        <v>354</v>
      </c>
      <c r="L51" t="s">
        <v>300</v>
      </c>
      <c r="P51" t="s">
        <v>383</v>
      </c>
      <c r="S51" s="1840">
        <v>42896</v>
      </c>
      <c r="T51" s="1840"/>
      <c r="U51" s="1840"/>
      <c r="V51" s="159">
        <v>43646</v>
      </c>
    </row>
    <row r="52" spans="1:23">
      <c r="A52" t="s">
        <v>228</v>
      </c>
      <c r="D52" t="s">
        <v>378</v>
      </c>
      <c r="J52" t="s">
        <v>284</v>
      </c>
      <c r="L52" t="s">
        <v>300</v>
      </c>
      <c r="P52" t="s">
        <v>308</v>
      </c>
      <c r="S52" s="1840">
        <v>42909</v>
      </c>
      <c r="T52" s="1840"/>
      <c r="U52" s="1840"/>
      <c r="V52" s="159">
        <v>43281</v>
      </c>
    </row>
    <row r="55" spans="1:23">
      <c r="A55" t="s">
        <v>27</v>
      </c>
    </row>
    <row r="56" spans="1:23">
      <c r="A56" t="s">
        <v>28</v>
      </c>
    </row>
    <row r="60" spans="1:23">
      <c r="A60" t="s">
        <v>287</v>
      </c>
      <c r="H60" t="s">
        <v>391</v>
      </c>
      <c r="O60" t="s">
        <v>425</v>
      </c>
    </row>
    <row r="61" spans="1:23">
      <c r="A61" t="s">
        <v>84</v>
      </c>
      <c r="H61" t="s">
        <v>135</v>
      </c>
      <c r="O61">
        <v>43214</v>
      </c>
    </row>
    <row r="62" spans="1:23">
      <c r="A62" t="s">
        <v>34</v>
      </c>
      <c r="H62" t="s">
        <v>121</v>
      </c>
      <c r="O62" t="s">
        <v>122</v>
      </c>
    </row>
    <row r="63" spans="1:23">
      <c r="A63" t="s">
        <v>5</v>
      </c>
      <c r="H63" t="s">
        <v>6</v>
      </c>
      <c r="O63" t="s">
        <v>7</v>
      </c>
      <c r="V63" t="s">
        <v>142</v>
      </c>
    </row>
    <row r="64" spans="1:23">
      <c r="W64" t="s">
        <v>428</v>
      </c>
    </row>
    <row r="66" spans="1:22">
      <c r="A66" t="s">
        <v>46</v>
      </c>
    </row>
    <row r="67" spans="1:22">
      <c r="A67" t="s">
        <v>47</v>
      </c>
    </row>
    <row r="69" spans="1:22">
      <c r="R69" t="s">
        <v>1</v>
      </c>
      <c r="V69" t="s">
        <v>384</v>
      </c>
    </row>
    <row r="70" spans="1:22">
      <c r="R70" t="s">
        <v>2</v>
      </c>
    </row>
    <row r="72" spans="1:22">
      <c r="A72" t="s">
        <v>131</v>
      </c>
    </row>
    <row r="74" spans="1:22">
      <c r="A74" t="s">
        <v>140</v>
      </c>
      <c r="F74" t="s">
        <v>78</v>
      </c>
      <c r="H74">
        <v>22.9</v>
      </c>
      <c r="J74" t="s">
        <v>77</v>
      </c>
      <c r="L74">
        <v>22.9</v>
      </c>
    </row>
    <row r="75" spans="1:22">
      <c r="A75" t="s">
        <v>141</v>
      </c>
      <c r="F75" t="s">
        <v>78</v>
      </c>
      <c r="H75">
        <v>44</v>
      </c>
      <c r="I75" t="s">
        <v>102</v>
      </c>
      <c r="J75" t="s">
        <v>77</v>
      </c>
      <c r="L75">
        <v>60</v>
      </c>
      <c r="M75" t="s">
        <v>102</v>
      </c>
    </row>
    <row r="78" spans="1:22">
      <c r="A78" t="s">
        <v>115</v>
      </c>
    </row>
    <row r="79" spans="1:22">
      <c r="A79" t="s">
        <v>429</v>
      </c>
    </row>
    <row r="81" spans="1:16">
      <c r="L81" t="s">
        <v>48</v>
      </c>
      <c r="P81" t="s">
        <v>430</v>
      </c>
    </row>
    <row r="83" spans="1:16">
      <c r="L83">
        <v>1</v>
      </c>
      <c r="P83" t="s">
        <v>431</v>
      </c>
    </row>
    <row r="84" spans="1:16">
      <c r="L84">
        <v>2</v>
      </c>
      <c r="P84" t="s">
        <v>432</v>
      </c>
    </row>
    <row r="85" spans="1:16">
      <c r="L85">
        <v>3</v>
      </c>
      <c r="P85" t="s">
        <v>431</v>
      </c>
    </row>
    <row r="86" spans="1:16">
      <c r="L86">
        <v>4</v>
      </c>
      <c r="P86" t="s">
        <v>433</v>
      </c>
    </row>
    <row r="87" spans="1:16">
      <c r="D87" t="s">
        <v>299</v>
      </c>
      <c r="E87" t="s">
        <v>425</v>
      </c>
      <c r="H87" t="s">
        <v>425</v>
      </c>
      <c r="L87">
        <v>5</v>
      </c>
      <c r="P87" t="s">
        <v>431</v>
      </c>
    </row>
    <row r="88" spans="1:16">
      <c r="L88">
        <v>1</v>
      </c>
      <c r="P88" t="s">
        <v>431</v>
      </c>
    </row>
    <row r="89" spans="1:16">
      <c r="L89" t="s">
        <v>434</v>
      </c>
      <c r="P89" t="s">
        <v>435</v>
      </c>
    </row>
    <row r="91" spans="1:16">
      <c r="A91" t="s">
        <v>116</v>
      </c>
    </row>
    <row r="93" spans="1:16">
      <c r="A93" t="s">
        <v>104</v>
      </c>
    </row>
    <row r="94" spans="1:16">
      <c r="A94" t="s">
        <v>133</v>
      </c>
      <c r="G94" t="s">
        <v>436</v>
      </c>
    </row>
    <row r="95" spans="1:16">
      <c r="H95" t="s">
        <v>18</v>
      </c>
      <c r="L95" t="s">
        <v>45</v>
      </c>
    </row>
    <row r="96" spans="1:16">
      <c r="L96">
        <v>200</v>
      </c>
      <c r="P96">
        <v>700</v>
      </c>
    </row>
    <row r="97" spans="1:16">
      <c r="L97" t="s">
        <v>430</v>
      </c>
    </row>
    <row r="98" spans="1:16">
      <c r="H98">
        <v>1</v>
      </c>
      <c r="L98" t="s">
        <v>437</v>
      </c>
      <c r="P98" t="s">
        <v>438</v>
      </c>
    </row>
    <row r="99" spans="1:16">
      <c r="H99">
        <v>2</v>
      </c>
      <c r="L99" t="s">
        <v>437</v>
      </c>
      <c r="P99" t="s">
        <v>439</v>
      </c>
    </row>
    <row r="100" spans="1:16">
      <c r="H100">
        <v>3</v>
      </c>
      <c r="L100" t="s">
        <v>437</v>
      </c>
      <c r="P100" t="s">
        <v>438</v>
      </c>
    </row>
    <row r="101" spans="1:16">
      <c r="H101">
        <v>4</v>
      </c>
      <c r="L101" t="s">
        <v>437</v>
      </c>
      <c r="P101" t="s">
        <v>438</v>
      </c>
    </row>
    <row r="102" spans="1:16">
      <c r="H102">
        <v>5</v>
      </c>
      <c r="L102" t="s">
        <v>437</v>
      </c>
      <c r="P102" t="s">
        <v>438</v>
      </c>
    </row>
    <row r="103" spans="1:16">
      <c r="H103">
        <v>6</v>
      </c>
      <c r="L103" t="s">
        <v>437</v>
      </c>
      <c r="P103" t="s">
        <v>438</v>
      </c>
    </row>
    <row r="104" spans="1:16">
      <c r="H104">
        <v>7</v>
      </c>
      <c r="L104" t="s">
        <v>437</v>
      </c>
      <c r="P104" t="s">
        <v>439</v>
      </c>
    </row>
    <row r="105" spans="1:16">
      <c r="H105">
        <v>8</v>
      </c>
      <c r="L105" t="s">
        <v>440</v>
      </c>
      <c r="P105" t="s">
        <v>438</v>
      </c>
    </row>
    <row r="106" spans="1:16">
      <c r="H106">
        <v>9</v>
      </c>
      <c r="L106" t="s">
        <v>437</v>
      </c>
      <c r="P106" t="s">
        <v>438</v>
      </c>
    </row>
    <row r="107" spans="1:16">
      <c r="H107">
        <v>10</v>
      </c>
      <c r="L107" t="s">
        <v>437</v>
      </c>
      <c r="P107" t="s">
        <v>438</v>
      </c>
    </row>
    <row r="108" spans="1:16">
      <c r="H108" t="s">
        <v>441</v>
      </c>
      <c r="L108" t="s">
        <v>442</v>
      </c>
      <c r="P108" t="s">
        <v>443</v>
      </c>
    </row>
    <row r="110" spans="1:16">
      <c r="A110" t="s">
        <v>134</v>
      </c>
    </row>
    <row r="112" spans="1:16">
      <c r="A112" t="s">
        <v>105</v>
      </c>
    </row>
    <row r="115" spans="4:23">
      <c r="E115" t="s">
        <v>444</v>
      </c>
      <c r="H115" t="s">
        <v>445</v>
      </c>
      <c r="L115" t="s">
        <v>182</v>
      </c>
      <c r="P115" t="s">
        <v>446</v>
      </c>
    </row>
    <row r="117" spans="4:23">
      <c r="D117">
        <v>0.99995865596154621</v>
      </c>
      <c r="E117" t="s">
        <v>447</v>
      </c>
      <c r="H117" t="s">
        <v>447</v>
      </c>
      <c r="L117" t="s">
        <v>422</v>
      </c>
      <c r="P117">
        <v>8.4355909031791337E-3</v>
      </c>
      <c r="S117">
        <v>8.4355909031791337E-3</v>
      </c>
    </row>
    <row r="118" spans="4:23">
      <c r="D118">
        <v>100.00016560840251</v>
      </c>
      <c r="E118" t="s">
        <v>448</v>
      </c>
      <c r="H118" t="s">
        <v>449</v>
      </c>
      <c r="L118" t="s">
        <v>426</v>
      </c>
      <c r="P118">
        <v>0.7935940808686488</v>
      </c>
      <c r="S118">
        <v>0.7935940808686488</v>
      </c>
    </row>
    <row r="119" spans="4:23">
      <c r="D119">
        <v>300.00062682560969</v>
      </c>
      <c r="E119" t="s">
        <v>450</v>
      </c>
      <c r="H119" t="s">
        <v>451</v>
      </c>
      <c r="L119" t="s">
        <v>452</v>
      </c>
      <c r="P119">
        <v>2.3807678342706406</v>
      </c>
      <c r="S119">
        <v>2.3807678342706406</v>
      </c>
    </row>
    <row r="120" spans="4:23">
      <c r="D120">
        <v>500.00024803959951</v>
      </c>
      <c r="E120" t="s">
        <v>433</v>
      </c>
      <c r="H120" t="s">
        <v>453</v>
      </c>
      <c r="L120" t="s">
        <v>426</v>
      </c>
      <c r="P120">
        <v>3.9679444984977859</v>
      </c>
      <c r="S120">
        <v>3.9679444984977859</v>
      </c>
    </row>
    <row r="121" spans="4:23">
      <c r="D121">
        <v>700.00066925666044</v>
      </c>
      <c r="E121" t="s">
        <v>438</v>
      </c>
      <c r="H121" t="s">
        <v>439</v>
      </c>
      <c r="L121" t="s">
        <v>452</v>
      </c>
      <c r="P121">
        <v>5.5551215423752653</v>
      </c>
      <c r="S121">
        <v>5.5551215423752653</v>
      </c>
    </row>
    <row r="122" spans="4:23">
      <c r="D122">
        <v>900.00113047386776</v>
      </c>
      <c r="E122" t="s">
        <v>454</v>
      </c>
      <c r="H122" t="s">
        <v>455</v>
      </c>
      <c r="L122" t="s">
        <v>452</v>
      </c>
      <c r="P122">
        <v>7.1422987191038754</v>
      </c>
      <c r="S122">
        <v>7.1422987191038754</v>
      </c>
    </row>
    <row r="123" spans="4:23">
      <c r="D123">
        <v>1000.0023660858533</v>
      </c>
      <c r="E123" t="s">
        <v>456</v>
      </c>
      <c r="H123" t="s">
        <v>457</v>
      </c>
      <c r="L123" t="s">
        <v>452</v>
      </c>
      <c r="P123">
        <v>7.9358873376683627</v>
      </c>
      <c r="S123">
        <v>7.9358873376683627</v>
      </c>
    </row>
    <row r="124" spans="4:23">
      <c r="D124">
        <v>1050.0024088899265</v>
      </c>
      <c r="E124" t="s">
        <v>458</v>
      </c>
      <c r="H124" t="s">
        <v>459</v>
      </c>
      <c r="L124" t="s">
        <v>452</v>
      </c>
      <c r="P124">
        <v>8.3326816561821957</v>
      </c>
      <c r="S124">
        <v>8.3326816561821957</v>
      </c>
    </row>
    <row r="125" spans="4:23">
      <c r="D125">
        <v>1100.0025316942556</v>
      </c>
      <c r="E125" t="s">
        <v>460</v>
      </c>
      <c r="H125" t="s">
        <v>461</v>
      </c>
      <c r="L125" t="s">
        <v>462</v>
      </c>
      <c r="P125">
        <v>8.7294759681457528</v>
      </c>
      <c r="S125">
        <v>8.7294759681457528</v>
      </c>
    </row>
    <row r="126" spans="4:23">
      <c r="D126">
        <v>1200.0027873029144</v>
      </c>
      <c r="E126" t="s">
        <v>463</v>
      </c>
      <c r="H126" t="s">
        <v>464</v>
      </c>
      <c r="L126" t="s">
        <v>462</v>
      </c>
      <c r="P126">
        <v>9.5230646033487627</v>
      </c>
      <c r="S126">
        <v>9.5230646033487627</v>
      </c>
      <c r="V126" t="s">
        <v>143</v>
      </c>
    </row>
    <row r="127" spans="4:23">
      <c r="W127" t="s">
        <v>428</v>
      </c>
    </row>
    <row r="129" spans="1:22">
      <c r="A129" t="s">
        <v>46</v>
      </c>
    </row>
    <row r="130" spans="1:22">
      <c r="A130" t="s">
        <v>47</v>
      </c>
    </row>
    <row r="132" spans="1:22">
      <c r="R132" t="s">
        <v>1</v>
      </c>
      <c r="V132" t="s">
        <v>384</v>
      </c>
    </row>
    <row r="133" spans="1:22">
      <c r="R133" t="s">
        <v>2</v>
      </c>
    </row>
    <row r="145" spans="1:27">
      <c r="Z145" t="s">
        <v>188</v>
      </c>
      <c r="AA145">
        <v>0.99999999858867938</v>
      </c>
    </row>
    <row r="146" spans="1:27">
      <c r="Z146" t="s">
        <v>189</v>
      </c>
      <c r="AA146">
        <v>0.99999999929433969</v>
      </c>
    </row>
    <row r="147" spans="1:27">
      <c r="Z147" t="s">
        <v>190</v>
      </c>
      <c r="AA147">
        <v>75289.107759950421</v>
      </c>
    </row>
    <row r="148" spans="1:27">
      <c r="Z148" t="s">
        <v>191</v>
      </c>
      <c r="AA148">
        <v>2.3060041352041671</v>
      </c>
    </row>
    <row r="149" spans="1:27">
      <c r="Z149" t="s">
        <v>192</v>
      </c>
      <c r="AA149" t="s">
        <v>465</v>
      </c>
    </row>
    <row r="153" spans="1:27">
      <c r="A153" t="s">
        <v>128</v>
      </c>
    </row>
    <row r="154" spans="1:27">
      <c r="A154" t="s">
        <v>132</v>
      </c>
    </row>
    <row r="156" spans="1:27">
      <c r="A156" t="s">
        <v>19</v>
      </c>
      <c r="D156">
        <v>100</v>
      </c>
      <c r="G156" t="s">
        <v>0</v>
      </c>
      <c r="H156" t="s">
        <v>20</v>
      </c>
      <c r="K156">
        <v>100.00020000000001</v>
      </c>
      <c r="M156" t="s">
        <v>0</v>
      </c>
      <c r="N156" t="s">
        <v>21</v>
      </c>
      <c r="Q156">
        <v>2.0000000000663931E-4</v>
      </c>
      <c r="S156" t="s">
        <v>0</v>
      </c>
    </row>
    <row r="158" spans="1:27">
      <c r="A158" t="s">
        <v>118</v>
      </c>
    </row>
    <row r="159" spans="1:27">
      <c r="A159" t="s">
        <v>184</v>
      </c>
    </row>
    <row r="160" spans="1:27">
      <c r="A160" t="s">
        <v>185</v>
      </c>
      <c r="D160">
        <v>1.9785244914792603</v>
      </c>
      <c r="E160" t="s">
        <v>186</v>
      </c>
    </row>
    <row r="161" spans="1:11">
      <c r="A161" t="s">
        <v>187</v>
      </c>
    </row>
    <row r="164" spans="1:11" ht="15.75" thickBot="1">
      <c r="A164" t="s">
        <v>466</v>
      </c>
    </row>
    <row r="165" spans="1:11" ht="15.75" thickBot="1">
      <c r="B165" s="160" t="s">
        <v>467</v>
      </c>
      <c r="C165" s="161">
        <v>7.935666323285618E-3</v>
      </c>
      <c r="D165" s="161"/>
      <c r="E165" s="161"/>
      <c r="F165" s="161" t="s">
        <v>468</v>
      </c>
      <c r="G165" s="161"/>
      <c r="H165" s="161" t="s">
        <v>469</v>
      </c>
      <c r="I165" s="161">
        <v>1.9195373136415839E-4</v>
      </c>
      <c r="J165" s="161"/>
      <c r="K165" s="162" t="s">
        <v>0</v>
      </c>
    </row>
    <row r="168" spans="1:11">
      <c r="A168" t="s">
        <v>150</v>
      </c>
      <c r="H168" t="s">
        <v>0</v>
      </c>
    </row>
    <row r="170" spans="1:11">
      <c r="A170" t="s">
        <v>26</v>
      </c>
    </row>
    <row r="171" spans="1:11">
      <c r="A171" t="s">
        <v>107</v>
      </c>
    </row>
    <row r="173" spans="1:11">
      <c r="A173" t="s">
        <v>106</v>
      </c>
    </row>
    <row r="175" spans="1:11">
      <c r="A175" t="s">
        <v>127</v>
      </c>
    </row>
    <row r="177" spans="1:23">
      <c r="A177" t="s">
        <v>470</v>
      </c>
    </row>
    <row r="179" spans="1:23">
      <c r="A179" t="s">
        <v>117</v>
      </c>
    </row>
    <row r="180" spans="1:23">
      <c r="V180" t="s">
        <v>144</v>
      </c>
    </row>
    <row r="181" spans="1:23">
      <c r="W181" t="s">
        <v>428</v>
      </c>
    </row>
  </sheetData>
  <sheetProtection sheet="1" objects="1" scenarios="1"/>
  <mergeCells count="4">
    <mergeCell ref="F14:L14"/>
    <mergeCell ref="F16:K16"/>
    <mergeCell ref="S51:U51"/>
    <mergeCell ref="S52:U52"/>
  </mergeCells>
  <conditionalFormatting sqref="S52:V52">
    <cfRule type="containsText" dxfId="1" priority="1" operator="containsText" text="N.I.">
      <formula>NOT(ISERROR(SEARCH("N.I.",S52)))</formula>
    </cfRule>
  </conditionalFormatting>
  <conditionalFormatting sqref="V51:V52">
    <cfRule type="containsText" dxfId="0" priority="2" stopIfTrue="1" operator="containsText" text="REVISAR">
      <formula>NOT(ISERROR(SEARCH("REVISAR",V51)))</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2"/>
  <dimension ref="A2:AP185"/>
  <sheetViews>
    <sheetView topLeftCell="A18" workbookViewId="0">
      <selection activeCell="G9" sqref="G9"/>
    </sheetView>
  </sheetViews>
  <sheetFormatPr baseColWidth="10" defaultRowHeight="15"/>
  <sheetData>
    <row r="2" spans="1:36">
      <c r="AJ2" t="s">
        <v>152</v>
      </c>
    </row>
    <row r="3" spans="1:36">
      <c r="AJ3" t="s">
        <v>153</v>
      </c>
    </row>
    <row r="4" spans="1:36">
      <c r="AJ4" t="s">
        <v>360</v>
      </c>
    </row>
    <row r="6" spans="1:36">
      <c r="A6" t="s">
        <v>471</v>
      </c>
      <c r="I6" t="s">
        <v>384</v>
      </c>
      <c r="R6" t="s">
        <v>37</v>
      </c>
      <c r="Z6">
        <v>43214</v>
      </c>
      <c r="AJ6" t="s">
        <v>305</v>
      </c>
    </row>
    <row r="7" spans="1:36">
      <c r="A7" t="s">
        <v>111</v>
      </c>
      <c r="I7">
        <v>0.3923611111111111</v>
      </c>
      <c r="R7" t="s">
        <v>112</v>
      </c>
      <c r="Z7">
        <v>0.41666666666666669</v>
      </c>
      <c r="AJ7" t="s">
        <v>472</v>
      </c>
    </row>
    <row r="8" spans="1:36">
      <c r="A8" t="s">
        <v>35</v>
      </c>
      <c r="I8">
        <v>0.4201388888888889</v>
      </c>
      <c r="R8" t="s">
        <v>36</v>
      </c>
      <c r="Z8">
        <v>0.44027777777777777</v>
      </c>
    </row>
    <row r="10" spans="1:36">
      <c r="A10" t="s">
        <v>38</v>
      </c>
    </row>
    <row r="11" spans="1:36">
      <c r="A11" t="s">
        <v>88</v>
      </c>
      <c r="D11" t="s">
        <v>385</v>
      </c>
      <c r="M11" t="s">
        <v>17</v>
      </c>
      <c r="P11" t="s">
        <v>386</v>
      </c>
      <c r="X11" t="s">
        <v>89</v>
      </c>
      <c r="AA11" t="s">
        <v>387</v>
      </c>
    </row>
    <row r="13" spans="1:36">
      <c r="A13" t="s">
        <v>39</v>
      </c>
    </row>
    <row r="14" spans="1:36">
      <c r="A14" t="s">
        <v>74</v>
      </c>
      <c r="D14" t="s">
        <v>359</v>
      </c>
      <c r="N14" t="s">
        <v>13</v>
      </c>
      <c r="Q14" t="s">
        <v>397</v>
      </c>
      <c r="X14" t="s">
        <v>12</v>
      </c>
      <c r="Z14" t="s">
        <v>398</v>
      </c>
    </row>
    <row r="15" spans="1:36">
      <c r="A15" t="s">
        <v>29</v>
      </c>
      <c r="E15">
        <v>1126460782</v>
      </c>
      <c r="N15" t="s">
        <v>90</v>
      </c>
      <c r="Q15" t="s">
        <v>388</v>
      </c>
      <c r="X15" t="s">
        <v>14</v>
      </c>
      <c r="Z15" t="s">
        <v>389</v>
      </c>
    </row>
    <row r="17" spans="1:39">
      <c r="A17" t="s">
        <v>91</v>
      </c>
      <c r="AM17" t="s">
        <v>183</v>
      </c>
    </row>
    <row r="18" spans="1:39">
      <c r="A18" t="s">
        <v>473</v>
      </c>
      <c r="E18">
        <v>0</v>
      </c>
      <c r="I18" t="s">
        <v>0</v>
      </c>
      <c r="J18" t="s">
        <v>50</v>
      </c>
      <c r="L18">
        <v>1210</v>
      </c>
      <c r="N18" t="s">
        <v>0</v>
      </c>
      <c r="O18" t="s">
        <v>55</v>
      </c>
      <c r="S18">
        <v>0</v>
      </c>
      <c r="V18" t="s">
        <v>0</v>
      </c>
      <c r="W18" t="s">
        <v>50</v>
      </c>
      <c r="Y18">
        <v>1200</v>
      </c>
      <c r="AA18" t="s">
        <v>0</v>
      </c>
      <c r="AB18" t="s">
        <v>393</v>
      </c>
      <c r="AE18">
        <v>1E-3</v>
      </c>
      <c r="AF18" t="s">
        <v>0</v>
      </c>
      <c r="AH18">
        <v>1</v>
      </c>
      <c r="AI18">
        <v>1</v>
      </c>
      <c r="AJ18">
        <v>1</v>
      </c>
      <c r="AK18" t="s">
        <v>474</v>
      </c>
      <c r="AL18" t="s">
        <v>474</v>
      </c>
      <c r="AM18">
        <v>3</v>
      </c>
    </row>
    <row r="19" spans="1:39">
      <c r="A19" t="s">
        <v>394</v>
      </c>
      <c r="N19" t="s">
        <v>395</v>
      </c>
      <c r="AA19" t="s">
        <v>57</v>
      </c>
      <c r="AF19" t="s">
        <v>0</v>
      </c>
    </row>
    <row r="21" spans="1:39">
      <c r="A21" t="s">
        <v>31</v>
      </c>
      <c r="AF21">
        <v>3</v>
      </c>
    </row>
    <row r="22" spans="1:39">
      <c r="A22" t="s">
        <v>62</v>
      </c>
      <c r="X22" t="s">
        <v>32</v>
      </c>
      <c r="Z22" t="s">
        <v>33</v>
      </c>
    </row>
    <row r="23" spans="1:39">
      <c r="X23" t="s">
        <v>58</v>
      </c>
      <c r="Y23" t="s">
        <v>59</v>
      </c>
    </row>
    <row r="24" spans="1:39">
      <c r="A24" t="s">
        <v>60</v>
      </c>
      <c r="X24" t="s">
        <v>316</v>
      </c>
    </row>
    <row r="25" spans="1:39">
      <c r="A25" t="s">
        <v>64</v>
      </c>
      <c r="X25" t="s">
        <v>316</v>
      </c>
    </row>
    <row r="26" spans="1:39">
      <c r="A26" t="s">
        <v>61</v>
      </c>
      <c r="X26" t="s">
        <v>316</v>
      </c>
    </row>
    <row r="27" spans="1:39">
      <c r="A27" t="s">
        <v>195</v>
      </c>
      <c r="X27" t="s">
        <v>316</v>
      </c>
    </row>
    <row r="28" spans="1:39">
      <c r="A28" t="s">
        <v>149</v>
      </c>
      <c r="X28" t="s">
        <v>316</v>
      </c>
    </row>
    <row r="29" spans="1:39">
      <c r="A29" t="s">
        <v>63</v>
      </c>
      <c r="X29" t="s">
        <v>316</v>
      </c>
    </row>
    <row r="30" spans="1:39">
      <c r="A30" t="s">
        <v>196</v>
      </c>
      <c r="X30" t="s">
        <v>316</v>
      </c>
    </row>
    <row r="32" spans="1:39">
      <c r="I32" t="s">
        <v>294</v>
      </c>
    </row>
    <row r="33" spans="8:42">
      <c r="I33" t="s">
        <v>15</v>
      </c>
      <c r="O33" t="s">
        <v>8</v>
      </c>
      <c r="AA33" t="s">
        <v>154</v>
      </c>
    </row>
    <row r="34" spans="8:42">
      <c r="I34" t="s">
        <v>230</v>
      </c>
      <c r="O34" t="s">
        <v>382</v>
      </c>
      <c r="AA34">
        <v>43646</v>
      </c>
      <c r="AP34">
        <v>43304</v>
      </c>
    </row>
    <row r="35" spans="8:42">
      <c r="I35" t="s">
        <v>228</v>
      </c>
      <c r="O35" t="s">
        <v>378</v>
      </c>
      <c r="AA35">
        <v>43281</v>
      </c>
    </row>
    <row r="40" spans="8:42">
      <c r="H40" t="s">
        <v>92</v>
      </c>
      <c r="Y40" t="s">
        <v>108</v>
      </c>
    </row>
    <row r="41" spans="8:42">
      <c r="H41" t="s">
        <v>43</v>
      </c>
      <c r="L41" t="s">
        <v>42</v>
      </c>
      <c r="P41" t="s">
        <v>97</v>
      </c>
      <c r="U41" t="s">
        <v>147</v>
      </c>
      <c r="Y41" t="s">
        <v>82</v>
      </c>
      <c r="AA41" t="s">
        <v>475</v>
      </c>
    </row>
    <row r="42" spans="8:42">
      <c r="H42" t="s">
        <v>40</v>
      </c>
      <c r="L42">
        <v>22.9</v>
      </c>
      <c r="P42">
        <v>44</v>
      </c>
      <c r="Y42">
        <v>1</v>
      </c>
      <c r="AA42">
        <v>100</v>
      </c>
    </row>
    <row r="43" spans="8:42">
      <c r="H43" t="s">
        <v>41</v>
      </c>
      <c r="L43">
        <v>22.9</v>
      </c>
      <c r="P43">
        <v>60</v>
      </c>
      <c r="U43">
        <v>814</v>
      </c>
      <c r="Y43">
        <v>2</v>
      </c>
      <c r="AA43">
        <v>100</v>
      </c>
    </row>
    <row r="44" spans="8:42">
      <c r="H44" t="s">
        <v>476</v>
      </c>
      <c r="Y44">
        <v>3</v>
      </c>
      <c r="AA44">
        <v>100</v>
      </c>
    </row>
    <row r="45" spans="8:42">
      <c r="H45" t="s">
        <v>151</v>
      </c>
      <c r="W45" t="s">
        <v>153</v>
      </c>
    </row>
    <row r="46" spans="8:42">
      <c r="H46" t="s">
        <v>168</v>
      </c>
      <c r="U46">
        <v>7.95</v>
      </c>
      <c r="W46" t="s">
        <v>472</v>
      </c>
    </row>
    <row r="47" spans="8:42">
      <c r="K47" t="s">
        <v>315</v>
      </c>
    </row>
    <row r="48" spans="8:42">
      <c r="K48" t="s">
        <v>477</v>
      </c>
      <c r="O48" t="s">
        <v>156</v>
      </c>
      <c r="T48" t="s">
        <v>112</v>
      </c>
    </row>
    <row r="49" spans="1:20">
      <c r="K49">
        <v>1000</v>
      </c>
      <c r="O49">
        <v>23.4</v>
      </c>
      <c r="T49">
        <v>0.41666666666666669</v>
      </c>
    </row>
    <row r="50" spans="1:20">
      <c r="K50" t="s">
        <v>155</v>
      </c>
    </row>
    <row r="59" spans="1:20">
      <c r="A59" t="s">
        <v>93</v>
      </c>
    </row>
    <row r="61" spans="1:20">
      <c r="E61" t="s">
        <v>51</v>
      </c>
      <c r="T61" t="s">
        <v>95</v>
      </c>
    </row>
    <row r="62" spans="1:20">
      <c r="E62" t="s">
        <v>56</v>
      </c>
      <c r="K62">
        <v>500</v>
      </c>
      <c r="M62" t="s">
        <v>0</v>
      </c>
    </row>
    <row r="64" spans="1:20">
      <c r="D64" t="s">
        <v>94</v>
      </c>
      <c r="H64" t="s">
        <v>430</v>
      </c>
      <c r="M64" t="s">
        <v>478</v>
      </c>
    </row>
    <row r="65" spans="1:38">
      <c r="AL65" t="s">
        <v>83</v>
      </c>
    </row>
    <row r="66" spans="1:38">
      <c r="D66">
        <v>1</v>
      </c>
      <c r="H66">
        <v>500.00200000000001</v>
      </c>
      <c r="M66">
        <v>0</v>
      </c>
    </row>
    <row r="67" spans="1:38">
      <c r="D67">
        <v>2</v>
      </c>
      <c r="H67">
        <v>500.00400000000002</v>
      </c>
      <c r="M67">
        <v>0</v>
      </c>
    </row>
    <row r="68" spans="1:38">
      <c r="D68">
        <v>3</v>
      </c>
      <c r="H68">
        <v>500.00200000000001</v>
      </c>
      <c r="M68">
        <v>0</v>
      </c>
    </row>
    <row r="69" spans="1:38">
      <c r="D69">
        <v>4</v>
      </c>
      <c r="H69">
        <v>500</v>
      </c>
      <c r="M69">
        <v>0</v>
      </c>
      <c r="V69" t="s">
        <v>299</v>
      </c>
    </row>
    <row r="70" spans="1:38">
      <c r="D70">
        <v>5</v>
      </c>
      <c r="H70">
        <v>500.00200000000001</v>
      </c>
      <c r="M70">
        <v>0</v>
      </c>
    </row>
    <row r="71" spans="1:38">
      <c r="D71">
        <v>1</v>
      </c>
      <c r="H71">
        <v>500.00200000000001</v>
      </c>
      <c r="M71">
        <v>0</v>
      </c>
      <c r="T71" t="s">
        <v>479</v>
      </c>
    </row>
    <row r="72" spans="1:38">
      <c r="D72" t="s">
        <v>434</v>
      </c>
      <c r="H72">
        <v>4.0000000000190994E-3</v>
      </c>
    </row>
    <row r="77" spans="1:38">
      <c r="A77" t="s">
        <v>52</v>
      </c>
      <c r="Q77" t="s">
        <v>53</v>
      </c>
    </row>
    <row r="78" spans="1:38">
      <c r="A78" t="s">
        <v>109</v>
      </c>
      <c r="B78" t="s">
        <v>480</v>
      </c>
      <c r="Q78" t="s">
        <v>71</v>
      </c>
      <c r="S78" t="s">
        <v>289</v>
      </c>
      <c r="T78" t="s">
        <v>481</v>
      </c>
      <c r="W78" t="s">
        <v>358</v>
      </c>
      <c r="X78" t="s">
        <v>445</v>
      </c>
      <c r="AB78" t="s">
        <v>478</v>
      </c>
      <c r="AE78" t="s">
        <v>357</v>
      </c>
      <c r="AF78" t="s">
        <v>416</v>
      </c>
    </row>
    <row r="79" spans="1:38">
      <c r="B79">
        <v>200</v>
      </c>
      <c r="H79">
        <v>700</v>
      </c>
    </row>
    <row r="80" spans="1:38">
      <c r="B80" t="s">
        <v>482</v>
      </c>
      <c r="F80" t="s">
        <v>478</v>
      </c>
      <c r="H80" t="s">
        <v>482</v>
      </c>
      <c r="L80" t="s">
        <v>478</v>
      </c>
      <c r="Q80">
        <v>1</v>
      </c>
      <c r="S80" t="s">
        <v>153</v>
      </c>
      <c r="T80">
        <v>1</v>
      </c>
      <c r="V80" t="s">
        <v>415</v>
      </c>
      <c r="W80">
        <v>0.99996499999999999</v>
      </c>
      <c r="AE80">
        <v>1</v>
      </c>
      <c r="AF80" t="s">
        <v>417</v>
      </c>
    </row>
    <row r="81" spans="1:42">
      <c r="A81">
        <v>1</v>
      </c>
      <c r="B81">
        <v>200.001</v>
      </c>
      <c r="F81">
        <v>0</v>
      </c>
      <c r="H81">
        <v>700.00099999999998</v>
      </c>
      <c r="L81">
        <v>0</v>
      </c>
      <c r="W81">
        <v>0</v>
      </c>
      <c r="AF81" t="s">
        <v>418</v>
      </c>
    </row>
    <row r="82" spans="1:42">
      <c r="A82">
        <v>2</v>
      </c>
      <c r="B82">
        <v>200.001</v>
      </c>
      <c r="F82">
        <v>0</v>
      </c>
      <c r="H82">
        <v>700</v>
      </c>
      <c r="L82">
        <v>0</v>
      </c>
      <c r="W82">
        <v>0</v>
      </c>
      <c r="AF82" t="s">
        <v>419</v>
      </c>
      <c r="AP82">
        <v>1</v>
      </c>
    </row>
    <row r="83" spans="1:42">
      <c r="A83">
        <v>3</v>
      </c>
      <c r="B83">
        <v>200.001</v>
      </c>
      <c r="F83">
        <v>0</v>
      </c>
      <c r="H83">
        <v>700.00099999999998</v>
      </c>
      <c r="L83">
        <v>0</v>
      </c>
      <c r="W83">
        <v>0</v>
      </c>
      <c r="AF83" t="s">
        <v>420</v>
      </c>
      <c r="AP83">
        <v>2</v>
      </c>
    </row>
    <row r="84" spans="1:42">
      <c r="A84">
        <v>4</v>
      </c>
      <c r="B84">
        <v>200.001</v>
      </c>
      <c r="F84">
        <v>0</v>
      </c>
      <c r="H84">
        <v>700.00099999999998</v>
      </c>
      <c r="L84">
        <v>0</v>
      </c>
      <c r="S84" t="s">
        <v>295</v>
      </c>
      <c r="T84">
        <v>1</v>
      </c>
      <c r="W84">
        <v>0.99996499999999999</v>
      </c>
      <c r="X84">
        <v>1</v>
      </c>
      <c r="AB84">
        <v>0</v>
      </c>
      <c r="AP84">
        <v>3</v>
      </c>
    </row>
    <row r="85" spans="1:42">
      <c r="A85">
        <v>5</v>
      </c>
      <c r="B85">
        <v>200.001</v>
      </c>
      <c r="F85">
        <v>0</v>
      </c>
      <c r="H85">
        <v>700.00099999999998</v>
      </c>
      <c r="L85">
        <v>0</v>
      </c>
      <c r="Q85">
        <v>2</v>
      </c>
      <c r="S85" t="s">
        <v>153</v>
      </c>
      <c r="T85">
        <v>100</v>
      </c>
      <c r="V85" t="s">
        <v>415</v>
      </c>
      <c r="W85">
        <v>99.999849999999995</v>
      </c>
      <c r="AE85">
        <v>1</v>
      </c>
      <c r="AP85">
        <v>4</v>
      </c>
    </row>
    <row r="86" spans="1:42">
      <c r="A86">
        <v>6</v>
      </c>
      <c r="B86">
        <v>200.001</v>
      </c>
      <c r="F86">
        <v>0</v>
      </c>
      <c r="H86">
        <v>700.00099999999998</v>
      </c>
      <c r="L86">
        <v>0</v>
      </c>
      <c r="W86">
        <v>0</v>
      </c>
      <c r="AP86">
        <v>5</v>
      </c>
    </row>
    <row r="87" spans="1:42">
      <c r="A87">
        <v>7</v>
      </c>
      <c r="B87">
        <v>200.001</v>
      </c>
      <c r="F87">
        <v>0</v>
      </c>
      <c r="H87">
        <v>700</v>
      </c>
      <c r="L87">
        <v>0</v>
      </c>
      <c r="W87">
        <v>0</v>
      </c>
      <c r="AP87">
        <v>6</v>
      </c>
    </row>
    <row r="88" spans="1:42">
      <c r="A88">
        <v>8</v>
      </c>
      <c r="B88">
        <v>200.00200000000001</v>
      </c>
      <c r="F88">
        <v>0</v>
      </c>
      <c r="H88">
        <v>700.00099999999998</v>
      </c>
      <c r="L88">
        <v>0</v>
      </c>
      <c r="W88">
        <v>0</v>
      </c>
    </row>
    <row r="89" spans="1:42">
      <c r="A89">
        <v>9</v>
      </c>
      <c r="B89">
        <v>200.001</v>
      </c>
      <c r="F89">
        <v>0</v>
      </c>
      <c r="H89">
        <v>700.00099999999998</v>
      </c>
      <c r="L89">
        <v>0</v>
      </c>
      <c r="S89" t="s">
        <v>295</v>
      </c>
      <c r="T89">
        <v>100</v>
      </c>
      <c r="W89">
        <v>99.999849999999995</v>
      </c>
      <c r="X89">
        <v>100.001</v>
      </c>
      <c r="AB89">
        <v>0</v>
      </c>
    </row>
    <row r="90" spans="1:42">
      <c r="A90">
        <v>10</v>
      </c>
      <c r="B90">
        <v>200.001</v>
      </c>
      <c r="F90">
        <v>0</v>
      </c>
      <c r="H90">
        <v>700.00099999999998</v>
      </c>
      <c r="L90">
        <v>0</v>
      </c>
      <c r="Q90">
        <v>3</v>
      </c>
      <c r="S90" t="s">
        <v>153</v>
      </c>
      <c r="T90">
        <v>100</v>
      </c>
      <c r="V90" t="s">
        <v>415</v>
      </c>
      <c r="W90">
        <v>99.999849999999995</v>
      </c>
      <c r="AE90">
        <v>1</v>
      </c>
    </row>
    <row r="91" spans="1:42">
      <c r="A91" t="s">
        <v>355</v>
      </c>
      <c r="B91">
        <v>3.1622776601834785E-4</v>
      </c>
      <c r="F91" t="s">
        <v>356</v>
      </c>
      <c r="H91">
        <v>4.2163702134581356E-4</v>
      </c>
      <c r="S91" t="s">
        <v>152</v>
      </c>
      <c r="T91">
        <v>200</v>
      </c>
      <c r="V91" t="s">
        <v>415</v>
      </c>
      <c r="W91">
        <v>199.99981</v>
      </c>
      <c r="AE91">
        <v>1</v>
      </c>
    </row>
    <row r="92" spans="1:42">
      <c r="W92">
        <v>0</v>
      </c>
    </row>
    <row r="93" spans="1:42">
      <c r="W93">
        <v>0</v>
      </c>
    </row>
    <row r="94" spans="1:42">
      <c r="S94" t="s">
        <v>295</v>
      </c>
      <c r="T94">
        <v>300</v>
      </c>
      <c r="W94">
        <v>299.99966000000001</v>
      </c>
      <c r="X94">
        <v>300</v>
      </c>
      <c r="AB94">
        <v>0</v>
      </c>
    </row>
    <row r="95" spans="1:42">
      <c r="Q95">
        <v>4</v>
      </c>
      <c r="S95" t="s">
        <v>153</v>
      </c>
      <c r="T95">
        <v>500</v>
      </c>
      <c r="V95" t="s">
        <v>415</v>
      </c>
      <c r="W95">
        <v>499.99858999999998</v>
      </c>
      <c r="AE95">
        <v>1</v>
      </c>
    </row>
    <row r="96" spans="1:42">
      <c r="W96">
        <v>0</v>
      </c>
    </row>
    <row r="97" spans="17:31">
      <c r="W97">
        <v>0</v>
      </c>
    </row>
    <row r="98" spans="17:31">
      <c r="W98">
        <v>0</v>
      </c>
    </row>
    <row r="99" spans="17:31">
      <c r="S99" t="s">
        <v>295</v>
      </c>
      <c r="T99">
        <v>500</v>
      </c>
      <c r="W99">
        <v>499.99858999999998</v>
      </c>
      <c r="X99">
        <v>500.00099999999998</v>
      </c>
      <c r="AB99">
        <v>0</v>
      </c>
    </row>
    <row r="100" spans="17:31">
      <c r="Q100">
        <v>5</v>
      </c>
      <c r="S100" t="s">
        <v>153</v>
      </c>
      <c r="T100">
        <v>200</v>
      </c>
      <c r="V100" t="s">
        <v>415</v>
      </c>
      <c r="W100">
        <v>199.99977000000001</v>
      </c>
      <c r="AE100">
        <v>1</v>
      </c>
    </row>
    <row r="101" spans="17:31">
      <c r="S101" t="s">
        <v>153</v>
      </c>
      <c r="T101">
        <v>500</v>
      </c>
      <c r="V101" t="s">
        <v>415</v>
      </c>
      <c r="W101">
        <v>499.99858999999998</v>
      </c>
      <c r="AE101">
        <v>1</v>
      </c>
    </row>
    <row r="102" spans="17:31">
      <c r="W102">
        <v>0</v>
      </c>
    </row>
    <row r="103" spans="17:31">
      <c r="W103">
        <v>0</v>
      </c>
    </row>
    <row r="104" spans="17:31">
      <c r="S104" t="s">
        <v>295</v>
      </c>
      <c r="T104">
        <v>700</v>
      </c>
      <c r="W104">
        <v>699.99836000000005</v>
      </c>
      <c r="X104">
        <v>700</v>
      </c>
      <c r="AB104">
        <v>0</v>
      </c>
    </row>
    <row r="105" spans="17:31">
      <c r="Q105">
        <v>6</v>
      </c>
      <c r="S105" t="s">
        <v>153</v>
      </c>
      <c r="T105">
        <v>200</v>
      </c>
      <c r="V105" t="s">
        <v>415</v>
      </c>
      <c r="W105">
        <v>199.99977000000001</v>
      </c>
      <c r="AE105">
        <v>1</v>
      </c>
    </row>
    <row r="106" spans="17:31">
      <c r="S106" t="s">
        <v>152</v>
      </c>
      <c r="T106">
        <v>200</v>
      </c>
      <c r="V106" t="s">
        <v>415</v>
      </c>
      <c r="W106">
        <v>199.99981</v>
      </c>
      <c r="AE106">
        <v>1</v>
      </c>
    </row>
    <row r="107" spans="17:31">
      <c r="S107" t="s">
        <v>153</v>
      </c>
      <c r="T107">
        <v>500</v>
      </c>
      <c r="V107" t="s">
        <v>415</v>
      </c>
      <c r="W107">
        <v>499.99858999999998</v>
      </c>
      <c r="AE107">
        <v>1</v>
      </c>
    </row>
    <row r="108" spans="17:31">
      <c r="W108">
        <v>0</v>
      </c>
    </row>
    <row r="109" spans="17:31">
      <c r="S109" t="s">
        <v>295</v>
      </c>
      <c r="T109">
        <v>900</v>
      </c>
      <c r="W109">
        <v>899.99817000000007</v>
      </c>
      <c r="X109">
        <v>900</v>
      </c>
      <c r="AB109">
        <v>0</v>
      </c>
    </row>
    <row r="110" spans="17:31">
      <c r="Q110">
        <v>7</v>
      </c>
      <c r="S110" t="s">
        <v>153</v>
      </c>
      <c r="T110">
        <v>1000</v>
      </c>
      <c r="V110" t="s">
        <v>415</v>
      </c>
      <c r="W110">
        <v>999.99900000000002</v>
      </c>
      <c r="AE110">
        <v>1</v>
      </c>
    </row>
    <row r="111" spans="17:31">
      <c r="W111">
        <v>0</v>
      </c>
    </row>
    <row r="112" spans="17:31">
      <c r="W112">
        <v>0</v>
      </c>
    </row>
    <row r="113" spans="17:31">
      <c r="W113">
        <v>0</v>
      </c>
    </row>
    <row r="114" spans="17:31">
      <c r="S114" t="s">
        <v>295</v>
      </c>
      <c r="T114">
        <v>1000</v>
      </c>
      <c r="W114">
        <v>999.99900000000002</v>
      </c>
      <c r="X114">
        <v>1000.001</v>
      </c>
      <c r="AB114">
        <v>0</v>
      </c>
    </row>
    <row r="115" spans="17:31">
      <c r="Q115">
        <v>8</v>
      </c>
      <c r="S115" t="s">
        <v>153</v>
      </c>
      <c r="T115">
        <v>50</v>
      </c>
      <c r="V115" t="s">
        <v>415</v>
      </c>
      <c r="W115">
        <v>49.999890000000001</v>
      </c>
      <c r="AE115">
        <v>1</v>
      </c>
    </row>
    <row r="116" spans="17:31">
      <c r="S116" t="s">
        <v>153</v>
      </c>
      <c r="T116">
        <v>1000</v>
      </c>
      <c r="V116" t="s">
        <v>415</v>
      </c>
      <c r="W116">
        <v>999.99900000000002</v>
      </c>
      <c r="AE116">
        <v>1</v>
      </c>
    </row>
    <row r="117" spans="17:31">
      <c r="W117">
        <v>0</v>
      </c>
    </row>
    <row r="118" spans="17:31">
      <c r="W118">
        <v>0</v>
      </c>
    </row>
    <row r="119" spans="17:31">
      <c r="S119" t="s">
        <v>295</v>
      </c>
      <c r="T119">
        <v>1050</v>
      </c>
      <c r="W119">
        <v>1049.9988900000001</v>
      </c>
      <c r="X119">
        <v>1050.001</v>
      </c>
      <c r="AB119">
        <v>0</v>
      </c>
    </row>
    <row r="120" spans="17:31">
      <c r="Q120">
        <v>9</v>
      </c>
      <c r="S120" t="s">
        <v>153</v>
      </c>
      <c r="T120">
        <v>100</v>
      </c>
      <c r="V120" t="s">
        <v>415</v>
      </c>
      <c r="W120">
        <v>99.999849999999995</v>
      </c>
      <c r="AE120">
        <v>1</v>
      </c>
    </row>
    <row r="121" spans="17:31">
      <c r="S121" t="s">
        <v>153</v>
      </c>
      <c r="T121">
        <v>1000</v>
      </c>
      <c r="V121" t="s">
        <v>415</v>
      </c>
      <c r="W121">
        <v>999.99900000000002</v>
      </c>
      <c r="AE121">
        <v>1</v>
      </c>
    </row>
    <row r="122" spans="17:31">
      <c r="W122">
        <v>0</v>
      </c>
    </row>
    <row r="123" spans="17:31">
      <c r="W123">
        <v>0</v>
      </c>
    </row>
    <row r="124" spans="17:31">
      <c r="S124" t="s">
        <v>295</v>
      </c>
      <c r="T124">
        <v>1100</v>
      </c>
      <c r="W124">
        <v>1099.9988499999999</v>
      </c>
      <c r="X124">
        <v>1100.001</v>
      </c>
      <c r="AB124">
        <v>0</v>
      </c>
    </row>
    <row r="125" spans="17:31">
      <c r="Q125">
        <v>10</v>
      </c>
      <c r="S125" t="s">
        <v>153</v>
      </c>
      <c r="T125">
        <v>200</v>
      </c>
      <c r="V125" t="s">
        <v>415</v>
      </c>
      <c r="W125">
        <v>199.99977000000001</v>
      </c>
      <c r="AE125">
        <v>1</v>
      </c>
    </row>
    <row r="126" spans="17:31">
      <c r="S126" t="s">
        <v>153</v>
      </c>
      <c r="T126">
        <v>1000</v>
      </c>
      <c r="V126" t="s">
        <v>415</v>
      </c>
      <c r="W126">
        <v>999.99900000000002</v>
      </c>
      <c r="AE126">
        <v>1</v>
      </c>
    </row>
    <row r="127" spans="17:31">
      <c r="W127">
        <v>0</v>
      </c>
    </row>
    <row r="128" spans="17:31">
      <c r="W128">
        <v>0</v>
      </c>
    </row>
    <row r="129" spans="1:32">
      <c r="S129" t="s">
        <v>295</v>
      </c>
      <c r="T129">
        <v>1200</v>
      </c>
      <c r="W129">
        <v>1199.9987700000001</v>
      </c>
      <c r="X129">
        <v>1200.001</v>
      </c>
      <c r="AB129">
        <v>0</v>
      </c>
    </row>
    <row r="133" spans="1:32">
      <c r="A133" t="s">
        <v>54</v>
      </c>
    </row>
    <row r="135" spans="1:32">
      <c r="A135" t="s">
        <v>125</v>
      </c>
      <c r="B135" t="s">
        <v>126</v>
      </c>
    </row>
    <row r="136" spans="1:32">
      <c r="B136" t="s">
        <v>19</v>
      </c>
      <c r="F136">
        <v>100</v>
      </c>
      <c r="L136" t="s">
        <v>0</v>
      </c>
      <c r="N136" t="s">
        <v>20</v>
      </c>
      <c r="R136">
        <v>100.00020000000001</v>
      </c>
      <c r="W136" t="s">
        <v>0</v>
      </c>
      <c r="Y136" t="s">
        <v>21</v>
      </c>
      <c r="AB136">
        <v>2.0000000000663931E-4</v>
      </c>
      <c r="AF136" t="s">
        <v>0</v>
      </c>
    </row>
    <row r="137" spans="1:32">
      <c r="B137" t="s">
        <v>301</v>
      </c>
      <c r="H137" t="s">
        <v>483</v>
      </c>
    </row>
    <row r="139" spans="1:32">
      <c r="H139" t="s">
        <v>92</v>
      </c>
    </row>
    <row r="140" spans="1:32">
      <c r="H140" t="s">
        <v>43</v>
      </c>
      <c r="L140" t="s">
        <v>42</v>
      </c>
      <c r="P140" t="s">
        <v>97</v>
      </c>
    </row>
    <row r="141" spans="1:32">
      <c r="H141" t="s">
        <v>41</v>
      </c>
      <c r="L141">
        <v>22.9</v>
      </c>
      <c r="P141">
        <v>60</v>
      </c>
      <c r="Y141" t="s">
        <v>36</v>
      </c>
      <c r="AD141">
        <v>0.44027777777777777</v>
      </c>
    </row>
    <row r="146" spans="1:14">
      <c r="A146" t="s">
        <v>484</v>
      </c>
    </row>
    <row r="149" spans="1:14">
      <c r="A149" t="s">
        <v>26</v>
      </c>
    </row>
    <row r="155" spans="1:14">
      <c r="C155" t="s">
        <v>3</v>
      </c>
      <c r="N155" t="s">
        <v>4</v>
      </c>
    </row>
    <row r="156" spans="1:14">
      <c r="C156" t="s">
        <v>5</v>
      </c>
      <c r="N156" t="s">
        <v>6</v>
      </c>
    </row>
    <row r="158" spans="1:14">
      <c r="C158" t="s">
        <v>287</v>
      </c>
      <c r="N158" t="s">
        <v>391</v>
      </c>
    </row>
    <row r="159" spans="1:14">
      <c r="C159" t="s">
        <v>84</v>
      </c>
      <c r="N159" t="s">
        <v>135</v>
      </c>
    </row>
    <row r="178" spans="1:41">
      <c r="AG178" t="s">
        <v>379</v>
      </c>
      <c r="AH178" t="s">
        <v>380</v>
      </c>
    </row>
    <row r="179" spans="1:41">
      <c r="A179" t="s">
        <v>44</v>
      </c>
      <c r="I179" t="s">
        <v>85</v>
      </c>
      <c r="Q179" t="s">
        <v>86</v>
      </c>
      <c r="Y179" t="s">
        <v>99</v>
      </c>
      <c r="AG179" t="s">
        <v>229</v>
      </c>
      <c r="AH179" t="s">
        <v>381</v>
      </c>
      <c r="AO179" t="s">
        <v>390</v>
      </c>
    </row>
    <row r="180" spans="1:41">
      <c r="A180" t="s">
        <v>0</v>
      </c>
      <c r="I180" t="s">
        <v>100</v>
      </c>
      <c r="Q180" t="s">
        <v>135</v>
      </c>
      <c r="Y180" t="s">
        <v>359</v>
      </c>
      <c r="AG180" t="s">
        <v>228</v>
      </c>
      <c r="AH180" t="s">
        <v>378</v>
      </c>
      <c r="AO180" t="s">
        <v>415</v>
      </c>
    </row>
    <row r="181" spans="1:41">
      <c r="A181" t="s">
        <v>11</v>
      </c>
      <c r="I181" t="s">
        <v>96</v>
      </c>
      <c r="Q181" t="s">
        <v>136</v>
      </c>
      <c r="Y181" t="s">
        <v>101</v>
      </c>
      <c r="AG181" t="s">
        <v>230</v>
      </c>
      <c r="AH181" t="s">
        <v>382</v>
      </c>
      <c r="AO181" t="s">
        <v>414</v>
      </c>
    </row>
    <row r="182" spans="1:41">
      <c r="A182" t="s">
        <v>25</v>
      </c>
      <c r="I182" t="s">
        <v>391</v>
      </c>
      <c r="Q182" t="s">
        <v>84</v>
      </c>
      <c r="Y182" t="s">
        <v>364</v>
      </c>
      <c r="AG182" t="s">
        <v>311</v>
      </c>
      <c r="AH182" t="s">
        <v>311</v>
      </c>
      <c r="AO182" t="s">
        <v>311</v>
      </c>
    </row>
    <row r="183" spans="1:41">
      <c r="I183" t="s">
        <v>285</v>
      </c>
      <c r="Y183" t="s">
        <v>365</v>
      </c>
    </row>
    <row r="184" spans="1:41">
      <c r="I184" t="s">
        <v>286</v>
      </c>
      <c r="Y184" t="s">
        <v>396</v>
      </c>
    </row>
    <row r="185" spans="1:41">
      <c r="I185" t="s">
        <v>287</v>
      </c>
    </row>
  </sheetData>
  <sheetProtection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3"/>
  <dimension ref="A3:Q32"/>
  <sheetViews>
    <sheetView topLeftCell="A34" workbookViewId="0">
      <selection activeCell="H22" sqref="H22"/>
    </sheetView>
  </sheetViews>
  <sheetFormatPr baseColWidth="10" defaultRowHeight="15"/>
  <sheetData>
    <row r="3" spans="1:17">
      <c r="A3" t="s">
        <v>22</v>
      </c>
      <c r="H3" t="s">
        <v>480</v>
      </c>
    </row>
    <row r="4" spans="1:17">
      <c r="H4">
        <v>1</v>
      </c>
      <c r="I4">
        <v>100</v>
      </c>
      <c r="J4">
        <v>300</v>
      </c>
      <c r="K4">
        <v>500</v>
      </c>
      <c r="L4">
        <v>700</v>
      </c>
      <c r="M4">
        <v>900</v>
      </c>
      <c r="N4">
        <v>1000</v>
      </c>
      <c r="O4">
        <v>1050</v>
      </c>
      <c r="P4">
        <v>1100</v>
      </c>
      <c r="Q4">
        <v>1200</v>
      </c>
    </row>
    <row r="5" spans="1:17">
      <c r="A5" t="s">
        <v>65</v>
      </c>
      <c r="G5" t="s">
        <v>296</v>
      </c>
      <c r="H5">
        <v>1E-3</v>
      </c>
      <c r="I5">
        <v>1E-3</v>
      </c>
      <c r="J5">
        <v>1E-3</v>
      </c>
      <c r="K5">
        <v>1E-3</v>
      </c>
      <c r="L5">
        <v>1E-3</v>
      </c>
      <c r="M5">
        <v>1E-3</v>
      </c>
      <c r="N5">
        <v>1E-3</v>
      </c>
      <c r="O5">
        <v>1E-3</v>
      </c>
      <c r="P5">
        <v>1E-3</v>
      </c>
      <c r="Q5">
        <v>1E-3</v>
      </c>
    </row>
    <row r="6" spans="1:17">
      <c r="G6" t="s">
        <v>297</v>
      </c>
      <c r="H6">
        <v>3.4641016151377544</v>
      </c>
      <c r="I6">
        <v>3.4641016151377544</v>
      </c>
      <c r="J6">
        <v>3.4641016151377544</v>
      </c>
      <c r="K6">
        <v>3.4641016151377544</v>
      </c>
      <c r="L6">
        <v>3.4641016151377544</v>
      </c>
      <c r="M6">
        <v>3.4641016151377544</v>
      </c>
      <c r="N6">
        <v>3.4641016151377544</v>
      </c>
      <c r="O6">
        <v>3.4641016151377544</v>
      </c>
      <c r="P6">
        <v>3.4641016151377544</v>
      </c>
      <c r="Q6">
        <v>3.4641016151377544</v>
      </c>
    </row>
    <row r="7" spans="1:17">
      <c r="G7" t="s">
        <v>366</v>
      </c>
      <c r="H7">
        <v>2.886751345948129E-4</v>
      </c>
      <c r="I7">
        <v>2.886751345948129E-4</v>
      </c>
      <c r="J7">
        <v>2.886751345948129E-4</v>
      </c>
      <c r="K7">
        <v>2.886751345948129E-4</v>
      </c>
      <c r="L7">
        <v>2.886751345948129E-4</v>
      </c>
      <c r="M7">
        <v>2.886751345948129E-4</v>
      </c>
      <c r="N7">
        <v>2.886751345948129E-4</v>
      </c>
      <c r="O7">
        <v>2.886751345948129E-4</v>
      </c>
      <c r="P7">
        <v>2.886751345948129E-4</v>
      </c>
      <c r="Q7">
        <v>2.886751345948129E-4</v>
      </c>
    </row>
    <row r="8" spans="1:17">
      <c r="A8" t="s">
        <v>65</v>
      </c>
      <c r="G8" t="s">
        <v>296</v>
      </c>
      <c r="H8">
        <v>1E-3</v>
      </c>
      <c r="I8">
        <v>1E-3</v>
      </c>
      <c r="J8">
        <v>1E-3</v>
      </c>
      <c r="K8">
        <v>1E-3</v>
      </c>
      <c r="L8">
        <v>1E-3</v>
      </c>
      <c r="M8">
        <v>1E-3</v>
      </c>
      <c r="N8">
        <v>1E-3</v>
      </c>
      <c r="O8">
        <v>1E-3</v>
      </c>
      <c r="P8">
        <v>1E-3</v>
      </c>
      <c r="Q8">
        <v>1E-3</v>
      </c>
    </row>
    <row r="9" spans="1:17">
      <c r="G9" t="s">
        <v>297</v>
      </c>
      <c r="H9">
        <v>3.4641016151377544</v>
      </c>
      <c r="I9">
        <v>3.4641016151377544</v>
      </c>
      <c r="J9">
        <v>3.4641016151377544</v>
      </c>
      <c r="K9">
        <v>3.4641016151377544</v>
      </c>
      <c r="L9">
        <v>3.4641016151377544</v>
      </c>
      <c r="M9">
        <v>3.4641016151377544</v>
      </c>
      <c r="N9">
        <v>3.4641016151377544</v>
      </c>
      <c r="O9">
        <v>3.4641016151377544</v>
      </c>
      <c r="P9">
        <v>3.4641016151377544</v>
      </c>
      <c r="Q9">
        <v>3.4641016151377544</v>
      </c>
    </row>
    <row r="10" spans="1:17">
      <c r="G10" t="s">
        <v>366</v>
      </c>
      <c r="H10">
        <v>2.886751345948129E-4</v>
      </c>
      <c r="I10">
        <v>2.886751345948129E-4</v>
      </c>
      <c r="J10">
        <v>2.886751345948129E-4</v>
      </c>
      <c r="K10">
        <v>2.886751345948129E-4</v>
      </c>
      <c r="L10">
        <v>2.886751345948129E-4</v>
      </c>
      <c r="M10">
        <v>2.886751345948129E-4</v>
      </c>
      <c r="N10">
        <v>2.886751345948129E-4</v>
      </c>
      <c r="O10">
        <v>2.886751345948129E-4</v>
      </c>
      <c r="P10">
        <v>2.886751345948129E-4</v>
      </c>
      <c r="Q10">
        <v>2.886751345948129E-4</v>
      </c>
    </row>
    <row r="11" spans="1:17">
      <c r="A11" t="s">
        <v>66</v>
      </c>
      <c r="G11" t="s">
        <v>296</v>
      </c>
      <c r="H11">
        <v>4.2163702134581356E-4</v>
      </c>
      <c r="I11">
        <v>4.2163702134581356E-4</v>
      </c>
      <c r="J11">
        <v>4.2163702134581356E-4</v>
      </c>
      <c r="K11">
        <v>4.2163702134581356E-4</v>
      </c>
      <c r="L11">
        <v>4.2163702134581356E-4</v>
      </c>
      <c r="M11">
        <v>4.2163702134581356E-4</v>
      </c>
      <c r="N11">
        <v>4.2163702134581356E-4</v>
      </c>
      <c r="O11">
        <v>4.2163702134581356E-4</v>
      </c>
      <c r="P11">
        <v>4.2163702134581356E-4</v>
      </c>
      <c r="Q11">
        <v>4.2163702134581356E-4</v>
      </c>
    </row>
    <row r="12" spans="1:17">
      <c r="G12" t="s">
        <v>297</v>
      </c>
      <c r="H12">
        <v>3.1622776601683795</v>
      </c>
      <c r="I12">
        <v>3.1622776601683795</v>
      </c>
      <c r="J12">
        <v>3.1622776601683795</v>
      </c>
      <c r="K12">
        <v>3.1622776601683795</v>
      </c>
      <c r="L12">
        <v>3.1622776601683795</v>
      </c>
      <c r="M12">
        <v>3.1622776601683795</v>
      </c>
      <c r="N12">
        <v>3.1622776601683795</v>
      </c>
      <c r="O12">
        <v>3.1622776601683795</v>
      </c>
      <c r="P12">
        <v>3.1622776601683795</v>
      </c>
      <c r="Q12">
        <v>3.1622776601683795</v>
      </c>
    </row>
    <row r="13" spans="1:17">
      <c r="G13" t="s">
        <v>366</v>
      </c>
      <c r="H13">
        <v>1.3333333333018043E-4</v>
      </c>
      <c r="I13">
        <v>1.3333333333018043E-4</v>
      </c>
      <c r="J13">
        <v>1.3333333333018043E-4</v>
      </c>
      <c r="K13">
        <v>1.3333333333018043E-4</v>
      </c>
      <c r="L13">
        <v>1.3333333333018043E-4</v>
      </c>
      <c r="M13">
        <v>1.3333333333018043E-4</v>
      </c>
      <c r="N13">
        <v>1.3333333333018043E-4</v>
      </c>
      <c r="O13">
        <v>1.3333333333018043E-4</v>
      </c>
      <c r="P13">
        <v>1.3333333333018043E-4</v>
      </c>
      <c r="Q13">
        <v>1.3333333333018043E-4</v>
      </c>
    </row>
    <row r="14" spans="1:17">
      <c r="A14" t="s">
        <v>67</v>
      </c>
      <c r="G14" t="s">
        <v>296</v>
      </c>
      <c r="H14">
        <v>4.0000000000190994E-3</v>
      </c>
      <c r="I14">
        <v>0.40000000000190994</v>
      </c>
      <c r="J14">
        <v>1.2000000000057298</v>
      </c>
      <c r="K14">
        <v>2.0000000000095497</v>
      </c>
      <c r="L14">
        <v>2.8000000000133696</v>
      </c>
      <c r="M14">
        <v>3.6000000000171894</v>
      </c>
      <c r="N14">
        <v>4.0000000000190994</v>
      </c>
      <c r="O14">
        <v>4.2000000000200544</v>
      </c>
      <c r="P14">
        <v>4.4000000000210093</v>
      </c>
      <c r="Q14">
        <v>4.8000000000229193</v>
      </c>
    </row>
    <row r="15" spans="1:17">
      <c r="G15" t="s">
        <v>297</v>
      </c>
      <c r="H15">
        <v>1732.0508075688772</v>
      </c>
      <c r="I15">
        <v>1732.0508075688772</v>
      </c>
      <c r="J15">
        <v>1732.0508075688772</v>
      </c>
      <c r="K15">
        <v>1732.0508075688772</v>
      </c>
      <c r="L15">
        <v>1732.0508075688772</v>
      </c>
      <c r="M15">
        <v>1732.0508075688772</v>
      </c>
      <c r="N15">
        <v>1732.0508075688772</v>
      </c>
      <c r="O15">
        <v>1732.0508075688772</v>
      </c>
      <c r="P15">
        <v>1732.0508075688772</v>
      </c>
      <c r="Q15">
        <v>1732.0508075688772</v>
      </c>
    </row>
    <row r="16" spans="1:17">
      <c r="G16" t="s">
        <v>366</v>
      </c>
      <c r="H16">
        <v>2.3094010767695302E-6</v>
      </c>
      <c r="I16">
        <v>2.3094010767695303E-4</v>
      </c>
      <c r="J16">
        <v>6.9282032303085903E-4</v>
      </c>
      <c r="K16">
        <v>1.1547005383847652E-3</v>
      </c>
      <c r="L16">
        <v>1.6165807537386711E-3</v>
      </c>
      <c r="M16">
        <v>2.0784609690925773E-3</v>
      </c>
      <c r="N16">
        <v>2.3094010767695304E-3</v>
      </c>
      <c r="O16">
        <v>2.4248711306080069E-3</v>
      </c>
      <c r="P16">
        <v>2.5403411844464835E-3</v>
      </c>
      <c r="Q16">
        <v>2.7712812921234361E-3</v>
      </c>
    </row>
    <row r="17" spans="1:17">
      <c r="A17" t="s">
        <v>68</v>
      </c>
      <c r="F17" t="s">
        <v>485</v>
      </c>
      <c r="G17" t="s">
        <v>296</v>
      </c>
      <c r="H17">
        <v>3.3000000000000003E-5</v>
      </c>
      <c r="I17">
        <v>1.7000000000000001E-4</v>
      </c>
      <c r="J17">
        <v>5.0000000000000001E-4</v>
      </c>
      <c r="K17">
        <v>8.3000000000000001E-4</v>
      </c>
      <c r="L17">
        <v>1.16E-3</v>
      </c>
      <c r="M17">
        <v>1.49E-3</v>
      </c>
      <c r="N17">
        <v>1.6999999999999999E-3</v>
      </c>
      <c r="O17">
        <v>1.8E-3</v>
      </c>
      <c r="P17">
        <v>1.8699999999999999E-3</v>
      </c>
      <c r="Q17">
        <v>2.0299999999999997E-3</v>
      </c>
    </row>
    <row r="18" spans="1:17">
      <c r="G18" t="s">
        <v>297</v>
      </c>
      <c r="H18">
        <v>2</v>
      </c>
      <c r="I18">
        <v>2</v>
      </c>
      <c r="J18">
        <v>2</v>
      </c>
      <c r="K18">
        <v>2</v>
      </c>
      <c r="L18">
        <v>2</v>
      </c>
      <c r="M18">
        <v>2</v>
      </c>
      <c r="N18">
        <v>2</v>
      </c>
      <c r="O18">
        <v>2</v>
      </c>
      <c r="P18">
        <v>2</v>
      </c>
      <c r="Q18">
        <v>2</v>
      </c>
    </row>
    <row r="19" spans="1:17">
      <c r="G19" t="s">
        <v>366</v>
      </c>
      <c r="H19">
        <v>1.6500000000000001E-5</v>
      </c>
      <c r="I19">
        <v>8.5000000000000006E-5</v>
      </c>
      <c r="J19">
        <v>2.5000000000000001E-4</v>
      </c>
      <c r="K19">
        <v>4.15E-4</v>
      </c>
      <c r="L19">
        <v>5.8E-4</v>
      </c>
      <c r="M19">
        <v>7.45E-4</v>
      </c>
      <c r="N19">
        <v>8.4999999999999995E-4</v>
      </c>
      <c r="O19">
        <v>8.9999999999999998E-4</v>
      </c>
      <c r="P19">
        <v>9.3499999999999996E-4</v>
      </c>
      <c r="Q19">
        <v>1.0149999999999998E-3</v>
      </c>
    </row>
    <row r="20" spans="1:17">
      <c r="A20" t="s">
        <v>69</v>
      </c>
      <c r="F20" t="s">
        <v>485</v>
      </c>
      <c r="G20" t="s">
        <v>296</v>
      </c>
      <c r="H20">
        <v>3.0000000000000052E-6</v>
      </c>
      <c r="I20">
        <v>6.999999999999998E-5</v>
      </c>
      <c r="J20">
        <v>7.9999999999999979E-5</v>
      </c>
      <c r="K20">
        <v>8.8999999999999995E-4</v>
      </c>
      <c r="L20">
        <v>1.0199999999999999E-3</v>
      </c>
      <c r="M20">
        <v>1.0299999999999999E-3</v>
      </c>
      <c r="N20">
        <v>1E-3</v>
      </c>
      <c r="O20">
        <v>1.06E-3</v>
      </c>
      <c r="P20">
        <v>1.07E-3</v>
      </c>
      <c r="Q20">
        <v>1.1299999999999999E-3</v>
      </c>
    </row>
    <row r="21" spans="1:17">
      <c r="G21" t="s">
        <v>297</v>
      </c>
      <c r="H21">
        <v>3.4641016151377544</v>
      </c>
      <c r="I21">
        <v>3.4641016151377544</v>
      </c>
      <c r="J21">
        <v>3.4641016151377544</v>
      </c>
      <c r="K21">
        <v>3.4641016151377544</v>
      </c>
      <c r="L21">
        <v>3.4641016151377544</v>
      </c>
      <c r="M21">
        <v>3.4641016151377544</v>
      </c>
      <c r="N21">
        <v>3.4641016151377544</v>
      </c>
      <c r="O21">
        <v>3.4641016151377544</v>
      </c>
      <c r="P21">
        <v>3.4641016151377544</v>
      </c>
      <c r="Q21">
        <v>3.4641016151377544</v>
      </c>
    </row>
    <row r="22" spans="1:17">
      <c r="G22" t="s">
        <v>366</v>
      </c>
      <c r="H22">
        <v>8.6602540378444016E-7</v>
      </c>
      <c r="I22">
        <v>2.0207259421636897E-5</v>
      </c>
      <c r="J22">
        <v>2.3094010767585025E-5</v>
      </c>
      <c r="K22">
        <v>2.5692086978938348E-4</v>
      </c>
      <c r="L22">
        <v>2.9444863728670913E-4</v>
      </c>
      <c r="M22">
        <v>2.9733538863265728E-4</v>
      </c>
      <c r="N22">
        <v>2.886751345948129E-4</v>
      </c>
      <c r="O22">
        <v>3.0599564267050166E-4</v>
      </c>
      <c r="P22">
        <v>3.088823940164498E-4</v>
      </c>
      <c r="Q22">
        <v>3.2620290209213856E-4</v>
      </c>
    </row>
    <row r="23" spans="1:17">
      <c r="A23" t="s">
        <v>70</v>
      </c>
      <c r="F23" t="s">
        <v>485</v>
      </c>
      <c r="G23" t="s">
        <v>296</v>
      </c>
      <c r="H23">
        <v>1.0000000000000001E-5</v>
      </c>
      <c r="I23">
        <v>1E-3</v>
      </c>
      <c r="J23">
        <v>3.0000000000000001E-3</v>
      </c>
      <c r="K23">
        <v>5.0000000000000001E-3</v>
      </c>
      <c r="L23">
        <v>7.0000000000000001E-3</v>
      </c>
      <c r="M23">
        <v>9.0000000000000011E-3</v>
      </c>
      <c r="N23">
        <v>0.01</v>
      </c>
      <c r="O23">
        <v>1.0500000000000001E-2</v>
      </c>
      <c r="P23">
        <v>1.1000000000000001E-2</v>
      </c>
      <c r="Q23">
        <v>1.2E-2</v>
      </c>
    </row>
    <row r="24" spans="1:17">
      <c r="G24" t="s">
        <v>297</v>
      </c>
      <c r="H24">
        <v>6.9282032302755088</v>
      </c>
      <c r="I24">
        <v>6.9282032302755088</v>
      </c>
      <c r="J24">
        <v>6.9282032302755088</v>
      </c>
      <c r="K24">
        <v>6.9282032302755088</v>
      </c>
      <c r="L24">
        <v>6.9282032302755088</v>
      </c>
      <c r="M24">
        <v>6.9282032302755088</v>
      </c>
      <c r="N24">
        <v>6.9282032302755088</v>
      </c>
      <c r="O24">
        <v>6.9282032302755088</v>
      </c>
      <c r="P24">
        <v>6.9282032302755088</v>
      </c>
      <c r="Q24">
        <v>6.9282032302755088</v>
      </c>
    </row>
    <row r="25" spans="1:17">
      <c r="G25" t="s">
        <v>366</v>
      </c>
      <c r="H25">
        <v>1.4433756729740647E-6</v>
      </c>
      <c r="I25">
        <v>1.4433756729740645E-4</v>
      </c>
      <c r="J25">
        <v>4.3301270189221935E-4</v>
      </c>
      <c r="K25">
        <v>7.2168783648703225E-4</v>
      </c>
      <c r="L25">
        <v>1.0103629710818453E-3</v>
      </c>
      <c r="M25">
        <v>1.2990381056766582E-3</v>
      </c>
      <c r="N25">
        <v>1.4433756729740645E-3</v>
      </c>
      <c r="O25">
        <v>1.5155444566227678E-3</v>
      </c>
      <c r="P25">
        <v>1.5877132402714711E-3</v>
      </c>
      <c r="Q25">
        <v>1.7320508075688774E-3</v>
      </c>
    </row>
    <row r="26" spans="1:17">
      <c r="A26" t="s">
        <v>123</v>
      </c>
      <c r="F26" t="s">
        <v>145</v>
      </c>
      <c r="G26" t="s">
        <v>296</v>
      </c>
      <c r="H26">
        <v>-1.0000000000000001E-5</v>
      </c>
      <c r="I26">
        <v>-5.0000000000000002E-5</v>
      </c>
      <c r="J26">
        <v>-1.3000000000000002E-4</v>
      </c>
      <c r="K26">
        <v>-1.7000000000000001E-4</v>
      </c>
      <c r="L26">
        <v>-2.5000000000000001E-4</v>
      </c>
      <c r="M26">
        <v>-3.3E-4</v>
      </c>
      <c r="N26">
        <v>-2.9E-4</v>
      </c>
      <c r="O26">
        <v>-3.1999999999999997E-4</v>
      </c>
      <c r="P26">
        <v>-3.4000000000000002E-4</v>
      </c>
      <c r="Q26">
        <v>-3.6999999999999999E-4</v>
      </c>
    </row>
    <row r="27" spans="1:17">
      <c r="G27" t="s">
        <v>297</v>
      </c>
      <c r="H27">
        <v>1.7320508075688772</v>
      </c>
      <c r="I27">
        <v>1.7320508075688772</v>
      </c>
      <c r="J27">
        <v>1.7320508075688772</v>
      </c>
      <c r="K27">
        <v>1.7320508075688772</v>
      </c>
      <c r="L27">
        <v>1.7320508075688772</v>
      </c>
      <c r="M27">
        <v>1.7320508075688772</v>
      </c>
      <c r="N27">
        <v>1.7320508075688772</v>
      </c>
      <c r="O27">
        <v>1.7320508075688772</v>
      </c>
      <c r="P27">
        <v>1.7320508075688772</v>
      </c>
      <c r="Q27">
        <v>1.7320508075688772</v>
      </c>
    </row>
    <row r="28" spans="1:17">
      <c r="G28" t="s">
        <v>366</v>
      </c>
      <c r="H28">
        <v>-5.7735026918962587E-6</v>
      </c>
      <c r="I28">
        <v>-2.8867513459481293E-5</v>
      </c>
      <c r="J28">
        <v>-7.5055534994651369E-5</v>
      </c>
      <c r="K28">
        <v>-9.8149545762236387E-5</v>
      </c>
      <c r="L28">
        <v>-1.4433756729740645E-4</v>
      </c>
      <c r="M28">
        <v>-1.9052558883257651E-4</v>
      </c>
      <c r="N28">
        <v>-1.6743157806499149E-4</v>
      </c>
      <c r="O28">
        <v>-1.8475208614068025E-4</v>
      </c>
      <c r="P28">
        <v>-1.9629909152447277E-4</v>
      </c>
      <c r="Q28">
        <v>-2.1361959960016153E-4</v>
      </c>
    </row>
    <row r="29" spans="1:17">
      <c r="A29" t="s">
        <v>72</v>
      </c>
      <c r="F29" t="s">
        <v>485</v>
      </c>
      <c r="H29">
        <v>4.2635766903609028E-3</v>
      </c>
      <c r="I29">
        <v>0.40000275883961817</v>
      </c>
      <c r="J29">
        <v>1.2000010141488198</v>
      </c>
      <c r="K29">
        <v>2.0000007366288584</v>
      </c>
      <c r="L29">
        <v>2.8000006504676591</v>
      </c>
      <c r="M29">
        <v>3.600000631268677</v>
      </c>
      <c r="N29">
        <v>4.0000006368912704</v>
      </c>
      <c r="O29">
        <v>4.2000006443556526</v>
      </c>
      <c r="P29">
        <v>4.4000006485184366</v>
      </c>
      <c r="Q29">
        <v>4.8000006625275029</v>
      </c>
    </row>
    <row r="30" spans="1:17">
      <c r="A30" t="s">
        <v>486</v>
      </c>
      <c r="F30" t="s">
        <v>485</v>
      </c>
      <c r="H30">
        <v>129.6670294791347</v>
      </c>
      <c r="I30">
        <v>100.0027588707817</v>
      </c>
      <c r="J30">
        <v>100.00033804817929</v>
      </c>
      <c r="K30">
        <v>100.00014732394847</v>
      </c>
      <c r="L30">
        <v>100.00009292207375</v>
      </c>
      <c r="M30">
        <v>100.00007013907143</v>
      </c>
      <c r="N30">
        <v>100.00006368723086</v>
      </c>
      <c r="O30">
        <v>100.00006136530764</v>
      </c>
      <c r="P30">
        <v>100.00005895432302</v>
      </c>
      <c r="Q30">
        <v>100.00005520872507</v>
      </c>
    </row>
    <row r="31" spans="1:17">
      <c r="A31" t="s">
        <v>23</v>
      </c>
      <c r="F31" t="s">
        <v>485</v>
      </c>
      <c r="H31">
        <v>1.9785244914792603</v>
      </c>
      <c r="I31">
        <v>1.9839715185235556</v>
      </c>
      <c r="J31">
        <v>1.9839715185235556</v>
      </c>
      <c r="K31">
        <v>1.9839715185235556</v>
      </c>
      <c r="L31">
        <v>1.9839715185235556</v>
      </c>
      <c r="M31">
        <v>1.9839715185235556</v>
      </c>
      <c r="N31">
        <v>1.9839715185235556</v>
      </c>
      <c r="O31">
        <v>1.9839715185235556</v>
      </c>
      <c r="P31">
        <v>1.9839715185235556</v>
      </c>
      <c r="Q31">
        <v>1.9839715185235556</v>
      </c>
    </row>
    <row r="32" spans="1:17">
      <c r="A32" t="s">
        <v>24</v>
      </c>
      <c r="F32" t="s">
        <v>485</v>
      </c>
      <c r="H32">
        <v>8.4355909031791337E-3</v>
      </c>
      <c r="I32">
        <v>0.7935940808686488</v>
      </c>
      <c r="J32">
        <v>2.3807678342706406</v>
      </c>
      <c r="K32">
        <v>3.9679444984977859</v>
      </c>
      <c r="L32">
        <v>5.5551215423752653</v>
      </c>
      <c r="M32">
        <v>7.1422987191038754</v>
      </c>
      <c r="N32">
        <v>7.9358873376683627</v>
      </c>
      <c r="O32">
        <v>8.3326816561821957</v>
      </c>
      <c r="P32">
        <v>8.7294759681457528</v>
      </c>
      <c r="Q32">
        <v>9.5230646033487627</v>
      </c>
    </row>
  </sheetData>
  <sheetProtection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4"/>
  <dimension ref="B1:AZ383"/>
  <sheetViews>
    <sheetView workbookViewId="0">
      <selection activeCell="K15" sqref="K15"/>
    </sheetView>
  </sheetViews>
  <sheetFormatPr baseColWidth="10" defaultRowHeight="15"/>
  <sheetData>
    <row r="1" spans="2:52">
      <c r="C1" t="s">
        <v>162</v>
      </c>
    </row>
    <row r="2" spans="2:52">
      <c r="C2" t="s">
        <v>163</v>
      </c>
      <c r="D2">
        <v>1000</v>
      </c>
      <c r="E2" t="s">
        <v>328</v>
      </c>
      <c r="F2" t="s">
        <v>167</v>
      </c>
      <c r="G2">
        <v>1.1832705629195646</v>
      </c>
      <c r="H2">
        <v>1.1832705629195646E-3</v>
      </c>
      <c r="N2" t="s">
        <v>173</v>
      </c>
      <c r="AZ2" t="s">
        <v>194</v>
      </c>
    </row>
    <row r="3" spans="2:52">
      <c r="C3" t="s">
        <v>164</v>
      </c>
      <c r="D3">
        <v>50</v>
      </c>
      <c r="E3" t="s">
        <v>160</v>
      </c>
      <c r="G3" t="s">
        <v>487</v>
      </c>
      <c r="H3" t="s">
        <v>472</v>
      </c>
      <c r="N3" t="s">
        <v>174</v>
      </c>
      <c r="Q3" t="s">
        <v>175</v>
      </c>
      <c r="AY3" t="s">
        <v>488</v>
      </c>
      <c r="AZ3">
        <v>26.43</v>
      </c>
    </row>
    <row r="4" spans="2:52">
      <c r="C4" t="s">
        <v>165</v>
      </c>
      <c r="D4">
        <v>20</v>
      </c>
      <c r="E4" t="s">
        <v>161</v>
      </c>
      <c r="N4" t="s">
        <v>177</v>
      </c>
      <c r="AY4" t="s">
        <v>489</v>
      </c>
      <c r="AZ4">
        <v>14.3</v>
      </c>
    </row>
    <row r="5" spans="2:52">
      <c r="Z5" t="s">
        <v>180</v>
      </c>
      <c r="AY5" t="s">
        <v>490</v>
      </c>
      <c r="AZ5">
        <v>7.79</v>
      </c>
    </row>
    <row r="6" spans="2:52">
      <c r="C6" t="s">
        <v>166</v>
      </c>
      <c r="N6" t="s">
        <v>176</v>
      </c>
      <c r="O6">
        <v>20</v>
      </c>
      <c r="P6">
        <v>15</v>
      </c>
      <c r="Q6">
        <v>10</v>
      </c>
      <c r="R6">
        <v>7</v>
      </c>
      <c r="S6">
        <v>5</v>
      </c>
      <c r="T6">
        <v>3</v>
      </c>
      <c r="U6">
        <v>2</v>
      </c>
      <c r="V6">
        <v>1</v>
      </c>
      <c r="W6" t="s">
        <v>178</v>
      </c>
      <c r="Z6" t="s">
        <v>176</v>
      </c>
      <c r="AA6">
        <v>20</v>
      </c>
      <c r="AB6">
        <v>15</v>
      </c>
      <c r="AC6">
        <v>10</v>
      </c>
      <c r="AD6">
        <v>7</v>
      </c>
      <c r="AE6">
        <v>5</v>
      </c>
      <c r="AF6">
        <v>3</v>
      </c>
      <c r="AG6">
        <v>2</v>
      </c>
      <c r="AH6">
        <v>1</v>
      </c>
      <c r="AL6" t="s">
        <v>193</v>
      </c>
      <c r="AM6">
        <v>10</v>
      </c>
      <c r="AN6">
        <v>9</v>
      </c>
      <c r="AO6">
        <v>8</v>
      </c>
      <c r="AP6">
        <v>7</v>
      </c>
      <c r="AQ6">
        <v>6</v>
      </c>
      <c r="AR6">
        <v>5</v>
      </c>
      <c r="AS6">
        <v>4</v>
      </c>
      <c r="AT6">
        <v>3</v>
      </c>
      <c r="AU6">
        <v>2</v>
      </c>
      <c r="AV6">
        <v>1</v>
      </c>
      <c r="AY6" t="s">
        <v>491</v>
      </c>
      <c r="AZ6">
        <v>3.53</v>
      </c>
    </row>
    <row r="7" spans="2:52">
      <c r="C7" t="s">
        <v>163</v>
      </c>
      <c r="D7">
        <v>814</v>
      </c>
      <c r="E7" t="s">
        <v>328</v>
      </c>
      <c r="F7" t="s">
        <v>169</v>
      </c>
      <c r="G7">
        <v>0.95253069166837567</v>
      </c>
      <c r="H7">
        <v>9.5253069166837572E-4</v>
      </c>
      <c r="N7">
        <v>20</v>
      </c>
      <c r="P7">
        <v>96.2</v>
      </c>
      <c r="Q7">
        <v>144</v>
      </c>
      <c r="R7">
        <v>135.19999999999999</v>
      </c>
      <c r="S7">
        <v>135</v>
      </c>
      <c r="T7">
        <v>219.2</v>
      </c>
      <c r="U7">
        <v>186.6</v>
      </c>
      <c r="V7">
        <v>345.5</v>
      </c>
      <c r="W7">
        <v>1261.6999999999998</v>
      </c>
      <c r="Z7">
        <v>20</v>
      </c>
      <c r="AA7">
        <v>49.23</v>
      </c>
      <c r="AB7">
        <v>38</v>
      </c>
      <c r="AC7">
        <v>26.43</v>
      </c>
      <c r="AD7">
        <v>19.25</v>
      </c>
      <c r="AE7">
        <v>14.3</v>
      </c>
      <c r="AF7">
        <v>9.14</v>
      </c>
      <c r="AG7">
        <v>6.42</v>
      </c>
      <c r="AH7">
        <v>3.53</v>
      </c>
      <c r="AL7">
        <v>20000</v>
      </c>
      <c r="AM7">
        <v>26.43</v>
      </c>
      <c r="AN7">
        <v>24.036666666666665</v>
      </c>
      <c r="AO7">
        <v>21.643333333333334</v>
      </c>
      <c r="AP7">
        <v>19.25</v>
      </c>
      <c r="AQ7">
        <v>16.774999999999999</v>
      </c>
      <c r="AR7">
        <v>14.3</v>
      </c>
      <c r="AS7">
        <v>11.72</v>
      </c>
      <c r="AT7">
        <v>9.14</v>
      </c>
      <c r="AU7">
        <v>6.42</v>
      </c>
      <c r="AV7">
        <v>3.53</v>
      </c>
      <c r="AY7" t="s">
        <v>492</v>
      </c>
      <c r="AZ7">
        <v>2.5199999999999996</v>
      </c>
    </row>
    <row r="8" spans="2:52">
      <c r="C8" t="s">
        <v>164</v>
      </c>
      <c r="D8">
        <v>44</v>
      </c>
      <c r="E8" t="s">
        <v>160</v>
      </c>
      <c r="G8" t="s">
        <v>487</v>
      </c>
      <c r="H8" t="s">
        <v>472</v>
      </c>
      <c r="N8">
        <v>10</v>
      </c>
      <c r="P8">
        <v>68.3</v>
      </c>
      <c r="Q8">
        <v>101.9</v>
      </c>
      <c r="R8">
        <v>95.3</v>
      </c>
      <c r="S8">
        <v>94.8</v>
      </c>
      <c r="T8">
        <v>153.30000000000001</v>
      </c>
      <c r="U8" t="s">
        <v>179</v>
      </c>
      <c r="V8">
        <v>239.1</v>
      </c>
      <c r="W8">
        <v>752.7</v>
      </c>
      <c r="Z8">
        <v>10</v>
      </c>
      <c r="AA8">
        <v>26.43</v>
      </c>
      <c r="AB8">
        <v>20.47</v>
      </c>
      <c r="AC8">
        <v>14.3</v>
      </c>
      <c r="AD8">
        <v>10.45</v>
      </c>
      <c r="AE8">
        <v>7.79</v>
      </c>
      <c r="AF8">
        <v>5.01</v>
      </c>
      <c r="AG8">
        <v>3.53</v>
      </c>
      <c r="AH8">
        <v>1.96</v>
      </c>
      <c r="AL8">
        <v>10000</v>
      </c>
      <c r="AM8">
        <v>14.3</v>
      </c>
      <c r="AN8">
        <v>13.016666666666667</v>
      </c>
      <c r="AO8">
        <v>11.733333333333333</v>
      </c>
      <c r="AP8">
        <v>10.45</v>
      </c>
      <c r="AQ8">
        <v>9.1199999999999992</v>
      </c>
      <c r="AR8">
        <v>7.79</v>
      </c>
      <c r="AS8">
        <v>6.4</v>
      </c>
      <c r="AT8">
        <v>5.01</v>
      </c>
      <c r="AU8">
        <v>3.53</v>
      </c>
      <c r="AV8">
        <v>1.96</v>
      </c>
      <c r="AY8" t="s">
        <v>493</v>
      </c>
      <c r="AZ8">
        <v>2.4699999999999998</v>
      </c>
    </row>
    <row r="9" spans="2:52">
      <c r="C9" t="s">
        <v>165</v>
      </c>
      <c r="D9">
        <v>22.9</v>
      </c>
      <c r="E9" t="s">
        <v>161</v>
      </c>
      <c r="N9">
        <v>5</v>
      </c>
      <c r="P9">
        <v>48.1</v>
      </c>
      <c r="Q9">
        <v>71.599999999999994</v>
      </c>
      <c r="R9">
        <v>66.7</v>
      </c>
      <c r="S9">
        <v>66.099999999999994</v>
      </c>
      <c r="T9">
        <v>106.5</v>
      </c>
      <c r="U9">
        <v>89.7</v>
      </c>
      <c r="V9">
        <v>164.2</v>
      </c>
      <c r="W9">
        <v>612.9</v>
      </c>
      <c r="Z9">
        <v>5</v>
      </c>
      <c r="AA9">
        <v>14.3</v>
      </c>
      <c r="AB9">
        <v>11.1</v>
      </c>
      <c r="AC9">
        <v>7.79</v>
      </c>
      <c r="AD9">
        <v>5.72</v>
      </c>
      <c r="AE9">
        <v>4.28</v>
      </c>
      <c r="AF9">
        <v>2.76</v>
      </c>
      <c r="AG9">
        <v>1.96</v>
      </c>
      <c r="AH9">
        <v>1.0900000000000001</v>
      </c>
      <c r="AL9">
        <v>5000</v>
      </c>
      <c r="AM9">
        <v>7.79</v>
      </c>
      <c r="AN9">
        <v>7.1</v>
      </c>
      <c r="AO9">
        <v>6.41</v>
      </c>
      <c r="AP9">
        <v>5.72</v>
      </c>
      <c r="AQ9">
        <v>5</v>
      </c>
      <c r="AR9">
        <v>4.28</v>
      </c>
      <c r="AS9">
        <v>3.52</v>
      </c>
      <c r="AT9">
        <v>2.76</v>
      </c>
      <c r="AU9">
        <v>1.96</v>
      </c>
      <c r="AV9">
        <v>1.0900000000000001</v>
      </c>
      <c r="AY9" t="s">
        <v>494</v>
      </c>
      <c r="AZ9">
        <v>2.25</v>
      </c>
    </row>
    <row r="10" spans="2:52">
      <c r="N10">
        <v>2</v>
      </c>
      <c r="P10">
        <v>30</v>
      </c>
      <c r="Q10">
        <v>44.4</v>
      </c>
      <c r="R10">
        <v>41.2</v>
      </c>
      <c r="S10">
        <v>40.6</v>
      </c>
      <c r="T10">
        <v>65</v>
      </c>
      <c r="U10">
        <v>54.4</v>
      </c>
      <c r="V10">
        <v>98.8</v>
      </c>
      <c r="W10">
        <v>374.40000000000003</v>
      </c>
      <c r="Z10">
        <v>2</v>
      </c>
      <c r="AA10">
        <v>6.42</v>
      </c>
      <c r="AB10">
        <v>5.01</v>
      </c>
      <c r="AC10">
        <v>3.53</v>
      </c>
      <c r="AD10">
        <v>2.61</v>
      </c>
      <c r="AE10">
        <v>1.96</v>
      </c>
      <c r="AF10">
        <v>1.27</v>
      </c>
      <c r="AG10">
        <v>0.91</v>
      </c>
      <c r="AH10">
        <v>0.51</v>
      </c>
      <c r="AL10">
        <v>2000</v>
      </c>
      <c r="AM10">
        <v>3.53</v>
      </c>
      <c r="AN10">
        <v>3.2233333333333332</v>
      </c>
      <c r="AO10">
        <v>2.9166666666666665</v>
      </c>
      <c r="AP10">
        <v>2.61</v>
      </c>
      <c r="AQ10">
        <v>2.2850000000000001</v>
      </c>
      <c r="AR10">
        <v>1.96</v>
      </c>
      <c r="AS10">
        <v>1.615</v>
      </c>
      <c r="AT10">
        <v>1.27</v>
      </c>
      <c r="AU10">
        <v>0.91</v>
      </c>
      <c r="AV10">
        <v>0.51</v>
      </c>
      <c r="AY10" t="s">
        <v>495</v>
      </c>
      <c r="AZ10">
        <v>1.96</v>
      </c>
    </row>
    <row r="11" spans="2:52">
      <c r="C11" t="s">
        <v>170</v>
      </c>
      <c r="D11">
        <v>7.1</v>
      </c>
      <c r="E11" t="s">
        <v>496</v>
      </c>
      <c r="F11">
        <v>7.95</v>
      </c>
      <c r="N11">
        <v>1</v>
      </c>
      <c r="P11">
        <v>20.8</v>
      </c>
      <c r="Q11">
        <v>30.7</v>
      </c>
      <c r="R11">
        <v>28.3</v>
      </c>
      <c r="S11">
        <v>27.8</v>
      </c>
      <c r="T11">
        <v>44.3</v>
      </c>
      <c r="U11">
        <v>37</v>
      </c>
      <c r="V11">
        <v>66.7</v>
      </c>
      <c r="W11">
        <v>255.59999999999997</v>
      </c>
      <c r="Z11">
        <v>1</v>
      </c>
      <c r="AA11">
        <v>3.53</v>
      </c>
      <c r="AB11">
        <v>2.76</v>
      </c>
      <c r="AC11">
        <v>1.96</v>
      </c>
      <c r="AD11">
        <v>1.45</v>
      </c>
      <c r="AE11">
        <v>1.0900000000000001</v>
      </c>
      <c r="AF11">
        <v>0.72</v>
      </c>
      <c r="AG11">
        <v>0.51</v>
      </c>
      <c r="AH11">
        <v>0.28999999999999998</v>
      </c>
      <c r="AL11">
        <v>1210</v>
      </c>
      <c r="AM11">
        <v>2.5199999999999996</v>
      </c>
      <c r="AN11">
        <v>2.3000000000000003</v>
      </c>
      <c r="AO11">
        <v>2.0799999999999996</v>
      </c>
      <c r="AP11">
        <v>1.86</v>
      </c>
      <c r="AQ11">
        <v>1.635</v>
      </c>
      <c r="AR11">
        <v>1.4100000000000001</v>
      </c>
      <c r="AS11">
        <v>1.17</v>
      </c>
      <c r="AT11">
        <v>0.92999999999999994</v>
      </c>
      <c r="AU11">
        <v>0.66</v>
      </c>
      <c r="AV11">
        <v>0.38</v>
      </c>
      <c r="AY11" t="s">
        <v>497</v>
      </c>
      <c r="AZ11">
        <v>2.1100000000000003</v>
      </c>
    </row>
    <row r="12" spans="2:52">
      <c r="C12" t="s">
        <v>171</v>
      </c>
      <c r="D12">
        <v>7.95</v>
      </c>
      <c r="E12" t="s">
        <v>496</v>
      </c>
      <c r="N12">
        <v>0.5</v>
      </c>
      <c r="P12">
        <v>14.3</v>
      </c>
      <c r="Q12">
        <v>21</v>
      </c>
      <c r="R12">
        <v>19.3</v>
      </c>
      <c r="S12">
        <v>18.899999999999999</v>
      </c>
      <c r="T12">
        <v>30</v>
      </c>
      <c r="U12">
        <v>24.9</v>
      </c>
      <c r="V12">
        <v>44.7</v>
      </c>
      <c r="W12">
        <v>173.10000000000002</v>
      </c>
      <c r="Z12">
        <v>0.5</v>
      </c>
      <c r="AA12">
        <v>1.96</v>
      </c>
      <c r="AB12">
        <v>1.54</v>
      </c>
      <c r="AC12">
        <v>1.0900000000000001</v>
      </c>
      <c r="AD12">
        <v>0.81</v>
      </c>
      <c r="AE12">
        <v>0.61</v>
      </c>
      <c r="AF12">
        <v>0.4</v>
      </c>
      <c r="AG12">
        <v>0.28999999999999998</v>
      </c>
      <c r="AH12">
        <v>0.17</v>
      </c>
      <c r="AL12">
        <v>1200</v>
      </c>
      <c r="AM12">
        <v>2.4699999999999998</v>
      </c>
      <c r="AN12">
        <v>2.2566666666666668</v>
      </c>
      <c r="AO12">
        <v>2.043333333333333</v>
      </c>
      <c r="AP12">
        <v>1.83</v>
      </c>
      <c r="AQ12">
        <v>1.605</v>
      </c>
      <c r="AR12">
        <v>1.3800000000000001</v>
      </c>
      <c r="AS12">
        <v>1.145</v>
      </c>
      <c r="AT12">
        <v>0.90999999999999992</v>
      </c>
      <c r="AU12">
        <v>0.65</v>
      </c>
      <c r="AV12">
        <v>0.37</v>
      </c>
      <c r="AY12" t="s">
        <v>498</v>
      </c>
      <c r="AZ12">
        <v>1.8900000000000001</v>
      </c>
    </row>
    <row r="13" spans="2:52">
      <c r="N13">
        <v>0.2</v>
      </c>
      <c r="P13">
        <v>8.6</v>
      </c>
      <c r="Q13">
        <v>12.6</v>
      </c>
      <c r="R13">
        <v>11.6</v>
      </c>
      <c r="S13">
        <v>11.3</v>
      </c>
      <c r="T13">
        <v>17.8</v>
      </c>
      <c r="U13">
        <v>14.6</v>
      </c>
      <c r="V13">
        <v>26.1</v>
      </c>
      <c r="W13">
        <v>102.6</v>
      </c>
      <c r="Z13">
        <v>0.2</v>
      </c>
      <c r="AA13">
        <v>0.91</v>
      </c>
      <c r="AB13">
        <v>0.72</v>
      </c>
      <c r="AC13">
        <v>0.51</v>
      </c>
      <c r="AD13">
        <v>0.38</v>
      </c>
      <c r="AE13">
        <v>0.28999999999999998</v>
      </c>
      <c r="AF13">
        <v>0.19</v>
      </c>
      <c r="AG13">
        <v>0.14000000000000001</v>
      </c>
      <c r="AH13">
        <v>0.08</v>
      </c>
      <c r="AL13">
        <v>1100</v>
      </c>
      <c r="AM13">
        <v>2.25</v>
      </c>
      <c r="AN13">
        <v>2.0566666666666666</v>
      </c>
      <c r="AO13">
        <v>1.8633333333333333</v>
      </c>
      <c r="AP13">
        <v>1.67</v>
      </c>
      <c r="AQ13">
        <v>1.4650000000000001</v>
      </c>
      <c r="AR13">
        <v>1.26</v>
      </c>
      <c r="AS13">
        <v>1.0449999999999999</v>
      </c>
      <c r="AT13">
        <v>0.83</v>
      </c>
      <c r="AU13">
        <v>0.59</v>
      </c>
      <c r="AV13">
        <v>0.33999999999999997</v>
      </c>
      <c r="AY13" t="s">
        <v>499</v>
      </c>
      <c r="AZ13">
        <v>1.6</v>
      </c>
    </row>
    <row r="14" spans="2:52">
      <c r="C14" t="s">
        <v>172</v>
      </c>
      <c r="E14">
        <v>1</v>
      </c>
      <c r="N14">
        <v>0.1</v>
      </c>
      <c r="P14">
        <v>5.8</v>
      </c>
      <c r="Q14">
        <v>8.5</v>
      </c>
      <c r="R14">
        <v>7.8</v>
      </c>
      <c r="S14">
        <v>7.5</v>
      </c>
      <c r="T14">
        <v>11.8</v>
      </c>
      <c r="U14">
        <v>9.6999999999999993</v>
      </c>
      <c r="V14">
        <v>17.2</v>
      </c>
      <c r="W14">
        <v>68.300000000000011</v>
      </c>
      <c r="Z14">
        <v>0.1</v>
      </c>
      <c r="AA14">
        <v>0.51</v>
      </c>
      <c r="AB14">
        <v>0.4</v>
      </c>
      <c r="AC14">
        <v>0.28999999999999998</v>
      </c>
      <c r="AD14">
        <v>0.22</v>
      </c>
      <c r="AE14">
        <v>0.17</v>
      </c>
      <c r="AF14">
        <v>0.11</v>
      </c>
      <c r="AG14">
        <v>0.08</v>
      </c>
      <c r="AH14">
        <v>0.05</v>
      </c>
      <c r="AL14">
        <v>1000</v>
      </c>
      <c r="AM14">
        <v>1.96</v>
      </c>
      <c r="AN14">
        <v>1.79</v>
      </c>
      <c r="AO14">
        <v>1.6199999999999999</v>
      </c>
      <c r="AP14">
        <v>1.45</v>
      </c>
      <c r="AQ14">
        <v>1.27</v>
      </c>
      <c r="AR14">
        <v>1.0900000000000001</v>
      </c>
      <c r="AS14">
        <v>0.90500000000000003</v>
      </c>
      <c r="AT14">
        <v>0.72</v>
      </c>
      <c r="AU14">
        <v>0.51</v>
      </c>
      <c r="AV14">
        <v>0.28999999999999998</v>
      </c>
      <c r="AY14" t="s">
        <v>500</v>
      </c>
      <c r="AZ14">
        <v>1.3800000000000001</v>
      </c>
    </row>
    <row r="15" spans="2:52">
      <c r="N15">
        <v>0.05</v>
      </c>
      <c r="P15">
        <v>3.9</v>
      </c>
      <c r="Q15">
        <v>5.7</v>
      </c>
      <c r="R15">
        <v>5.2</v>
      </c>
      <c r="S15">
        <v>5</v>
      </c>
      <c r="T15">
        <v>7.8</v>
      </c>
      <c r="U15">
        <v>6.4</v>
      </c>
      <c r="V15">
        <v>11.3</v>
      </c>
      <c r="W15">
        <v>45.3</v>
      </c>
      <c r="Z15">
        <v>0.05</v>
      </c>
      <c r="AA15">
        <v>0.28999999999999998</v>
      </c>
      <c r="AB15">
        <v>0.23</v>
      </c>
      <c r="AC15">
        <v>0.17</v>
      </c>
      <c r="AD15">
        <v>0.12</v>
      </c>
      <c r="AE15">
        <v>0.09</v>
      </c>
      <c r="AF15">
        <v>0.06</v>
      </c>
      <c r="AG15">
        <v>0.05</v>
      </c>
      <c r="AH15">
        <v>0.03</v>
      </c>
      <c r="AL15">
        <v>900</v>
      </c>
      <c r="AM15">
        <v>2.1100000000000003</v>
      </c>
      <c r="AN15">
        <v>1.9300000000000002</v>
      </c>
      <c r="AO15">
        <v>1.75</v>
      </c>
      <c r="AP15">
        <v>1.57</v>
      </c>
      <c r="AQ15">
        <v>1.38</v>
      </c>
      <c r="AR15">
        <v>1.19</v>
      </c>
      <c r="AS15">
        <v>0.98499999999999999</v>
      </c>
      <c r="AT15">
        <v>0.78</v>
      </c>
      <c r="AU15">
        <v>0.57000000000000006</v>
      </c>
      <c r="AV15">
        <v>0.33</v>
      </c>
      <c r="AY15" t="s">
        <v>501</v>
      </c>
      <c r="AZ15">
        <v>1.0900000000000001</v>
      </c>
    </row>
    <row r="16" spans="2:52">
      <c r="B16" t="s">
        <v>53</v>
      </c>
      <c r="N16">
        <v>0.02</v>
      </c>
      <c r="P16">
        <v>2.2999999999999998</v>
      </c>
      <c r="Q16">
        <v>3.3</v>
      </c>
      <c r="R16">
        <v>3</v>
      </c>
      <c r="S16">
        <v>2.9</v>
      </c>
      <c r="T16">
        <v>4.5</v>
      </c>
      <c r="U16">
        <v>3.7</v>
      </c>
      <c r="V16">
        <v>6.4</v>
      </c>
      <c r="W16">
        <v>26.1</v>
      </c>
      <c r="Z16">
        <v>0.02</v>
      </c>
      <c r="AA16">
        <v>0.14000000000000001</v>
      </c>
      <c r="AB16">
        <v>0.11</v>
      </c>
      <c r="AC16">
        <v>0.08</v>
      </c>
      <c r="AD16">
        <v>0.06</v>
      </c>
      <c r="AE16">
        <v>0.05</v>
      </c>
      <c r="AF16">
        <v>0.03</v>
      </c>
      <c r="AG16">
        <v>0.02</v>
      </c>
      <c r="AH16">
        <v>0.01</v>
      </c>
      <c r="AL16">
        <v>800</v>
      </c>
      <c r="AM16">
        <v>1.8900000000000001</v>
      </c>
      <c r="AN16">
        <v>1.73</v>
      </c>
      <c r="AO16">
        <v>1.57</v>
      </c>
      <c r="AP16">
        <v>1.4100000000000001</v>
      </c>
      <c r="AQ16">
        <v>1.24</v>
      </c>
      <c r="AR16">
        <v>1.0699999999999998</v>
      </c>
      <c r="AS16">
        <v>0.88500000000000001</v>
      </c>
      <c r="AT16">
        <v>0.7</v>
      </c>
      <c r="AU16">
        <v>0.51</v>
      </c>
      <c r="AV16">
        <v>0.30000000000000004</v>
      </c>
      <c r="AY16" t="s">
        <v>502</v>
      </c>
      <c r="AZ16">
        <v>1.02</v>
      </c>
    </row>
    <row r="17" spans="3:52">
      <c r="N17">
        <v>0.01</v>
      </c>
      <c r="P17">
        <v>1.5</v>
      </c>
      <c r="Q17">
        <v>2.2000000000000002</v>
      </c>
      <c r="R17">
        <v>2</v>
      </c>
      <c r="S17">
        <v>1.9</v>
      </c>
      <c r="T17">
        <v>2.9</v>
      </c>
      <c r="U17">
        <v>2.4</v>
      </c>
      <c r="V17">
        <v>4.2</v>
      </c>
      <c r="W17">
        <v>17.100000000000001</v>
      </c>
      <c r="Z17">
        <v>0.01</v>
      </c>
      <c r="AA17">
        <v>0.08</v>
      </c>
      <c r="AB17">
        <v>0.06</v>
      </c>
      <c r="AC17">
        <v>0.05</v>
      </c>
      <c r="AD17">
        <v>0.03</v>
      </c>
      <c r="AE17">
        <v>0.03</v>
      </c>
      <c r="AF17">
        <v>0.02</v>
      </c>
      <c r="AG17">
        <v>0.01</v>
      </c>
      <c r="AH17">
        <v>0.01</v>
      </c>
      <c r="AL17">
        <v>700</v>
      </c>
      <c r="AM17">
        <v>1.6</v>
      </c>
      <c r="AN17">
        <v>1.4633333333333334</v>
      </c>
      <c r="AO17">
        <v>1.3266666666666667</v>
      </c>
      <c r="AP17">
        <v>1.19</v>
      </c>
      <c r="AQ17">
        <v>1.0449999999999999</v>
      </c>
      <c r="AR17">
        <v>0.89999999999999991</v>
      </c>
      <c r="AS17">
        <v>0.745</v>
      </c>
      <c r="AT17">
        <v>0.59000000000000008</v>
      </c>
      <c r="AU17">
        <v>0.43</v>
      </c>
      <c r="AV17">
        <v>0.25</v>
      </c>
      <c r="AY17" t="s">
        <v>503</v>
      </c>
      <c r="AZ17">
        <v>0.8</v>
      </c>
    </row>
    <row r="18" spans="3:52">
      <c r="C18" t="s">
        <v>157</v>
      </c>
      <c r="D18" t="s">
        <v>158</v>
      </c>
      <c r="E18" t="s">
        <v>159</v>
      </c>
      <c r="F18" t="s">
        <v>330</v>
      </c>
      <c r="G18" t="s">
        <v>181</v>
      </c>
      <c r="H18" t="s">
        <v>331</v>
      </c>
      <c r="I18" t="s">
        <v>296</v>
      </c>
      <c r="J18" t="s">
        <v>297</v>
      </c>
      <c r="K18" t="s">
        <v>298</v>
      </c>
      <c r="L18" t="s">
        <v>317</v>
      </c>
      <c r="AL18">
        <v>600</v>
      </c>
      <c r="AM18">
        <v>1.3800000000000001</v>
      </c>
      <c r="AN18">
        <v>1.2633333333333334</v>
      </c>
      <c r="AO18">
        <v>1.1466666666666667</v>
      </c>
      <c r="AP18">
        <v>1.03</v>
      </c>
      <c r="AQ18">
        <v>0.90500000000000003</v>
      </c>
      <c r="AR18">
        <v>0.78</v>
      </c>
      <c r="AS18">
        <v>0.64500000000000002</v>
      </c>
      <c r="AT18">
        <v>0.51</v>
      </c>
      <c r="AU18">
        <v>0.37</v>
      </c>
      <c r="AV18">
        <v>0.22000000000000003</v>
      </c>
      <c r="AY18" t="s">
        <v>504</v>
      </c>
      <c r="AZ18">
        <v>0.68</v>
      </c>
    </row>
    <row r="19" spans="3:52">
      <c r="C19">
        <v>1</v>
      </c>
      <c r="E19">
        <v>0.99996499999999999</v>
      </c>
      <c r="G19">
        <v>-1.0000000000000001E-5</v>
      </c>
      <c r="I19">
        <v>3.3000000000000003E-5</v>
      </c>
      <c r="J19">
        <v>2</v>
      </c>
      <c r="K19">
        <v>3.0000000000000052E-6</v>
      </c>
      <c r="L19">
        <v>1E-4</v>
      </c>
      <c r="AL19">
        <v>500</v>
      </c>
      <c r="AM19">
        <v>1.0900000000000001</v>
      </c>
      <c r="AN19">
        <v>0.9966666666666667</v>
      </c>
      <c r="AO19">
        <v>0.90333333333333343</v>
      </c>
      <c r="AP19">
        <v>0.81</v>
      </c>
      <c r="AQ19">
        <v>0.71</v>
      </c>
      <c r="AR19">
        <v>0.61</v>
      </c>
      <c r="AS19">
        <v>0.505</v>
      </c>
      <c r="AT19">
        <v>0.4</v>
      </c>
      <c r="AU19">
        <v>0.28999999999999998</v>
      </c>
      <c r="AV19">
        <v>0.17</v>
      </c>
      <c r="AY19" t="s">
        <v>505</v>
      </c>
      <c r="AZ19">
        <v>0.59</v>
      </c>
    </row>
    <row r="20" spans="3:52">
      <c r="C20" t="s">
        <v>425</v>
      </c>
      <c r="D20" t="s">
        <v>425</v>
      </c>
      <c r="E20" t="s">
        <v>425</v>
      </c>
      <c r="G20" t="s">
        <v>425</v>
      </c>
      <c r="I20" t="s">
        <v>425</v>
      </c>
      <c r="J20" t="s">
        <v>425</v>
      </c>
      <c r="K20" t="s">
        <v>425</v>
      </c>
      <c r="L20" t="s">
        <v>425</v>
      </c>
      <c r="AL20">
        <v>400</v>
      </c>
      <c r="AM20">
        <v>1.02</v>
      </c>
      <c r="AN20">
        <v>0.93333333333333335</v>
      </c>
      <c r="AO20">
        <v>0.84666666666666668</v>
      </c>
      <c r="AP20">
        <v>0.76</v>
      </c>
      <c r="AQ20">
        <v>0.66999999999999993</v>
      </c>
      <c r="AR20">
        <v>0.57999999999999996</v>
      </c>
      <c r="AS20">
        <v>0.48</v>
      </c>
      <c r="AT20">
        <v>0.38</v>
      </c>
      <c r="AU20">
        <v>0.28000000000000003</v>
      </c>
      <c r="AV20">
        <v>0.16</v>
      </c>
      <c r="AY20" t="s">
        <v>506</v>
      </c>
      <c r="AZ20">
        <v>0.56000000000000005</v>
      </c>
    </row>
    <row r="21" spans="3:52">
      <c r="C21" t="s">
        <v>425</v>
      </c>
      <c r="D21" t="s">
        <v>425</v>
      </c>
      <c r="E21" t="s">
        <v>425</v>
      </c>
      <c r="G21" t="s">
        <v>425</v>
      </c>
      <c r="I21" t="s">
        <v>425</v>
      </c>
      <c r="J21" t="s">
        <v>425</v>
      </c>
      <c r="K21" t="s">
        <v>425</v>
      </c>
      <c r="L21" t="s">
        <v>425</v>
      </c>
      <c r="AL21">
        <v>300</v>
      </c>
      <c r="AM21">
        <v>0.8</v>
      </c>
      <c r="AN21">
        <v>0.73333333333333339</v>
      </c>
      <c r="AO21">
        <v>0.66666666666666663</v>
      </c>
      <c r="AP21">
        <v>0.6</v>
      </c>
      <c r="AQ21">
        <v>0.53</v>
      </c>
      <c r="AR21">
        <v>0.45999999999999996</v>
      </c>
      <c r="AS21">
        <v>0.38</v>
      </c>
      <c r="AT21">
        <v>0.3</v>
      </c>
      <c r="AU21">
        <v>0.22000000000000003</v>
      </c>
      <c r="AV21">
        <v>0.13</v>
      </c>
      <c r="AY21" t="s">
        <v>507</v>
      </c>
      <c r="AZ21">
        <v>0.51</v>
      </c>
    </row>
    <row r="22" spans="3:52">
      <c r="C22" t="s">
        <v>425</v>
      </c>
      <c r="D22" t="s">
        <v>425</v>
      </c>
      <c r="E22" t="s">
        <v>425</v>
      </c>
      <c r="G22" t="s">
        <v>425</v>
      </c>
      <c r="I22" t="s">
        <v>425</v>
      </c>
      <c r="J22" t="s">
        <v>425</v>
      </c>
      <c r="K22" t="s">
        <v>425</v>
      </c>
      <c r="L22" t="s">
        <v>425</v>
      </c>
      <c r="AL22">
        <v>250</v>
      </c>
      <c r="AM22">
        <v>0.68</v>
      </c>
      <c r="AN22">
        <v>0.62</v>
      </c>
      <c r="AO22">
        <v>0.56000000000000005</v>
      </c>
      <c r="AP22">
        <v>0.5</v>
      </c>
      <c r="AQ22">
        <v>0.43999999999999995</v>
      </c>
      <c r="AR22">
        <v>0.38</v>
      </c>
      <c r="AS22">
        <v>0.315</v>
      </c>
      <c r="AT22">
        <v>0.25</v>
      </c>
      <c r="AU22">
        <v>0.19</v>
      </c>
      <c r="AV22">
        <v>0.11</v>
      </c>
      <c r="AY22" t="s">
        <v>508</v>
      </c>
      <c r="AZ22">
        <v>0.54</v>
      </c>
    </row>
    <row r="23" spans="3:52">
      <c r="D23">
        <v>1</v>
      </c>
      <c r="E23">
        <v>0.99996499999999999</v>
      </c>
      <c r="F23">
        <v>3.6559615461289733E-6</v>
      </c>
      <c r="G23">
        <v>-1.0000000000000001E-5</v>
      </c>
      <c r="H23">
        <v>0.99995865596154621</v>
      </c>
      <c r="I23">
        <v>3.3000000000000003E-5</v>
      </c>
      <c r="J23">
        <v>2</v>
      </c>
      <c r="K23">
        <v>3.0000000000000052E-6</v>
      </c>
      <c r="L23">
        <v>1E-4</v>
      </c>
    </row>
    <row r="24" spans="3:52">
      <c r="C24">
        <v>100</v>
      </c>
      <c r="E24">
        <v>99.999849999999995</v>
      </c>
      <c r="G24">
        <v>-5.0000000000000002E-5</v>
      </c>
      <c r="I24">
        <v>1.7000000000000001E-4</v>
      </c>
      <c r="J24">
        <v>2</v>
      </c>
      <c r="K24">
        <v>6.999999999999998E-5</v>
      </c>
      <c r="L24">
        <v>5.0000000000000001E-4</v>
      </c>
      <c r="AL24">
        <v>220</v>
      </c>
      <c r="AM24">
        <v>0.59</v>
      </c>
      <c r="AN24">
        <v>0.54</v>
      </c>
      <c r="AO24">
        <v>0.49</v>
      </c>
      <c r="AP24">
        <v>0.44</v>
      </c>
      <c r="AQ24">
        <v>0.38999999999999996</v>
      </c>
      <c r="AR24">
        <v>0.33999999999999997</v>
      </c>
      <c r="AS24">
        <v>0.27999999999999997</v>
      </c>
      <c r="AT24">
        <v>0.22</v>
      </c>
      <c r="AU24">
        <v>0.16</v>
      </c>
      <c r="AV24">
        <v>0.09</v>
      </c>
      <c r="AY24" t="s">
        <v>509</v>
      </c>
      <c r="AZ24">
        <v>0.45999999999999996</v>
      </c>
    </row>
    <row r="25" spans="3:52">
      <c r="C25" t="s">
        <v>425</v>
      </c>
      <c r="D25" t="s">
        <v>425</v>
      </c>
      <c r="E25" t="s">
        <v>425</v>
      </c>
      <c r="G25" t="s">
        <v>425</v>
      </c>
      <c r="I25" t="s">
        <v>425</v>
      </c>
      <c r="J25" t="s">
        <v>425</v>
      </c>
      <c r="K25" t="s">
        <v>425</v>
      </c>
      <c r="L25" t="s">
        <v>425</v>
      </c>
      <c r="AL25">
        <v>210</v>
      </c>
      <c r="AM25">
        <v>0.56000000000000005</v>
      </c>
      <c r="AN25">
        <v>0.51</v>
      </c>
      <c r="AO25">
        <v>0.46</v>
      </c>
      <c r="AP25">
        <v>0.41000000000000003</v>
      </c>
      <c r="AQ25">
        <v>0.36499999999999999</v>
      </c>
      <c r="AR25">
        <v>0.31999999999999995</v>
      </c>
      <c r="AS25">
        <v>0.26500000000000001</v>
      </c>
      <c r="AT25">
        <v>0.21</v>
      </c>
      <c r="AU25">
        <v>0.15000000000000002</v>
      </c>
      <c r="AV25">
        <v>0.09</v>
      </c>
      <c r="AY25" t="s">
        <v>510</v>
      </c>
      <c r="AZ25">
        <v>0.28999999999999998</v>
      </c>
    </row>
    <row r="26" spans="3:52">
      <c r="C26" t="s">
        <v>425</v>
      </c>
      <c r="D26" t="s">
        <v>425</v>
      </c>
      <c r="E26" t="s">
        <v>425</v>
      </c>
      <c r="G26" t="s">
        <v>425</v>
      </c>
      <c r="I26" t="s">
        <v>425</v>
      </c>
      <c r="J26" t="s">
        <v>425</v>
      </c>
      <c r="K26" t="s">
        <v>425</v>
      </c>
      <c r="L26" t="s">
        <v>425</v>
      </c>
      <c r="AL26">
        <v>200</v>
      </c>
      <c r="AM26">
        <v>0.51</v>
      </c>
      <c r="AN26">
        <v>0.46666666666666667</v>
      </c>
      <c r="AO26">
        <v>0.42333333333333334</v>
      </c>
      <c r="AP26">
        <v>0.38</v>
      </c>
      <c r="AQ26">
        <v>0.33499999999999996</v>
      </c>
      <c r="AR26">
        <v>0.28999999999999998</v>
      </c>
      <c r="AS26">
        <v>0.24</v>
      </c>
      <c r="AT26">
        <v>0.19</v>
      </c>
      <c r="AU26">
        <v>0.14000000000000001</v>
      </c>
      <c r="AV26">
        <v>0.08</v>
      </c>
      <c r="AY26" t="s">
        <v>511</v>
      </c>
      <c r="AZ26">
        <v>0.25</v>
      </c>
    </row>
    <row r="27" spans="3:52">
      <c r="C27" t="s">
        <v>425</v>
      </c>
      <c r="D27" t="s">
        <v>425</v>
      </c>
      <c r="E27" t="s">
        <v>425</v>
      </c>
      <c r="G27" t="s">
        <v>425</v>
      </c>
      <c r="I27" t="s">
        <v>425</v>
      </c>
      <c r="J27" t="s">
        <v>425</v>
      </c>
      <c r="K27" t="s">
        <v>425</v>
      </c>
      <c r="L27" t="s">
        <v>425</v>
      </c>
      <c r="AL27">
        <v>170</v>
      </c>
      <c r="AM27">
        <v>0.54</v>
      </c>
      <c r="AN27">
        <v>0.49333333333333329</v>
      </c>
      <c r="AO27">
        <v>0.44666666666666666</v>
      </c>
      <c r="AP27">
        <v>0.4</v>
      </c>
      <c r="AQ27">
        <v>0.35499999999999998</v>
      </c>
      <c r="AR27">
        <v>0.31000000000000005</v>
      </c>
      <c r="AS27">
        <v>0.255</v>
      </c>
      <c r="AT27">
        <v>0.2</v>
      </c>
      <c r="AU27">
        <v>0.15000000000000002</v>
      </c>
      <c r="AV27">
        <v>0.09</v>
      </c>
      <c r="AY27" t="s">
        <v>512</v>
      </c>
      <c r="AZ27">
        <v>0.17</v>
      </c>
    </row>
    <row r="28" spans="3:52">
      <c r="D28">
        <v>100.001</v>
      </c>
      <c r="E28">
        <v>99.999849999999995</v>
      </c>
      <c r="F28">
        <v>3.6560840251275334E-4</v>
      </c>
      <c r="G28">
        <v>-5.0000000000000002E-5</v>
      </c>
      <c r="H28">
        <v>100.00016560840251</v>
      </c>
      <c r="I28">
        <v>1.7000000000000001E-4</v>
      </c>
      <c r="J28">
        <v>2</v>
      </c>
      <c r="K28">
        <v>6.999999999999998E-5</v>
      </c>
      <c r="L28">
        <v>5.0000000000000001E-4</v>
      </c>
      <c r="AL28">
        <v>150</v>
      </c>
      <c r="AM28">
        <v>0.45999999999999996</v>
      </c>
      <c r="AN28">
        <v>0.42000000000000004</v>
      </c>
      <c r="AO28">
        <v>0.38</v>
      </c>
      <c r="AP28">
        <v>0.33999999999999997</v>
      </c>
      <c r="AQ28">
        <v>0.3</v>
      </c>
      <c r="AR28">
        <v>0.26</v>
      </c>
      <c r="AS28">
        <v>0.21500000000000002</v>
      </c>
      <c r="AT28">
        <v>0.16999999999999998</v>
      </c>
      <c r="AU28">
        <v>0.13</v>
      </c>
      <c r="AV28">
        <v>0.08</v>
      </c>
      <c r="AY28" t="s">
        <v>513</v>
      </c>
      <c r="AZ28">
        <v>0.08</v>
      </c>
    </row>
    <row r="29" spans="3:52">
      <c r="C29">
        <v>100</v>
      </c>
      <c r="E29">
        <v>99.999849999999995</v>
      </c>
      <c r="G29">
        <v>-5.0000000000000002E-5</v>
      </c>
      <c r="I29">
        <v>1.7000000000000001E-4</v>
      </c>
      <c r="J29">
        <v>2</v>
      </c>
      <c r="K29">
        <v>6.999999999999998E-5</v>
      </c>
      <c r="L29">
        <v>5.0000000000000001E-4</v>
      </c>
      <c r="AL29">
        <v>100</v>
      </c>
      <c r="AM29">
        <v>0.28999999999999998</v>
      </c>
      <c r="AN29">
        <v>0.26666666666666666</v>
      </c>
      <c r="AO29">
        <v>0.24333333333333332</v>
      </c>
      <c r="AP29">
        <v>0.22</v>
      </c>
      <c r="AQ29">
        <v>0.19500000000000001</v>
      </c>
      <c r="AR29">
        <v>0.17</v>
      </c>
      <c r="AS29">
        <v>0.14000000000000001</v>
      </c>
      <c r="AT29">
        <v>0.11</v>
      </c>
      <c r="AU29">
        <v>0.08</v>
      </c>
      <c r="AV29">
        <v>0.05</v>
      </c>
      <c r="AY29" t="s">
        <v>514</v>
      </c>
      <c r="AZ29">
        <v>0.05</v>
      </c>
    </row>
    <row r="30" spans="3:52">
      <c r="C30">
        <v>200</v>
      </c>
      <c r="D30" t="s">
        <v>425</v>
      </c>
      <c r="E30">
        <v>199.99981</v>
      </c>
      <c r="G30">
        <v>-8.0000000000000007E-5</v>
      </c>
      <c r="I30">
        <v>3.3E-4</v>
      </c>
      <c r="J30">
        <v>2</v>
      </c>
      <c r="K30">
        <v>9.9999999999999991E-6</v>
      </c>
      <c r="L30">
        <v>1E-3</v>
      </c>
      <c r="AL30">
        <v>70</v>
      </c>
      <c r="AM30">
        <v>0.25</v>
      </c>
      <c r="AN30">
        <v>0.22666666666666668</v>
      </c>
      <c r="AO30">
        <v>0.20333333333333331</v>
      </c>
      <c r="AP30">
        <v>0.18</v>
      </c>
      <c r="AQ30">
        <v>0.16</v>
      </c>
      <c r="AR30">
        <v>0.14000000000000001</v>
      </c>
      <c r="AS30">
        <v>0.11499999999999999</v>
      </c>
      <c r="AT30">
        <v>0.09</v>
      </c>
      <c r="AU30">
        <v>7.0000000000000007E-2</v>
      </c>
      <c r="AV30">
        <v>0.04</v>
      </c>
      <c r="AY30" t="s">
        <v>515</v>
      </c>
      <c r="AZ30">
        <v>0.05</v>
      </c>
    </row>
    <row r="31" spans="3:52">
      <c r="C31" t="s">
        <v>425</v>
      </c>
      <c r="D31" t="s">
        <v>425</v>
      </c>
      <c r="E31" t="s">
        <v>425</v>
      </c>
      <c r="G31" t="s">
        <v>425</v>
      </c>
      <c r="I31" t="s">
        <v>425</v>
      </c>
      <c r="J31" t="s">
        <v>425</v>
      </c>
      <c r="K31" t="s">
        <v>425</v>
      </c>
      <c r="L31" t="s">
        <v>425</v>
      </c>
      <c r="AL31">
        <v>50</v>
      </c>
      <c r="AM31">
        <v>0.17</v>
      </c>
      <c r="AN31">
        <v>0.15333333333333335</v>
      </c>
      <c r="AO31">
        <v>0.13666666666666666</v>
      </c>
      <c r="AP31">
        <v>0.12</v>
      </c>
      <c r="AQ31">
        <v>0.105</v>
      </c>
      <c r="AR31">
        <v>0.09</v>
      </c>
      <c r="AS31">
        <v>7.4999999999999997E-2</v>
      </c>
      <c r="AT31">
        <v>0.06</v>
      </c>
      <c r="AU31">
        <v>0.05</v>
      </c>
      <c r="AV31">
        <v>0.03</v>
      </c>
      <c r="AY31" t="s">
        <v>516</v>
      </c>
      <c r="AZ31">
        <v>0.05</v>
      </c>
    </row>
    <row r="32" spans="3:52">
      <c r="C32" t="s">
        <v>425</v>
      </c>
      <c r="D32" t="s">
        <v>425</v>
      </c>
      <c r="E32" t="s">
        <v>425</v>
      </c>
      <c r="G32" t="s">
        <v>425</v>
      </c>
      <c r="I32" t="s">
        <v>425</v>
      </c>
      <c r="J32" t="s">
        <v>425</v>
      </c>
      <c r="K32" t="s">
        <v>425</v>
      </c>
      <c r="L32" t="s">
        <v>425</v>
      </c>
      <c r="AL32">
        <v>20</v>
      </c>
      <c r="AM32">
        <v>0.08</v>
      </c>
      <c r="AN32">
        <v>7.3333333333333334E-2</v>
      </c>
      <c r="AO32">
        <v>6.6666666666666666E-2</v>
      </c>
      <c r="AP32">
        <v>0.06</v>
      </c>
      <c r="AQ32">
        <v>5.5E-2</v>
      </c>
      <c r="AR32">
        <v>0.05</v>
      </c>
      <c r="AS32">
        <v>0.04</v>
      </c>
      <c r="AT32">
        <v>0.03</v>
      </c>
      <c r="AU32">
        <v>0.02</v>
      </c>
      <c r="AV32">
        <v>0.01</v>
      </c>
      <c r="AY32" t="s">
        <v>517</v>
      </c>
      <c r="AZ32">
        <v>0.05</v>
      </c>
    </row>
    <row r="33" spans="3:52">
      <c r="D33">
        <v>300</v>
      </c>
      <c r="E33">
        <v>299.99966000000001</v>
      </c>
      <c r="F33">
        <v>1.0968256097081061E-3</v>
      </c>
      <c r="G33">
        <v>-1.3000000000000002E-4</v>
      </c>
      <c r="H33">
        <v>300.00062682560969</v>
      </c>
      <c r="I33">
        <v>5.0000000000000001E-4</v>
      </c>
      <c r="J33">
        <v>2</v>
      </c>
      <c r="K33">
        <v>7.9999999999999979E-5</v>
      </c>
      <c r="L33">
        <v>1.5E-3</v>
      </c>
      <c r="AL33">
        <v>10</v>
      </c>
      <c r="AM33">
        <v>0.05</v>
      </c>
      <c r="AN33">
        <v>4.3333333333333335E-2</v>
      </c>
      <c r="AO33">
        <v>3.6666666666666667E-2</v>
      </c>
      <c r="AP33">
        <v>0.03</v>
      </c>
      <c r="AQ33">
        <v>0.03</v>
      </c>
      <c r="AR33">
        <v>0.03</v>
      </c>
      <c r="AS33">
        <v>2.5000000000000001E-2</v>
      </c>
      <c r="AT33">
        <v>0.02</v>
      </c>
      <c r="AU33">
        <v>0.01</v>
      </c>
      <c r="AV33">
        <v>0.01</v>
      </c>
      <c r="AY33" t="s">
        <v>518</v>
      </c>
      <c r="AZ33">
        <v>0.05</v>
      </c>
    </row>
    <row r="34" spans="3:52">
      <c r="C34">
        <v>500</v>
      </c>
      <c r="E34">
        <v>499.99858999999998</v>
      </c>
      <c r="G34">
        <v>-1.7000000000000001E-4</v>
      </c>
      <c r="I34">
        <v>8.3000000000000001E-4</v>
      </c>
      <c r="J34">
        <v>2</v>
      </c>
      <c r="K34">
        <v>8.8999999999999995E-4</v>
      </c>
      <c r="L34">
        <v>2.5000000000000001E-3</v>
      </c>
      <c r="AL34">
        <v>5</v>
      </c>
      <c r="AM34">
        <v>0.05</v>
      </c>
      <c r="AN34">
        <v>4.3333333333333335E-2</v>
      </c>
      <c r="AO34">
        <v>3.6666666666666667E-2</v>
      </c>
      <c r="AP34">
        <v>0.03</v>
      </c>
      <c r="AQ34">
        <v>0.03</v>
      </c>
      <c r="AR34">
        <v>0.03</v>
      </c>
      <c r="AS34">
        <v>2.5000000000000001E-2</v>
      </c>
      <c r="AT34">
        <v>0.02</v>
      </c>
      <c r="AU34">
        <v>0.01</v>
      </c>
      <c r="AV34">
        <v>0.01</v>
      </c>
      <c r="AY34" t="s">
        <v>519</v>
      </c>
      <c r="AZ34">
        <v>0.05</v>
      </c>
    </row>
    <row r="35" spans="3:52">
      <c r="C35" t="s">
        <v>425</v>
      </c>
      <c r="D35" t="s">
        <v>425</v>
      </c>
      <c r="E35" t="s">
        <v>425</v>
      </c>
      <c r="G35" t="s">
        <v>425</v>
      </c>
      <c r="I35" t="s">
        <v>425</v>
      </c>
      <c r="J35" t="s">
        <v>425</v>
      </c>
      <c r="K35" t="s">
        <v>425</v>
      </c>
      <c r="L35" t="s">
        <v>425</v>
      </c>
      <c r="AL35">
        <v>2</v>
      </c>
      <c r="AM35">
        <v>0.05</v>
      </c>
      <c r="AN35">
        <v>4.3333333333333335E-2</v>
      </c>
      <c r="AO35">
        <v>3.6666666666666667E-2</v>
      </c>
      <c r="AP35">
        <v>0.03</v>
      </c>
      <c r="AQ35">
        <v>0.03</v>
      </c>
      <c r="AR35">
        <v>0.03</v>
      </c>
      <c r="AS35">
        <v>2.5000000000000001E-2</v>
      </c>
      <c r="AT35">
        <v>0.02</v>
      </c>
      <c r="AU35">
        <v>0.01</v>
      </c>
      <c r="AV35">
        <v>0.01</v>
      </c>
      <c r="AY35" t="s">
        <v>520</v>
      </c>
      <c r="AZ35">
        <v>0.05</v>
      </c>
    </row>
    <row r="36" spans="3:52">
      <c r="C36" t="s">
        <v>425</v>
      </c>
      <c r="D36" t="s">
        <v>425</v>
      </c>
      <c r="E36" t="s">
        <v>425</v>
      </c>
      <c r="G36" t="s">
        <v>425</v>
      </c>
      <c r="I36" t="s">
        <v>425</v>
      </c>
      <c r="J36" t="s">
        <v>425</v>
      </c>
      <c r="K36" t="s">
        <v>425</v>
      </c>
      <c r="L36" t="s">
        <v>425</v>
      </c>
      <c r="AL36">
        <v>1</v>
      </c>
      <c r="AM36">
        <v>0.05</v>
      </c>
      <c r="AN36">
        <v>4.3333333333333335E-2</v>
      </c>
      <c r="AO36">
        <v>3.6666666666666667E-2</v>
      </c>
      <c r="AP36">
        <v>0.03</v>
      </c>
      <c r="AQ36">
        <v>0.03</v>
      </c>
      <c r="AR36">
        <v>0.03</v>
      </c>
      <c r="AS36">
        <v>2.5000000000000001E-2</v>
      </c>
      <c r="AT36">
        <v>0.02</v>
      </c>
      <c r="AU36">
        <v>0.01</v>
      </c>
      <c r="AV36">
        <v>0.01</v>
      </c>
      <c r="AY36" t="s">
        <v>521</v>
      </c>
      <c r="AZ36">
        <v>0.05</v>
      </c>
    </row>
    <row r="37" spans="3:52">
      <c r="C37" t="s">
        <v>425</v>
      </c>
      <c r="D37" t="s">
        <v>425</v>
      </c>
      <c r="E37" t="s">
        <v>425</v>
      </c>
      <c r="G37" t="s">
        <v>425</v>
      </c>
      <c r="I37" t="s">
        <v>425</v>
      </c>
      <c r="J37" t="s">
        <v>425</v>
      </c>
      <c r="K37" t="s">
        <v>425</v>
      </c>
      <c r="L37" t="s">
        <v>425</v>
      </c>
      <c r="AL37">
        <v>0.5</v>
      </c>
      <c r="AM37">
        <v>0.05</v>
      </c>
      <c r="AN37">
        <v>4.3333333333333335E-2</v>
      </c>
      <c r="AO37">
        <v>3.6666666666666667E-2</v>
      </c>
      <c r="AP37">
        <v>0.03</v>
      </c>
      <c r="AQ37">
        <v>0.03</v>
      </c>
      <c r="AR37">
        <v>0.03</v>
      </c>
      <c r="AS37">
        <v>2.5000000000000001E-2</v>
      </c>
      <c r="AT37">
        <v>0.02</v>
      </c>
      <c r="AU37">
        <v>0.01</v>
      </c>
      <c r="AV37">
        <v>0.01</v>
      </c>
      <c r="AY37" t="s">
        <v>522</v>
      </c>
      <c r="AZ37">
        <v>0.05</v>
      </c>
    </row>
    <row r="38" spans="3:52">
      <c r="D38">
        <v>500.00099999999998</v>
      </c>
      <c r="E38">
        <v>499.99858999999998</v>
      </c>
      <c r="F38">
        <v>1.8280395995446906E-3</v>
      </c>
      <c r="G38">
        <v>-1.7000000000000001E-4</v>
      </c>
      <c r="H38">
        <v>500.00024803959951</v>
      </c>
      <c r="I38">
        <v>8.3000000000000001E-4</v>
      </c>
      <c r="J38">
        <v>2</v>
      </c>
      <c r="K38">
        <v>8.8999999999999995E-4</v>
      </c>
      <c r="L38">
        <v>2.5000000000000001E-3</v>
      </c>
      <c r="AL38">
        <v>0.2</v>
      </c>
      <c r="AM38">
        <v>0.05</v>
      </c>
      <c r="AN38">
        <v>4.3333333333333335E-2</v>
      </c>
      <c r="AO38">
        <v>3.6666666666666667E-2</v>
      </c>
      <c r="AP38">
        <v>0.03</v>
      </c>
      <c r="AQ38">
        <v>0.03</v>
      </c>
      <c r="AR38">
        <v>0.03</v>
      </c>
      <c r="AS38">
        <v>2.5000000000000001E-2</v>
      </c>
      <c r="AT38">
        <v>0.02</v>
      </c>
      <c r="AU38">
        <v>0.01</v>
      </c>
      <c r="AV38">
        <v>0.01</v>
      </c>
      <c r="AY38" t="s">
        <v>522</v>
      </c>
      <c r="AZ38">
        <v>0.05</v>
      </c>
    </row>
    <row r="39" spans="3:52">
      <c r="C39">
        <v>200</v>
      </c>
      <c r="E39">
        <v>199.99977000000001</v>
      </c>
      <c r="G39">
        <v>-8.0000000000000007E-5</v>
      </c>
      <c r="I39">
        <v>3.3E-4</v>
      </c>
      <c r="J39">
        <v>2</v>
      </c>
      <c r="K39">
        <v>1.2999999999999996E-4</v>
      </c>
      <c r="L39">
        <v>1E-3</v>
      </c>
      <c r="AL39">
        <v>0.1</v>
      </c>
      <c r="AM39">
        <v>0.05</v>
      </c>
      <c r="AN39">
        <v>4.3333333333333335E-2</v>
      </c>
      <c r="AO39">
        <v>3.6666666666666667E-2</v>
      </c>
      <c r="AP39">
        <v>0.03</v>
      </c>
      <c r="AQ39">
        <v>0.03</v>
      </c>
      <c r="AR39">
        <v>0.03</v>
      </c>
      <c r="AS39">
        <v>2.5000000000000001E-2</v>
      </c>
      <c r="AT39">
        <v>0.02</v>
      </c>
      <c r="AU39">
        <v>0.01</v>
      </c>
      <c r="AV39">
        <v>0.01</v>
      </c>
      <c r="AY39" t="s">
        <v>523</v>
      </c>
      <c r="AZ39">
        <v>0.05</v>
      </c>
    </row>
    <row r="40" spans="3:52">
      <c r="C40">
        <v>500</v>
      </c>
      <c r="D40" t="s">
        <v>425</v>
      </c>
      <c r="E40">
        <v>499.99858999999998</v>
      </c>
      <c r="G40">
        <v>-1.7000000000000001E-4</v>
      </c>
      <c r="I40">
        <v>8.3000000000000001E-4</v>
      </c>
      <c r="J40">
        <v>2</v>
      </c>
      <c r="K40">
        <v>8.8999999999999995E-4</v>
      </c>
      <c r="L40">
        <v>2.5000000000000001E-3</v>
      </c>
      <c r="AL40">
        <v>0.05</v>
      </c>
      <c r="AM40">
        <v>0.05</v>
      </c>
      <c r="AN40">
        <v>4.3333333333333335E-2</v>
      </c>
      <c r="AO40">
        <v>3.6666666666666667E-2</v>
      </c>
      <c r="AP40">
        <v>0.03</v>
      </c>
      <c r="AQ40">
        <v>0.03</v>
      </c>
      <c r="AR40">
        <v>0.03</v>
      </c>
      <c r="AS40">
        <v>2.5000000000000001E-2</v>
      </c>
      <c r="AT40">
        <v>0.02</v>
      </c>
      <c r="AU40">
        <v>0.01</v>
      </c>
      <c r="AV40">
        <v>0.01</v>
      </c>
      <c r="AY40" t="s">
        <v>524</v>
      </c>
      <c r="AZ40">
        <v>0.05</v>
      </c>
    </row>
    <row r="41" spans="3:52">
      <c r="C41" t="s">
        <v>425</v>
      </c>
      <c r="D41" t="s">
        <v>425</v>
      </c>
      <c r="E41" t="s">
        <v>425</v>
      </c>
      <c r="G41" t="s">
        <v>425</v>
      </c>
      <c r="I41" t="s">
        <v>425</v>
      </c>
      <c r="J41" t="s">
        <v>425</v>
      </c>
      <c r="K41" t="s">
        <v>425</v>
      </c>
      <c r="L41" t="s">
        <v>425</v>
      </c>
      <c r="AL41">
        <v>0.01</v>
      </c>
      <c r="AM41">
        <v>0.05</v>
      </c>
      <c r="AN41">
        <v>4.3333333333333335E-2</v>
      </c>
      <c r="AO41">
        <v>3.6666666666666667E-2</v>
      </c>
      <c r="AP41">
        <v>0.03</v>
      </c>
      <c r="AQ41">
        <v>0.03</v>
      </c>
      <c r="AR41">
        <v>0.03</v>
      </c>
      <c r="AS41">
        <v>2.5000000000000001E-2</v>
      </c>
      <c r="AT41">
        <v>0.02</v>
      </c>
      <c r="AU41">
        <v>0.01</v>
      </c>
      <c r="AV41">
        <v>0.01</v>
      </c>
      <c r="AY41" t="s">
        <v>525</v>
      </c>
      <c r="AZ41">
        <v>0.05</v>
      </c>
    </row>
    <row r="42" spans="3:52">
      <c r="C42" t="s">
        <v>425</v>
      </c>
      <c r="D42" t="s">
        <v>425</v>
      </c>
      <c r="E42" t="s">
        <v>425</v>
      </c>
      <c r="G42" t="s">
        <v>425</v>
      </c>
      <c r="I42" t="s">
        <v>425</v>
      </c>
      <c r="J42" t="s">
        <v>425</v>
      </c>
      <c r="K42" t="s">
        <v>425</v>
      </c>
      <c r="L42" t="s">
        <v>425</v>
      </c>
      <c r="AL42">
        <v>0.01</v>
      </c>
      <c r="AM42">
        <v>0.05</v>
      </c>
      <c r="AN42">
        <v>4.3333333333333335E-2</v>
      </c>
      <c r="AO42">
        <v>3.6666666666666667E-2</v>
      </c>
      <c r="AP42">
        <v>0.03</v>
      </c>
      <c r="AQ42">
        <v>0.03</v>
      </c>
      <c r="AR42">
        <v>0.03</v>
      </c>
      <c r="AS42">
        <v>2.5000000000000001E-2</v>
      </c>
      <c r="AT42">
        <v>0.02</v>
      </c>
      <c r="AU42">
        <v>0.01</v>
      </c>
      <c r="AV42">
        <v>0.01</v>
      </c>
      <c r="AY42" t="s">
        <v>526</v>
      </c>
      <c r="AZ42">
        <v>24.036666666666665</v>
      </c>
    </row>
    <row r="43" spans="3:52">
      <c r="D43">
        <v>700</v>
      </c>
      <c r="E43">
        <v>699.99836000000005</v>
      </c>
      <c r="F43">
        <v>2.5592566604964633E-3</v>
      </c>
      <c r="G43">
        <v>-2.5000000000000001E-4</v>
      </c>
      <c r="H43">
        <v>700.00066925666044</v>
      </c>
      <c r="I43">
        <v>1.16E-3</v>
      </c>
      <c r="J43">
        <v>2</v>
      </c>
      <c r="K43">
        <v>1.0199999999999999E-3</v>
      </c>
      <c r="L43">
        <v>3.5000000000000001E-3</v>
      </c>
      <c r="AL43">
        <v>5.0000000000000001E-3</v>
      </c>
      <c r="AM43">
        <v>0.05</v>
      </c>
      <c r="AN43">
        <v>4.3333333333333335E-2</v>
      </c>
      <c r="AO43">
        <v>3.6666666666666667E-2</v>
      </c>
      <c r="AP43">
        <v>0.03</v>
      </c>
      <c r="AQ43">
        <v>0.03</v>
      </c>
      <c r="AR43">
        <v>0.03</v>
      </c>
      <c r="AS43">
        <v>2.5000000000000001E-2</v>
      </c>
      <c r="AT43">
        <v>0.02</v>
      </c>
      <c r="AU43">
        <v>0.01</v>
      </c>
      <c r="AV43">
        <v>0.01</v>
      </c>
      <c r="AY43" t="s">
        <v>527</v>
      </c>
      <c r="AZ43">
        <v>13.016666666666667</v>
      </c>
    </row>
    <row r="44" spans="3:52">
      <c r="C44">
        <v>200</v>
      </c>
      <c r="E44">
        <v>199.99977000000001</v>
      </c>
      <c r="G44">
        <v>-8.0000000000000007E-5</v>
      </c>
      <c r="I44">
        <v>3.3E-4</v>
      </c>
      <c r="J44">
        <v>2</v>
      </c>
      <c r="K44">
        <v>1.2999999999999996E-4</v>
      </c>
      <c r="L44">
        <v>1E-3</v>
      </c>
      <c r="AL44">
        <v>2E-3</v>
      </c>
      <c r="AM44">
        <v>0.05</v>
      </c>
      <c r="AN44">
        <v>4.3333333333333335E-2</v>
      </c>
      <c r="AO44">
        <v>3.6666666666666667E-2</v>
      </c>
      <c r="AP44">
        <v>0.03</v>
      </c>
      <c r="AQ44">
        <v>0.03</v>
      </c>
      <c r="AR44">
        <v>0.03</v>
      </c>
      <c r="AS44">
        <v>2.5000000000000001E-2</v>
      </c>
      <c r="AT44">
        <v>0.02</v>
      </c>
      <c r="AU44">
        <v>0.01</v>
      </c>
      <c r="AV44">
        <v>0.01</v>
      </c>
      <c r="AY44" t="s">
        <v>528</v>
      </c>
      <c r="AZ44">
        <v>7.1</v>
      </c>
    </row>
    <row r="45" spans="3:52">
      <c r="C45">
        <v>200</v>
      </c>
      <c r="D45" t="s">
        <v>425</v>
      </c>
      <c r="E45">
        <v>199.99981</v>
      </c>
      <c r="G45">
        <v>-8.0000000000000007E-5</v>
      </c>
      <c r="I45">
        <v>3.3E-4</v>
      </c>
      <c r="J45">
        <v>2</v>
      </c>
      <c r="K45">
        <v>9.9999999999999991E-6</v>
      </c>
      <c r="L45">
        <v>1E-3</v>
      </c>
      <c r="AL45">
        <v>1E-3</v>
      </c>
      <c r="AM45">
        <v>0.05</v>
      </c>
      <c r="AN45">
        <v>4.3333333333333335E-2</v>
      </c>
      <c r="AO45">
        <v>3.6666666666666667E-2</v>
      </c>
      <c r="AP45">
        <v>0.03</v>
      </c>
      <c r="AQ45">
        <v>0.03</v>
      </c>
      <c r="AR45">
        <v>0.03</v>
      </c>
      <c r="AS45">
        <v>2.5000000000000001E-2</v>
      </c>
      <c r="AT45">
        <v>0.02</v>
      </c>
      <c r="AU45">
        <v>0.01</v>
      </c>
      <c r="AV45">
        <v>0.01</v>
      </c>
      <c r="AY45" t="s">
        <v>529</v>
      </c>
      <c r="AZ45">
        <v>3.2233333333333332</v>
      </c>
    </row>
    <row r="46" spans="3:52">
      <c r="C46">
        <v>500</v>
      </c>
      <c r="D46" t="s">
        <v>425</v>
      </c>
      <c r="E46">
        <v>499.99858999999998</v>
      </c>
      <c r="G46">
        <v>-1.7000000000000001E-4</v>
      </c>
      <c r="I46">
        <v>8.3000000000000001E-4</v>
      </c>
      <c r="J46">
        <v>2</v>
      </c>
      <c r="K46">
        <v>8.8999999999999995E-4</v>
      </c>
      <c r="L46">
        <v>2.5000000000000001E-3</v>
      </c>
      <c r="AY46" t="s">
        <v>530</v>
      </c>
      <c r="AZ46">
        <v>2.3000000000000003</v>
      </c>
    </row>
    <row r="47" spans="3:52">
      <c r="C47" t="s">
        <v>425</v>
      </c>
      <c r="D47" t="s">
        <v>425</v>
      </c>
      <c r="E47" t="s">
        <v>425</v>
      </c>
      <c r="G47" t="s">
        <v>425</v>
      </c>
      <c r="I47" t="s">
        <v>425</v>
      </c>
      <c r="J47" t="s">
        <v>425</v>
      </c>
      <c r="K47" t="s">
        <v>425</v>
      </c>
      <c r="L47" t="s">
        <v>425</v>
      </c>
      <c r="AY47" t="s">
        <v>531</v>
      </c>
      <c r="AZ47">
        <v>2.2566666666666668</v>
      </c>
    </row>
    <row r="48" spans="3:52">
      <c r="D48">
        <v>900</v>
      </c>
      <c r="E48">
        <v>899.99817000000007</v>
      </c>
      <c r="F48">
        <v>3.2904738676918159E-3</v>
      </c>
      <c r="G48">
        <v>-3.3E-4</v>
      </c>
      <c r="H48">
        <v>900.00113047386776</v>
      </c>
      <c r="I48">
        <v>1.49E-3</v>
      </c>
      <c r="J48">
        <v>2</v>
      </c>
      <c r="K48">
        <v>1.0299999999999999E-3</v>
      </c>
      <c r="L48">
        <v>4.5000000000000005E-3</v>
      </c>
      <c r="AY48" t="s">
        <v>532</v>
      </c>
      <c r="AZ48">
        <v>2.0566666666666666</v>
      </c>
    </row>
    <row r="49" spans="3:52">
      <c r="C49">
        <v>1000</v>
      </c>
      <c r="E49">
        <v>999.99900000000002</v>
      </c>
      <c r="G49">
        <v>-2.9E-4</v>
      </c>
      <c r="I49">
        <v>1.6999999999999999E-3</v>
      </c>
      <c r="J49">
        <v>2</v>
      </c>
      <c r="K49">
        <v>1E-3</v>
      </c>
      <c r="L49">
        <v>5.0000000000000001E-3</v>
      </c>
      <c r="AY49" t="s">
        <v>533</v>
      </c>
      <c r="AZ49">
        <v>1.79</v>
      </c>
    </row>
    <row r="50" spans="3:52">
      <c r="C50" t="s">
        <v>425</v>
      </c>
      <c r="D50" t="s">
        <v>425</v>
      </c>
      <c r="E50" t="s">
        <v>425</v>
      </c>
      <c r="G50" t="s">
        <v>425</v>
      </c>
      <c r="I50" t="s">
        <v>425</v>
      </c>
      <c r="J50" t="s">
        <v>425</v>
      </c>
      <c r="K50" t="s">
        <v>425</v>
      </c>
      <c r="L50" t="s">
        <v>425</v>
      </c>
      <c r="AY50" t="s">
        <v>534</v>
      </c>
      <c r="AZ50">
        <v>1.9300000000000002</v>
      </c>
    </row>
    <row r="51" spans="3:52">
      <c r="C51" t="s">
        <v>425</v>
      </c>
      <c r="D51" t="s">
        <v>425</v>
      </c>
      <c r="E51" t="s">
        <v>425</v>
      </c>
      <c r="G51" t="s">
        <v>425</v>
      </c>
      <c r="I51" t="s">
        <v>425</v>
      </c>
      <c r="J51" t="s">
        <v>425</v>
      </c>
      <c r="K51" t="s">
        <v>425</v>
      </c>
      <c r="L51" t="s">
        <v>425</v>
      </c>
      <c r="AY51" t="s">
        <v>535</v>
      </c>
      <c r="AZ51">
        <v>1.73</v>
      </c>
    </row>
    <row r="52" spans="3:52">
      <c r="C52" t="s">
        <v>425</v>
      </c>
      <c r="D52" t="s">
        <v>425</v>
      </c>
      <c r="E52" t="s">
        <v>425</v>
      </c>
      <c r="G52" t="s">
        <v>425</v>
      </c>
      <c r="I52" t="s">
        <v>425</v>
      </c>
      <c r="J52" t="s">
        <v>425</v>
      </c>
      <c r="K52" t="s">
        <v>425</v>
      </c>
      <c r="L52" t="s">
        <v>425</v>
      </c>
      <c r="AY52" t="s">
        <v>536</v>
      </c>
      <c r="AZ52">
        <v>1.4633333333333334</v>
      </c>
    </row>
    <row r="53" spans="3:52">
      <c r="D53">
        <v>1000.001</v>
      </c>
      <c r="E53">
        <v>999.99900000000002</v>
      </c>
      <c r="F53">
        <v>3.6560858531722884E-3</v>
      </c>
      <c r="G53">
        <v>-2.9E-4</v>
      </c>
      <c r="H53">
        <v>1000.0023660858533</v>
      </c>
      <c r="I53">
        <v>1.6999999999999999E-3</v>
      </c>
      <c r="J53">
        <v>2</v>
      </c>
      <c r="K53">
        <v>1E-3</v>
      </c>
      <c r="L53">
        <v>5.0000000000000001E-3</v>
      </c>
      <c r="AY53" t="s">
        <v>537</v>
      </c>
      <c r="AZ53">
        <v>1.2633333333333334</v>
      </c>
    </row>
    <row r="54" spans="3:52">
      <c r="C54">
        <v>50</v>
      </c>
      <c r="E54">
        <v>49.999890000000001</v>
      </c>
      <c r="G54">
        <v>-2.9999999999999997E-5</v>
      </c>
      <c r="I54">
        <v>1E-4</v>
      </c>
      <c r="J54">
        <v>2</v>
      </c>
      <c r="K54">
        <v>6.0000000000000002E-5</v>
      </c>
      <c r="L54">
        <v>2.9999999999999997E-4</v>
      </c>
      <c r="AY54" t="s">
        <v>538</v>
      </c>
      <c r="AZ54">
        <v>0.9966666666666667</v>
      </c>
    </row>
    <row r="55" spans="3:52">
      <c r="C55">
        <v>1000</v>
      </c>
      <c r="D55" t="s">
        <v>425</v>
      </c>
      <c r="E55">
        <v>999.99900000000002</v>
      </c>
      <c r="G55">
        <v>-2.9E-4</v>
      </c>
      <c r="I55">
        <v>1.6999999999999999E-3</v>
      </c>
      <c r="J55">
        <v>2</v>
      </c>
      <c r="K55">
        <v>1E-3</v>
      </c>
      <c r="L55">
        <v>5.0000000000000001E-3</v>
      </c>
      <c r="AY55" t="s">
        <v>539</v>
      </c>
      <c r="AZ55">
        <v>0.93333333333333335</v>
      </c>
    </row>
    <row r="56" spans="3:52">
      <c r="C56" t="s">
        <v>425</v>
      </c>
      <c r="D56" t="s">
        <v>425</v>
      </c>
      <c r="E56" t="s">
        <v>425</v>
      </c>
      <c r="G56" t="s">
        <v>425</v>
      </c>
      <c r="I56" t="s">
        <v>425</v>
      </c>
      <c r="J56" t="s">
        <v>425</v>
      </c>
      <c r="K56" t="s">
        <v>425</v>
      </c>
      <c r="L56" t="s">
        <v>425</v>
      </c>
      <c r="AY56" t="s">
        <v>540</v>
      </c>
      <c r="AZ56">
        <v>0.73333333333333339</v>
      </c>
    </row>
    <row r="57" spans="3:52">
      <c r="C57" t="s">
        <v>425</v>
      </c>
      <c r="D57" t="s">
        <v>425</v>
      </c>
      <c r="E57" t="s">
        <v>425</v>
      </c>
      <c r="G57" t="s">
        <v>425</v>
      </c>
      <c r="I57" t="s">
        <v>425</v>
      </c>
      <c r="J57" t="s">
        <v>425</v>
      </c>
      <c r="K57" t="s">
        <v>425</v>
      </c>
      <c r="L57" t="s">
        <v>425</v>
      </c>
      <c r="AY57" t="s">
        <v>541</v>
      </c>
      <c r="AZ57">
        <v>0.62</v>
      </c>
    </row>
    <row r="58" spans="3:52">
      <c r="D58">
        <v>1050.001</v>
      </c>
      <c r="E58">
        <v>1049.9988900000001</v>
      </c>
      <c r="F58">
        <v>3.8388899264655326E-3</v>
      </c>
      <c r="G58">
        <v>-3.1999999999999997E-4</v>
      </c>
      <c r="H58">
        <v>1050.0024088899265</v>
      </c>
      <c r="I58">
        <v>1.8E-3</v>
      </c>
      <c r="J58">
        <v>2</v>
      </c>
      <c r="K58">
        <v>1.06E-3</v>
      </c>
      <c r="L58">
        <v>5.3E-3</v>
      </c>
      <c r="AY58" t="s">
        <v>542</v>
      </c>
      <c r="AZ58">
        <v>0.54</v>
      </c>
    </row>
    <row r="59" spans="3:52">
      <c r="C59">
        <v>100</v>
      </c>
      <c r="E59">
        <v>99.999849999999995</v>
      </c>
      <c r="G59">
        <v>-5.0000000000000002E-5</v>
      </c>
      <c r="I59">
        <v>1.7000000000000001E-4</v>
      </c>
      <c r="J59">
        <v>2</v>
      </c>
      <c r="K59">
        <v>6.999999999999998E-5</v>
      </c>
      <c r="L59">
        <v>5.0000000000000001E-4</v>
      </c>
      <c r="AY59" t="s">
        <v>543</v>
      </c>
      <c r="AZ59">
        <v>0.51</v>
      </c>
    </row>
    <row r="60" spans="3:52">
      <c r="C60">
        <v>1000</v>
      </c>
      <c r="D60" t="s">
        <v>425</v>
      </c>
      <c r="E60">
        <v>999.99900000000002</v>
      </c>
      <c r="G60">
        <v>-2.9E-4</v>
      </c>
      <c r="I60">
        <v>1.6999999999999999E-3</v>
      </c>
      <c r="J60">
        <v>2</v>
      </c>
      <c r="K60">
        <v>1E-3</v>
      </c>
      <c r="L60">
        <v>5.0000000000000001E-3</v>
      </c>
      <c r="AY60" t="s">
        <v>544</v>
      </c>
      <c r="AZ60">
        <v>0.46666666666666667</v>
      </c>
    </row>
    <row r="61" spans="3:52">
      <c r="C61" t="s">
        <v>425</v>
      </c>
      <c r="D61" t="s">
        <v>425</v>
      </c>
      <c r="E61" t="s">
        <v>425</v>
      </c>
      <c r="G61" t="s">
        <v>425</v>
      </c>
      <c r="I61" t="s">
        <v>425</v>
      </c>
      <c r="J61" t="s">
        <v>425</v>
      </c>
      <c r="K61" t="s">
        <v>425</v>
      </c>
      <c r="L61" t="s">
        <v>425</v>
      </c>
      <c r="AY61" t="s">
        <v>545</v>
      </c>
      <c r="AZ61">
        <v>0.49333333333333329</v>
      </c>
    </row>
    <row r="62" spans="3:52">
      <c r="C62" t="s">
        <v>425</v>
      </c>
      <c r="D62" t="s">
        <v>425</v>
      </c>
      <c r="E62" t="s">
        <v>425</v>
      </c>
      <c r="G62" t="s">
        <v>425</v>
      </c>
      <c r="I62" t="s">
        <v>425</v>
      </c>
      <c r="J62" t="s">
        <v>425</v>
      </c>
      <c r="K62" t="s">
        <v>425</v>
      </c>
      <c r="L62" t="s">
        <v>425</v>
      </c>
      <c r="AY62" t="s">
        <v>546</v>
      </c>
      <c r="AZ62">
        <v>0.42000000000000004</v>
      </c>
    </row>
    <row r="63" spans="3:52">
      <c r="D63">
        <v>1100.001</v>
      </c>
      <c r="E63">
        <v>1099.9988499999999</v>
      </c>
      <c r="F63">
        <v>4.0216942556850419E-3</v>
      </c>
      <c r="G63">
        <v>-3.4000000000000002E-4</v>
      </c>
      <c r="H63">
        <v>1100.0025316942556</v>
      </c>
      <c r="I63">
        <v>1.8699999999999999E-3</v>
      </c>
      <c r="J63">
        <v>2</v>
      </c>
      <c r="K63">
        <v>1.07E-3</v>
      </c>
      <c r="L63">
        <v>5.4999999999999997E-3</v>
      </c>
      <c r="AY63" t="s">
        <v>547</v>
      </c>
      <c r="AZ63">
        <v>0.26666666666666666</v>
      </c>
    </row>
    <row r="64" spans="3:52">
      <c r="C64">
        <v>200</v>
      </c>
      <c r="E64">
        <v>199.99977000000001</v>
      </c>
      <c r="G64">
        <v>-8.0000000000000007E-5</v>
      </c>
      <c r="I64">
        <v>3.3E-4</v>
      </c>
      <c r="J64">
        <v>2</v>
      </c>
      <c r="K64">
        <v>1.2999999999999996E-4</v>
      </c>
      <c r="L64">
        <v>1E-3</v>
      </c>
      <c r="AY64" t="s">
        <v>548</v>
      </c>
      <c r="AZ64">
        <v>0.22666666666666668</v>
      </c>
    </row>
    <row r="65" spans="3:52">
      <c r="C65">
        <v>1000</v>
      </c>
      <c r="D65" t="s">
        <v>425</v>
      </c>
      <c r="E65">
        <v>999.99900000000002</v>
      </c>
      <c r="G65">
        <v>-2.9E-4</v>
      </c>
      <c r="I65">
        <v>1.6999999999999999E-3</v>
      </c>
      <c r="J65">
        <v>2</v>
      </c>
      <c r="K65">
        <v>1E-3</v>
      </c>
      <c r="L65">
        <v>5.0000000000000001E-3</v>
      </c>
      <c r="AY65" t="s">
        <v>549</v>
      </c>
      <c r="AZ65">
        <v>0.15333333333333335</v>
      </c>
    </row>
    <row r="66" spans="3:52">
      <c r="C66" t="s">
        <v>425</v>
      </c>
      <c r="D66" t="s">
        <v>425</v>
      </c>
      <c r="E66" t="s">
        <v>425</v>
      </c>
      <c r="G66" t="s">
        <v>425</v>
      </c>
      <c r="I66" t="s">
        <v>425</v>
      </c>
      <c r="J66" t="s">
        <v>425</v>
      </c>
      <c r="K66" t="s">
        <v>425</v>
      </c>
      <c r="L66" t="s">
        <v>425</v>
      </c>
      <c r="AY66" t="s">
        <v>550</v>
      </c>
      <c r="AZ66">
        <v>7.3333333333333334E-2</v>
      </c>
    </row>
    <row r="67" spans="3:52">
      <c r="C67" t="s">
        <v>425</v>
      </c>
      <c r="D67" t="s">
        <v>425</v>
      </c>
      <c r="E67" t="s">
        <v>425</v>
      </c>
      <c r="G67" t="s">
        <v>425</v>
      </c>
      <c r="I67" t="s">
        <v>425</v>
      </c>
      <c r="J67" t="s">
        <v>425</v>
      </c>
      <c r="K67" t="s">
        <v>425</v>
      </c>
      <c r="L67" t="s">
        <v>425</v>
      </c>
      <c r="AY67" t="s">
        <v>551</v>
      </c>
      <c r="AZ67">
        <v>4.3333333333333335E-2</v>
      </c>
    </row>
    <row r="68" spans="3:52">
      <c r="D68">
        <v>1200.001</v>
      </c>
      <c r="E68">
        <v>1199.9987700000001</v>
      </c>
      <c r="F68">
        <v>4.3873029141240612E-3</v>
      </c>
      <c r="G68">
        <v>-3.6999999999999999E-4</v>
      </c>
      <c r="H68">
        <v>1200.0027873029144</v>
      </c>
      <c r="I68">
        <v>2.0299999999999997E-3</v>
      </c>
      <c r="J68">
        <v>2</v>
      </c>
      <c r="K68">
        <v>1.1299999999999999E-3</v>
      </c>
      <c r="L68">
        <v>6.0000000000000001E-3</v>
      </c>
      <c r="AY68" t="s">
        <v>552</v>
      </c>
      <c r="AZ68">
        <v>4.3333333333333335E-2</v>
      </c>
    </row>
    <row r="69" spans="3:52">
      <c r="AY69" t="s">
        <v>553</v>
      </c>
      <c r="AZ69">
        <v>4.3333333333333335E-2</v>
      </c>
    </row>
    <row r="70" spans="3:52">
      <c r="AY70" t="s">
        <v>554</v>
      </c>
      <c r="AZ70">
        <v>4.3333333333333335E-2</v>
      </c>
    </row>
    <row r="71" spans="3:52">
      <c r="AY71" t="s">
        <v>555</v>
      </c>
      <c r="AZ71">
        <v>4.3333333333333335E-2</v>
      </c>
    </row>
    <row r="72" spans="3:52">
      <c r="AY72" t="s">
        <v>556</v>
      </c>
      <c r="AZ72">
        <v>4.3333333333333335E-2</v>
      </c>
    </row>
    <row r="73" spans="3:52">
      <c r="AY73" t="s">
        <v>557</v>
      </c>
      <c r="AZ73">
        <v>4.3333333333333335E-2</v>
      </c>
    </row>
    <row r="74" spans="3:52">
      <c r="AY74" t="s">
        <v>558</v>
      </c>
      <c r="AZ74">
        <v>4.3333333333333335E-2</v>
      </c>
    </row>
    <row r="75" spans="3:52">
      <c r="AY75" t="s">
        <v>559</v>
      </c>
      <c r="AZ75">
        <v>4.3333333333333335E-2</v>
      </c>
    </row>
    <row r="76" spans="3:52">
      <c r="AY76" t="s">
        <v>559</v>
      </c>
      <c r="AZ76">
        <v>4.3333333333333335E-2</v>
      </c>
    </row>
    <row r="77" spans="3:52">
      <c r="AY77" t="s">
        <v>560</v>
      </c>
      <c r="AZ77">
        <v>4.3333333333333335E-2</v>
      </c>
    </row>
    <row r="78" spans="3:52">
      <c r="AY78" t="s">
        <v>561</v>
      </c>
      <c r="AZ78">
        <v>4.3333333333333335E-2</v>
      </c>
    </row>
    <row r="79" spans="3:52">
      <c r="AY79" t="s">
        <v>562</v>
      </c>
      <c r="AZ79">
        <v>4.3333333333333335E-2</v>
      </c>
    </row>
    <row r="80" spans="3:52">
      <c r="AY80" t="s">
        <v>563</v>
      </c>
      <c r="AZ80">
        <v>21.643333333333334</v>
      </c>
    </row>
    <row r="81" spans="51:52">
      <c r="AY81" t="s">
        <v>564</v>
      </c>
      <c r="AZ81">
        <v>11.733333333333333</v>
      </c>
    </row>
    <row r="82" spans="51:52">
      <c r="AY82" t="s">
        <v>565</v>
      </c>
      <c r="AZ82">
        <v>6.41</v>
      </c>
    </row>
    <row r="83" spans="51:52">
      <c r="AY83" t="s">
        <v>566</v>
      </c>
      <c r="AZ83">
        <v>2.9166666666666665</v>
      </c>
    </row>
    <row r="84" spans="51:52">
      <c r="AY84" t="s">
        <v>567</v>
      </c>
      <c r="AZ84">
        <v>2.0799999999999996</v>
      </c>
    </row>
    <row r="85" spans="51:52">
      <c r="AY85" t="s">
        <v>568</v>
      </c>
      <c r="AZ85">
        <v>2.043333333333333</v>
      </c>
    </row>
    <row r="86" spans="51:52">
      <c r="AY86" t="s">
        <v>569</v>
      </c>
      <c r="AZ86">
        <v>1.8633333333333333</v>
      </c>
    </row>
    <row r="87" spans="51:52">
      <c r="AY87" t="s">
        <v>570</v>
      </c>
      <c r="AZ87">
        <v>1.6199999999999999</v>
      </c>
    </row>
    <row r="88" spans="51:52">
      <c r="AY88" t="s">
        <v>571</v>
      </c>
      <c r="AZ88">
        <v>1.75</v>
      </c>
    </row>
    <row r="89" spans="51:52">
      <c r="AY89" t="s">
        <v>572</v>
      </c>
      <c r="AZ89">
        <v>1.57</v>
      </c>
    </row>
    <row r="90" spans="51:52">
      <c r="AY90" t="s">
        <v>573</v>
      </c>
      <c r="AZ90">
        <v>1.3266666666666667</v>
      </c>
    </row>
    <row r="91" spans="51:52">
      <c r="AY91" t="s">
        <v>574</v>
      </c>
      <c r="AZ91">
        <v>1.1466666666666667</v>
      </c>
    </row>
    <row r="92" spans="51:52">
      <c r="AY92" t="s">
        <v>575</v>
      </c>
      <c r="AZ92">
        <v>0.90333333333333343</v>
      </c>
    </row>
    <row r="93" spans="51:52">
      <c r="AY93" t="s">
        <v>576</v>
      </c>
      <c r="AZ93">
        <v>0.84666666666666668</v>
      </c>
    </row>
    <row r="94" spans="51:52">
      <c r="AY94" t="s">
        <v>577</v>
      </c>
      <c r="AZ94">
        <v>0.66666666666666663</v>
      </c>
    </row>
    <row r="95" spans="51:52">
      <c r="AY95" t="s">
        <v>578</v>
      </c>
      <c r="AZ95">
        <v>0.56000000000000005</v>
      </c>
    </row>
    <row r="96" spans="51:52">
      <c r="AY96" t="s">
        <v>579</v>
      </c>
      <c r="AZ96">
        <v>0.49</v>
      </c>
    </row>
    <row r="97" spans="51:52">
      <c r="AY97" t="s">
        <v>580</v>
      </c>
      <c r="AZ97">
        <v>0.46</v>
      </c>
    </row>
    <row r="98" spans="51:52">
      <c r="AY98" t="s">
        <v>581</v>
      </c>
      <c r="AZ98">
        <v>0.42333333333333334</v>
      </c>
    </row>
    <row r="99" spans="51:52">
      <c r="AY99" t="s">
        <v>582</v>
      </c>
      <c r="AZ99">
        <v>0.44666666666666666</v>
      </c>
    </row>
    <row r="100" spans="51:52">
      <c r="AY100" t="s">
        <v>583</v>
      </c>
      <c r="AZ100">
        <v>0.38</v>
      </c>
    </row>
    <row r="101" spans="51:52">
      <c r="AY101" t="s">
        <v>584</v>
      </c>
      <c r="AZ101">
        <v>0.24333333333333332</v>
      </c>
    </row>
    <row r="102" spans="51:52">
      <c r="AY102" t="s">
        <v>585</v>
      </c>
      <c r="AZ102">
        <v>0.20333333333333331</v>
      </c>
    </row>
    <row r="103" spans="51:52">
      <c r="AY103" t="s">
        <v>586</v>
      </c>
      <c r="AZ103">
        <v>0.13666666666666666</v>
      </c>
    </row>
    <row r="104" spans="51:52">
      <c r="AY104" t="s">
        <v>587</v>
      </c>
      <c r="AZ104">
        <v>6.6666666666666666E-2</v>
      </c>
    </row>
    <row r="105" spans="51:52">
      <c r="AY105" t="s">
        <v>588</v>
      </c>
      <c r="AZ105">
        <v>3.6666666666666667E-2</v>
      </c>
    </row>
    <row r="106" spans="51:52">
      <c r="AY106" t="s">
        <v>589</v>
      </c>
      <c r="AZ106">
        <v>3.6666666666666667E-2</v>
      </c>
    </row>
    <row r="107" spans="51:52">
      <c r="AY107" t="s">
        <v>590</v>
      </c>
      <c r="AZ107">
        <v>3.6666666666666667E-2</v>
      </c>
    </row>
    <row r="108" spans="51:52">
      <c r="AY108" t="s">
        <v>591</v>
      </c>
      <c r="AZ108">
        <v>3.6666666666666667E-2</v>
      </c>
    </row>
    <row r="109" spans="51:52">
      <c r="AY109" t="s">
        <v>592</v>
      </c>
      <c r="AZ109">
        <v>3.6666666666666667E-2</v>
      </c>
    </row>
    <row r="110" spans="51:52">
      <c r="AY110" t="s">
        <v>593</v>
      </c>
      <c r="AZ110">
        <v>3.6666666666666667E-2</v>
      </c>
    </row>
    <row r="111" spans="51:52">
      <c r="AY111" t="s">
        <v>594</v>
      </c>
      <c r="AZ111">
        <v>3.6666666666666667E-2</v>
      </c>
    </row>
    <row r="112" spans="51:52">
      <c r="AY112" t="s">
        <v>595</v>
      </c>
      <c r="AZ112">
        <v>3.6666666666666667E-2</v>
      </c>
    </row>
    <row r="113" spans="51:52">
      <c r="AY113" t="s">
        <v>596</v>
      </c>
      <c r="AZ113">
        <v>3.6666666666666667E-2</v>
      </c>
    </row>
    <row r="114" spans="51:52">
      <c r="AY114" t="s">
        <v>596</v>
      </c>
      <c r="AZ114">
        <v>3.6666666666666667E-2</v>
      </c>
    </row>
    <row r="115" spans="51:52">
      <c r="AY115" t="s">
        <v>597</v>
      </c>
      <c r="AZ115">
        <v>3.6666666666666667E-2</v>
      </c>
    </row>
    <row r="116" spans="51:52">
      <c r="AY116" t="s">
        <v>598</v>
      </c>
      <c r="AZ116">
        <v>3.6666666666666667E-2</v>
      </c>
    </row>
    <row r="117" spans="51:52">
      <c r="AY117" t="s">
        <v>599</v>
      </c>
      <c r="AZ117">
        <v>3.6666666666666667E-2</v>
      </c>
    </row>
    <row r="118" spans="51:52">
      <c r="AY118" t="s">
        <v>600</v>
      </c>
      <c r="AZ118">
        <v>19.25</v>
      </c>
    </row>
    <row r="119" spans="51:52">
      <c r="AY119" t="s">
        <v>601</v>
      </c>
      <c r="AZ119">
        <v>10.45</v>
      </c>
    </row>
    <row r="120" spans="51:52">
      <c r="AY120" t="s">
        <v>602</v>
      </c>
      <c r="AZ120">
        <v>5.72</v>
      </c>
    </row>
    <row r="121" spans="51:52">
      <c r="AY121" t="s">
        <v>603</v>
      </c>
      <c r="AZ121">
        <v>2.61</v>
      </c>
    </row>
    <row r="122" spans="51:52">
      <c r="AY122" t="s">
        <v>604</v>
      </c>
      <c r="AZ122">
        <v>1.86</v>
      </c>
    </row>
    <row r="123" spans="51:52">
      <c r="AY123" t="s">
        <v>605</v>
      </c>
      <c r="AZ123">
        <v>1.83</v>
      </c>
    </row>
    <row r="124" spans="51:52">
      <c r="AY124" t="s">
        <v>606</v>
      </c>
      <c r="AZ124">
        <v>1.67</v>
      </c>
    </row>
    <row r="125" spans="51:52">
      <c r="AY125" t="s">
        <v>607</v>
      </c>
      <c r="AZ125">
        <v>1.45</v>
      </c>
    </row>
    <row r="126" spans="51:52">
      <c r="AY126" t="s">
        <v>608</v>
      </c>
      <c r="AZ126">
        <v>1.57</v>
      </c>
    </row>
    <row r="127" spans="51:52">
      <c r="AY127" t="s">
        <v>609</v>
      </c>
      <c r="AZ127">
        <v>1.4100000000000001</v>
      </c>
    </row>
    <row r="128" spans="51:52">
      <c r="AY128" t="s">
        <v>610</v>
      </c>
      <c r="AZ128">
        <v>1.19</v>
      </c>
    </row>
    <row r="129" spans="51:52">
      <c r="AY129" t="s">
        <v>611</v>
      </c>
      <c r="AZ129">
        <v>1.03</v>
      </c>
    </row>
    <row r="130" spans="51:52">
      <c r="AY130" t="s">
        <v>612</v>
      </c>
      <c r="AZ130">
        <v>0.81</v>
      </c>
    </row>
    <row r="131" spans="51:52">
      <c r="AY131" t="s">
        <v>613</v>
      </c>
      <c r="AZ131">
        <v>0.76</v>
      </c>
    </row>
    <row r="132" spans="51:52">
      <c r="AY132" t="s">
        <v>614</v>
      </c>
      <c r="AZ132">
        <v>0.6</v>
      </c>
    </row>
    <row r="133" spans="51:52">
      <c r="AY133" t="s">
        <v>615</v>
      </c>
      <c r="AZ133">
        <v>0.5</v>
      </c>
    </row>
    <row r="134" spans="51:52">
      <c r="AY134" t="s">
        <v>616</v>
      </c>
      <c r="AZ134">
        <v>0.44</v>
      </c>
    </row>
    <row r="135" spans="51:52">
      <c r="AY135" t="s">
        <v>617</v>
      </c>
      <c r="AZ135">
        <v>0.41000000000000003</v>
      </c>
    </row>
    <row r="136" spans="51:52">
      <c r="AY136" t="s">
        <v>618</v>
      </c>
      <c r="AZ136">
        <v>0.38</v>
      </c>
    </row>
    <row r="137" spans="51:52">
      <c r="AY137" t="s">
        <v>619</v>
      </c>
      <c r="AZ137">
        <v>0.4</v>
      </c>
    </row>
    <row r="138" spans="51:52">
      <c r="AY138" t="s">
        <v>620</v>
      </c>
      <c r="AZ138">
        <v>0.33999999999999997</v>
      </c>
    </row>
    <row r="139" spans="51:52">
      <c r="AY139" t="s">
        <v>621</v>
      </c>
      <c r="AZ139">
        <v>0.22</v>
      </c>
    </row>
    <row r="140" spans="51:52">
      <c r="AY140" t="s">
        <v>622</v>
      </c>
      <c r="AZ140">
        <v>0.18</v>
      </c>
    </row>
    <row r="141" spans="51:52">
      <c r="AY141" t="s">
        <v>623</v>
      </c>
      <c r="AZ141">
        <v>0.12</v>
      </c>
    </row>
    <row r="142" spans="51:52">
      <c r="AY142" t="s">
        <v>624</v>
      </c>
      <c r="AZ142">
        <v>0.06</v>
      </c>
    </row>
    <row r="143" spans="51:52">
      <c r="AY143" t="s">
        <v>625</v>
      </c>
      <c r="AZ143">
        <v>0.03</v>
      </c>
    </row>
    <row r="144" spans="51:52">
      <c r="AY144" t="s">
        <v>626</v>
      </c>
      <c r="AZ144">
        <v>0.03</v>
      </c>
    </row>
    <row r="145" spans="51:52">
      <c r="AY145" t="s">
        <v>627</v>
      </c>
      <c r="AZ145">
        <v>0.03</v>
      </c>
    </row>
    <row r="146" spans="51:52">
      <c r="AY146" t="s">
        <v>628</v>
      </c>
      <c r="AZ146">
        <v>0.03</v>
      </c>
    </row>
    <row r="147" spans="51:52">
      <c r="AY147" t="s">
        <v>629</v>
      </c>
      <c r="AZ147">
        <v>0.03</v>
      </c>
    </row>
    <row r="148" spans="51:52">
      <c r="AY148" t="s">
        <v>630</v>
      </c>
      <c r="AZ148">
        <v>0.03</v>
      </c>
    </row>
    <row r="149" spans="51:52">
      <c r="AY149" t="s">
        <v>631</v>
      </c>
      <c r="AZ149">
        <v>0.03</v>
      </c>
    </row>
    <row r="150" spans="51:52">
      <c r="AY150" t="s">
        <v>632</v>
      </c>
      <c r="AZ150">
        <v>0.03</v>
      </c>
    </row>
    <row r="151" spans="51:52">
      <c r="AY151" t="s">
        <v>633</v>
      </c>
      <c r="AZ151">
        <v>0.03</v>
      </c>
    </row>
    <row r="152" spans="51:52">
      <c r="AY152" t="s">
        <v>633</v>
      </c>
      <c r="AZ152">
        <v>0.03</v>
      </c>
    </row>
    <row r="153" spans="51:52">
      <c r="AY153" t="s">
        <v>634</v>
      </c>
      <c r="AZ153">
        <v>0.03</v>
      </c>
    </row>
    <row r="154" spans="51:52">
      <c r="AY154" t="s">
        <v>635</v>
      </c>
      <c r="AZ154">
        <v>0.03</v>
      </c>
    </row>
    <row r="155" spans="51:52">
      <c r="AY155" t="s">
        <v>636</v>
      </c>
      <c r="AZ155">
        <v>0.03</v>
      </c>
    </row>
    <row r="156" spans="51:52">
      <c r="AY156" t="s">
        <v>637</v>
      </c>
      <c r="AZ156">
        <v>16.774999999999999</v>
      </c>
    </row>
    <row r="157" spans="51:52">
      <c r="AY157" t="s">
        <v>638</v>
      </c>
      <c r="AZ157">
        <v>9.1199999999999992</v>
      </c>
    </row>
    <row r="158" spans="51:52">
      <c r="AY158" t="s">
        <v>639</v>
      </c>
      <c r="AZ158">
        <v>5</v>
      </c>
    </row>
    <row r="159" spans="51:52">
      <c r="AY159" t="s">
        <v>640</v>
      </c>
      <c r="AZ159">
        <v>2.2850000000000001</v>
      </c>
    </row>
    <row r="160" spans="51:52">
      <c r="AY160" t="s">
        <v>641</v>
      </c>
      <c r="AZ160">
        <v>1.635</v>
      </c>
    </row>
    <row r="161" spans="51:52">
      <c r="AY161" t="s">
        <v>642</v>
      </c>
      <c r="AZ161">
        <v>1.605</v>
      </c>
    </row>
    <row r="162" spans="51:52">
      <c r="AY162" t="s">
        <v>643</v>
      </c>
      <c r="AZ162">
        <v>1.4650000000000001</v>
      </c>
    </row>
    <row r="163" spans="51:52">
      <c r="AY163" t="s">
        <v>644</v>
      </c>
      <c r="AZ163">
        <v>1.27</v>
      </c>
    </row>
    <row r="164" spans="51:52">
      <c r="AY164" t="s">
        <v>645</v>
      </c>
      <c r="AZ164">
        <v>1.38</v>
      </c>
    </row>
    <row r="165" spans="51:52">
      <c r="AY165" t="s">
        <v>646</v>
      </c>
      <c r="AZ165">
        <v>1.24</v>
      </c>
    </row>
    <row r="166" spans="51:52">
      <c r="AY166" t="s">
        <v>647</v>
      </c>
      <c r="AZ166">
        <v>1.0449999999999999</v>
      </c>
    </row>
    <row r="167" spans="51:52">
      <c r="AY167" t="s">
        <v>648</v>
      </c>
      <c r="AZ167">
        <v>0.90500000000000003</v>
      </c>
    </row>
    <row r="168" spans="51:52">
      <c r="AY168" t="s">
        <v>649</v>
      </c>
      <c r="AZ168">
        <v>0.71</v>
      </c>
    </row>
    <row r="169" spans="51:52">
      <c r="AY169" t="s">
        <v>650</v>
      </c>
      <c r="AZ169">
        <v>0.66999999999999993</v>
      </c>
    </row>
    <row r="170" spans="51:52">
      <c r="AY170" t="s">
        <v>651</v>
      </c>
      <c r="AZ170">
        <v>0.53</v>
      </c>
    </row>
    <row r="171" spans="51:52">
      <c r="AY171" t="s">
        <v>652</v>
      </c>
      <c r="AZ171">
        <v>0.43999999999999995</v>
      </c>
    </row>
    <row r="172" spans="51:52">
      <c r="AY172" t="s">
        <v>653</v>
      </c>
      <c r="AZ172">
        <v>0.38999999999999996</v>
      </c>
    </row>
    <row r="173" spans="51:52">
      <c r="AY173" t="s">
        <v>654</v>
      </c>
      <c r="AZ173">
        <v>0.36499999999999999</v>
      </c>
    </row>
    <row r="174" spans="51:52">
      <c r="AY174" t="s">
        <v>655</v>
      </c>
      <c r="AZ174">
        <v>0.33499999999999996</v>
      </c>
    </row>
    <row r="175" spans="51:52">
      <c r="AY175" t="s">
        <v>656</v>
      </c>
      <c r="AZ175">
        <v>0.35499999999999998</v>
      </c>
    </row>
    <row r="176" spans="51:52">
      <c r="AY176" t="s">
        <v>657</v>
      </c>
      <c r="AZ176">
        <v>0.3</v>
      </c>
    </row>
    <row r="177" spans="51:52">
      <c r="AY177" t="s">
        <v>658</v>
      </c>
      <c r="AZ177">
        <v>0.19500000000000001</v>
      </c>
    </row>
    <row r="178" spans="51:52">
      <c r="AY178" t="s">
        <v>659</v>
      </c>
      <c r="AZ178">
        <v>0.16</v>
      </c>
    </row>
    <row r="179" spans="51:52">
      <c r="AY179" t="s">
        <v>660</v>
      </c>
      <c r="AZ179">
        <v>0.105</v>
      </c>
    </row>
    <row r="180" spans="51:52">
      <c r="AY180" t="s">
        <v>661</v>
      </c>
      <c r="AZ180">
        <v>5.5E-2</v>
      </c>
    </row>
    <row r="181" spans="51:52">
      <c r="AY181" t="s">
        <v>662</v>
      </c>
      <c r="AZ181">
        <v>0.03</v>
      </c>
    </row>
    <row r="182" spans="51:52">
      <c r="AY182" t="s">
        <v>663</v>
      </c>
      <c r="AZ182">
        <v>0.03</v>
      </c>
    </row>
    <row r="183" spans="51:52">
      <c r="AY183" t="s">
        <v>664</v>
      </c>
      <c r="AZ183">
        <v>0.03</v>
      </c>
    </row>
    <row r="184" spans="51:52">
      <c r="AY184" t="s">
        <v>665</v>
      </c>
      <c r="AZ184">
        <v>0.03</v>
      </c>
    </row>
    <row r="185" spans="51:52">
      <c r="AY185" t="s">
        <v>666</v>
      </c>
      <c r="AZ185">
        <v>0.03</v>
      </c>
    </row>
    <row r="186" spans="51:52">
      <c r="AY186" t="s">
        <v>667</v>
      </c>
      <c r="AZ186">
        <v>0.03</v>
      </c>
    </row>
    <row r="187" spans="51:52">
      <c r="AY187" t="s">
        <v>668</v>
      </c>
      <c r="AZ187">
        <v>0.03</v>
      </c>
    </row>
    <row r="188" spans="51:52">
      <c r="AY188" t="s">
        <v>669</v>
      </c>
      <c r="AZ188">
        <v>0.03</v>
      </c>
    </row>
    <row r="189" spans="51:52">
      <c r="AY189" t="s">
        <v>670</v>
      </c>
      <c r="AZ189">
        <v>0.03</v>
      </c>
    </row>
    <row r="190" spans="51:52">
      <c r="AY190" t="s">
        <v>670</v>
      </c>
      <c r="AZ190">
        <v>0.03</v>
      </c>
    </row>
    <row r="191" spans="51:52">
      <c r="AY191" t="s">
        <v>671</v>
      </c>
      <c r="AZ191">
        <v>0.03</v>
      </c>
    </row>
    <row r="192" spans="51:52">
      <c r="AY192" t="s">
        <v>672</v>
      </c>
      <c r="AZ192">
        <v>0.03</v>
      </c>
    </row>
    <row r="193" spans="51:52">
      <c r="AY193" t="s">
        <v>673</v>
      </c>
      <c r="AZ193">
        <v>0.03</v>
      </c>
    </row>
    <row r="194" spans="51:52">
      <c r="AY194" t="s">
        <v>674</v>
      </c>
      <c r="AZ194">
        <v>14.3</v>
      </c>
    </row>
    <row r="195" spans="51:52">
      <c r="AY195" t="s">
        <v>675</v>
      </c>
      <c r="AZ195">
        <v>7.79</v>
      </c>
    </row>
    <row r="196" spans="51:52">
      <c r="AY196" t="s">
        <v>676</v>
      </c>
      <c r="AZ196">
        <v>4.28</v>
      </c>
    </row>
    <row r="197" spans="51:52">
      <c r="AY197" t="s">
        <v>677</v>
      </c>
      <c r="AZ197">
        <v>1.96</v>
      </c>
    </row>
    <row r="198" spans="51:52">
      <c r="AY198" t="s">
        <v>678</v>
      </c>
      <c r="AZ198">
        <v>1.4100000000000001</v>
      </c>
    </row>
    <row r="199" spans="51:52">
      <c r="AY199" t="s">
        <v>679</v>
      </c>
      <c r="AZ199">
        <v>1.3800000000000001</v>
      </c>
    </row>
    <row r="200" spans="51:52">
      <c r="AY200" t="s">
        <v>680</v>
      </c>
      <c r="AZ200">
        <v>1.26</v>
      </c>
    </row>
    <row r="201" spans="51:52">
      <c r="AY201" t="s">
        <v>681</v>
      </c>
      <c r="AZ201">
        <v>1.0900000000000001</v>
      </c>
    </row>
    <row r="202" spans="51:52">
      <c r="AY202" t="s">
        <v>682</v>
      </c>
      <c r="AZ202">
        <v>1.19</v>
      </c>
    </row>
    <row r="203" spans="51:52">
      <c r="AY203" t="s">
        <v>683</v>
      </c>
      <c r="AZ203">
        <v>1.0699999999999998</v>
      </c>
    </row>
    <row r="204" spans="51:52">
      <c r="AY204" t="s">
        <v>684</v>
      </c>
      <c r="AZ204">
        <v>0.89999999999999991</v>
      </c>
    </row>
    <row r="205" spans="51:52">
      <c r="AY205" t="s">
        <v>685</v>
      </c>
      <c r="AZ205">
        <v>0.78</v>
      </c>
    </row>
    <row r="206" spans="51:52">
      <c r="AY206" t="s">
        <v>686</v>
      </c>
      <c r="AZ206">
        <v>0.61</v>
      </c>
    </row>
    <row r="207" spans="51:52">
      <c r="AY207" t="s">
        <v>687</v>
      </c>
      <c r="AZ207">
        <v>0.57999999999999996</v>
      </c>
    </row>
    <row r="208" spans="51:52">
      <c r="AY208" t="s">
        <v>688</v>
      </c>
      <c r="AZ208">
        <v>0.45999999999999996</v>
      </c>
    </row>
    <row r="209" spans="51:52">
      <c r="AY209" t="s">
        <v>689</v>
      </c>
      <c r="AZ209">
        <v>0.38</v>
      </c>
    </row>
    <row r="210" spans="51:52">
      <c r="AY210" t="s">
        <v>690</v>
      </c>
      <c r="AZ210">
        <v>0.33999999999999997</v>
      </c>
    </row>
    <row r="211" spans="51:52">
      <c r="AY211" t="s">
        <v>691</v>
      </c>
      <c r="AZ211">
        <v>0.31999999999999995</v>
      </c>
    </row>
    <row r="212" spans="51:52">
      <c r="AY212" t="s">
        <v>692</v>
      </c>
      <c r="AZ212">
        <v>0.28999999999999998</v>
      </c>
    </row>
    <row r="213" spans="51:52">
      <c r="AY213" t="s">
        <v>693</v>
      </c>
      <c r="AZ213">
        <v>0.31000000000000005</v>
      </c>
    </row>
    <row r="214" spans="51:52">
      <c r="AY214" t="s">
        <v>694</v>
      </c>
      <c r="AZ214">
        <v>0.26</v>
      </c>
    </row>
    <row r="215" spans="51:52">
      <c r="AY215" t="s">
        <v>695</v>
      </c>
      <c r="AZ215">
        <v>0.17</v>
      </c>
    </row>
    <row r="216" spans="51:52">
      <c r="AY216" t="s">
        <v>696</v>
      </c>
      <c r="AZ216">
        <v>0.14000000000000001</v>
      </c>
    </row>
    <row r="217" spans="51:52">
      <c r="AY217" t="s">
        <v>697</v>
      </c>
      <c r="AZ217">
        <v>0.09</v>
      </c>
    </row>
    <row r="218" spans="51:52">
      <c r="AY218" t="s">
        <v>698</v>
      </c>
      <c r="AZ218">
        <v>0.05</v>
      </c>
    </row>
    <row r="219" spans="51:52">
      <c r="AY219" t="s">
        <v>699</v>
      </c>
      <c r="AZ219">
        <v>0.03</v>
      </c>
    </row>
    <row r="220" spans="51:52">
      <c r="AY220" t="s">
        <v>700</v>
      </c>
      <c r="AZ220">
        <v>0.03</v>
      </c>
    </row>
    <row r="221" spans="51:52">
      <c r="AY221" t="s">
        <v>701</v>
      </c>
      <c r="AZ221">
        <v>0.03</v>
      </c>
    </row>
    <row r="222" spans="51:52">
      <c r="AY222" t="s">
        <v>702</v>
      </c>
      <c r="AZ222">
        <v>0.03</v>
      </c>
    </row>
    <row r="223" spans="51:52">
      <c r="AY223" t="s">
        <v>703</v>
      </c>
      <c r="AZ223">
        <v>0.03</v>
      </c>
    </row>
    <row r="224" spans="51:52">
      <c r="AY224" t="s">
        <v>704</v>
      </c>
      <c r="AZ224">
        <v>0.03</v>
      </c>
    </row>
    <row r="225" spans="51:52">
      <c r="AY225" t="s">
        <v>705</v>
      </c>
      <c r="AZ225">
        <v>0.03</v>
      </c>
    </row>
    <row r="226" spans="51:52">
      <c r="AY226" t="s">
        <v>706</v>
      </c>
      <c r="AZ226">
        <v>0.03</v>
      </c>
    </row>
    <row r="227" spans="51:52">
      <c r="AY227" t="s">
        <v>707</v>
      </c>
      <c r="AZ227">
        <v>0.03</v>
      </c>
    </row>
    <row r="228" spans="51:52">
      <c r="AY228" t="s">
        <v>707</v>
      </c>
      <c r="AZ228">
        <v>0.03</v>
      </c>
    </row>
    <row r="229" spans="51:52">
      <c r="AY229" t="s">
        <v>708</v>
      </c>
      <c r="AZ229">
        <v>0.03</v>
      </c>
    </row>
    <row r="230" spans="51:52">
      <c r="AY230" t="s">
        <v>709</v>
      </c>
      <c r="AZ230">
        <v>0.03</v>
      </c>
    </row>
    <row r="231" spans="51:52">
      <c r="AY231" t="s">
        <v>710</v>
      </c>
      <c r="AZ231">
        <v>0.03</v>
      </c>
    </row>
    <row r="232" spans="51:52">
      <c r="AY232" t="s">
        <v>711</v>
      </c>
      <c r="AZ232">
        <v>11.72</v>
      </c>
    </row>
    <row r="233" spans="51:52">
      <c r="AY233" t="s">
        <v>712</v>
      </c>
      <c r="AZ233">
        <v>6.4</v>
      </c>
    </row>
    <row r="234" spans="51:52">
      <c r="AY234" t="s">
        <v>713</v>
      </c>
      <c r="AZ234">
        <v>3.52</v>
      </c>
    </row>
    <row r="235" spans="51:52">
      <c r="AY235" t="s">
        <v>714</v>
      </c>
      <c r="AZ235">
        <v>1.615</v>
      </c>
    </row>
    <row r="236" spans="51:52">
      <c r="AY236" t="s">
        <v>715</v>
      </c>
      <c r="AZ236">
        <v>1.17</v>
      </c>
    </row>
    <row r="237" spans="51:52">
      <c r="AY237" t="s">
        <v>716</v>
      </c>
      <c r="AZ237">
        <v>1.145</v>
      </c>
    </row>
    <row r="238" spans="51:52">
      <c r="AY238" t="s">
        <v>717</v>
      </c>
      <c r="AZ238">
        <v>1.0449999999999999</v>
      </c>
    </row>
    <row r="239" spans="51:52">
      <c r="AY239" t="s">
        <v>718</v>
      </c>
      <c r="AZ239">
        <v>0.90500000000000003</v>
      </c>
    </row>
    <row r="240" spans="51:52">
      <c r="AY240" t="s">
        <v>719</v>
      </c>
      <c r="AZ240">
        <v>0.98499999999999999</v>
      </c>
    </row>
    <row r="241" spans="51:52">
      <c r="AY241" t="s">
        <v>720</v>
      </c>
      <c r="AZ241">
        <v>0.88500000000000001</v>
      </c>
    </row>
    <row r="242" spans="51:52">
      <c r="AY242" t="s">
        <v>721</v>
      </c>
      <c r="AZ242">
        <v>0.745</v>
      </c>
    </row>
    <row r="243" spans="51:52">
      <c r="AY243" t="s">
        <v>722</v>
      </c>
      <c r="AZ243">
        <v>0.64500000000000002</v>
      </c>
    </row>
    <row r="244" spans="51:52">
      <c r="AY244" t="s">
        <v>723</v>
      </c>
      <c r="AZ244">
        <v>0.505</v>
      </c>
    </row>
    <row r="245" spans="51:52">
      <c r="AY245" t="s">
        <v>724</v>
      </c>
      <c r="AZ245">
        <v>0.48</v>
      </c>
    </row>
    <row r="246" spans="51:52">
      <c r="AY246" t="s">
        <v>725</v>
      </c>
      <c r="AZ246">
        <v>0.38</v>
      </c>
    </row>
    <row r="247" spans="51:52">
      <c r="AY247" t="s">
        <v>726</v>
      </c>
      <c r="AZ247">
        <v>0.315</v>
      </c>
    </row>
    <row r="248" spans="51:52">
      <c r="AY248" t="s">
        <v>727</v>
      </c>
      <c r="AZ248">
        <v>0.27999999999999997</v>
      </c>
    </row>
    <row r="249" spans="51:52">
      <c r="AY249" t="s">
        <v>728</v>
      </c>
      <c r="AZ249">
        <v>0.26500000000000001</v>
      </c>
    </row>
    <row r="250" spans="51:52">
      <c r="AY250" t="s">
        <v>729</v>
      </c>
      <c r="AZ250">
        <v>0.24</v>
      </c>
    </row>
    <row r="251" spans="51:52">
      <c r="AY251" t="s">
        <v>730</v>
      </c>
      <c r="AZ251">
        <v>0.255</v>
      </c>
    </row>
    <row r="252" spans="51:52">
      <c r="AY252" t="s">
        <v>731</v>
      </c>
      <c r="AZ252">
        <v>0.21500000000000002</v>
      </c>
    </row>
    <row r="253" spans="51:52">
      <c r="AY253" t="s">
        <v>732</v>
      </c>
      <c r="AZ253">
        <v>0.14000000000000001</v>
      </c>
    </row>
    <row r="254" spans="51:52">
      <c r="AY254" t="s">
        <v>733</v>
      </c>
      <c r="AZ254">
        <v>0.11499999999999999</v>
      </c>
    </row>
    <row r="255" spans="51:52">
      <c r="AY255" t="s">
        <v>734</v>
      </c>
      <c r="AZ255">
        <v>7.4999999999999997E-2</v>
      </c>
    </row>
    <row r="256" spans="51:52">
      <c r="AY256" t="s">
        <v>735</v>
      </c>
      <c r="AZ256">
        <v>0.04</v>
      </c>
    </row>
    <row r="257" spans="51:52">
      <c r="AY257" t="s">
        <v>736</v>
      </c>
      <c r="AZ257">
        <v>2.5000000000000001E-2</v>
      </c>
    </row>
    <row r="258" spans="51:52">
      <c r="AY258" t="s">
        <v>737</v>
      </c>
      <c r="AZ258">
        <v>2.5000000000000001E-2</v>
      </c>
    </row>
    <row r="259" spans="51:52">
      <c r="AY259" t="s">
        <v>738</v>
      </c>
      <c r="AZ259">
        <v>2.5000000000000001E-2</v>
      </c>
    </row>
    <row r="260" spans="51:52">
      <c r="AY260" t="s">
        <v>739</v>
      </c>
      <c r="AZ260">
        <v>2.5000000000000001E-2</v>
      </c>
    </row>
    <row r="261" spans="51:52">
      <c r="AY261" t="s">
        <v>740</v>
      </c>
      <c r="AZ261">
        <v>2.5000000000000001E-2</v>
      </c>
    </row>
    <row r="262" spans="51:52">
      <c r="AY262" t="s">
        <v>741</v>
      </c>
      <c r="AZ262">
        <v>2.5000000000000001E-2</v>
      </c>
    </row>
    <row r="263" spans="51:52">
      <c r="AY263" t="s">
        <v>742</v>
      </c>
      <c r="AZ263">
        <v>2.5000000000000001E-2</v>
      </c>
    </row>
    <row r="264" spans="51:52">
      <c r="AY264" t="s">
        <v>743</v>
      </c>
      <c r="AZ264">
        <v>2.5000000000000001E-2</v>
      </c>
    </row>
    <row r="265" spans="51:52">
      <c r="AY265" t="s">
        <v>744</v>
      </c>
      <c r="AZ265">
        <v>2.5000000000000001E-2</v>
      </c>
    </row>
    <row r="266" spans="51:52">
      <c r="AY266" t="s">
        <v>744</v>
      </c>
      <c r="AZ266">
        <v>2.5000000000000001E-2</v>
      </c>
    </row>
    <row r="267" spans="51:52">
      <c r="AY267" t="s">
        <v>745</v>
      </c>
      <c r="AZ267">
        <v>2.5000000000000001E-2</v>
      </c>
    </row>
    <row r="268" spans="51:52">
      <c r="AY268" t="s">
        <v>746</v>
      </c>
      <c r="AZ268">
        <v>2.5000000000000001E-2</v>
      </c>
    </row>
    <row r="269" spans="51:52">
      <c r="AY269" t="s">
        <v>747</v>
      </c>
      <c r="AZ269">
        <v>2.5000000000000001E-2</v>
      </c>
    </row>
    <row r="270" spans="51:52">
      <c r="AY270" t="s">
        <v>748</v>
      </c>
      <c r="AZ270">
        <v>9.14</v>
      </c>
    </row>
    <row r="271" spans="51:52">
      <c r="AY271" t="s">
        <v>749</v>
      </c>
      <c r="AZ271">
        <v>5.01</v>
      </c>
    </row>
    <row r="272" spans="51:52">
      <c r="AY272" t="s">
        <v>750</v>
      </c>
      <c r="AZ272">
        <v>2.76</v>
      </c>
    </row>
    <row r="273" spans="51:52">
      <c r="AY273" t="s">
        <v>751</v>
      </c>
      <c r="AZ273">
        <v>1.27</v>
      </c>
    </row>
    <row r="274" spans="51:52">
      <c r="AY274" t="s">
        <v>752</v>
      </c>
      <c r="AZ274">
        <v>0.92999999999999994</v>
      </c>
    </row>
    <row r="275" spans="51:52">
      <c r="AY275" t="s">
        <v>753</v>
      </c>
      <c r="AZ275">
        <v>0.90999999999999992</v>
      </c>
    </row>
    <row r="276" spans="51:52">
      <c r="AY276" t="s">
        <v>754</v>
      </c>
      <c r="AZ276">
        <v>0.83</v>
      </c>
    </row>
    <row r="277" spans="51:52">
      <c r="AY277" t="s">
        <v>755</v>
      </c>
      <c r="AZ277">
        <v>0.72</v>
      </c>
    </row>
    <row r="278" spans="51:52">
      <c r="AY278" t="s">
        <v>756</v>
      </c>
      <c r="AZ278">
        <v>0.78</v>
      </c>
    </row>
    <row r="279" spans="51:52">
      <c r="AY279" t="s">
        <v>757</v>
      </c>
      <c r="AZ279">
        <v>0.7</v>
      </c>
    </row>
    <row r="280" spans="51:52">
      <c r="AY280" t="s">
        <v>758</v>
      </c>
      <c r="AZ280">
        <v>0.59000000000000008</v>
      </c>
    </row>
    <row r="281" spans="51:52">
      <c r="AY281" t="s">
        <v>759</v>
      </c>
      <c r="AZ281">
        <v>0.51</v>
      </c>
    </row>
    <row r="282" spans="51:52">
      <c r="AY282" t="s">
        <v>760</v>
      </c>
      <c r="AZ282">
        <v>0.4</v>
      </c>
    </row>
    <row r="283" spans="51:52">
      <c r="AY283" t="s">
        <v>761</v>
      </c>
      <c r="AZ283">
        <v>0.38</v>
      </c>
    </row>
    <row r="284" spans="51:52">
      <c r="AY284" t="s">
        <v>762</v>
      </c>
      <c r="AZ284">
        <v>0.3</v>
      </c>
    </row>
    <row r="285" spans="51:52">
      <c r="AY285" t="s">
        <v>763</v>
      </c>
      <c r="AZ285">
        <v>0.25</v>
      </c>
    </row>
    <row r="286" spans="51:52">
      <c r="AY286" t="s">
        <v>764</v>
      </c>
      <c r="AZ286">
        <v>0.22</v>
      </c>
    </row>
    <row r="287" spans="51:52">
      <c r="AY287" t="s">
        <v>765</v>
      </c>
      <c r="AZ287">
        <v>0.21</v>
      </c>
    </row>
    <row r="288" spans="51:52">
      <c r="AY288" t="s">
        <v>766</v>
      </c>
      <c r="AZ288">
        <v>0.19</v>
      </c>
    </row>
    <row r="289" spans="51:52">
      <c r="AY289" t="s">
        <v>767</v>
      </c>
      <c r="AZ289">
        <v>0.2</v>
      </c>
    </row>
    <row r="290" spans="51:52">
      <c r="AY290" t="s">
        <v>768</v>
      </c>
      <c r="AZ290">
        <v>0.16999999999999998</v>
      </c>
    </row>
    <row r="291" spans="51:52">
      <c r="AY291" t="s">
        <v>769</v>
      </c>
      <c r="AZ291">
        <v>0.11</v>
      </c>
    </row>
    <row r="292" spans="51:52">
      <c r="AY292" t="s">
        <v>770</v>
      </c>
      <c r="AZ292">
        <v>0.09</v>
      </c>
    </row>
    <row r="293" spans="51:52">
      <c r="AY293" t="s">
        <v>771</v>
      </c>
      <c r="AZ293">
        <v>0.06</v>
      </c>
    </row>
    <row r="294" spans="51:52">
      <c r="AY294" t="s">
        <v>772</v>
      </c>
      <c r="AZ294">
        <v>0.03</v>
      </c>
    </row>
    <row r="295" spans="51:52">
      <c r="AY295" t="s">
        <v>773</v>
      </c>
      <c r="AZ295">
        <v>0.02</v>
      </c>
    </row>
    <row r="296" spans="51:52">
      <c r="AY296" t="s">
        <v>774</v>
      </c>
      <c r="AZ296">
        <v>0.02</v>
      </c>
    </row>
    <row r="297" spans="51:52">
      <c r="AY297" t="s">
        <v>775</v>
      </c>
      <c r="AZ297">
        <v>0.02</v>
      </c>
    </row>
    <row r="298" spans="51:52">
      <c r="AY298" t="s">
        <v>776</v>
      </c>
      <c r="AZ298">
        <v>0.02</v>
      </c>
    </row>
    <row r="299" spans="51:52">
      <c r="AY299" t="s">
        <v>777</v>
      </c>
      <c r="AZ299">
        <v>0.02</v>
      </c>
    </row>
    <row r="300" spans="51:52">
      <c r="AY300" t="s">
        <v>778</v>
      </c>
      <c r="AZ300">
        <v>0.02</v>
      </c>
    </row>
    <row r="301" spans="51:52">
      <c r="AY301" t="s">
        <v>779</v>
      </c>
      <c r="AZ301">
        <v>0.02</v>
      </c>
    </row>
    <row r="302" spans="51:52">
      <c r="AY302" t="s">
        <v>780</v>
      </c>
      <c r="AZ302">
        <v>0.02</v>
      </c>
    </row>
    <row r="303" spans="51:52">
      <c r="AY303" t="s">
        <v>781</v>
      </c>
      <c r="AZ303">
        <v>0.02</v>
      </c>
    </row>
    <row r="304" spans="51:52">
      <c r="AY304" t="s">
        <v>781</v>
      </c>
      <c r="AZ304">
        <v>0.02</v>
      </c>
    </row>
    <row r="305" spans="51:52">
      <c r="AY305" t="s">
        <v>782</v>
      </c>
      <c r="AZ305">
        <v>0.02</v>
      </c>
    </row>
    <row r="306" spans="51:52">
      <c r="AY306" t="s">
        <v>783</v>
      </c>
      <c r="AZ306">
        <v>0.02</v>
      </c>
    </row>
    <row r="307" spans="51:52">
      <c r="AY307" t="s">
        <v>784</v>
      </c>
      <c r="AZ307">
        <v>0.02</v>
      </c>
    </row>
    <row r="308" spans="51:52">
      <c r="AY308" t="s">
        <v>785</v>
      </c>
      <c r="AZ308">
        <v>6.42</v>
      </c>
    </row>
    <row r="309" spans="51:52">
      <c r="AY309" t="s">
        <v>786</v>
      </c>
      <c r="AZ309">
        <v>3.53</v>
      </c>
    </row>
    <row r="310" spans="51:52">
      <c r="AY310" t="s">
        <v>787</v>
      </c>
      <c r="AZ310">
        <v>1.96</v>
      </c>
    </row>
    <row r="311" spans="51:52">
      <c r="AY311" t="s">
        <v>788</v>
      </c>
      <c r="AZ311">
        <v>0.91</v>
      </c>
    </row>
    <row r="312" spans="51:52">
      <c r="AY312" t="s">
        <v>789</v>
      </c>
      <c r="AZ312">
        <v>0.66</v>
      </c>
    </row>
    <row r="313" spans="51:52">
      <c r="AY313" t="s">
        <v>790</v>
      </c>
      <c r="AZ313">
        <v>0.65</v>
      </c>
    </row>
    <row r="314" spans="51:52">
      <c r="AY314" t="s">
        <v>791</v>
      </c>
      <c r="AZ314">
        <v>0.59</v>
      </c>
    </row>
    <row r="315" spans="51:52">
      <c r="AY315" t="s">
        <v>792</v>
      </c>
      <c r="AZ315">
        <v>0.51</v>
      </c>
    </row>
    <row r="316" spans="51:52">
      <c r="AY316" t="s">
        <v>793</v>
      </c>
      <c r="AZ316">
        <v>0.57000000000000006</v>
      </c>
    </row>
    <row r="317" spans="51:52">
      <c r="AY317" t="s">
        <v>794</v>
      </c>
      <c r="AZ317">
        <v>0.51</v>
      </c>
    </row>
    <row r="318" spans="51:52">
      <c r="AY318" t="s">
        <v>795</v>
      </c>
      <c r="AZ318">
        <v>0.43</v>
      </c>
    </row>
    <row r="319" spans="51:52">
      <c r="AY319" t="s">
        <v>796</v>
      </c>
      <c r="AZ319">
        <v>0.37</v>
      </c>
    </row>
    <row r="320" spans="51:52">
      <c r="AY320" t="s">
        <v>797</v>
      </c>
      <c r="AZ320">
        <v>0.28999999999999998</v>
      </c>
    </row>
    <row r="321" spans="51:52">
      <c r="AY321" t="s">
        <v>798</v>
      </c>
      <c r="AZ321">
        <v>0.28000000000000003</v>
      </c>
    </row>
    <row r="322" spans="51:52">
      <c r="AY322" t="s">
        <v>799</v>
      </c>
      <c r="AZ322">
        <v>0.22000000000000003</v>
      </c>
    </row>
    <row r="323" spans="51:52">
      <c r="AY323" t="s">
        <v>800</v>
      </c>
      <c r="AZ323">
        <v>0.19</v>
      </c>
    </row>
    <row r="324" spans="51:52">
      <c r="AY324" t="s">
        <v>801</v>
      </c>
      <c r="AZ324">
        <v>0.16</v>
      </c>
    </row>
    <row r="325" spans="51:52">
      <c r="AY325" t="s">
        <v>802</v>
      </c>
      <c r="AZ325">
        <v>0.15000000000000002</v>
      </c>
    </row>
    <row r="326" spans="51:52">
      <c r="AY326" t="s">
        <v>803</v>
      </c>
      <c r="AZ326">
        <v>0.14000000000000001</v>
      </c>
    </row>
    <row r="327" spans="51:52">
      <c r="AY327" t="s">
        <v>804</v>
      </c>
      <c r="AZ327">
        <v>0.15000000000000002</v>
      </c>
    </row>
    <row r="328" spans="51:52">
      <c r="AY328" t="s">
        <v>805</v>
      </c>
      <c r="AZ328">
        <v>0.13</v>
      </c>
    </row>
    <row r="329" spans="51:52">
      <c r="AY329" t="s">
        <v>806</v>
      </c>
      <c r="AZ329">
        <v>0.08</v>
      </c>
    </row>
    <row r="330" spans="51:52">
      <c r="AY330" t="s">
        <v>807</v>
      </c>
      <c r="AZ330">
        <v>7.0000000000000007E-2</v>
      </c>
    </row>
    <row r="331" spans="51:52">
      <c r="AY331" t="s">
        <v>808</v>
      </c>
      <c r="AZ331">
        <v>0.05</v>
      </c>
    </row>
    <row r="332" spans="51:52">
      <c r="AY332" t="s">
        <v>809</v>
      </c>
      <c r="AZ332">
        <v>0.02</v>
      </c>
    </row>
    <row r="333" spans="51:52">
      <c r="AY333" t="s">
        <v>810</v>
      </c>
      <c r="AZ333">
        <v>0.01</v>
      </c>
    </row>
    <row r="334" spans="51:52">
      <c r="AY334" t="s">
        <v>811</v>
      </c>
      <c r="AZ334">
        <v>0.01</v>
      </c>
    </row>
    <row r="335" spans="51:52">
      <c r="AY335" t="s">
        <v>812</v>
      </c>
      <c r="AZ335">
        <v>0.01</v>
      </c>
    </row>
    <row r="336" spans="51:52">
      <c r="AY336" t="s">
        <v>813</v>
      </c>
      <c r="AZ336">
        <v>0.01</v>
      </c>
    </row>
    <row r="337" spans="51:52">
      <c r="AY337" t="s">
        <v>814</v>
      </c>
      <c r="AZ337">
        <v>0.01</v>
      </c>
    </row>
    <row r="338" spans="51:52">
      <c r="AY338" t="s">
        <v>815</v>
      </c>
      <c r="AZ338">
        <v>0.01</v>
      </c>
    </row>
    <row r="339" spans="51:52">
      <c r="AY339" t="s">
        <v>816</v>
      </c>
      <c r="AZ339">
        <v>0.01</v>
      </c>
    </row>
    <row r="340" spans="51:52">
      <c r="AY340" t="s">
        <v>817</v>
      </c>
      <c r="AZ340">
        <v>0.01</v>
      </c>
    </row>
    <row r="341" spans="51:52">
      <c r="AY341" t="s">
        <v>818</v>
      </c>
      <c r="AZ341">
        <v>0.01</v>
      </c>
    </row>
    <row r="342" spans="51:52">
      <c r="AY342" t="s">
        <v>818</v>
      </c>
      <c r="AZ342">
        <v>0.01</v>
      </c>
    </row>
    <row r="343" spans="51:52">
      <c r="AY343" t="s">
        <v>819</v>
      </c>
      <c r="AZ343">
        <v>0.01</v>
      </c>
    </row>
    <row r="344" spans="51:52">
      <c r="AY344" t="s">
        <v>820</v>
      </c>
      <c r="AZ344">
        <v>0.01</v>
      </c>
    </row>
    <row r="345" spans="51:52">
      <c r="AY345" t="s">
        <v>821</v>
      </c>
      <c r="AZ345">
        <v>0.01</v>
      </c>
    </row>
    <row r="346" spans="51:52">
      <c r="AY346" t="s">
        <v>822</v>
      </c>
      <c r="AZ346">
        <v>3.53</v>
      </c>
    </row>
    <row r="347" spans="51:52">
      <c r="AY347" t="s">
        <v>823</v>
      </c>
      <c r="AZ347">
        <v>1.96</v>
      </c>
    </row>
    <row r="348" spans="51:52">
      <c r="AY348" t="s">
        <v>824</v>
      </c>
      <c r="AZ348">
        <v>1.0900000000000001</v>
      </c>
    </row>
    <row r="349" spans="51:52">
      <c r="AY349" t="s">
        <v>825</v>
      </c>
      <c r="AZ349">
        <v>0.51</v>
      </c>
    </row>
    <row r="350" spans="51:52">
      <c r="AY350" t="s">
        <v>826</v>
      </c>
      <c r="AZ350">
        <v>0.38</v>
      </c>
    </row>
    <row r="351" spans="51:52">
      <c r="AY351" t="s">
        <v>827</v>
      </c>
      <c r="AZ351">
        <v>0.37</v>
      </c>
    </row>
    <row r="352" spans="51:52">
      <c r="AY352" t="s">
        <v>828</v>
      </c>
      <c r="AZ352">
        <v>0.33999999999999997</v>
      </c>
    </row>
    <row r="353" spans="51:52">
      <c r="AY353" t="s">
        <v>829</v>
      </c>
      <c r="AZ353">
        <v>0.28999999999999998</v>
      </c>
    </row>
    <row r="354" spans="51:52">
      <c r="AY354" t="s">
        <v>830</v>
      </c>
      <c r="AZ354">
        <v>0.33</v>
      </c>
    </row>
    <row r="355" spans="51:52">
      <c r="AY355" t="s">
        <v>831</v>
      </c>
      <c r="AZ355">
        <v>0.30000000000000004</v>
      </c>
    </row>
    <row r="356" spans="51:52">
      <c r="AY356" t="s">
        <v>832</v>
      </c>
      <c r="AZ356">
        <v>0.25</v>
      </c>
    </row>
    <row r="357" spans="51:52">
      <c r="AY357" t="s">
        <v>833</v>
      </c>
      <c r="AZ357">
        <v>0.22000000000000003</v>
      </c>
    </row>
    <row r="358" spans="51:52">
      <c r="AY358" t="s">
        <v>834</v>
      </c>
      <c r="AZ358">
        <v>0.17</v>
      </c>
    </row>
    <row r="359" spans="51:52">
      <c r="AY359" t="s">
        <v>835</v>
      </c>
      <c r="AZ359">
        <v>0.16</v>
      </c>
    </row>
    <row r="360" spans="51:52">
      <c r="AY360" t="s">
        <v>836</v>
      </c>
      <c r="AZ360">
        <v>0.13</v>
      </c>
    </row>
    <row r="361" spans="51:52">
      <c r="AY361" t="s">
        <v>837</v>
      </c>
      <c r="AZ361">
        <v>0.11</v>
      </c>
    </row>
    <row r="362" spans="51:52">
      <c r="AY362" t="s">
        <v>838</v>
      </c>
      <c r="AZ362">
        <v>0.09</v>
      </c>
    </row>
    <row r="363" spans="51:52">
      <c r="AY363" t="s">
        <v>839</v>
      </c>
      <c r="AZ363">
        <v>0.09</v>
      </c>
    </row>
    <row r="364" spans="51:52">
      <c r="AY364" t="s">
        <v>840</v>
      </c>
      <c r="AZ364">
        <v>0.08</v>
      </c>
    </row>
    <row r="365" spans="51:52">
      <c r="AY365" t="s">
        <v>841</v>
      </c>
      <c r="AZ365">
        <v>0.09</v>
      </c>
    </row>
    <row r="366" spans="51:52">
      <c r="AY366" t="s">
        <v>842</v>
      </c>
      <c r="AZ366">
        <v>0.08</v>
      </c>
    </row>
    <row r="367" spans="51:52">
      <c r="AY367" t="s">
        <v>843</v>
      </c>
      <c r="AZ367">
        <v>0.05</v>
      </c>
    </row>
    <row r="368" spans="51:52">
      <c r="AY368" t="s">
        <v>844</v>
      </c>
      <c r="AZ368">
        <v>0.04</v>
      </c>
    </row>
    <row r="369" spans="51:52">
      <c r="AY369" t="s">
        <v>845</v>
      </c>
      <c r="AZ369">
        <v>0.03</v>
      </c>
    </row>
    <row r="370" spans="51:52">
      <c r="AY370" t="s">
        <v>846</v>
      </c>
      <c r="AZ370">
        <v>0.01</v>
      </c>
    </row>
    <row r="371" spans="51:52">
      <c r="AY371" t="s">
        <v>847</v>
      </c>
      <c r="AZ371">
        <v>0.01</v>
      </c>
    </row>
    <row r="372" spans="51:52">
      <c r="AY372" t="s">
        <v>848</v>
      </c>
      <c r="AZ372">
        <v>0.01</v>
      </c>
    </row>
    <row r="373" spans="51:52">
      <c r="AY373" t="s">
        <v>849</v>
      </c>
      <c r="AZ373">
        <v>0.01</v>
      </c>
    </row>
    <row r="374" spans="51:52">
      <c r="AY374" t="s">
        <v>850</v>
      </c>
      <c r="AZ374">
        <v>0.01</v>
      </c>
    </row>
    <row r="375" spans="51:52">
      <c r="AY375" t="s">
        <v>851</v>
      </c>
      <c r="AZ375">
        <v>0.01</v>
      </c>
    </row>
    <row r="376" spans="51:52">
      <c r="AY376" t="s">
        <v>852</v>
      </c>
      <c r="AZ376">
        <v>0.01</v>
      </c>
    </row>
    <row r="377" spans="51:52">
      <c r="AY377" t="s">
        <v>853</v>
      </c>
      <c r="AZ377">
        <v>0.01</v>
      </c>
    </row>
    <row r="378" spans="51:52">
      <c r="AY378" t="s">
        <v>854</v>
      </c>
      <c r="AZ378">
        <v>0.01</v>
      </c>
    </row>
    <row r="379" spans="51:52">
      <c r="AY379" t="s">
        <v>855</v>
      </c>
      <c r="AZ379">
        <v>0.01</v>
      </c>
    </row>
    <row r="380" spans="51:52">
      <c r="AY380" t="s">
        <v>855</v>
      </c>
      <c r="AZ380">
        <v>0.01</v>
      </c>
    </row>
    <row r="381" spans="51:52">
      <c r="AY381" t="s">
        <v>856</v>
      </c>
      <c r="AZ381">
        <v>0.01</v>
      </c>
    </row>
    <row r="382" spans="51:52">
      <c r="AY382" t="s">
        <v>857</v>
      </c>
      <c r="AZ382">
        <v>0.01</v>
      </c>
    </row>
    <row r="383" spans="51:52">
      <c r="AY383" t="s">
        <v>858</v>
      </c>
      <c r="AZ383">
        <v>0.01</v>
      </c>
    </row>
  </sheetData>
  <sheetProtection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5"/>
  <dimension ref="A1:AG95"/>
  <sheetViews>
    <sheetView topLeftCell="Q1" workbookViewId="0">
      <selection activeCell="J101" sqref="J101"/>
    </sheetView>
  </sheetViews>
  <sheetFormatPr baseColWidth="10" defaultRowHeight="15"/>
  <cols>
    <col min="27" max="27" width="15.7109375" customWidth="1"/>
  </cols>
  <sheetData>
    <row r="1" spans="1:33">
      <c r="P1" t="s">
        <v>228</v>
      </c>
      <c r="V1" t="s">
        <v>230</v>
      </c>
    </row>
    <row r="2" spans="1:33">
      <c r="D2" t="s">
        <v>224</v>
      </c>
      <c r="P2" t="s">
        <v>225</v>
      </c>
      <c r="V2" t="s">
        <v>226</v>
      </c>
      <c r="AA2" t="s">
        <v>293</v>
      </c>
    </row>
    <row r="3" spans="1:33">
      <c r="A3" t="s">
        <v>291</v>
      </c>
      <c r="B3" t="s">
        <v>290</v>
      </c>
      <c r="C3" t="s">
        <v>289</v>
      </c>
      <c r="D3" t="s">
        <v>220</v>
      </c>
      <c r="F3" t="s">
        <v>288</v>
      </c>
      <c r="G3" t="s">
        <v>221</v>
      </c>
      <c r="H3" t="s">
        <v>222</v>
      </c>
      <c r="I3" t="s">
        <v>296</v>
      </c>
      <c r="J3" t="s">
        <v>297</v>
      </c>
      <c r="K3" t="s">
        <v>318</v>
      </c>
      <c r="L3" t="s">
        <v>298</v>
      </c>
      <c r="M3" t="s">
        <v>327</v>
      </c>
      <c r="N3" t="s">
        <v>317</v>
      </c>
      <c r="P3" t="s">
        <v>220</v>
      </c>
      <c r="S3" t="s">
        <v>223</v>
      </c>
      <c r="T3" t="s">
        <v>222</v>
      </c>
      <c r="V3" t="s">
        <v>227</v>
      </c>
      <c r="W3" t="s">
        <v>220</v>
      </c>
      <c r="Y3" t="s">
        <v>221</v>
      </c>
      <c r="Z3" t="s">
        <v>222</v>
      </c>
      <c r="AA3" t="s">
        <v>290</v>
      </c>
      <c r="AB3" t="s">
        <v>34</v>
      </c>
      <c r="AC3" t="s">
        <v>9</v>
      </c>
      <c r="AD3" t="s">
        <v>79</v>
      </c>
      <c r="AE3" t="s">
        <v>80</v>
      </c>
      <c r="AF3" t="s">
        <v>302</v>
      </c>
      <c r="AG3" t="s">
        <v>10</v>
      </c>
    </row>
    <row r="4" spans="1:33">
      <c r="A4" t="s">
        <v>292</v>
      </c>
      <c r="B4" t="s">
        <v>229</v>
      </c>
      <c r="C4" t="s">
        <v>153</v>
      </c>
      <c r="D4" t="s">
        <v>197</v>
      </c>
      <c r="E4">
        <v>1E-3</v>
      </c>
      <c r="F4" t="s">
        <v>859</v>
      </c>
      <c r="G4">
        <v>-3.9999999999999998E-7</v>
      </c>
      <c r="H4">
        <v>1.0004E-3</v>
      </c>
      <c r="I4">
        <v>1.9999999999999999E-6</v>
      </c>
      <c r="J4">
        <v>2</v>
      </c>
      <c r="K4">
        <v>6.0000000000000002E-6</v>
      </c>
      <c r="L4">
        <v>0</v>
      </c>
      <c r="M4">
        <v>-3.9999999999999998E-7</v>
      </c>
      <c r="N4">
        <v>6.0000000000000002E-6</v>
      </c>
      <c r="O4" t="s">
        <v>390</v>
      </c>
      <c r="P4" t="s">
        <v>206</v>
      </c>
      <c r="Q4">
        <v>1</v>
      </c>
      <c r="R4" t="s">
        <v>860</v>
      </c>
      <c r="S4">
        <v>3.5000000000000004E-5</v>
      </c>
      <c r="T4">
        <v>0.99996499999999999</v>
      </c>
      <c r="V4">
        <v>1</v>
      </c>
      <c r="W4" t="s">
        <v>217</v>
      </c>
      <c r="X4">
        <v>5000</v>
      </c>
      <c r="Y4">
        <v>4.0000000000000001E-3</v>
      </c>
      <c r="Z4">
        <v>4999.9960000000001</v>
      </c>
      <c r="AA4" t="s">
        <v>229</v>
      </c>
      <c r="AB4" t="s">
        <v>376</v>
      </c>
      <c r="AC4" t="s">
        <v>377</v>
      </c>
      <c r="AD4">
        <v>43077</v>
      </c>
      <c r="AE4">
        <v>43464</v>
      </c>
      <c r="AF4">
        <v>7.95</v>
      </c>
      <c r="AG4" t="s">
        <v>292</v>
      </c>
    </row>
    <row r="5" spans="1:33">
      <c r="A5" t="s">
        <v>292</v>
      </c>
      <c r="B5" t="s">
        <v>229</v>
      </c>
      <c r="C5" t="s">
        <v>153</v>
      </c>
      <c r="D5" t="s">
        <v>198</v>
      </c>
      <c r="E5">
        <v>2E-3</v>
      </c>
      <c r="F5" t="s">
        <v>861</v>
      </c>
      <c r="G5">
        <v>4.9999999999999998E-7</v>
      </c>
      <c r="H5">
        <v>1.9995E-3</v>
      </c>
      <c r="I5">
        <v>1.9999999999999999E-6</v>
      </c>
      <c r="J5">
        <v>2</v>
      </c>
      <c r="K5">
        <v>6.0000000000000002E-6</v>
      </c>
      <c r="L5">
        <v>0</v>
      </c>
      <c r="M5">
        <v>4.9999999999999998E-7</v>
      </c>
      <c r="N5">
        <v>6.0000000000000002E-6</v>
      </c>
      <c r="O5" t="s">
        <v>415</v>
      </c>
      <c r="P5" t="s">
        <v>207</v>
      </c>
      <c r="Q5">
        <v>2</v>
      </c>
      <c r="R5" t="s">
        <v>862</v>
      </c>
      <c r="S5">
        <v>5.9999999999999995E-5</v>
      </c>
      <c r="T5">
        <v>1.9999400000000001</v>
      </c>
      <c r="V5">
        <v>2</v>
      </c>
      <c r="W5" t="s">
        <v>218</v>
      </c>
      <c r="X5">
        <v>10000</v>
      </c>
      <c r="Y5">
        <v>0.01</v>
      </c>
      <c r="Z5">
        <v>9999.99</v>
      </c>
      <c r="AA5" t="s">
        <v>228</v>
      </c>
      <c r="AB5" t="s">
        <v>988</v>
      </c>
      <c r="AC5" t="s">
        <v>987</v>
      </c>
      <c r="AD5" s="177">
        <v>43285</v>
      </c>
      <c r="AE5" s="177">
        <v>43311</v>
      </c>
      <c r="AF5">
        <v>7.95</v>
      </c>
      <c r="AG5" t="s">
        <v>284</v>
      </c>
    </row>
    <row r="6" spans="1:33">
      <c r="A6" t="s">
        <v>292</v>
      </c>
      <c r="B6" t="s">
        <v>229</v>
      </c>
      <c r="C6" t="s">
        <v>152</v>
      </c>
      <c r="D6" t="s">
        <v>198</v>
      </c>
      <c r="E6">
        <v>2E-3</v>
      </c>
      <c r="F6" t="s">
        <v>863</v>
      </c>
      <c r="G6">
        <v>2.3999999999999999E-6</v>
      </c>
      <c r="H6">
        <v>1.9976E-3</v>
      </c>
      <c r="I6">
        <v>1.9999999999999999E-6</v>
      </c>
      <c r="J6">
        <v>2</v>
      </c>
      <c r="K6">
        <v>6.0000000000000002E-6</v>
      </c>
      <c r="L6">
        <v>0</v>
      </c>
      <c r="M6">
        <v>2.3999999999999999E-6</v>
      </c>
      <c r="N6">
        <v>6.0000000000000002E-6</v>
      </c>
      <c r="P6" t="s">
        <v>207</v>
      </c>
      <c r="Q6">
        <v>2</v>
      </c>
      <c r="R6" t="s">
        <v>862</v>
      </c>
      <c r="S6">
        <v>4.4999999999999996E-5</v>
      </c>
      <c r="T6">
        <v>1.9999549999999999</v>
      </c>
      <c r="V6">
        <v>3</v>
      </c>
      <c r="W6" t="s">
        <v>219</v>
      </c>
      <c r="X6">
        <v>20000</v>
      </c>
      <c r="Y6">
        <v>0.06</v>
      </c>
      <c r="Z6">
        <v>19999.939999999999</v>
      </c>
      <c r="AA6" t="s">
        <v>230</v>
      </c>
      <c r="AB6" t="s">
        <v>300</v>
      </c>
      <c r="AC6" t="s">
        <v>383</v>
      </c>
      <c r="AD6">
        <v>42896</v>
      </c>
      <c r="AE6">
        <v>43646</v>
      </c>
      <c r="AF6">
        <v>7.1</v>
      </c>
      <c r="AG6" t="s">
        <v>354</v>
      </c>
    </row>
    <row r="7" spans="1:33">
      <c r="A7" t="s">
        <v>292</v>
      </c>
      <c r="B7" t="s">
        <v>229</v>
      </c>
      <c r="C7" t="s">
        <v>153</v>
      </c>
      <c r="D7" t="s">
        <v>199</v>
      </c>
      <c r="E7">
        <v>5.0000000000000001E-3</v>
      </c>
      <c r="F7" t="s">
        <v>864</v>
      </c>
      <c r="G7">
        <v>-1.6999999999999998E-6</v>
      </c>
      <c r="H7">
        <v>5.0017000000000004E-3</v>
      </c>
      <c r="I7">
        <v>1.9999999999999999E-6</v>
      </c>
      <c r="J7">
        <v>2</v>
      </c>
      <c r="K7">
        <v>6.0000000000000002E-6</v>
      </c>
      <c r="L7">
        <v>0</v>
      </c>
      <c r="M7">
        <v>-1.6999999999999998E-6</v>
      </c>
      <c r="N7">
        <v>6.0000000000000002E-6</v>
      </c>
      <c r="P7" t="s">
        <v>208</v>
      </c>
      <c r="Q7">
        <v>5</v>
      </c>
      <c r="R7" t="s">
        <v>865</v>
      </c>
      <c r="S7">
        <v>2.9E-5</v>
      </c>
      <c r="T7">
        <v>4.9999710000000004</v>
      </c>
      <c r="V7">
        <v>4</v>
      </c>
      <c r="W7" t="s">
        <v>219</v>
      </c>
      <c r="X7">
        <v>20000</v>
      </c>
      <c r="Y7">
        <v>7.0000000000000007E-2</v>
      </c>
      <c r="Z7">
        <v>19999.93</v>
      </c>
      <c r="AA7" t="s">
        <v>311</v>
      </c>
      <c r="AB7" t="s">
        <v>311</v>
      </c>
      <c r="AC7" t="s">
        <v>311</v>
      </c>
      <c r="AD7" t="s">
        <v>311</v>
      </c>
      <c r="AE7" t="s">
        <v>311</v>
      </c>
      <c r="AF7" t="s">
        <v>311</v>
      </c>
      <c r="AG7" t="s">
        <v>311</v>
      </c>
    </row>
    <row r="8" spans="1:33">
      <c r="A8" t="s">
        <v>292</v>
      </c>
      <c r="B8" t="s">
        <v>229</v>
      </c>
      <c r="C8" t="s">
        <v>153</v>
      </c>
      <c r="D8" t="s">
        <v>200</v>
      </c>
      <c r="E8">
        <v>0.01</v>
      </c>
      <c r="F8" t="s">
        <v>866</v>
      </c>
      <c r="G8">
        <v>-5.9999999999999997E-7</v>
      </c>
      <c r="H8">
        <v>1.00006E-2</v>
      </c>
      <c r="I8">
        <v>2.7E-6</v>
      </c>
      <c r="J8">
        <v>2</v>
      </c>
      <c r="K8">
        <v>7.9999999999999996E-6</v>
      </c>
      <c r="L8">
        <v>0</v>
      </c>
      <c r="M8">
        <v>-5.9999999999999997E-7</v>
      </c>
      <c r="N8">
        <v>7.9999999999999996E-6</v>
      </c>
      <c r="P8" t="s">
        <v>209</v>
      </c>
      <c r="Q8">
        <v>10</v>
      </c>
      <c r="R8" t="s">
        <v>867</v>
      </c>
      <c r="S8">
        <v>1.9999999999999999E-6</v>
      </c>
      <c r="T8">
        <v>9.9999979999999997</v>
      </c>
      <c r="V8">
        <v>5</v>
      </c>
      <c r="W8" t="s">
        <v>219</v>
      </c>
      <c r="X8">
        <v>20000</v>
      </c>
      <c r="Y8">
        <v>7.0000000000000007E-2</v>
      </c>
      <c r="Z8">
        <v>19999.93</v>
      </c>
      <c r="AA8" t="s">
        <v>313</v>
      </c>
      <c r="AB8" t="s">
        <v>311</v>
      </c>
      <c r="AC8" t="s">
        <v>312</v>
      </c>
      <c r="AD8">
        <v>43157</v>
      </c>
      <c r="AE8">
        <v>43522</v>
      </c>
    </row>
    <row r="9" spans="1:33">
      <c r="A9" t="s">
        <v>292</v>
      </c>
      <c r="B9" t="s">
        <v>229</v>
      </c>
      <c r="C9" t="s">
        <v>153</v>
      </c>
      <c r="D9" t="s">
        <v>201</v>
      </c>
      <c r="E9">
        <v>0.02</v>
      </c>
      <c r="F9" t="s">
        <v>868</v>
      </c>
      <c r="G9">
        <v>-2.7999999999999999E-6</v>
      </c>
      <c r="H9">
        <v>2.0002800000000001E-2</v>
      </c>
      <c r="I9">
        <v>3.3000000000000002E-6</v>
      </c>
      <c r="J9">
        <v>2</v>
      </c>
      <c r="K9">
        <v>1.0000000000000001E-5</v>
      </c>
      <c r="L9">
        <v>0</v>
      </c>
      <c r="M9">
        <v>-2.7999999999999999E-6</v>
      </c>
      <c r="N9">
        <v>1.0000000000000001E-5</v>
      </c>
      <c r="P9" t="s">
        <v>210</v>
      </c>
      <c r="Q9">
        <v>20</v>
      </c>
      <c r="R9" t="s">
        <v>869</v>
      </c>
      <c r="S9">
        <v>1.36E-4</v>
      </c>
      <c r="T9">
        <v>19.999863999999999</v>
      </c>
      <c r="V9">
        <v>6</v>
      </c>
      <c r="W9" t="s">
        <v>219</v>
      </c>
      <c r="X9">
        <v>20000</v>
      </c>
      <c r="Y9">
        <v>7.0000000000000007E-2</v>
      </c>
      <c r="Z9">
        <v>19999.93</v>
      </c>
      <c r="AA9" t="s">
        <v>314</v>
      </c>
      <c r="AB9" t="s">
        <v>309</v>
      </c>
      <c r="AC9" t="s">
        <v>310</v>
      </c>
      <c r="AD9">
        <v>42509</v>
      </c>
      <c r="AE9">
        <v>43239</v>
      </c>
    </row>
    <row r="10" spans="1:33">
      <c r="A10" t="s">
        <v>292</v>
      </c>
      <c r="B10" t="s">
        <v>229</v>
      </c>
      <c r="C10" t="s">
        <v>152</v>
      </c>
      <c r="D10" t="s">
        <v>201</v>
      </c>
      <c r="E10">
        <v>0.02</v>
      </c>
      <c r="F10" t="s">
        <v>870</v>
      </c>
      <c r="G10">
        <v>-6.4000000000000006E-6</v>
      </c>
      <c r="H10">
        <v>2.0006400000000001E-2</v>
      </c>
      <c r="I10">
        <v>3.3000000000000002E-6</v>
      </c>
      <c r="J10">
        <v>2</v>
      </c>
      <c r="K10">
        <v>1.0000000000000001E-5</v>
      </c>
      <c r="L10">
        <v>0</v>
      </c>
      <c r="M10">
        <v>-6.4000000000000006E-6</v>
      </c>
      <c r="N10">
        <v>1.0000000000000001E-5</v>
      </c>
      <c r="P10" t="s">
        <v>210</v>
      </c>
      <c r="Q10">
        <v>20</v>
      </c>
      <c r="R10" t="s">
        <v>869</v>
      </c>
      <c r="S10">
        <v>3.1000000000000001E-5</v>
      </c>
      <c r="T10">
        <v>19.999969</v>
      </c>
      <c r="V10">
        <v>7</v>
      </c>
      <c r="W10" t="s">
        <v>219</v>
      </c>
      <c r="X10">
        <v>20000</v>
      </c>
      <c r="Y10">
        <v>7.0000000000000007E-2</v>
      </c>
      <c r="Z10">
        <v>19999.93</v>
      </c>
    </row>
    <row r="11" spans="1:33">
      <c r="A11" t="s">
        <v>292</v>
      </c>
      <c r="B11" t="s">
        <v>229</v>
      </c>
      <c r="C11" t="s">
        <v>153</v>
      </c>
      <c r="D11" t="s">
        <v>202</v>
      </c>
      <c r="E11">
        <v>0.05</v>
      </c>
      <c r="F11" t="s">
        <v>871</v>
      </c>
      <c r="G11">
        <v>-2.3E-6</v>
      </c>
      <c r="H11">
        <v>5.00023E-2</v>
      </c>
      <c r="I11">
        <v>3.9999999999999998E-6</v>
      </c>
      <c r="J11">
        <v>2</v>
      </c>
      <c r="K11">
        <v>1.2E-5</v>
      </c>
      <c r="L11">
        <v>0</v>
      </c>
      <c r="M11">
        <v>-2.3E-6</v>
      </c>
      <c r="N11">
        <v>1.2E-5</v>
      </c>
      <c r="P11" t="s">
        <v>211</v>
      </c>
      <c r="Q11">
        <v>50</v>
      </c>
      <c r="R11" t="s">
        <v>872</v>
      </c>
      <c r="S11">
        <v>1.1E-4</v>
      </c>
      <c r="T11">
        <v>49.999890000000001</v>
      </c>
      <c r="V11">
        <v>8</v>
      </c>
      <c r="W11" t="s">
        <v>219</v>
      </c>
      <c r="X11">
        <v>20000</v>
      </c>
      <c r="Y11">
        <v>0.08</v>
      </c>
      <c r="Z11">
        <v>19999.919999999998</v>
      </c>
    </row>
    <row r="12" spans="1:33">
      <c r="A12" t="s">
        <v>292</v>
      </c>
      <c r="B12" t="s">
        <v>229</v>
      </c>
      <c r="C12" t="s">
        <v>153</v>
      </c>
      <c r="D12" t="s">
        <v>203</v>
      </c>
      <c r="E12">
        <v>0.1</v>
      </c>
      <c r="F12" t="s">
        <v>873</v>
      </c>
      <c r="G12">
        <v>2.5999999999999997E-6</v>
      </c>
      <c r="H12">
        <v>9.99974E-2</v>
      </c>
      <c r="I12">
        <v>5.3000000000000001E-6</v>
      </c>
      <c r="J12">
        <v>2</v>
      </c>
      <c r="K12">
        <v>1.5999999999999999E-5</v>
      </c>
      <c r="L12">
        <v>0</v>
      </c>
      <c r="M12">
        <v>2.5999999999999997E-6</v>
      </c>
      <c r="N12">
        <v>1.5999999999999999E-5</v>
      </c>
      <c r="P12" t="s">
        <v>212</v>
      </c>
      <c r="Q12">
        <v>100</v>
      </c>
      <c r="R12" t="s">
        <v>874</v>
      </c>
      <c r="S12">
        <v>1.4999999999999999E-4</v>
      </c>
      <c r="T12">
        <v>99.999849999999995</v>
      </c>
      <c r="V12">
        <v>9</v>
      </c>
      <c r="W12" t="s">
        <v>219</v>
      </c>
      <c r="X12">
        <v>20000</v>
      </c>
      <c r="Y12">
        <v>7.0000000000000007E-2</v>
      </c>
      <c r="Z12">
        <v>19999.93</v>
      </c>
    </row>
    <row r="13" spans="1:33">
      <c r="A13" t="s">
        <v>292</v>
      </c>
      <c r="B13" t="s">
        <v>229</v>
      </c>
      <c r="C13" t="s">
        <v>153</v>
      </c>
      <c r="D13" t="s">
        <v>204</v>
      </c>
      <c r="E13">
        <v>0.2</v>
      </c>
      <c r="F13" t="s">
        <v>875</v>
      </c>
      <c r="G13">
        <v>-1.1999999999999999E-6</v>
      </c>
      <c r="H13">
        <v>0.20000120000000002</v>
      </c>
      <c r="I13">
        <v>6.7000000000000002E-6</v>
      </c>
      <c r="J13">
        <v>2</v>
      </c>
      <c r="K13">
        <v>2.0000000000000002E-5</v>
      </c>
      <c r="L13">
        <v>0</v>
      </c>
      <c r="M13">
        <v>-1.1999999999999999E-6</v>
      </c>
      <c r="N13">
        <v>2.0000000000000002E-5</v>
      </c>
      <c r="P13" t="s">
        <v>213</v>
      </c>
      <c r="Q13">
        <v>200</v>
      </c>
      <c r="R13" t="s">
        <v>876</v>
      </c>
      <c r="S13">
        <v>2.3000000000000001E-4</v>
      </c>
      <c r="T13">
        <v>199.99977000000001</v>
      </c>
      <c r="V13">
        <v>10</v>
      </c>
      <c r="W13" t="s">
        <v>219</v>
      </c>
      <c r="X13">
        <v>20000</v>
      </c>
      <c r="Y13">
        <v>7.0000000000000007E-2</v>
      </c>
      <c r="Z13">
        <v>19999.93</v>
      </c>
    </row>
    <row r="14" spans="1:33">
      <c r="A14" t="s">
        <v>292</v>
      </c>
      <c r="B14" t="s">
        <v>229</v>
      </c>
      <c r="C14" t="s">
        <v>152</v>
      </c>
      <c r="D14" t="s">
        <v>204</v>
      </c>
      <c r="E14">
        <v>0.2</v>
      </c>
      <c r="F14" t="s">
        <v>877</v>
      </c>
      <c r="G14">
        <v>-3.8E-6</v>
      </c>
      <c r="H14">
        <v>0.20000380000000001</v>
      </c>
      <c r="I14">
        <v>6.7000000000000002E-6</v>
      </c>
      <c r="J14">
        <v>2</v>
      </c>
      <c r="K14">
        <v>2.0000000000000002E-5</v>
      </c>
      <c r="L14">
        <v>0</v>
      </c>
      <c r="M14">
        <v>-3.8E-6</v>
      </c>
      <c r="N14">
        <v>2.0000000000000002E-5</v>
      </c>
      <c r="P14" t="s">
        <v>213</v>
      </c>
      <c r="Q14">
        <v>200</v>
      </c>
      <c r="R14" t="s">
        <v>876</v>
      </c>
      <c r="S14">
        <v>1.9000000000000001E-4</v>
      </c>
      <c r="T14">
        <v>199.99981</v>
      </c>
      <c r="V14">
        <v>11</v>
      </c>
      <c r="W14" t="s">
        <v>219</v>
      </c>
      <c r="X14">
        <v>20000</v>
      </c>
      <c r="Y14">
        <v>0.08</v>
      </c>
      <c r="Z14">
        <v>19999.919999999998</v>
      </c>
      <c r="AA14" t="s">
        <v>152</v>
      </c>
    </row>
    <row r="15" spans="1:33">
      <c r="A15" t="s">
        <v>292</v>
      </c>
      <c r="B15" t="s">
        <v>229</v>
      </c>
      <c r="C15" t="s">
        <v>153</v>
      </c>
      <c r="D15" t="s">
        <v>205</v>
      </c>
      <c r="E15">
        <v>0.5</v>
      </c>
      <c r="F15" t="s">
        <v>878</v>
      </c>
      <c r="G15">
        <v>-2.2000000000000001E-6</v>
      </c>
      <c r="H15">
        <v>0.50000219999999995</v>
      </c>
      <c r="I15">
        <v>8.3000000000000002E-6</v>
      </c>
      <c r="J15">
        <v>2</v>
      </c>
      <c r="K15">
        <v>2.5000000000000001E-5</v>
      </c>
      <c r="L15">
        <v>0</v>
      </c>
      <c r="M15">
        <v>-2.2000000000000001E-6</v>
      </c>
      <c r="N15">
        <v>2.5000000000000001E-5</v>
      </c>
      <c r="P15" t="s">
        <v>214</v>
      </c>
      <c r="Q15">
        <v>500</v>
      </c>
      <c r="R15" t="s">
        <v>879</v>
      </c>
      <c r="S15">
        <v>1.41E-3</v>
      </c>
      <c r="T15">
        <v>499.99858999999998</v>
      </c>
      <c r="V15">
        <v>12</v>
      </c>
      <c r="W15" t="s">
        <v>219</v>
      </c>
      <c r="X15">
        <v>20000</v>
      </c>
      <c r="Y15">
        <v>0.09</v>
      </c>
      <c r="Z15">
        <v>19999.91</v>
      </c>
      <c r="AA15" t="s">
        <v>153</v>
      </c>
    </row>
    <row r="16" spans="1:33">
      <c r="A16" t="s">
        <v>292</v>
      </c>
      <c r="B16" t="s">
        <v>229</v>
      </c>
      <c r="C16" t="s">
        <v>153</v>
      </c>
      <c r="D16" t="s">
        <v>206</v>
      </c>
      <c r="E16">
        <v>1</v>
      </c>
      <c r="F16" t="s">
        <v>880</v>
      </c>
      <c r="G16">
        <v>-2.1000000000000002E-5</v>
      </c>
      <c r="H16">
        <v>1.000021</v>
      </c>
      <c r="I16">
        <v>1.0000000000000001E-5</v>
      </c>
      <c r="J16">
        <v>2</v>
      </c>
      <c r="K16">
        <v>3.0000000000000001E-5</v>
      </c>
      <c r="L16">
        <v>0</v>
      </c>
      <c r="M16">
        <v>-2.1000000000000002E-5</v>
      </c>
      <c r="N16">
        <v>3.0000000000000001E-5</v>
      </c>
      <c r="P16" t="s">
        <v>215</v>
      </c>
      <c r="Q16">
        <v>1000</v>
      </c>
      <c r="R16" t="s">
        <v>881</v>
      </c>
      <c r="S16">
        <v>1E-3</v>
      </c>
      <c r="T16">
        <v>999.99900000000002</v>
      </c>
      <c r="V16">
        <v>13</v>
      </c>
      <c r="W16" t="s">
        <v>219</v>
      </c>
      <c r="X16">
        <v>20000</v>
      </c>
      <c r="Y16">
        <v>7.0000000000000007E-2</v>
      </c>
      <c r="Z16">
        <v>19999.93</v>
      </c>
    </row>
    <row r="17" spans="1:26">
      <c r="A17" t="s">
        <v>292</v>
      </c>
      <c r="B17" t="s">
        <v>229</v>
      </c>
      <c r="C17" t="s">
        <v>153</v>
      </c>
      <c r="D17" t="s">
        <v>207</v>
      </c>
      <c r="E17">
        <v>2</v>
      </c>
      <c r="F17" t="s">
        <v>882</v>
      </c>
      <c r="G17">
        <v>8.9999999999999985E-6</v>
      </c>
      <c r="H17">
        <v>1.9999910000000001</v>
      </c>
      <c r="I17">
        <v>1.2999999999999999E-5</v>
      </c>
      <c r="J17">
        <v>2</v>
      </c>
      <c r="K17">
        <v>4.0000000000000003E-5</v>
      </c>
      <c r="L17">
        <v>0</v>
      </c>
      <c r="M17">
        <v>8.9999999999999985E-6</v>
      </c>
      <c r="N17">
        <v>4.0000000000000003E-5</v>
      </c>
      <c r="P17" t="s">
        <v>216</v>
      </c>
      <c r="Q17">
        <v>2000</v>
      </c>
      <c r="R17" t="s">
        <v>883</v>
      </c>
      <c r="S17">
        <v>6.9999999999999999E-4</v>
      </c>
      <c r="T17">
        <v>1999.9992999999999</v>
      </c>
      <c r="V17">
        <v>14</v>
      </c>
      <c r="W17" t="s">
        <v>219</v>
      </c>
      <c r="X17">
        <v>20000</v>
      </c>
      <c r="Y17">
        <v>7.0000000000000007E-2</v>
      </c>
      <c r="Z17">
        <v>19999.93</v>
      </c>
    </row>
    <row r="18" spans="1:26">
      <c r="A18" t="s">
        <v>292</v>
      </c>
      <c r="B18" t="s">
        <v>229</v>
      </c>
      <c r="C18" t="s">
        <v>152</v>
      </c>
      <c r="D18" t="s">
        <v>207</v>
      </c>
      <c r="E18">
        <v>2</v>
      </c>
      <c r="F18" t="s">
        <v>884</v>
      </c>
      <c r="G18">
        <v>-3.9999999999999998E-6</v>
      </c>
      <c r="H18">
        <v>2.0000040000000001</v>
      </c>
      <c r="I18">
        <v>1.2999999999999999E-5</v>
      </c>
      <c r="J18">
        <v>2</v>
      </c>
      <c r="K18">
        <v>4.0000000000000003E-5</v>
      </c>
      <c r="L18">
        <v>0</v>
      </c>
      <c r="M18">
        <v>-3.9999999999999998E-6</v>
      </c>
      <c r="N18">
        <v>4.0000000000000003E-5</v>
      </c>
      <c r="P18" t="s">
        <v>216</v>
      </c>
      <c r="Q18">
        <v>2000</v>
      </c>
      <c r="R18" t="s">
        <v>883</v>
      </c>
      <c r="S18">
        <v>1E-3</v>
      </c>
      <c r="T18">
        <v>1999.999</v>
      </c>
      <c r="V18">
        <v>15</v>
      </c>
      <c r="W18" t="s">
        <v>219</v>
      </c>
      <c r="X18">
        <v>20000</v>
      </c>
      <c r="Y18">
        <v>7.0000000000000007E-2</v>
      </c>
      <c r="Z18">
        <v>19999.93</v>
      </c>
    </row>
    <row r="19" spans="1:26">
      <c r="A19" t="s">
        <v>292</v>
      </c>
      <c r="B19" t="s">
        <v>229</v>
      </c>
      <c r="C19" t="s">
        <v>153</v>
      </c>
      <c r="D19" t="s">
        <v>208</v>
      </c>
      <c r="E19">
        <v>5</v>
      </c>
      <c r="F19" t="s">
        <v>885</v>
      </c>
      <c r="G19">
        <v>9.9999999999999995E-7</v>
      </c>
      <c r="H19">
        <v>4.9999989999999999</v>
      </c>
      <c r="I19">
        <v>1.7E-5</v>
      </c>
      <c r="J19">
        <v>2</v>
      </c>
      <c r="K19">
        <v>5.0000000000000002E-5</v>
      </c>
      <c r="L19">
        <v>0</v>
      </c>
      <c r="M19">
        <v>9.9999999999999995E-7</v>
      </c>
      <c r="N19">
        <v>5.0000000000000002E-5</v>
      </c>
      <c r="P19" t="s">
        <v>217</v>
      </c>
      <c r="Q19">
        <v>5000</v>
      </c>
      <c r="R19" t="s">
        <v>886</v>
      </c>
      <c r="S19">
        <v>1.11E-2</v>
      </c>
      <c r="T19">
        <v>4999.9889000000003</v>
      </c>
      <c r="V19">
        <v>16</v>
      </c>
      <c r="W19" t="s">
        <v>219</v>
      </c>
      <c r="X19">
        <v>20000</v>
      </c>
      <c r="Y19">
        <v>7.0000000000000007E-2</v>
      </c>
      <c r="Z19">
        <v>19999.93</v>
      </c>
    </row>
    <row r="20" spans="1:26">
      <c r="A20" t="s">
        <v>292</v>
      </c>
      <c r="B20" t="s">
        <v>229</v>
      </c>
      <c r="C20" t="s">
        <v>153</v>
      </c>
      <c r="D20" t="s">
        <v>209</v>
      </c>
      <c r="E20">
        <v>10</v>
      </c>
      <c r="F20" t="s">
        <v>887</v>
      </c>
      <c r="G20">
        <v>3.1000000000000001E-5</v>
      </c>
      <c r="H20">
        <v>9.9999690000000001</v>
      </c>
      <c r="I20">
        <v>2.0000000000000002E-5</v>
      </c>
      <c r="J20">
        <v>2</v>
      </c>
      <c r="K20">
        <v>6.0000000000000002E-5</v>
      </c>
      <c r="L20">
        <v>0</v>
      </c>
      <c r="M20">
        <v>3.1000000000000001E-5</v>
      </c>
      <c r="N20">
        <v>6.0000000000000002E-5</v>
      </c>
      <c r="P20" t="s">
        <v>231</v>
      </c>
      <c r="Q20">
        <v>110</v>
      </c>
      <c r="R20" t="s">
        <v>888</v>
      </c>
      <c r="S20">
        <v>1.9999999999999999E-6</v>
      </c>
      <c r="T20">
        <v>9.9999979999999997</v>
      </c>
      <c r="V20">
        <v>17</v>
      </c>
      <c r="W20" t="s">
        <v>219</v>
      </c>
      <c r="X20">
        <v>20000</v>
      </c>
      <c r="Y20">
        <v>7.0000000000000007E-2</v>
      </c>
      <c r="Z20">
        <v>19999.93</v>
      </c>
    </row>
    <row r="21" spans="1:26">
      <c r="A21" t="s">
        <v>292</v>
      </c>
      <c r="B21" t="s">
        <v>229</v>
      </c>
      <c r="C21" t="s">
        <v>153</v>
      </c>
      <c r="D21" t="s">
        <v>210</v>
      </c>
      <c r="E21">
        <v>20</v>
      </c>
      <c r="F21" t="s">
        <v>889</v>
      </c>
      <c r="G21">
        <v>2.8E-5</v>
      </c>
      <c r="H21">
        <v>19.999972</v>
      </c>
      <c r="I21">
        <v>2.6999999999999999E-5</v>
      </c>
      <c r="J21">
        <v>2</v>
      </c>
      <c r="K21">
        <v>8.0000000000000007E-5</v>
      </c>
      <c r="L21">
        <v>0</v>
      </c>
      <c r="M21">
        <v>2.8E-5</v>
      </c>
      <c r="N21">
        <v>8.0000000000000007E-5</v>
      </c>
      <c r="P21" t="s">
        <v>232</v>
      </c>
      <c r="Q21">
        <v>120</v>
      </c>
      <c r="R21" t="s">
        <v>890</v>
      </c>
      <c r="S21">
        <v>1.8099999999999998E-4</v>
      </c>
      <c r="T21">
        <v>119.999819</v>
      </c>
      <c r="V21">
        <v>18</v>
      </c>
      <c r="W21" t="s">
        <v>219</v>
      </c>
      <c r="X21">
        <v>20000</v>
      </c>
      <c r="Y21">
        <v>0.08</v>
      </c>
      <c r="Z21">
        <v>19999.919999999998</v>
      </c>
    </row>
    <row r="22" spans="1:26">
      <c r="A22" t="s">
        <v>292</v>
      </c>
      <c r="B22" t="s">
        <v>229</v>
      </c>
      <c r="C22" t="s">
        <v>152</v>
      </c>
      <c r="D22" t="s">
        <v>210</v>
      </c>
      <c r="E22">
        <v>20</v>
      </c>
      <c r="F22" t="s">
        <v>891</v>
      </c>
      <c r="G22">
        <v>2.5000000000000001E-5</v>
      </c>
      <c r="H22">
        <v>19.999974999999999</v>
      </c>
      <c r="I22">
        <v>2.6999999999999999E-5</v>
      </c>
      <c r="J22">
        <v>2</v>
      </c>
      <c r="K22">
        <v>8.0000000000000007E-5</v>
      </c>
      <c r="L22">
        <v>0</v>
      </c>
      <c r="M22">
        <v>2.5000000000000001E-5</v>
      </c>
      <c r="N22">
        <v>8.0000000000000007E-5</v>
      </c>
      <c r="P22" t="s">
        <v>233</v>
      </c>
      <c r="Q22">
        <v>130</v>
      </c>
      <c r="R22" t="s">
        <v>892</v>
      </c>
      <c r="S22">
        <v>2.8800000000000001E-4</v>
      </c>
      <c r="T22">
        <v>129.99971199999999</v>
      </c>
      <c r="V22">
        <v>19</v>
      </c>
      <c r="W22" t="s">
        <v>219</v>
      </c>
      <c r="X22">
        <v>20000</v>
      </c>
      <c r="Y22">
        <v>7.0000000000000007E-2</v>
      </c>
      <c r="Z22">
        <v>19999.93</v>
      </c>
    </row>
    <row r="23" spans="1:26">
      <c r="A23" t="s">
        <v>292</v>
      </c>
      <c r="B23" t="s">
        <v>229</v>
      </c>
      <c r="C23" t="s">
        <v>153</v>
      </c>
      <c r="D23" t="s">
        <v>211</v>
      </c>
      <c r="E23">
        <v>50</v>
      </c>
      <c r="F23" t="s">
        <v>893</v>
      </c>
      <c r="G23">
        <v>-2.0000000000000002E-5</v>
      </c>
      <c r="H23">
        <v>50.000019999999999</v>
      </c>
      <c r="I23">
        <v>3.3000000000000003E-5</v>
      </c>
      <c r="J23">
        <v>2</v>
      </c>
      <c r="K23">
        <v>1E-4</v>
      </c>
      <c r="L23">
        <v>0</v>
      </c>
      <c r="M23">
        <v>-2.0000000000000002E-5</v>
      </c>
      <c r="N23">
        <v>1E-4</v>
      </c>
      <c r="P23" t="s">
        <v>234</v>
      </c>
      <c r="Q23">
        <v>140</v>
      </c>
      <c r="R23" t="s">
        <v>894</v>
      </c>
      <c r="S23">
        <v>3.1700000000000001E-4</v>
      </c>
      <c r="T23">
        <v>139.999683</v>
      </c>
      <c r="V23">
        <v>20</v>
      </c>
      <c r="W23" t="s">
        <v>219</v>
      </c>
      <c r="X23">
        <v>20000</v>
      </c>
      <c r="Y23">
        <v>0.09</v>
      </c>
      <c r="Z23">
        <v>19999.91</v>
      </c>
    </row>
    <row r="24" spans="1:26">
      <c r="A24" t="s">
        <v>292</v>
      </c>
      <c r="B24" t="s">
        <v>229</v>
      </c>
      <c r="C24" t="s">
        <v>153</v>
      </c>
      <c r="D24" t="s">
        <v>212</v>
      </c>
      <c r="E24">
        <v>100</v>
      </c>
      <c r="F24" t="s">
        <v>895</v>
      </c>
      <c r="G24">
        <v>-2.5000000000000001E-5</v>
      </c>
      <c r="H24">
        <v>100.00002499999999</v>
      </c>
      <c r="I24">
        <v>5.3000000000000001E-5</v>
      </c>
      <c r="J24">
        <v>2</v>
      </c>
      <c r="K24">
        <v>1.6000000000000001E-4</v>
      </c>
      <c r="L24">
        <v>0</v>
      </c>
      <c r="M24">
        <v>-2.5000000000000001E-5</v>
      </c>
      <c r="N24">
        <v>1.6000000000000001E-4</v>
      </c>
      <c r="P24" t="s">
        <v>235</v>
      </c>
      <c r="Q24">
        <v>150</v>
      </c>
      <c r="R24" t="s">
        <v>896</v>
      </c>
      <c r="S24">
        <v>2.5999999999999998E-4</v>
      </c>
      <c r="T24">
        <v>149.99974</v>
      </c>
      <c r="V24">
        <v>21</v>
      </c>
      <c r="W24" t="s">
        <v>219</v>
      </c>
      <c r="X24">
        <v>20000</v>
      </c>
      <c r="Y24">
        <v>0.09</v>
      </c>
      <c r="Z24">
        <v>19999.91</v>
      </c>
    </row>
    <row r="25" spans="1:26">
      <c r="A25" t="s">
        <v>292</v>
      </c>
      <c r="B25" t="s">
        <v>229</v>
      </c>
      <c r="C25" t="s">
        <v>153</v>
      </c>
      <c r="D25" t="s">
        <v>213</v>
      </c>
      <c r="E25">
        <v>200</v>
      </c>
      <c r="F25" t="s">
        <v>897</v>
      </c>
      <c r="G25">
        <v>-7.0000000000000007E-5</v>
      </c>
      <c r="H25">
        <v>200.00006999999999</v>
      </c>
      <c r="I25">
        <v>1E-4</v>
      </c>
      <c r="J25">
        <v>2</v>
      </c>
      <c r="K25">
        <v>2.9999999999999997E-4</v>
      </c>
      <c r="L25">
        <v>0</v>
      </c>
      <c r="M25">
        <v>-7.0000000000000007E-5</v>
      </c>
      <c r="N25">
        <v>2.9999999999999997E-4</v>
      </c>
      <c r="P25" t="s">
        <v>236</v>
      </c>
      <c r="Q25">
        <v>160</v>
      </c>
      <c r="R25" t="s">
        <v>898</v>
      </c>
      <c r="S25">
        <v>2.6199999999999997E-4</v>
      </c>
      <c r="T25">
        <v>159.99973800000001</v>
      </c>
      <c r="V25">
        <v>22</v>
      </c>
      <c r="W25" t="s">
        <v>219</v>
      </c>
      <c r="X25">
        <v>20000</v>
      </c>
      <c r="Y25">
        <v>7.0000000000000007E-2</v>
      </c>
      <c r="Z25">
        <v>19999.93</v>
      </c>
    </row>
    <row r="26" spans="1:26">
      <c r="A26" t="s">
        <v>292</v>
      </c>
      <c r="B26" t="s">
        <v>229</v>
      </c>
      <c r="C26" t="s">
        <v>152</v>
      </c>
      <c r="D26" t="s">
        <v>213</v>
      </c>
      <c r="E26">
        <v>200</v>
      </c>
      <c r="F26" t="s">
        <v>899</v>
      </c>
      <c r="G26">
        <v>-5.0000000000000002E-5</v>
      </c>
      <c r="H26">
        <v>200.00004999999999</v>
      </c>
      <c r="I26">
        <v>1E-4</v>
      </c>
      <c r="J26">
        <v>2</v>
      </c>
      <c r="K26">
        <v>2.9999999999999997E-4</v>
      </c>
      <c r="L26">
        <v>0</v>
      </c>
      <c r="M26">
        <v>-5.0000000000000002E-5</v>
      </c>
      <c r="N26">
        <v>2.9999999999999997E-4</v>
      </c>
      <c r="P26" t="s">
        <v>237</v>
      </c>
      <c r="Q26">
        <v>170</v>
      </c>
      <c r="R26" t="s">
        <v>900</v>
      </c>
      <c r="S26">
        <v>2.9099999999999997E-4</v>
      </c>
      <c r="T26">
        <v>169.999709</v>
      </c>
      <c r="V26">
        <v>23</v>
      </c>
      <c r="W26" t="s">
        <v>219</v>
      </c>
      <c r="X26">
        <v>20000</v>
      </c>
      <c r="Y26">
        <v>7.0000000000000007E-2</v>
      </c>
      <c r="Z26">
        <v>19999.93</v>
      </c>
    </row>
    <row r="27" spans="1:26">
      <c r="A27" t="s">
        <v>284</v>
      </c>
      <c r="B27" t="s">
        <v>228</v>
      </c>
      <c r="C27" t="s">
        <v>153</v>
      </c>
      <c r="D27" t="s">
        <v>206</v>
      </c>
      <c r="E27">
        <v>1</v>
      </c>
      <c r="F27" t="s">
        <v>901</v>
      </c>
      <c r="G27">
        <v>3.5000000000000004E-5</v>
      </c>
      <c r="H27">
        <v>0.99996499999999999</v>
      </c>
      <c r="I27">
        <v>3.3000000000000003E-5</v>
      </c>
      <c r="J27">
        <v>2</v>
      </c>
      <c r="K27">
        <v>3.0000000000000052E-6</v>
      </c>
      <c r="L27">
        <v>3.0000000000000052E-6</v>
      </c>
      <c r="M27">
        <v>3.1999999999999999E-5</v>
      </c>
      <c r="N27">
        <v>1E-4</v>
      </c>
      <c r="P27" t="s">
        <v>238</v>
      </c>
      <c r="Q27">
        <v>180</v>
      </c>
      <c r="R27" t="s">
        <v>902</v>
      </c>
      <c r="S27">
        <v>2.9299999999999997E-4</v>
      </c>
      <c r="T27">
        <v>179.999707</v>
      </c>
      <c r="V27">
        <v>24</v>
      </c>
      <c r="W27" t="s">
        <v>219</v>
      </c>
      <c r="X27">
        <v>20000</v>
      </c>
      <c r="Y27">
        <v>0.09</v>
      </c>
      <c r="Z27">
        <v>19999.91</v>
      </c>
    </row>
    <row r="28" spans="1:26">
      <c r="A28" t="s">
        <v>284</v>
      </c>
      <c r="B28" t="s">
        <v>228</v>
      </c>
      <c r="C28" t="s">
        <v>153</v>
      </c>
      <c r="D28" t="s">
        <v>207</v>
      </c>
      <c r="E28">
        <v>2</v>
      </c>
      <c r="F28" t="s">
        <v>903</v>
      </c>
      <c r="G28">
        <v>5.9999999999999995E-5</v>
      </c>
      <c r="H28">
        <v>1.9999400000000001</v>
      </c>
      <c r="I28">
        <v>4.0000000000000003E-5</v>
      </c>
      <c r="J28">
        <v>2</v>
      </c>
      <c r="K28">
        <v>1.4999999999999999E-5</v>
      </c>
      <c r="L28">
        <v>1.4999999999999999E-5</v>
      </c>
      <c r="M28">
        <v>4.4999999999999996E-5</v>
      </c>
      <c r="N28">
        <v>1.2E-4</v>
      </c>
      <c r="P28" t="s">
        <v>239</v>
      </c>
      <c r="Q28">
        <v>190</v>
      </c>
      <c r="R28" t="s">
        <v>904</v>
      </c>
      <c r="S28">
        <v>2.9499999999999996E-4</v>
      </c>
      <c r="T28">
        <v>189.99970500000001</v>
      </c>
      <c r="V28">
        <v>25</v>
      </c>
      <c r="W28" t="s">
        <v>219</v>
      </c>
      <c r="X28">
        <v>20000</v>
      </c>
      <c r="Y28">
        <v>7.0000000000000007E-2</v>
      </c>
      <c r="Z28">
        <v>19999.93</v>
      </c>
    </row>
    <row r="29" spans="1:26">
      <c r="A29" t="s">
        <v>284</v>
      </c>
      <c r="B29" t="s">
        <v>228</v>
      </c>
      <c r="C29" t="s">
        <v>152</v>
      </c>
      <c r="D29" t="s">
        <v>207</v>
      </c>
      <c r="E29">
        <v>2</v>
      </c>
      <c r="F29" t="s">
        <v>905</v>
      </c>
      <c r="G29">
        <v>4.4999999999999996E-5</v>
      </c>
      <c r="H29">
        <v>1.9999549999999999</v>
      </c>
      <c r="I29">
        <v>4.0000000000000003E-5</v>
      </c>
      <c r="J29">
        <v>2</v>
      </c>
      <c r="K29">
        <v>7.0000000000000007E-6</v>
      </c>
      <c r="L29">
        <v>7.0000000000000007E-6</v>
      </c>
      <c r="M29">
        <v>5.1999999999999997E-5</v>
      </c>
      <c r="N29">
        <v>1.2E-4</v>
      </c>
      <c r="P29" t="s">
        <v>240</v>
      </c>
      <c r="Q29">
        <v>210</v>
      </c>
      <c r="R29" t="s">
        <v>906</v>
      </c>
      <c r="S29">
        <v>2.32E-4</v>
      </c>
      <c r="T29">
        <v>209.99976800000002</v>
      </c>
      <c r="V29">
        <v>26</v>
      </c>
      <c r="W29" t="s">
        <v>219</v>
      </c>
      <c r="X29">
        <v>20000</v>
      </c>
      <c r="Y29">
        <v>7.0000000000000007E-2</v>
      </c>
      <c r="Z29">
        <v>19999.93</v>
      </c>
    </row>
    <row r="30" spans="1:26">
      <c r="A30" t="s">
        <v>284</v>
      </c>
      <c r="B30" t="s">
        <v>228</v>
      </c>
      <c r="C30" t="s">
        <v>153</v>
      </c>
      <c r="D30" t="s">
        <v>208</v>
      </c>
      <c r="E30">
        <v>5</v>
      </c>
      <c r="F30" t="s">
        <v>907</v>
      </c>
      <c r="G30">
        <v>2.9E-5</v>
      </c>
      <c r="H30">
        <v>4.9999710000000004</v>
      </c>
      <c r="I30">
        <v>5.3000000000000001E-5</v>
      </c>
      <c r="J30">
        <v>2</v>
      </c>
      <c r="K30">
        <v>2.1000000000000002E-5</v>
      </c>
      <c r="L30">
        <v>2.1000000000000002E-5</v>
      </c>
      <c r="M30">
        <v>7.9999999999999996E-6</v>
      </c>
      <c r="N30">
        <v>1.6000000000000001E-4</v>
      </c>
      <c r="P30" t="s">
        <v>241</v>
      </c>
      <c r="Q30">
        <v>1200</v>
      </c>
      <c r="R30" t="s">
        <v>908</v>
      </c>
      <c r="S30">
        <v>1.1900000000000001E-3</v>
      </c>
      <c r="T30">
        <v>1199.99881</v>
      </c>
      <c r="V30">
        <v>27</v>
      </c>
      <c r="W30" t="s">
        <v>219</v>
      </c>
      <c r="X30">
        <v>20000</v>
      </c>
      <c r="Y30">
        <v>7.0000000000000007E-2</v>
      </c>
      <c r="Z30">
        <v>19999.93</v>
      </c>
    </row>
    <row r="31" spans="1:26">
      <c r="A31" t="s">
        <v>284</v>
      </c>
      <c r="B31" t="s">
        <v>228</v>
      </c>
      <c r="C31" t="s">
        <v>153</v>
      </c>
      <c r="D31" t="s">
        <v>209</v>
      </c>
      <c r="E31">
        <v>10</v>
      </c>
      <c r="F31" t="s">
        <v>909</v>
      </c>
      <c r="G31">
        <v>1.9999999999999999E-6</v>
      </c>
      <c r="H31">
        <v>9.9999979999999997</v>
      </c>
      <c r="I31">
        <v>6.7000000000000002E-5</v>
      </c>
      <c r="J31">
        <v>2</v>
      </c>
      <c r="K31">
        <v>3.4999999999999997E-5</v>
      </c>
      <c r="L31">
        <v>3.4999999999999997E-5</v>
      </c>
      <c r="M31">
        <v>3.6999999999999998E-5</v>
      </c>
      <c r="N31">
        <v>2.0000000000000001E-4</v>
      </c>
      <c r="P31" t="s">
        <v>242</v>
      </c>
      <c r="Q31">
        <v>1300</v>
      </c>
      <c r="R31" t="s">
        <v>910</v>
      </c>
      <c r="S31">
        <v>1.34E-3</v>
      </c>
      <c r="T31">
        <v>1299.99866</v>
      </c>
      <c r="V31">
        <v>28</v>
      </c>
      <c r="W31" t="s">
        <v>219</v>
      </c>
      <c r="X31">
        <v>20000</v>
      </c>
      <c r="Y31">
        <v>7.0000000000000007E-2</v>
      </c>
      <c r="Z31">
        <v>19999.93</v>
      </c>
    </row>
    <row r="32" spans="1:26">
      <c r="A32" t="s">
        <v>284</v>
      </c>
      <c r="B32" t="s">
        <v>228</v>
      </c>
      <c r="C32" t="s">
        <v>153</v>
      </c>
      <c r="D32" t="s">
        <v>210</v>
      </c>
      <c r="E32">
        <v>20</v>
      </c>
      <c r="F32" t="s">
        <v>911</v>
      </c>
      <c r="G32">
        <v>1.36E-4</v>
      </c>
      <c r="H32">
        <v>19.999863999999999</v>
      </c>
      <c r="I32">
        <v>8.2999999999999998E-5</v>
      </c>
      <c r="J32">
        <v>2</v>
      </c>
      <c r="K32">
        <v>8.9999999999999992E-5</v>
      </c>
      <c r="L32">
        <v>8.9999999999999992E-5</v>
      </c>
      <c r="M32">
        <v>4.6E-5</v>
      </c>
      <c r="N32">
        <v>2.5000000000000001E-4</v>
      </c>
      <c r="P32" t="s">
        <v>243</v>
      </c>
      <c r="Q32">
        <v>1400</v>
      </c>
      <c r="R32" t="s">
        <v>912</v>
      </c>
      <c r="S32">
        <v>1.42E-3</v>
      </c>
      <c r="T32">
        <v>1399.9985800000002</v>
      </c>
      <c r="V32">
        <v>29</v>
      </c>
      <c r="W32" t="s">
        <v>219</v>
      </c>
      <c r="X32">
        <v>20000</v>
      </c>
      <c r="Y32">
        <v>7.0000000000000007E-2</v>
      </c>
      <c r="Z32">
        <v>19999.93</v>
      </c>
    </row>
    <row r="33" spans="1:26">
      <c r="A33" t="s">
        <v>284</v>
      </c>
      <c r="B33" t="s">
        <v>228</v>
      </c>
      <c r="C33" t="s">
        <v>152</v>
      </c>
      <c r="D33" t="s">
        <v>210</v>
      </c>
      <c r="E33">
        <v>20</v>
      </c>
      <c r="F33" t="s">
        <v>913</v>
      </c>
      <c r="G33">
        <v>3.1000000000000001E-5</v>
      </c>
      <c r="H33">
        <v>19.999969</v>
      </c>
      <c r="I33">
        <v>8.2999999999999998E-5</v>
      </c>
      <c r="J33">
        <v>2</v>
      </c>
      <c r="K33">
        <v>7.0000000000000007E-6</v>
      </c>
      <c r="L33">
        <v>7.0000000000000007E-6</v>
      </c>
      <c r="M33">
        <v>2.4000000000000001E-5</v>
      </c>
      <c r="N33">
        <v>2.5000000000000001E-4</v>
      </c>
      <c r="P33" t="s">
        <v>244</v>
      </c>
      <c r="Q33">
        <v>1500</v>
      </c>
      <c r="R33" t="s">
        <v>914</v>
      </c>
      <c r="S33">
        <v>2.4099999999999998E-3</v>
      </c>
      <c r="T33">
        <v>1499.9975899999999</v>
      </c>
      <c r="V33">
        <v>30</v>
      </c>
      <c r="W33" t="s">
        <v>219</v>
      </c>
      <c r="X33">
        <v>20000</v>
      </c>
      <c r="Y33">
        <v>7.0000000000000007E-2</v>
      </c>
      <c r="Z33">
        <v>19999.93</v>
      </c>
    </row>
    <row r="34" spans="1:26">
      <c r="A34" t="s">
        <v>284</v>
      </c>
      <c r="B34" t="s">
        <v>228</v>
      </c>
      <c r="C34" t="s">
        <v>153</v>
      </c>
      <c r="D34" t="s">
        <v>211</v>
      </c>
      <c r="E34">
        <v>50</v>
      </c>
      <c r="F34" t="s">
        <v>915</v>
      </c>
      <c r="G34">
        <v>1.1E-4</v>
      </c>
      <c r="H34">
        <v>49.999890000000001</v>
      </c>
      <c r="I34">
        <v>1E-4</v>
      </c>
      <c r="J34">
        <v>2</v>
      </c>
      <c r="K34">
        <v>6.0000000000000002E-5</v>
      </c>
      <c r="L34">
        <v>6.0000000000000002E-5</v>
      </c>
      <c r="M34">
        <v>5.0000000000000002E-5</v>
      </c>
      <c r="N34">
        <v>2.9999999999999997E-4</v>
      </c>
      <c r="P34" t="s">
        <v>245</v>
      </c>
      <c r="Q34">
        <v>1600</v>
      </c>
      <c r="R34" t="s">
        <v>916</v>
      </c>
      <c r="S34">
        <v>2.5599999999999998E-3</v>
      </c>
      <c r="T34">
        <v>1599.9974399999999</v>
      </c>
      <c r="V34">
        <v>31</v>
      </c>
      <c r="W34" t="s">
        <v>219</v>
      </c>
      <c r="X34">
        <v>20000</v>
      </c>
      <c r="Y34">
        <v>7.0000000000000007E-2</v>
      </c>
      <c r="Z34">
        <v>19999.93</v>
      </c>
    </row>
    <row r="35" spans="1:26">
      <c r="A35" t="s">
        <v>284</v>
      </c>
      <c r="B35" t="s">
        <v>228</v>
      </c>
      <c r="C35" t="s">
        <v>153</v>
      </c>
      <c r="D35" t="s">
        <v>212</v>
      </c>
      <c r="E35">
        <v>100</v>
      </c>
      <c r="F35" t="s">
        <v>917</v>
      </c>
      <c r="G35">
        <v>1.4999999999999999E-4</v>
      </c>
      <c r="H35">
        <v>99.999849999999995</v>
      </c>
      <c r="I35">
        <v>1.7000000000000001E-4</v>
      </c>
      <c r="J35">
        <v>2</v>
      </c>
      <c r="K35">
        <v>6.999999999999998E-5</v>
      </c>
      <c r="L35">
        <v>6.999999999999998E-5</v>
      </c>
      <c r="M35">
        <v>8.0000000000000007E-5</v>
      </c>
      <c r="N35">
        <v>5.0000000000000001E-4</v>
      </c>
      <c r="P35" t="s">
        <v>246</v>
      </c>
      <c r="Q35">
        <v>1700</v>
      </c>
      <c r="R35" t="s">
        <v>918</v>
      </c>
      <c r="S35">
        <v>2.64E-3</v>
      </c>
      <c r="T35">
        <v>1699.9973599999998</v>
      </c>
      <c r="V35">
        <v>32</v>
      </c>
      <c r="W35" t="s">
        <v>219</v>
      </c>
      <c r="X35">
        <v>20000</v>
      </c>
      <c r="Y35">
        <v>7.0000000000000007E-2</v>
      </c>
      <c r="Z35">
        <v>19999.93</v>
      </c>
    </row>
    <row r="36" spans="1:26">
      <c r="A36" t="s">
        <v>284</v>
      </c>
      <c r="B36" t="s">
        <v>228</v>
      </c>
      <c r="C36" t="s">
        <v>153</v>
      </c>
      <c r="D36" t="s">
        <v>213</v>
      </c>
      <c r="E36">
        <v>200</v>
      </c>
      <c r="F36" t="s">
        <v>919</v>
      </c>
      <c r="G36">
        <v>2.3000000000000001E-4</v>
      </c>
      <c r="H36">
        <v>199.99977000000001</v>
      </c>
      <c r="I36">
        <v>3.3E-4</v>
      </c>
      <c r="J36">
        <v>2</v>
      </c>
      <c r="K36">
        <v>1.2999999999999996E-4</v>
      </c>
      <c r="L36">
        <v>1.2999999999999996E-4</v>
      </c>
      <c r="M36">
        <v>3.5999999999999997E-4</v>
      </c>
      <c r="N36">
        <v>1E-3</v>
      </c>
      <c r="P36" t="s">
        <v>247</v>
      </c>
      <c r="Q36">
        <v>1800</v>
      </c>
      <c r="R36" t="s">
        <v>920</v>
      </c>
      <c r="S36">
        <v>2.7899999999999999E-3</v>
      </c>
      <c r="T36">
        <v>1799.9972099999998</v>
      </c>
    </row>
    <row r="37" spans="1:26">
      <c r="A37" t="s">
        <v>284</v>
      </c>
      <c r="B37" t="s">
        <v>228</v>
      </c>
      <c r="C37" t="s">
        <v>152</v>
      </c>
      <c r="D37" t="s">
        <v>213</v>
      </c>
      <c r="E37">
        <v>200</v>
      </c>
      <c r="F37" t="s">
        <v>921</v>
      </c>
      <c r="G37">
        <v>1.9000000000000001E-4</v>
      </c>
      <c r="H37">
        <v>199.99981</v>
      </c>
      <c r="I37">
        <v>3.3E-4</v>
      </c>
      <c r="J37">
        <v>2</v>
      </c>
      <c r="K37">
        <v>9.9999999999999991E-6</v>
      </c>
      <c r="L37">
        <v>9.9999999999999991E-6</v>
      </c>
      <c r="M37">
        <v>2.0000000000000001E-4</v>
      </c>
      <c r="N37">
        <v>1E-3</v>
      </c>
      <c r="P37" t="s">
        <v>248</v>
      </c>
      <c r="Q37">
        <v>1900</v>
      </c>
      <c r="R37" t="s">
        <v>922</v>
      </c>
      <c r="S37">
        <v>2.8300000000000001E-3</v>
      </c>
      <c r="T37">
        <v>1899.9971699999999</v>
      </c>
    </row>
    <row r="38" spans="1:26">
      <c r="A38" t="s">
        <v>284</v>
      </c>
      <c r="B38" t="s">
        <v>228</v>
      </c>
      <c r="C38" t="s">
        <v>153</v>
      </c>
      <c r="D38" t="s">
        <v>214</v>
      </c>
      <c r="E38">
        <v>500</v>
      </c>
      <c r="F38" t="s">
        <v>923</v>
      </c>
      <c r="G38">
        <v>1.41E-3</v>
      </c>
      <c r="H38">
        <v>499.99858999999998</v>
      </c>
      <c r="I38">
        <v>8.3000000000000001E-4</v>
      </c>
      <c r="J38">
        <v>2</v>
      </c>
      <c r="K38">
        <v>8.8999999999999995E-4</v>
      </c>
      <c r="L38">
        <v>8.8999999999999995E-4</v>
      </c>
      <c r="M38">
        <v>5.2000000000000006E-4</v>
      </c>
      <c r="N38">
        <v>2.5000000000000001E-3</v>
      </c>
      <c r="P38" t="s">
        <v>249</v>
      </c>
      <c r="Q38">
        <v>2100</v>
      </c>
      <c r="R38" t="s">
        <v>924</v>
      </c>
      <c r="S38">
        <v>8.4999999999999995E-4</v>
      </c>
      <c r="T38">
        <v>2099.9991500000001</v>
      </c>
    </row>
    <row r="39" spans="1:26">
      <c r="A39" t="s">
        <v>284</v>
      </c>
      <c r="B39" t="s">
        <v>228</v>
      </c>
      <c r="C39" t="s">
        <v>153</v>
      </c>
      <c r="D39" t="s">
        <v>215</v>
      </c>
      <c r="E39">
        <v>1000</v>
      </c>
      <c r="F39" t="s">
        <v>925</v>
      </c>
      <c r="G39">
        <v>1E-3</v>
      </c>
      <c r="H39">
        <v>999.99900000000002</v>
      </c>
      <c r="I39">
        <v>1.6999999999999999E-3</v>
      </c>
      <c r="J39">
        <v>2</v>
      </c>
      <c r="K39">
        <v>1E-3</v>
      </c>
      <c r="L39">
        <v>1E-3</v>
      </c>
      <c r="M39">
        <v>0</v>
      </c>
      <c r="N39">
        <v>5.0000000000000001E-3</v>
      </c>
      <c r="P39" t="s">
        <v>250</v>
      </c>
      <c r="Q39">
        <v>2200</v>
      </c>
      <c r="R39" t="s">
        <v>926</v>
      </c>
    </row>
    <row r="40" spans="1:26">
      <c r="A40" t="s">
        <v>284</v>
      </c>
      <c r="B40" t="s">
        <v>228</v>
      </c>
      <c r="C40" t="s">
        <v>152</v>
      </c>
      <c r="D40" t="s">
        <v>216</v>
      </c>
      <c r="E40">
        <v>2000</v>
      </c>
      <c r="F40" t="s">
        <v>927</v>
      </c>
      <c r="G40">
        <v>6.9999999999999999E-4</v>
      </c>
      <c r="H40">
        <v>1999.9992999999999</v>
      </c>
      <c r="I40">
        <v>3.3E-3</v>
      </c>
      <c r="J40">
        <v>2</v>
      </c>
      <c r="K40">
        <v>0.01</v>
      </c>
      <c r="L40">
        <v>0</v>
      </c>
      <c r="M40">
        <v>6.9999999999999999E-4</v>
      </c>
      <c r="N40">
        <v>0.01</v>
      </c>
      <c r="P40" t="s">
        <v>251</v>
      </c>
      <c r="Q40">
        <v>2300</v>
      </c>
      <c r="R40" t="s">
        <v>928</v>
      </c>
    </row>
    <row r="41" spans="1:26">
      <c r="A41" t="s">
        <v>284</v>
      </c>
      <c r="B41" t="s">
        <v>228</v>
      </c>
      <c r="C41" t="s">
        <v>153</v>
      </c>
      <c r="D41" t="s">
        <v>216</v>
      </c>
      <c r="E41">
        <v>2000</v>
      </c>
      <c r="F41" t="s">
        <v>929</v>
      </c>
      <c r="G41">
        <v>1E-3</v>
      </c>
      <c r="H41">
        <v>1999.999</v>
      </c>
      <c r="I41">
        <v>3.3E-3</v>
      </c>
      <c r="J41">
        <v>2</v>
      </c>
      <c r="K41">
        <v>1.0000000000000005E-4</v>
      </c>
      <c r="L41">
        <v>1.0000000000000005E-4</v>
      </c>
      <c r="M41">
        <v>8.9999999999999998E-4</v>
      </c>
      <c r="N41">
        <v>0.01</v>
      </c>
      <c r="P41" t="s">
        <v>252</v>
      </c>
      <c r="Q41">
        <v>2400</v>
      </c>
      <c r="R41" t="s">
        <v>930</v>
      </c>
    </row>
    <row r="42" spans="1:26">
      <c r="A42" t="s">
        <v>284</v>
      </c>
      <c r="B42" t="s">
        <v>228</v>
      </c>
      <c r="C42" t="s">
        <v>153</v>
      </c>
      <c r="D42" t="s">
        <v>217</v>
      </c>
      <c r="E42">
        <v>5000</v>
      </c>
      <c r="F42" t="s">
        <v>931</v>
      </c>
      <c r="G42">
        <v>1.0999999999999999E-2</v>
      </c>
      <c r="H42">
        <v>4999.9889999999996</v>
      </c>
      <c r="I42">
        <v>8.3000000000000001E-3</v>
      </c>
      <c r="J42">
        <v>2</v>
      </c>
      <c r="K42">
        <v>1.01E-2</v>
      </c>
      <c r="L42">
        <v>1.01E-2</v>
      </c>
      <c r="M42">
        <v>8.9999999999999998E-4</v>
      </c>
      <c r="N42">
        <v>2.5000000000000001E-2</v>
      </c>
    </row>
    <row r="43" spans="1:26">
      <c r="A43" t="s">
        <v>284</v>
      </c>
      <c r="B43" t="s">
        <v>228</v>
      </c>
      <c r="C43" t="s">
        <v>153</v>
      </c>
      <c r="D43" t="s">
        <v>399</v>
      </c>
      <c r="E43">
        <v>1E-3</v>
      </c>
      <c r="F43" t="s">
        <v>932</v>
      </c>
      <c r="G43">
        <v>3.5000000000000004E-5</v>
      </c>
      <c r="H43">
        <v>9.6500000000000004E-4</v>
      </c>
      <c r="I43">
        <v>3.3000000000000003E-5</v>
      </c>
      <c r="J43">
        <v>2</v>
      </c>
      <c r="K43">
        <v>3.0000000000000052E-6</v>
      </c>
      <c r="L43">
        <v>3.0000000000000052E-6</v>
      </c>
      <c r="M43">
        <v>3.1999999999999999E-5</v>
      </c>
      <c r="N43">
        <v>1E-4</v>
      </c>
    </row>
    <row r="44" spans="1:26">
      <c r="A44" t="s">
        <v>284</v>
      </c>
      <c r="B44" t="s">
        <v>228</v>
      </c>
      <c r="C44" t="s">
        <v>153</v>
      </c>
      <c r="D44" t="s">
        <v>400</v>
      </c>
      <c r="E44">
        <v>2E-3</v>
      </c>
      <c r="F44" t="s">
        <v>933</v>
      </c>
      <c r="G44">
        <v>5.9999999999999995E-5</v>
      </c>
      <c r="H44">
        <v>1.9400000000000001E-3</v>
      </c>
      <c r="I44">
        <v>4.0000000000000003E-5</v>
      </c>
      <c r="J44">
        <v>2</v>
      </c>
      <c r="K44">
        <v>1.4999999999999999E-5</v>
      </c>
      <c r="L44">
        <v>1.4999999999999999E-5</v>
      </c>
      <c r="M44">
        <v>4.4999999999999996E-5</v>
      </c>
      <c r="N44">
        <v>1.2E-4</v>
      </c>
    </row>
    <row r="45" spans="1:26">
      <c r="A45" t="s">
        <v>284</v>
      </c>
      <c r="B45" t="s">
        <v>228</v>
      </c>
      <c r="C45" t="s">
        <v>152</v>
      </c>
      <c r="D45" t="s">
        <v>400</v>
      </c>
      <c r="E45">
        <v>2E-3</v>
      </c>
      <c r="F45" t="s">
        <v>934</v>
      </c>
      <c r="G45">
        <v>4.4999999999999996E-5</v>
      </c>
      <c r="H45">
        <v>1.9550000000000001E-3</v>
      </c>
      <c r="I45">
        <v>4.0000000000000003E-5</v>
      </c>
      <c r="J45">
        <v>2</v>
      </c>
      <c r="K45">
        <v>7.0000000000000007E-6</v>
      </c>
      <c r="L45">
        <v>7.0000000000000007E-6</v>
      </c>
      <c r="M45">
        <v>5.1999999999999997E-5</v>
      </c>
      <c r="N45">
        <v>1.2E-4</v>
      </c>
    </row>
    <row r="46" spans="1:26">
      <c r="A46" t="s">
        <v>284</v>
      </c>
      <c r="B46" t="s">
        <v>228</v>
      </c>
      <c r="C46" t="s">
        <v>153</v>
      </c>
      <c r="D46" t="s">
        <v>401</v>
      </c>
      <c r="E46">
        <v>5.0000000000000001E-3</v>
      </c>
      <c r="F46" t="s">
        <v>935</v>
      </c>
      <c r="G46">
        <v>2.9E-5</v>
      </c>
      <c r="H46">
        <v>4.9709999999999997E-3</v>
      </c>
      <c r="I46">
        <v>5.3000000000000001E-5</v>
      </c>
      <c r="J46">
        <v>2</v>
      </c>
      <c r="K46">
        <v>2.1000000000000002E-5</v>
      </c>
      <c r="L46">
        <v>2.1000000000000002E-5</v>
      </c>
      <c r="M46">
        <v>7.9999999999999996E-6</v>
      </c>
      <c r="N46">
        <v>1.6000000000000001E-4</v>
      </c>
    </row>
    <row r="47" spans="1:26">
      <c r="A47" t="s">
        <v>284</v>
      </c>
      <c r="B47" t="s">
        <v>228</v>
      </c>
      <c r="C47" t="s">
        <v>153</v>
      </c>
      <c r="D47" t="s">
        <v>402</v>
      </c>
      <c r="E47">
        <v>0.01</v>
      </c>
      <c r="F47" t="s">
        <v>936</v>
      </c>
      <c r="G47">
        <v>1.9999999999999999E-6</v>
      </c>
      <c r="H47">
        <v>9.9979999999999999E-3</v>
      </c>
      <c r="I47">
        <v>6.7000000000000002E-5</v>
      </c>
      <c r="J47">
        <v>2</v>
      </c>
      <c r="K47">
        <v>3.4999999999999997E-5</v>
      </c>
      <c r="L47">
        <v>3.4999999999999997E-5</v>
      </c>
      <c r="M47">
        <v>3.6999999999999998E-5</v>
      </c>
      <c r="N47">
        <v>2.0000000000000001E-4</v>
      </c>
    </row>
    <row r="48" spans="1:26">
      <c r="A48" t="s">
        <v>284</v>
      </c>
      <c r="B48" t="s">
        <v>228</v>
      </c>
      <c r="C48" t="s">
        <v>153</v>
      </c>
      <c r="D48" t="s">
        <v>403</v>
      </c>
      <c r="E48">
        <v>0.02</v>
      </c>
      <c r="F48" t="s">
        <v>937</v>
      </c>
      <c r="G48">
        <v>1.36E-4</v>
      </c>
      <c r="H48">
        <v>1.9864E-2</v>
      </c>
      <c r="I48">
        <v>8.2999999999999998E-5</v>
      </c>
      <c r="J48">
        <v>2</v>
      </c>
      <c r="K48">
        <v>8.9999999999999992E-5</v>
      </c>
      <c r="L48">
        <v>8.9999999999999992E-5</v>
      </c>
      <c r="M48">
        <v>4.6E-5</v>
      </c>
      <c r="N48">
        <v>2.5000000000000001E-4</v>
      </c>
    </row>
    <row r="49" spans="1:18">
      <c r="A49" t="s">
        <v>284</v>
      </c>
      <c r="B49" t="s">
        <v>228</v>
      </c>
      <c r="C49" t="s">
        <v>152</v>
      </c>
      <c r="D49" t="s">
        <v>403</v>
      </c>
      <c r="E49">
        <v>0.02</v>
      </c>
      <c r="F49" t="s">
        <v>938</v>
      </c>
      <c r="G49">
        <v>3.1000000000000001E-5</v>
      </c>
      <c r="H49">
        <v>1.9969000000000001E-2</v>
      </c>
      <c r="I49">
        <v>8.2999999999999998E-5</v>
      </c>
      <c r="J49">
        <v>2</v>
      </c>
      <c r="K49">
        <v>7.0000000000000007E-6</v>
      </c>
      <c r="L49">
        <v>7.0000000000000007E-6</v>
      </c>
      <c r="M49">
        <v>2.4000000000000001E-5</v>
      </c>
      <c r="N49">
        <v>2.5000000000000001E-4</v>
      </c>
    </row>
    <row r="50" spans="1:18">
      <c r="A50" t="s">
        <v>284</v>
      </c>
      <c r="B50" t="s">
        <v>228</v>
      </c>
      <c r="C50" t="s">
        <v>153</v>
      </c>
      <c r="D50" t="s">
        <v>410</v>
      </c>
      <c r="E50">
        <v>0.05</v>
      </c>
      <c r="F50" t="s">
        <v>939</v>
      </c>
      <c r="G50">
        <v>1.1E-4</v>
      </c>
      <c r="H50">
        <v>4.9890000000000004E-2</v>
      </c>
      <c r="I50">
        <v>1E-4</v>
      </c>
      <c r="J50">
        <v>2</v>
      </c>
      <c r="K50">
        <v>6.0000000000000002E-5</v>
      </c>
      <c r="L50">
        <v>6.0000000000000002E-5</v>
      </c>
      <c r="M50">
        <v>5.0000000000000002E-5</v>
      </c>
      <c r="N50">
        <v>2.9999999999999997E-4</v>
      </c>
    </row>
    <row r="51" spans="1:18">
      <c r="A51" t="s">
        <v>284</v>
      </c>
      <c r="B51" t="s">
        <v>228</v>
      </c>
      <c r="C51" t="s">
        <v>153</v>
      </c>
      <c r="D51" t="s">
        <v>409</v>
      </c>
      <c r="E51">
        <v>0.1</v>
      </c>
      <c r="F51" t="s">
        <v>940</v>
      </c>
      <c r="G51">
        <v>1.4999999999999999E-4</v>
      </c>
      <c r="H51">
        <v>9.9850000000000008E-2</v>
      </c>
      <c r="I51">
        <v>1.7000000000000001E-4</v>
      </c>
      <c r="J51">
        <v>2</v>
      </c>
      <c r="K51">
        <v>6.999999999999998E-5</v>
      </c>
      <c r="L51">
        <v>6.999999999999998E-5</v>
      </c>
      <c r="M51">
        <v>8.0000000000000007E-5</v>
      </c>
      <c r="N51">
        <v>5.0000000000000001E-4</v>
      </c>
    </row>
    <row r="52" spans="1:18">
      <c r="A52" t="s">
        <v>284</v>
      </c>
      <c r="B52" t="s">
        <v>228</v>
      </c>
      <c r="C52" t="s">
        <v>153</v>
      </c>
      <c r="D52" t="s">
        <v>408</v>
      </c>
      <c r="E52">
        <v>0.2</v>
      </c>
      <c r="F52" t="s">
        <v>941</v>
      </c>
      <c r="G52">
        <v>2.3000000000000001E-4</v>
      </c>
      <c r="H52">
        <v>0.19977</v>
      </c>
      <c r="I52">
        <v>3.3E-4</v>
      </c>
      <c r="J52">
        <v>2</v>
      </c>
      <c r="K52">
        <v>1.2999999999999996E-4</v>
      </c>
      <c r="L52">
        <v>1.2999999999999996E-4</v>
      </c>
      <c r="M52">
        <v>3.5999999999999997E-4</v>
      </c>
      <c r="N52">
        <v>1E-3</v>
      </c>
    </row>
    <row r="53" spans="1:18">
      <c r="A53" t="s">
        <v>284</v>
      </c>
      <c r="B53" t="s">
        <v>228</v>
      </c>
      <c r="C53" t="s">
        <v>152</v>
      </c>
      <c r="D53" t="s">
        <v>408</v>
      </c>
      <c r="E53">
        <v>0.2</v>
      </c>
      <c r="F53" t="s">
        <v>942</v>
      </c>
      <c r="G53">
        <v>1.9000000000000001E-4</v>
      </c>
      <c r="H53">
        <v>0.19981000000000002</v>
      </c>
      <c r="I53">
        <v>3.3E-4</v>
      </c>
      <c r="J53">
        <v>2</v>
      </c>
      <c r="K53">
        <v>9.9999999999999991E-6</v>
      </c>
      <c r="L53">
        <v>9.9999999999999991E-6</v>
      </c>
      <c r="M53">
        <v>2.0000000000000001E-4</v>
      </c>
      <c r="N53">
        <v>1E-3</v>
      </c>
    </row>
    <row r="54" spans="1:18">
      <c r="A54" t="s">
        <v>284</v>
      </c>
      <c r="B54" t="s">
        <v>228</v>
      </c>
      <c r="C54" t="s">
        <v>153</v>
      </c>
      <c r="D54" t="s">
        <v>407</v>
      </c>
      <c r="E54">
        <v>0.5</v>
      </c>
      <c r="F54" t="s">
        <v>943</v>
      </c>
      <c r="G54">
        <v>1.41E-3</v>
      </c>
      <c r="H54">
        <v>0.49858999999999998</v>
      </c>
      <c r="I54">
        <v>8.3000000000000001E-4</v>
      </c>
      <c r="J54">
        <v>2</v>
      </c>
      <c r="K54">
        <v>8.8999999999999995E-4</v>
      </c>
      <c r="L54">
        <v>8.8999999999999995E-4</v>
      </c>
      <c r="M54">
        <v>5.2000000000000006E-4</v>
      </c>
      <c r="N54">
        <v>2.5000000000000001E-3</v>
      </c>
    </row>
    <row r="55" spans="1:18">
      <c r="A55" t="s">
        <v>284</v>
      </c>
      <c r="B55" t="s">
        <v>228</v>
      </c>
      <c r="C55" t="s">
        <v>153</v>
      </c>
      <c r="D55" t="s">
        <v>406</v>
      </c>
      <c r="E55">
        <v>1</v>
      </c>
      <c r="F55" t="s">
        <v>901</v>
      </c>
      <c r="G55">
        <v>1E-3</v>
      </c>
      <c r="H55">
        <v>0.999</v>
      </c>
      <c r="I55">
        <v>1.6999999999999999E-3</v>
      </c>
      <c r="J55">
        <v>2</v>
      </c>
      <c r="K55">
        <v>1E-3</v>
      </c>
      <c r="L55">
        <v>1E-3</v>
      </c>
      <c r="M55">
        <v>0</v>
      </c>
      <c r="N55">
        <v>5.0000000000000001E-3</v>
      </c>
    </row>
    <row r="56" spans="1:18">
      <c r="A56" t="s">
        <v>284</v>
      </c>
      <c r="B56" t="s">
        <v>228</v>
      </c>
      <c r="C56" t="s">
        <v>152</v>
      </c>
      <c r="D56" t="s">
        <v>405</v>
      </c>
      <c r="E56">
        <v>2</v>
      </c>
      <c r="F56" t="s">
        <v>905</v>
      </c>
      <c r="G56">
        <v>6.9999999999999999E-4</v>
      </c>
      <c r="H56">
        <v>1.9993000000000001</v>
      </c>
      <c r="I56">
        <v>3.3E-3</v>
      </c>
      <c r="J56">
        <v>2</v>
      </c>
      <c r="K56">
        <v>0.01</v>
      </c>
      <c r="L56">
        <v>0</v>
      </c>
      <c r="M56">
        <v>6.9999999999999999E-4</v>
      </c>
      <c r="N56">
        <v>0.01</v>
      </c>
    </row>
    <row r="57" spans="1:18">
      <c r="A57" t="s">
        <v>284</v>
      </c>
      <c r="B57" t="s">
        <v>228</v>
      </c>
      <c r="C57" t="s">
        <v>153</v>
      </c>
      <c r="D57" t="s">
        <v>405</v>
      </c>
      <c r="E57">
        <v>2</v>
      </c>
      <c r="F57" t="s">
        <v>903</v>
      </c>
      <c r="G57">
        <v>1E-3</v>
      </c>
      <c r="H57">
        <v>1.9990000000000001</v>
      </c>
      <c r="I57">
        <v>3.3E-3</v>
      </c>
      <c r="J57">
        <v>2</v>
      </c>
      <c r="K57">
        <v>1.0000000000000005E-4</v>
      </c>
      <c r="L57">
        <v>1.0000000000000005E-4</v>
      </c>
      <c r="M57">
        <v>8.9999999999999998E-4</v>
      </c>
      <c r="N57">
        <v>0.01</v>
      </c>
    </row>
    <row r="58" spans="1:18">
      <c r="A58" t="s">
        <v>284</v>
      </c>
      <c r="B58" t="s">
        <v>228</v>
      </c>
      <c r="C58" t="s">
        <v>153</v>
      </c>
      <c r="D58" t="s">
        <v>404</v>
      </c>
      <c r="E58">
        <v>5</v>
      </c>
      <c r="F58" t="s">
        <v>907</v>
      </c>
      <c r="G58">
        <v>1.0999999999999999E-2</v>
      </c>
      <c r="H58">
        <v>4.9889999999999999</v>
      </c>
      <c r="I58">
        <v>8.3000000000000001E-3</v>
      </c>
      <c r="J58">
        <v>2</v>
      </c>
      <c r="K58">
        <v>1.01E-2</v>
      </c>
      <c r="L58">
        <v>1.01E-2</v>
      </c>
      <c r="M58">
        <v>8.9999999999999998E-4</v>
      </c>
      <c r="N58">
        <v>2.5000000000000001E-2</v>
      </c>
    </row>
    <row r="59" spans="1:18">
      <c r="A59" t="s">
        <v>354</v>
      </c>
      <c r="B59" t="s">
        <v>230</v>
      </c>
      <c r="C59" t="s">
        <v>360</v>
      </c>
      <c r="D59" t="s">
        <v>361</v>
      </c>
      <c r="E59">
        <v>5</v>
      </c>
      <c r="F59" t="s">
        <v>944</v>
      </c>
      <c r="G59">
        <v>4.0000000000000001E-3</v>
      </c>
      <c r="H59">
        <v>4.9960000000000004</v>
      </c>
      <c r="I59">
        <v>8.3000000000000004E-2</v>
      </c>
      <c r="J59">
        <v>2</v>
      </c>
      <c r="K59">
        <v>3.1000000000000003E-3</v>
      </c>
      <c r="L59">
        <v>3.1000000000000003E-3</v>
      </c>
      <c r="M59">
        <v>8.9999999999999998E-4</v>
      </c>
      <c r="N59">
        <v>0.25</v>
      </c>
      <c r="P59" t="s">
        <v>253</v>
      </c>
      <c r="Q59">
        <v>2500</v>
      </c>
      <c r="R59" t="s">
        <v>945</v>
      </c>
    </row>
    <row r="60" spans="1:18">
      <c r="A60" t="s">
        <v>354</v>
      </c>
      <c r="B60" t="s">
        <v>230</v>
      </c>
      <c r="C60" t="s">
        <v>360</v>
      </c>
      <c r="D60" t="s">
        <v>362</v>
      </c>
      <c r="E60">
        <v>10</v>
      </c>
      <c r="F60" t="s">
        <v>946</v>
      </c>
      <c r="G60">
        <v>0.01</v>
      </c>
      <c r="H60">
        <v>9.99</v>
      </c>
      <c r="I60">
        <v>0.17</v>
      </c>
      <c r="J60">
        <v>2</v>
      </c>
      <c r="K60">
        <v>9.1000000000000004E-3</v>
      </c>
      <c r="L60">
        <v>9.1000000000000004E-3</v>
      </c>
      <c r="M60">
        <v>8.9999999999999998E-4</v>
      </c>
      <c r="N60">
        <v>0.5</v>
      </c>
      <c r="P60" t="s">
        <v>254</v>
      </c>
      <c r="Q60">
        <v>2600</v>
      </c>
      <c r="R60" t="s">
        <v>947</v>
      </c>
    </row>
    <row r="61" spans="1:18">
      <c r="A61" t="s">
        <v>354</v>
      </c>
      <c r="B61" t="s">
        <v>230</v>
      </c>
      <c r="C61" t="s">
        <v>360</v>
      </c>
      <c r="D61" t="s">
        <v>363</v>
      </c>
      <c r="E61">
        <v>20</v>
      </c>
      <c r="F61" t="s">
        <v>948</v>
      </c>
      <c r="G61">
        <v>0.06</v>
      </c>
      <c r="H61">
        <v>19.940000000000001</v>
      </c>
      <c r="I61">
        <v>0.33</v>
      </c>
      <c r="J61">
        <v>2</v>
      </c>
      <c r="K61">
        <v>5.91E-2</v>
      </c>
      <c r="L61">
        <v>5.91E-2</v>
      </c>
      <c r="M61">
        <v>8.9999999999999998E-4</v>
      </c>
      <c r="N61">
        <v>1</v>
      </c>
      <c r="P61" t="s">
        <v>255</v>
      </c>
      <c r="Q61">
        <v>2700</v>
      </c>
      <c r="R61" t="s">
        <v>949</v>
      </c>
    </row>
    <row r="62" spans="1:18">
      <c r="A62" t="s">
        <v>354</v>
      </c>
      <c r="B62" t="s">
        <v>230</v>
      </c>
      <c r="C62" t="s">
        <v>360</v>
      </c>
      <c r="D62" t="s">
        <v>363</v>
      </c>
      <c r="E62">
        <v>20</v>
      </c>
      <c r="F62" t="s">
        <v>948</v>
      </c>
      <c r="G62">
        <v>7.0000000000000007E-2</v>
      </c>
      <c r="H62">
        <v>19.93</v>
      </c>
      <c r="I62">
        <v>0.33</v>
      </c>
      <c r="J62">
        <v>2</v>
      </c>
      <c r="K62">
        <v>6.9100000000000009E-2</v>
      </c>
      <c r="L62">
        <v>6.9100000000000009E-2</v>
      </c>
      <c r="M62">
        <v>8.9999999999999998E-4</v>
      </c>
      <c r="N62">
        <v>1</v>
      </c>
      <c r="P62" t="s">
        <v>256</v>
      </c>
      <c r="Q62">
        <v>2800</v>
      </c>
      <c r="R62" t="s">
        <v>950</v>
      </c>
    </row>
    <row r="63" spans="1:18">
      <c r="A63" t="s">
        <v>354</v>
      </c>
      <c r="B63" t="s">
        <v>230</v>
      </c>
      <c r="C63" t="s">
        <v>360</v>
      </c>
      <c r="D63" t="s">
        <v>363</v>
      </c>
      <c r="E63">
        <v>20</v>
      </c>
      <c r="F63" t="s">
        <v>948</v>
      </c>
      <c r="G63">
        <v>7.0000000000000007E-2</v>
      </c>
      <c r="H63">
        <v>19.93</v>
      </c>
      <c r="I63">
        <v>0.33</v>
      </c>
      <c r="J63">
        <v>2</v>
      </c>
      <c r="K63">
        <v>6.9100000000000009E-2</v>
      </c>
      <c r="L63">
        <v>6.9100000000000009E-2</v>
      </c>
      <c r="M63">
        <v>8.9999999999999998E-4</v>
      </c>
      <c r="N63">
        <v>1</v>
      </c>
      <c r="P63" t="s">
        <v>257</v>
      </c>
      <c r="Q63">
        <v>2900</v>
      </c>
      <c r="R63" t="s">
        <v>951</v>
      </c>
    </row>
    <row r="64" spans="1:18">
      <c r="A64" t="s">
        <v>354</v>
      </c>
      <c r="B64" t="s">
        <v>230</v>
      </c>
      <c r="C64" t="s">
        <v>360</v>
      </c>
      <c r="D64" t="s">
        <v>363</v>
      </c>
      <c r="E64">
        <v>20</v>
      </c>
      <c r="F64" t="s">
        <v>948</v>
      </c>
      <c r="G64">
        <v>7.0000000000000007E-2</v>
      </c>
      <c r="H64">
        <v>19.93</v>
      </c>
      <c r="I64">
        <v>0.33</v>
      </c>
      <c r="J64">
        <v>2</v>
      </c>
      <c r="K64">
        <v>6.9100000000000009E-2</v>
      </c>
      <c r="L64">
        <v>6.9100000000000009E-2</v>
      </c>
      <c r="M64">
        <v>8.9999999999999998E-4</v>
      </c>
      <c r="N64">
        <v>1</v>
      </c>
      <c r="P64" t="s">
        <v>258</v>
      </c>
      <c r="Q64">
        <v>3000</v>
      </c>
      <c r="R64" t="s">
        <v>952</v>
      </c>
    </row>
    <row r="65" spans="1:18">
      <c r="A65" t="s">
        <v>354</v>
      </c>
      <c r="B65" t="s">
        <v>230</v>
      </c>
      <c r="C65" t="s">
        <v>360</v>
      </c>
      <c r="D65" t="s">
        <v>363</v>
      </c>
      <c r="E65">
        <v>20</v>
      </c>
      <c r="F65" t="s">
        <v>948</v>
      </c>
      <c r="G65">
        <v>7.0000000000000007E-2</v>
      </c>
      <c r="H65">
        <v>19.93</v>
      </c>
      <c r="I65">
        <v>0.33</v>
      </c>
      <c r="J65">
        <v>2</v>
      </c>
      <c r="K65">
        <v>6.9100000000000009E-2</v>
      </c>
      <c r="L65">
        <v>6.9100000000000009E-2</v>
      </c>
      <c r="M65">
        <v>8.9999999999999998E-4</v>
      </c>
      <c r="N65">
        <v>1</v>
      </c>
      <c r="P65" t="s">
        <v>259</v>
      </c>
      <c r="Q65">
        <v>3100</v>
      </c>
      <c r="R65" t="s">
        <v>953</v>
      </c>
    </row>
    <row r="66" spans="1:18">
      <c r="A66" t="s">
        <v>354</v>
      </c>
      <c r="B66" t="s">
        <v>230</v>
      </c>
      <c r="C66" t="s">
        <v>360</v>
      </c>
      <c r="D66" t="s">
        <v>363</v>
      </c>
      <c r="E66">
        <v>20</v>
      </c>
      <c r="F66" t="s">
        <v>948</v>
      </c>
      <c r="G66">
        <v>0.08</v>
      </c>
      <c r="H66">
        <v>19.920000000000002</v>
      </c>
      <c r="I66">
        <v>0.33</v>
      </c>
      <c r="J66">
        <v>2</v>
      </c>
      <c r="K66">
        <v>7.9100000000000004E-2</v>
      </c>
      <c r="L66">
        <v>7.9100000000000004E-2</v>
      </c>
      <c r="M66">
        <v>8.9999999999999998E-4</v>
      </c>
      <c r="N66">
        <v>1</v>
      </c>
      <c r="P66" t="s">
        <v>260</v>
      </c>
      <c r="Q66">
        <v>3200</v>
      </c>
      <c r="R66" t="s">
        <v>954</v>
      </c>
    </row>
    <row r="67" spans="1:18">
      <c r="A67" t="s">
        <v>354</v>
      </c>
      <c r="B67" t="s">
        <v>230</v>
      </c>
      <c r="C67" t="s">
        <v>360</v>
      </c>
      <c r="D67" t="s">
        <v>363</v>
      </c>
      <c r="E67">
        <v>20</v>
      </c>
      <c r="F67" t="s">
        <v>948</v>
      </c>
      <c r="G67">
        <v>7.0000000000000007E-2</v>
      </c>
      <c r="H67">
        <v>19.93</v>
      </c>
      <c r="I67">
        <v>0.33</v>
      </c>
      <c r="J67">
        <v>2</v>
      </c>
      <c r="K67">
        <v>6.9100000000000009E-2</v>
      </c>
      <c r="L67">
        <v>6.9100000000000009E-2</v>
      </c>
      <c r="M67">
        <v>8.9999999999999998E-4</v>
      </c>
      <c r="N67">
        <v>1</v>
      </c>
      <c r="P67" t="s">
        <v>261</v>
      </c>
      <c r="Q67">
        <v>3300</v>
      </c>
      <c r="R67" t="s">
        <v>955</v>
      </c>
    </row>
    <row r="68" spans="1:18">
      <c r="A68" t="s">
        <v>354</v>
      </c>
      <c r="B68" t="s">
        <v>230</v>
      </c>
      <c r="C68" t="s">
        <v>360</v>
      </c>
      <c r="D68" t="s">
        <v>363</v>
      </c>
      <c r="E68">
        <v>20</v>
      </c>
      <c r="F68" t="s">
        <v>948</v>
      </c>
      <c r="G68">
        <v>7.0000000000000007E-2</v>
      </c>
      <c r="H68">
        <v>19.93</v>
      </c>
      <c r="I68">
        <v>0.33</v>
      </c>
      <c r="J68">
        <v>2</v>
      </c>
      <c r="K68">
        <v>6.9100000000000009E-2</v>
      </c>
      <c r="L68">
        <v>6.9100000000000009E-2</v>
      </c>
      <c r="M68">
        <v>8.9999999999999998E-4</v>
      </c>
      <c r="N68">
        <v>1</v>
      </c>
      <c r="P68" t="s">
        <v>262</v>
      </c>
      <c r="Q68">
        <v>3400</v>
      </c>
      <c r="R68" t="s">
        <v>956</v>
      </c>
    </row>
    <row r="69" spans="1:18">
      <c r="A69" t="s">
        <v>354</v>
      </c>
      <c r="B69" t="s">
        <v>230</v>
      </c>
      <c r="C69" t="s">
        <v>360</v>
      </c>
      <c r="D69" t="s">
        <v>363</v>
      </c>
      <c r="E69">
        <v>20</v>
      </c>
      <c r="F69" t="s">
        <v>948</v>
      </c>
      <c r="G69">
        <v>0.08</v>
      </c>
      <c r="H69">
        <v>19.920000000000002</v>
      </c>
      <c r="I69">
        <v>0.33</v>
      </c>
      <c r="J69">
        <v>2</v>
      </c>
      <c r="K69">
        <v>7.9100000000000004E-2</v>
      </c>
      <c r="L69">
        <v>7.9100000000000004E-2</v>
      </c>
      <c r="M69">
        <v>8.9999999999999998E-4</v>
      </c>
      <c r="N69">
        <v>1</v>
      </c>
      <c r="P69" t="s">
        <v>263</v>
      </c>
      <c r="Q69">
        <v>3500</v>
      </c>
      <c r="R69" t="s">
        <v>957</v>
      </c>
    </row>
    <row r="70" spans="1:18">
      <c r="A70" t="s">
        <v>354</v>
      </c>
      <c r="B70" t="s">
        <v>230</v>
      </c>
      <c r="C70" t="s">
        <v>360</v>
      </c>
      <c r="D70" t="s">
        <v>363</v>
      </c>
      <c r="E70">
        <v>20</v>
      </c>
      <c r="F70" t="s">
        <v>948</v>
      </c>
      <c r="G70">
        <v>0.09</v>
      </c>
      <c r="H70">
        <v>19.91</v>
      </c>
      <c r="I70">
        <v>0.33</v>
      </c>
      <c r="J70">
        <v>2</v>
      </c>
      <c r="K70">
        <v>8.9099999999999999E-2</v>
      </c>
      <c r="L70">
        <v>8.9099999999999999E-2</v>
      </c>
      <c r="M70">
        <v>8.9999999999999998E-4</v>
      </c>
      <c r="N70">
        <v>1</v>
      </c>
      <c r="P70" t="s">
        <v>264</v>
      </c>
      <c r="Q70">
        <v>3600</v>
      </c>
      <c r="R70" t="s">
        <v>958</v>
      </c>
    </row>
    <row r="71" spans="1:18">
      <c r="A71" t="s">
        <v>354</v>
      </c>
      <c r="B71" t="s">
        <v>230</v>
      </c>
      <c r="C71" t="s">
        <v>360</v>
      </c>
      <c r="D71" t="s">
        <v>363</v>
      </c>
      <c r="E71">
        <v>20</v>
      </c>
      <c r="F71" t="s">
        <v>948</v>
      </c>
      <c r="G71">
        <v>7.0000000000000007E-2</v>
      </c>
      <c r="H71">
        <v>19.93</v>
      </c>
      <c r="I71">
        <v>0.33</v>
      </c>
      <c r="J71">
        <v>2</v>
      </c>
      <c r="K71">
        <v>6.9100000000000009E-2</v>
      </c>
      <c r="L71">
        <v>6.9100000000000009E-2</v>
      </c>
      <c r="M71">
        <v>8.9999999999999998E-4</v>
      </c>
      <c r="N71">
        <v>1</v>
      </c>
      <c r="P71" t="s">
        <v>265</v>
      </c>
      <c r="Q71">
        <v>3700</v>
      </c>
      <c r="R71" t="s">
        <v>959</v>
      </c>
    </row>
    <row r="72" spans="1:18">
      <c r="A72" t="s">
        <v>354</v>
      </c>
      <c r="B72" t="s">
        <v>230</v>
      </c>
      <c r="C72" t="s">
        <v>360</v>
      </c>
      <c r="D72" t="s">
        <v>363</v>
      </c>
      <c r="E72">
        <v>20</v>
      </c>
      <c r="F72" t="s">
        <v>948</v>
      </c>
      <c r="G72">
        <v>7.0000000000000007E-2</v>
      </c>
      <c r="H72">
        <v>19.93</v>
      </c>
      <c r="I72">
        <v>0.33</v>
      </c>
      <c r="J72">
        <v>2</v>
      </c>
      <c r="K72">
        <v>6.9100000000000009E-2</v>
      </c>
      <c r="L72">
        <v>6.9100000000000009E-2</v>
      </c>
      <c r="M72">
        <v>8.9999999999999998E-4</v>
      </c>
      <c r="N72">
        <v>1</v>
      </c>
    </row>
    <row r="73" spans="1:18">
      <c r="A73" t="s">
        <v>354</v>
      </c>
      <c r="B73" t="s">
        <v>230</v>
      </c>
      <c r="C73" t="s">
        <v>360</v>
      </c>
      <c r="D73" t="s">
        <v>363</v>
      </c>
      <c r="E73">
        <v>20</v>
      </c>
      <c r="F73" t="s">
        <v>948</v>
      </c>
      <c r="G73">
        <v>7.0000000000000007E-2</v>
      </c>
      <c r="H73">
        <v>19.93</v>
      </c>
      <c r="I73">
        <v>0.33</v>
      </c>
      <c r="J73">
        <v>2</v>
      </c>
      <c r="K73">
        <v>6.9100000000000009E-2</v>
      </c>
      <c r="L73">
        <v>6.9100000000000009E-2</v>
      </c>
      <c r="M73">
        <v>8.9999999999999998E-4</v>
      </c>
      <c r="N73">
        <v>1</v>
      </c>
      <c r="P73" t="s">
        <v>266</v>
      </c>
      <c r="Q73">
        <v>3800</v>
      </c>
      <c r="R73" t="s">
        <v>960</v>
      </c>
    </row>
    <row r="74" spans="1:18">
      <c r="A74" t="s">
        <v>354</v>
      </c>
      <c r="B74" t="s">
        <v>230</v>
      </c>
      <c r="C74" t="s">
        <v>360</v>
      </c>
      <c r="D74" t="s">
        <v>363</v>
      </c>
      <c r="E74">
        <v>20</v>
      </c>
      <c r="F74" t="s">
        <v>948</v>
      </c>
      <c r="G74">
        <v>7.0000000000000007E-2</v>
      </c>
      <c r="H74">
        <v>19.93</v>
      </c>
      <c r="I74">
        <v>0.33</v>
      </c>
      <c r="J74">
        <v>2</v>
      </c>
      <c r="K74">
        <v>6.9100000000000009E-2</v>
      </c>
      <c r="L74">
        <v>6.9100000000000009E-2</v>
      </c>
      <c r="M74">
        <v>8.9999999999999998E-4</v>
      </c>
      <c r="N74">
        <v>1</v>
      </c>
      <c r="P74" t="s">
        <v>267</v>
      </c>
      <c r="Q74">
        <v>3900</v>
      </c>
      <c r="R74" t="s">
        <v>961</v>
      </c>
    </row>
    <row r="75" spans="1:18">
      <c r="A75" t="s">
        <v>354</v>
      </c>
      <c r="B75" t="s">
        <v>230</v>
      </c>
      <c r="C75" t="s">
        <v>360</v>
      </c>
      <c r="D75" t="s">
        <v>363</v>
      </c>
      <c r="E75">
        <v>20</v>
      </c>
      <c r="F75" t="s">
        <v>948</v>
      </c>
      <c r="G75">
        <v>7.0000000000000007E-2</v>
      </c>
      <c r="H75">
        <v>19.93</v>
      </c>
      <c r="I75">
        <v>0.33</v>
      </c>
      <c r="J75">
        <v>2</v>
      </c>
      <c r="K75">
        <v>6.9100000000000009E-2</v>
      </c>
      <c r="L75">
        <v>6.9100000000000009E-2</v>
      </c>
      <c r="M75">
        <v>8.9999999999999998E-4</v>
      </c>
      <c r="N75">
        <v>1</v>
      </c>
      <c r="P75" t="s">
        <v>268</v>
      </c>
      <c r="Q75">
        <v>4000</v>
      </c>
      <c r="R75" t="s">
        <v>962</v>
      </c>
    </row>
    <row r="76" spans="1:18">
      <c r="A76" t="s">
        <v>354</v>
      </c>
      <c r="B76" t="s">
        <v>230</v>
      </c>
      <c r="C76" t="s">
        <v>360</v>
      </c>
      <c r="D76" t="s">
        <v>363</v>
      </c>
      <c r="E76">
        <v>20</v>
      </c>
      <c r="F76" t="s">
        <v>948</v>
      </c>
      <c r="G76">
        <v>0.08</v>
      </c>
      <c r="H76">
        <v>19.920000000000002</v>
      </c>
      <c r="I76">
        <v>0.33</v>
      </c>
      <c r="J76">
        <v>2</v>
      </c>
      <c r="K76">
        <v>7.9100000000000004E-2</v>
      </c>
      <c r="L76">
        <v>7.9100000000000004E-2</v>
      </c>
      <c r="M76">
        <v>8.9999999999999998E-4</v>
      </c>
      <c r="N76">
        <v>1</v>
      </c>
      <c r="P76" t="s">
        <v>269</v>
      </c>
      <c r="Q76">
        <v>4100</v>
      </c>
      <c r="R76" t="s">
        <v>963</v>
      </c>
    </row>
    <row r="77" spans="1:18">
      <c r="A77" t="s">
        <v>354</v>
      </c>
      <c r="B77" t="s">
        <v>230</v>
      </c>
      <c r="C77" t="s">
        <v>360</v>
      </c>
      <c r="D77" t="s">
        <v>363</v>
      </c>
      <c r="E77">
        <v>20</v>
      </c>
      <c r="F77" t="s">
        <v>948</v>
      </c>
      <c r="G77">
        <v>7.0000000000000007E-2</v>
      </c>
      <c r="H77">
        <v>19.93</v>
      </c>
      <c r="I77">
        <v>0.33</v>
      </c>
      <c r="J77">
        <v>2</v>
      </c>
      <c r="K77">
        <v>6.9100000000000009E-2</v>
      </c>
      <c r="L77">
        <v>6.9100000000000009E-2</v>
      </c>
      <c r="M77">
        <v>8.9999999999999998E-4</v>
      </c>
      <c r="N77">
        <v>1</v>
      </c>
      <c r="P77" t="s">
        <v>270</v>
      </c>
      <c r="Q77">
        <v>4200</v>
      </c>
      <c r="R77" t="s">
        <v>964</v>
      </c>
    </row>
    <row r="78" spans="1:18">
      <c r="A78" t="s">
        <v>354</v>
      </c>
      <c r="B78" t="s">
        <v>230</v>
      </c>
      <c r="C78" t="s">
        <v>360</v>
      </c>
      <c r="D78" t="s">
        <v>363</v>
      </c>
      <c r="E78">
        <v>20</v>
      </c>
      <c r="F78" t="s">
        <v>948</v>
      </c>
      <c r="G78">
        <v>0.09</v>
      </c>
      <c r="H78">
        <v>19.91</v>
      </c>
      <c r="I78">
        <v>0.33</v>
      </c>
      <c r="J78">
        <v>2</v>
      </c>
      <c r="K78">
        <v>8.9099999999999999E-2</v>
      </c>
      <c r="L78">
        <v>8.9099999999999999E-2</v>
      </c>
      <c r="M78">
        <v>8.9999999999999998E-4</v>
      </c>
      <c r="N78">
        <v>1</v>
      </c>
      <c r="P78" t="s">
        <v>271</v>
      </c>
      <c r="Q78">
        <v>4300</v>
      </c>
      <c r="R78" t="s">
        <v>965</v>
      </c>
    </row>
    <row r="79" spans="1:18">
      <c r="A79" t="s">
        <v>354</v>
      </c>
      <c r="B79" t="s">
        <v>230</v>
      </c>
      <c r="C79" t="s">
        <v>360</v>
      </c>
      <c r="D79" t="s">
        <v>363</v>
      </c>
      <c r="E79">
        <v>20</v>
      </c>
      <c r="F79" t="s">
        <v>948</v>
      </c>
      <c r="G79">
        <v>0.09</v>
      </c>
      <c r="H79">
        <v>19.91</v>
      </c>
      <c r="I79">
        <v>0.33</v>
      </c>
      <c r="J79">
        <v>2</v>
      </c>
      <c r="K79">
        <v>8.9099999999999999E-2</v>
      </c>
      <c r="L79">
        <v>8.9099999999999999E-2</v>
      </c>
      <c r="M79">
        <v>8.9999999999999998E-4</v>
      </c>
      <c r="N79">
        <v>1</v>
      </c>
      <c r="P79" t="s">
        <v>272</v>
      </c>
      <c r="Q79">
        <v>4400</v>
      </c>
      <c r="R79" t="s">
        <v>966</v>
      </c>
    </row>
    <row r="80" spans="1:18">
      <c r="A80" t="s">
        <v>354</v>
      </c>
      <c r="B80" t="s">
        <v>230</v>
      </c>
      <c r="C80" t="s">
        <v>360</v>
      </c>
      <c r="D80" t="s">
        <v>363</v>
      </c>
      <c r="E80">
        <v>20</v>
      </c>
      <c r="F80" t="s">
        <v>948</v>
      </c>
      <c r="G80">
        <v>7.0000000000000007E-2</v>
      </c>
      <c r="H80">
        <v>19.93</v>
      </c>
      <c r="I80">
        <v>0.33</v>
      </c>
      <c r="J80">
        <v>2</v>
      </c>
      <c r="K80">
        <v>6.9100000000000009E-2</v>
      </c>
      <c r="L80">
        <v>6.9100000000000009E-2</v>
      </c>
      <c r="M80">
        <v>8.9999999999999998E-4</v>
      </c>
      <c r="N80">
        <v>1</v>
      </c>
      <c r="P80" t="s">
        <v>273</v>
      </c>
      <c r="Q80">
        <v>4500</v>
      </c>
      <c r="R80" t="s">
        <v>967</v>
      </c>
    </row>
    <row r="81" spans="1:18">
      <c r="A81" t="s">
        <v>354</v>
      </c>
      <c r="B81" t="s">
        <v>230</v>
      </c>
      <c r="C81" t="s">
        <v>360</v>
      </c>
      <c r="D81" t="s">
        <v>363</v>
      </c>
      <c r="E81">
        <v>20</v>
      </c>
      <c r="F81" t="s">
        <v>948</v>
      </c>
      <c r="G81">
        <v>7.0000000000000007E-2</v>
      </c>
      <c r="H81">
        <v>19.93</v>
      </c>
      <c r="I81">
        <v>0.33</v>
      </c>
      <c r="J81">
        <v>2</v>
      </c>
      <c r="K81">
        <v>6.9100000000000009E-2</v>
      </c>
      <c r="L81">
        <v>6.9100000000000009E-2</v>
      </c>
      <c r="M81">
        <v>8.9999999999999998E-4</v>
      </c>
      <c r="N81">
        <v>1</v>
      </c>
      <c r="P81" t="s">
        <v>274</v>
      </c>
      <c r="Q81">
        <v>4600</v>
      </c>
      <c r="R81" t="s">
        <v>968</v>
      </c>
    </row>
    <row r="82" spans="1:18">
      <c r="A82" t="s">
        <v>354</v>
      </c>
      <c r="B82" t="s">
        <v>230</v>
      </c>
      <c r="C82" t="s">
        <v>360</v>
      </c>
      <c r="D82" t="s">
        <v>363</v>
      </c>
      <c r="E82">
        <v>20</v>
      </c>
      <c r="F82" t="s">
        <v>948</v>
      </c>
      <c r="G82">
        <v>0.09</v>
      </c>
      <c r="H82">
        <v>19.91</v>
      </c>
      <c r="I82">
        <v>0.33</v>
      </c>
      <c r="J82">
        <v>2</v>
      </c>
      <c r="K82">
        <v>8.9099999999999999E-2</v>
      </c>
      <c r="L82">
        <v>8.9099999999999999E-2</v>
      </c>
      <c r="M82">
        <v>8.9999999999999998E-4</v>
      </c>
      <c r="N82">
        <v>1</v>
      </c>
      <c r="P82" t="s">
        <v>275</v>
      </c>
      <c r="Q82">
        <v>4700</v>
      </c>
      <c r="R82" t="s">
        <v>969</v>
      </c>
    </row>
    <row r="83" spans="1:18">
      <c r="A83" t="s">
        <v>354</v>
      </c>
      <c r="B83" t="s">
        <v>230</v>
      </c>
      <c r="C83" t="s">
        <v>360</v>
      </c>
      <c r="D83" t="s">
        <v>363</v>
      </c>
      <c r="E83">
        <v>20</v>
      </c>
      <c r="F83" t="s">
        <v>948</v>
      </c>
      <c r="G83">
        <v>7.0000000000000007E-2</v>
      </c>
      <c r="H83">
        <v>19.93</v>
      </c>
      <c r="I83">
        <v>0.33</v>
      </c>
      <c r="J83">
        <v>2</v>
      </c>
      <c r="K83">
        <v>6.9100000000000009E-2</v>
      </c>
      <c r="L83">
        <v>6.9100000000000009E-2</v>
      </c>
      <c r="M83">
        <v>8.9999999999999998E-4</v>
      </c>
      <c r="N83">
        <v>1</v>
      </c>
      <c r="P83" t="s">
        <v>276</v>
      </c>
      <c r="Q83">
        <v>4800</v>
      </c>
      <c r="R83" t="s">
        <v>970</v>
      </c>
    </row>
    <row r="84" spans="1:18">
      <c r="A84" t="s">
        <v>354</v>
      </c>
      <c r="B84" t="s">
        <v>230</v>
      </c>
      <c r="C84" t="s">
        <v>360</v>
      </c>
      <c r="D84" t="s">
        <v>363</v>
      </c>
      <c r="E84">
        <v>20</v>
      </c>
      <c r="F84" t="s">
        <v>948</v>
      </c>
      <c r="G84">
        <v>7.0000000000000007E-2</v>
      </c>
      <c r="H84">
        <v>19.93</v>
      </c>
      <c r="I84">
        <v>0.33</v>
      </c>
      <c r="J84">
        <v>2</v>
      </c>
      <c r="K84">
        <v>6.9100000000000009E-2</v>
      </c>
      <c r="L84">
        <v>6.9100000000000009E-2</v>
      </c>
      <c r="M84">
        <v>8.9999999999999998E-4</v>
      </c>
      <c r="N84">
        <v>1</v>
      </c>
      <c r="P84" t="s">
        <v>277</v>
      </c>
      <c r="Q84">
        <v>4900</v>
      </c>
      <c r="R84" t="s">
        <v>971</v>
      </c>
    </row>
    <row r="85" spans="1:18">
      <c r="A85" t="s">
        <v>354</v>
      </c>
      <c r="B85" t="s">
        <v>230</v>
      </c>
      <c r="C85" t="s">
        <v>360</v>
      </c>
      <c r="D85" t="s">
        <v>363</v>
      </c>
      <c r="E85">
        <v>20</v>
      </c>
      <c r="F85" t="s">
        <v>948</v>
      </c>
      <c r="G85">
        <v>7.0000000000000007E-2</v>
      </c>
      <c r="H85">
        <v>19.93</v>
      </c>
      <c r="I85">
        <v>0.33</v>
      </c>
      <c r="J85">
        <v>2</v>
      </c>
      <c r="K85">
        <v>6.9100000000000009E-2</v>
      </c>
      <c r="L85">
        <v>6.9100000000000009E-2</v>
      </c>
      <c r="M85">
        <v>8.9999999999999998E-4</v>
      </c>
      <c r="N85">
        <v>1</v>
      </c>
      <c r="P85" t="s">
        <v>278</v>
      </c>
      <c r="Q85">
        <v>5100</v>
      </c>
      <c r="R85" t="s">
        <v>972</v>
      </c>
    </row>
    <row r="86" spans="1:18">
      <c r="A86" t="s">
        <v>354</v>
      </c>
      <c r="B86" t="s">
        <v>230</v>
      </c>
      <c r="C86" t="s">
        <v>360</v>
      </c>
      <c r="D86" t="s">
        <v>363</v>
      </c>
      <c r="E86">
        <v>20</v>
      </c>
      <c r="F86" t="s">
        <v>948</v>
      </c>
      <c r="G86">
        <v>7.0000000000000007E-2</v>
      </c>
      <c r="H86">
        <v>19.93</v>
      </c>
      <c r="I86">
        <v>0.33</v>
      </c>
      <c r="J86">
        <v>2</v>
      </c>
      <c r="K86">
        <v>6.9100000000000009E-2</v>
      </c>
      <c r="L86">
        <v>6.9100000000000009E-2</v>
      </c>
      <c r="M86">
        <v>8.9999999999999998E-4</v>
      </c>
      <c r="N86">
        <v>1</v>
      </c>
      <c r="P86" t="s">
        <v>279</v>
      </c>
      <c r="Q86">
        <v>5200</v>
      </c>
      <c r="R86" t="s">
        <v>973</v>
      </c>
    </row>
    <row r="87" spans="1:18">
      <c r="A87" t="s">
        <v>354</v>
      </c>
      <c r="B87" t="s">
        <v>230</v>
      </c>
      <c r="C87" t="s">
        <v>360</v>
      </c>
      <c r="D87" t="s">
        <v>363</v>
      </c>
      <c r="E87">
        <v>20</v>
      </c>
      <c r="F87" t="s">
        <v>948</v>
      </c>
      <c r="G87">
        <v>7.0000000000000007E-2</v>
      </c>
      <c r="H87">
        <v>19.93</v>
      </c>
      <c r="I87">
        <v>0.33</v>
      </c>
      <c r="J87">
        <v>2</v>
      </c>
      <c r="K87">
        <v>6.9100000000000009E-2</v>
      </c>
      <c r="L87">
        <v>6.9100000000000009E-2</v>
      </c>
      <c r="M87">
        <v>8.9999999999999998E-4</v>
      </c>
      <c r="N87">
        <v>1</v>
      </c>
      <c r="P87" t="s">
        <v>280</v>
      </c>
      <c r="Q87">
        <v>5300</v>
      </c>
      <c r="R87" t="s">
        <v>974</v>
      </c>
    </row>
    <row r="88" spans="1:18">
      <c r="A88" t="s">
        <v>354</v>
      </c>
      <c r="B88" t="s">
        <v>230</v>
      </c>
      <c r="C88" t="s">
        <v>360</v>
      </c>
      <c r="D88" t="s">
        <v>363</v>
      </c>
      <c r="E88">
        <v>20</v>
      </c>
      <c r="F88" t="s">
        <v>948</v>
      </c>
      <c r="G88">
        <v>7.0000000000000007E-2</v>
      </c>
      <c r="H88">
        <v>19.93</v>
      </c>
      <c r="I88">
        <v>0.33</v>
      </c>
      <c r="J88">
        <v>2</v>
      </c>
      <c r="K88">
        <v>6.9100000000000009E-2</v>
      </c>
      <c r="L88">
        <v>6.9100000000000009E-2</v>
      </c>
      <c r="M88">
        <v>8.9999999999999998E-4</v>
      </c>
      <c r="N88">
        <v>1</v>
      </c>
      <c r="P88" t="s">
        <v>281</v>
      </c>
      <c r="Q88">
        <v>5400</v>
      </c>
      <c r="R88" t="s">
        <v>975</v>
      </c>
    </row>
    <row r="89" spans="1:18">
      <c r="A89" t="s">
        <v>354</v>
      </c>
      <c r="B89" t="s">
        <v>230</v>
      </c>
      <c r="C89" t="s">
        <v>360</v>
      </c>
      <c r="D89" t="s">
        <v>363</v>
      </c>
      <c r="E89">
        <v>20</v>
      </c>
      <c r="F89" t="s">
        <v>948</v>
      </c>
      <c r="G89">
        <v>7.0000000000000007E-2</v>
      </c>
      <c r="H89">
        <v>19.93</v>
      </c>
      <c r="I89">
        <v>0.33</v>
      </c>
      <c r="J89">
        <v>2</v>
      </c>
      <c r="K89">
        <v>6.9100000000000009E-2</v>
      </c>
      <c r="L89">
        <v>6.9100000000000009E-2</v>
      </c>
      <c r="M89">
        <v>8.9999999999999998E-4</v>
      </c>
      <c r="N89">
        <v>1</v>
      </c>
      <c r="P89" t="s">
        <v>282</v>
      </c>
      <c r="Q89">
        <v>5500</v>
      </c>
      <c r="R89" t="s">
        <v>976</v>
      </c>
    </row>
    <row r="90" spans="1:18">
      <c r="A90" t="s">
        <v>354</v>
      </c>
      <c r="B90" t="s">
        <v>230</v>
      </c>
      <c r="C90" t="s">
        <v>360</v>
      </c>
      <c r="D90" t="s">
        <v>363</v>
      </c>
      <c r="E90">
        <v>20</v>
      </c>
      <c r="F90" t="s">
        <v>948</v>
      </c>
      <c r="G90">
        <v>7.0000000000000007E-2</v>
      </c>
      <c r="H90">
        <v>19.93</v>
      </c>
      <c r="I90">
        <v>0.33</v>
      </c>
      <c r="J90">
        <v>2</v>
      </c>
      <c r="K90">
        <v>6.9100000000000009E-2</v>
      </c>
      <c r="L90">
        <v>6.9100000000000009E-2</v>
      </c>
      <c r="M90">
        <v>8.9999999999999998E-4</v>
      </c>
      <c r="N90">
        <v>1</v>
      </c>
      <c r="P90" t="s">
        <v>283</v>
      </c>
      <c r="Q90">
        <v>5600</v>
      </c>
      <c r="R90" t="s">
        <v>977</v>
      </c>
    </row>
    <row r="91" spans="1:18">
      <c r="A91" t="s">
        <v>354</v>
      </c>
      <c r="B91" t="s">
        <v>230</v>
      </c>
      <c r="C91" t="s">
        <v>360</v>
      </c>
      <c r="D91" t="s">
        <v>411</v>
      </c>
      <c r="E91">
        <v>5000</v>
      </c>
      <c r="F91" t="s">
        <v>978</v>
      </c>
      <c r="G91">
        <v>4.0000000000000001E-3</v>
      </c>
      <c r="H91">
        <v>4999.9960000000001</v>
      </c>
      <c r="I91">
        <v>8.3000000000000004E-2</v>
      </c>
      <c r="J91">
        <v>2</v>
      </c>
      <c r="K91">
        <v>3.1000000000000003E-3</v>
      </c>
      <c r="L91">
        <v>3.1000000000000003E-3</v>
      </c>
      <c r="M91">
        <v>8.9999999999999998E-4</v>
      </c>
      <c r="N91">
        <v>0.25</v>
      </c>
    </row>
    <row r="92" spans="1:18">
      <c r="A92" t="s">
        <v>354</v>
      </c>
      <c r="B92" t="s">
        <v>230</v>
      </c>
      <c r="C92" t="s">
        <v>360</v>
      </c>
      <c r="D92" t="s">
        <v>412</v>
      </c>
      <c r="E92">
        <v>10000</v>
      </c>
      <c r="F92" t="s">
        <v>979</v>
      </c>
      <c r="G92">
        <v>0.01</v>
      </c>
      <c r="H92">
        <v>9999.99</v>
      </c>
      <c r="I92">
        <v>0.17</v>
      </c>
      <c r="J92">
        <v>2</v>
      </c>
      <c r="K92">
        <v>9.1000000000000004E-3</v>
      </c>
      <c r="L92">
        <v>9.1000000000000004E-3</v>
      </c>
      <c r="M92">
        <v>8.9999999999999998E-4</v>
      </c>
      <c r="N92">
        <v>0.5</v>
      </c>
    </row>
    <row r="93" spans="1:18">
      <c r="A93" t="s">
        <v>354</v>
      </c>
      <c r="B93" t="s">
        <v>230</v>
      </c>
      <c r="C93" t="s">
        <v>360</v>
      </c>
      <c r="D93" t="s">
        <v>413</v>
      </c>
      <c r="E93">
        <v>20000</v>
      </c>
      <c r="F93" t="s">
        <v>980</v>
      </c>
      <c r="G93">
        <v>0.06</v>
      </c>
      <c r="H93">
        <v>19999.939999999999</v>
      </c>
      <c r="I93">
        <v>0.33</v>
      </c>
      <c r="J93">
        <v>2</v>
      </c>
      <c r="K93">
        <v>5.91E-2</v>
      </c>
      <c r="L93">
        <v>5.91E-2</v>
      </c>
      <c r="M93">
        <v>8.9999999999999998E-4</v>
      </c>
      <c r="N93">
        <v>1</v>
      </c>
    </row>
    <row r="94" spans="1:18">
      <c r="A94" t="s">
        <v>354</v>
      </c>
      <c r="B94" t="s">
        <v>230</v>
      </c>
      <c r="C94" t="s">
        <v>360</v>
      </c>
      <c r="D94" t="s">
        <v>413</v>
      </c>
      <c r="E94">
        <v>20000</v>
      </c>
      <c r="F94" t="s">
        <v>980</v>
      </c>
      <c r="G94">
        <v>7.0000000000000007E-2</v>
      </c>
      <c r="H94">
        <v>19999.93</v>
      </c>
      <c r="I94">
        <v>0.33</v>
      </c>
      <c r="J94">
        <v>2</v>
      </c>
      <c r="K94">
        <v>6.9100000000000009E-2</v>
      </c>
      <c r="L94">
        <v>6.9100000000000009E-2</v>
      </c>
      <c r="M94">
        <v>8.9999999999999998E-4</v>
      </c>
      <c r="N94">
        <v>1</v>
      </c>
    </row>
    <row r="95" spans="1:18">
      <c r="A95" t="s">
        <v>354</v>
      </c>
      <c r="B95" t="s">
        <v>230</v>
      </c>
      <c r="C95" t="s">
        <v>360</v>
      </c>
      <c r="D95" t="s">
        <v>413</v>
      </c>
      <c r="E95">
        <v>20000</v>
      </c>
      <c r="F95" t="s">
        <v>980</v>
      </c>
      <c r="G95">
        <v>7.0000000000000007E-2</v>
      </c>
      <c r="H95">
        <v>19999.93</v>
      </c>
      <c r="I95">
        <v>0.33</v>
      </c>
      <c r="J95">
        <v>2</v>
      </c>
      <c r="K95">
        <v>6.9100000000000009E-2</v>
      </c>
      <c r="L95">
        <v>6.9100000000000009E-2</v>
      </c>
      <c r="M95">
        <v>8.9999999999999998E-4</v>
      </c>
      <c r="N95">
        <v>1</v>
      </c>
    </row>
  </sheetData>
  <sheetProtection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6"/>
  <dimension ref="B1:I22"/>
  <sheetViews>
    <sheetView view="pageBreakPreview" topLeftCell="A52" zoomScale="120" zoomScaleNormal="100" zoomScaleSheetLayoutView="120" workbookViewId="0">
      <selection activeCell="F11" sqref="F11"/>
    </sheetView>
  </sheetViews>
  <sheetFormatPr baseColWidth="10" defaultRowHeight="15"/>
  <cols>
    <col min="2" max="2" width="49.42578125" customWidth="1"/>
    <col min="3" max="3" width="17.7109375" customWidth="1"/>
    <col min="4" max="4" width="11.5703125" bestFit="1" customWidth="1"/>
    <col min="5" max="5" width="23.7109375" customWidth="1"/>
    <col min="6" max="6" width="18" customWidth="1"/>
    <col min="7" max="7" width="23.28515625" customWidth="1"/>
    <col min="8" max="8" width="14.7109375" bestFit="1" customWidth="1"/>
  </cols>
  <sheetData>
    <row r="1" spans="2:8" ht="15.75" thickBot="1"/>
    <row r="2" spans="2:8" ht="15.75" thickBot="1">
      <c r="B2" s="1841" t="s">
        <v>162</v>
      </c>
      <c r="C2" s="1842"/>
      <c r="D2" s="1842"/>
      <c r="E2" s="1842"/>
      <c r="F2" s="1843"/>
      <c r="G2" s="65"/>
    </row>
    <row r="3" spans="2:8">
      <c r="B3" s="71" t="s">
        <v>163</v>
      </c>
      <c r="C3" s="72">
        <v>814</v>
      </c>
      <c r="D3" s="72" t="s">
        <v>328</v>
      </c>
      <c r="E3" s="73" t="s">
        <v>167</v>
      </c>
      <c r="F3" s="72">
        <f>(0.3484*C3-0.009*C4*EXP(0.061*C5))/(273.15+C5)</f>
        <v>0.95068722765172764</v>
      </c>
      <c r="G3" s="67">
        <f>+F3/1000</f>
        <v>9.5068722765172763E-4</v>
      </c>
    </row>
    <row r="4" spans="2:8" ht="17.25">
      <c r="B4" s="66" t="s">
        <v>164</v>
      </c>
      <c r="C4" s="23">
        <v>59</v>
      </c>
      <c r="D4" s="23" t="s">
        <v>160</v>
      </c>
      <c r="E4" s="22"/>
      <c r="F4" s="64" t="s">
        <v>332</v>
      </c>
      <c r="G4" s="67" t="s">
        <v>333</v>
      </c>
    </row>
    <row r="5" spans="2:8" ht="15.75" thickBot="1">
      <c r="B5" s="68" t="s">
        <v>165</v>
      </c>
      <c r="C5" s="69">
        <v>22.9</v>
      </c>
      <c r="D5" s="69" t="s">
        <v>161</v>
      </c>
      <c r="E5" s="15"/>
      <c r="F5" s="15"/>
      <c r="G5" s="70"/>
    </row>
    <row r="10" spans="2:8" ht="17.25">
      <c r="B10" s="29" t="s">
        <v>334</v>
      </c>
      <c r="C10" s="29" t="s">
        <v>296</v>
      </c>
      <c r="D10" s="29" t="s">
        <v>297</v>
      </c>
      <c r="E10" s="29" t="s">
        <v>335</v>
      </c>
      <c r="F10" s="29" t="s">
        <v>336</v>
      </c>
      <c r="G10" s="29" t="s">
        <v>337</v>
      </c>
      <c r="H10" s="29" t="s">
        <v>338</v>
      </c>
    </row>
    <row r="11" spans="2:8">
      <c r="B11" s="29" t="s">
        <v>339</v>
      </c>
      <c r="C11" s="29">
        <v>0.7</v>
      </c>
      <c r="D11" s="29">
        <v>2</v>
      </c>
      <c r="E11" s="29">
        <f>+C11/D11</f>
        <v>0.35</v>
      </c>
      <c r="F11" s="29">
        <f>0.348444/(273.15+C5)</f>
        <v>1.1769768620165514E-3</v>
      </c>
      <c r="G11" s="29">
        <f t="shared" ref="G11:G19" si="0">+F11*E11</f>
        <v>4.1194190170579296E-4</v>
      </c>
      <c r="H11" s="29">
        <f>+G11*G11</f>
        <v>1.6969613038098518E-7</v>
      </c>
    </row>
    <row r="12" spans="2:8">
      <c r="B12" s="29" t="s">
        <v>340</v>
      </c>
      <c r="C12" s="29">
        <v>1</v>
      </c>
      <c r="D12" s="29">
        <f>2*SQRT(3)</f>
        <v>3.4641016151377544</v>
      </c>
      <c r="E12" s="29">
        <f t="shared" ref="E12:E19" si="1">+C12/D12</f>
        <v>0.28867513459481292</v>
      </c>
      <c r="F12" s="29">
        <f>+F11</f>
        <v>1.1769768620165514E-3</v>
      </c>
      <c r="G12" s="29">
        <f t="shared" si="0"/>
        <v>3.397639540576085E-4</v>
      </c>
      <c r="H12" s="29">
        <f t="shared" ref="H12:H19" si="2">+G12*G12</f>
        <v>1.154395444768607E-7</v>
      </c>
    </row>
    <row r="13" spans="2:8">
      <c r="B13" s="29" t="s">
        <v>341</v>
      </c>
      <c r="C13" s="29">
        <v>0</v>
      </c>
      <c r="D13" s="29">
        <f>2*SQRT(3)</f>
        <v>3.4641016151377544</v>
      </c>
      <c r="E13" s="29">
        <f t="shared" si="1"/>
        <v>0</v>
      </c>
      <c r="F13" s="29">
        <f>+F12</f>
        <v>1.1769768620165514E-3</v>
      </c>
      <c r="G13" s="29">
        <f t="shared" si="0"/>
        <v>0</v>
      </c>
      <c r="H13" s="29">
        <f t="shared" si="2"/>
        <v>0</v>
      </c>
    </row>
    <row r="14" spans="2:8">
      <c r="B14" s="29" t="s">
        <v>342</v>
      </c>
      <c r="C14" s="29">
        <v>0.8</v>
      </c>
      <c r="D14" s="29">
        <v>2</v>
      </c>
      <c r="E14" s="29">
        <f t="shared" si="1"/>
        <v>0.4</v>
      </c>
      <c r="F14" s="29">
        <f>-(0.00252*C5-0.020582)/(273.15+C5)</f>
        <v>-1.2540449248437763E-4</v>
      </c>
      <c r="G14" s="29">
        <f t="shared" si="0"/>
        <v>-5.0161796993751055E-5</v>
      </c>
      <c r="H14" s="29">
        <f t="shared" si="2"/>
        <v>2.5162058776422923E-9</v>
      </c>
    </row>
    <row r="15" spans="2:8">
      <c r="B15" s="29" t="s">
        <v>343</v>
      </c>
      <c r="C15" s="29">
        <v>1</v>
      </c>
      <c r="D15" s="29">
        <f>2*SQRT(3)</f>
        <v>3.4641016151377544</v>
      </c>
      <c r="E15" s="29">
        <f t="shared" si="1"/>
        <v>0.28867513459481292</v>
      </c>
      <c r="F15" s="29">
        <f>+F14</f>
        <v>-1.2540449248437763E-4</v>
      </c>
      <c r="G15" s="29">
        <f t="shared" si="0"/>
        <v>-3.6201158746721919E-5</v>
      </c>
      <c r="H15" s="29">
        <f t="shared" si="2"/>
        <v>1.3105238946053608E-9</v>
      </c>
    </row>
    <row r="16" spans="2:8">
      <c r="B16" s="29" t="s">
        <v>344</v>
      </c>
      <c r="C16" s="29">
        <v>1</v>
      </c>
      <c r="D16" s="29">
        <f>2*SQRT(3)</f>
        <v>3.4641016151377544</v>
      </c>
      <c r="E16" s="29">
        <f t="shared" si="1"/>
        <v>0.28867513459481292</v>
      </c>
      <c r="F16" s="29">
        <f>+F15</f>
        <v>-1.2540449248437763E-4</v>
      </c>
      <c r="G16" s="29">
        <f t="shared" si="0"/>
        <v>-3.6201158746721919E-5</v>
      </c>
      <c r="H16" s="29">
        <f t="shared" si="2"/>
        <v>1.3105238946053608E-9</v>
      </c>
    </row>
    <row r="17" spans="2:9">
      <c r="B17" s="29" t="s">
        <v>345</v>
      </c>
      <c r="C17" s="29">
        <v>6.9000000000000006E-2</v>
      </c>
      <c r="D17" s="29">
        <v>2</v>
      </c>
      <c r="E17" s="29">
        <f t="shared" si="1"/>
        <v>3.4500000000000003E-2</v>
      </c>
      <c r="F17" s="29">
        <f>+((0.34844*C3-C4*(0.00252*C5-0.020582))*(1)+(273.15+C5)*(-0.00252*C4))/POWER((273.15+C5),2)</f>
        <v>2.7088981674807944E-3</v>
      </c>
      <c r="G17" s="29">
        <f t="shared" si="0"/>
        <v>9.3456986778087418E-5</v>
      </c>
      <c r="H17" s="29">
        <f t="shared" si="2"/>
        <v>8.7342083776396066E-9</v>
      </c>
    </row>
    <row r="18" spans="2:9">
      <c r="B18" s="29" t="s">
        <v>346</v>
      </c>
      <c r="C18" s="29">
        <v>0.1</v>
      </c>
      <c r="D18" s="29">
        <f>2*SQRT(3)</f>
        <v>3.4641016151377544</v>
      </c>
      <c r="E18" s="29">
        <f t="shared" si="1"/>
        <v>2.8867513459481291E-2</v>
      </c>
      <c r="F18" s="29">
        <f>+F17</f>
        <v>2.7088981674807944E-3</v>
      </c>
      <c r="G18" s="29">
        <f t="shared" si="0"/>
        <v>7.8199154310116037E-5</v>
      </c>
      <c r="H18" s="29">
        <f t="shared" si="2"/>
        <v>6.1151077348173398E-9</v>
      </c>
    </row>
    <row r="19" spans="2:9">
      <c r="B19" s="29" t="s">
        <v>347</v>
      </c>
      <c r="C19" s="29">
        <v>0</v>
      </c>
      <c r="D19" s="29">
        <f>2*SQRT(3)</f>
        <v>3.4641016151377544</v>
      </c>
      <c r="E19" s="29">
        <f t="shared" si="1"/>
        <v>0</v>
      </c>
      <c r="F19" s="29">
        <f>+F18</f>
        <v>2.7088981674807944E-3</v>
      </c>
      <c r="G19" s="29">
        <f t="shared" si="0"/>
        <v>0</v>
      </c>
      <c r="H19" s="29">
        <f t="shared" si="2"/>
        <v>0</v>
      </c>
    </row>
    <row r="20" spans="2:9">
      <c r="G20" s="29" t="s">
        <v>335</v>
      </c>
      <c r="H20" s="29">
        <f>+SQRT(SUM(H11:H19))</f>
        <v>5.5237871486612871E-4</v>
      </c>
    </row>
    <row r="21" spans="2:9">
      <c r="G21" s="29" t="s">
        <v>297</v>
      </c>
      <c r="H21" s="29">
        <v>2</v>
      </c>
    </row>
    <row r="22" spans="2:9">
      <c r="G22" s="29" t="s">
        <v>348</v>
      </c>
      <c r="H22" s="29">
        <f>+H21*H20</f>
        <v>1.1047574297322574E-3</v>
      </c>
      <c r="I22" t="str">
        <f>+F4</f>
        <v>Kg/m3</v>
      </c>
    </row>
  </sheetData>
  <sheetProtection password="CC57" sheet="1" objects="1" scenarios="1"/>
  <mergeCells count="1">
    <mergeCell ref="B2:F2"/>
  </mergeCells>
  <pageMargins left="0.7" right="0.7" top="0.75" bottom="0.75" header="0.3" footer="0.3"/>
  <pageSetup paperSize="9" scale="33"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7</vt:i4>
      </vt:variant>
    </vt:vector>
  </HeadingPairs>
  <TitlesOfParts>
    <vt:vector size="24" baseType="lpstr">
      <vt:lpstr>Alcance</vt:lpstr>
      <vt:lpstr>Calculo P Conformidad</vt:lpstr>
      <vt:lpstr>Formato</vt:lpstr>
      <vt:lpstr>Certificado de calibración</vt:lpstr>
      <vt:lpstr>Estimación de la Incertidumbre</vt:lpstr>
      <vt:lpstr>Incertidumbre  Empuje</vt:lpstr>
      <vt:lpstr>Data cruda manual</vt:lpstr>
      <vt:lpstr>Calculos</vt:lpstr>
      <vt:lpstr>Errores  Patrones</vt:lpstr>
      <vt:lpstr>Hoja1</vt:lpstr>
      <vt:lpstr>Cumplimiento</vt:lpstr>
      <vt:lpstr>Verificación certificado</vt:lpstr>
      <vt:lpstr>Verificación formato</vt:lpstr>
      <vt:lpstr>Verificación Incedrtidumbre</vt:lpstr>
      <vt:lpstr>Verificación Calculos</vt:lpstr>
      <vt:lpstr>Verificación patrones</vt:lpstr>
      <vt:lpstr>Densidad  del Aire</vt:lpstr>
      <vt:lpstr>Calculos!Área_de_impresión</vt:lpstr>
      <vt:lpstr>'Certificado de calibración'!Área_de_impresión</vt:lpstr>
      <vt:lpstr>'Data cruda manual'!Área_de_impresión</vt:lpstr>
      <vt:lpstr>'Errores  Patrones'!Área_de_impresión</vt:lpstr>
      <vt:lpstr>'Estimación de la Incertidumbre'!Área_de_impresión</vt:lpstr>
      <vt:lpstr>Formato!Área_de_impresión</vt:lpstr>
      <vt:lpstr>'Incertidumbre  Empuje'!Área_de_impresión</vt:lpstr>
    </vt:vector>
  </TitlesOfParts>
  <Company>ALPHA METROLOG 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Adda Licef</dc:creator>
  <cp:lastModifiedBy>Julian Andres Valencia Salinas</cp:lastModifiedBy>
  <cp:lastPrinted>2025-01-24T21:47:16Z</cp:lastPrinted>
  <dcterms:created xsi:type="dcterms:W3CDTF">2013-09-09T14:47:53Z</dcterms:created>
  <dcterms:modified xsi:type="dcterms:W3CDTF">2025-01-24T21:47:18Z</dcterms:modified>
</cp:coreProperties>
</file>